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osin\Documents\előterjesztések\2021\2021 évi költségvetés I módosítása\LokLex\"/>
    </mc:Choice>
  </mc:AlternateContent>
  <xr:revisionPtr revIDLastSave="0" documentId="8_{FB5A8CD3-BE60-4E59-9468-4ECF748A9A09}" xr6:coauthVersionLast="46" xr6:coauthVersionMax="46" xr10:uidLastSave="{00000000-0000-0000-0000-000000000000}"/>
  <bookViews>
    <workbookView xWindow="-110" yWindow="-110" windowWidth="19420" windowHeight="10420" tabRatio="828" firstSheet="2" activeTab="2" xr2:uid="{00000000-000D-0000-FFFF-FFFF00000000}"/>
  </bookViews>
  <sheets>
    <sheet name="Egyenlegmutató" sheetId="22" state="hidden" r:id="rId1"/>
    <sheet name="0.Mérleg" sheetId="16" state="hidden" r:id="rId2"/>
    <sheet name="1.1 melléklet" sheetId="11" r:id="rId3"/>
    <sheet name="1.2 melléklet" sheetId="24" r:id="rId4"/>
    <sheet name="1.3 melléklet" sheetId="30" r:id="rId5"/>
    <sheet name="2.1 melléklet" sheetId="10" r:id="rId6"/>
    <sheet name="2.2 melléklet" sheetId="23" r:id="rId7"/>
    <sheet name="2.3 melléklet" sheetId="25" r:id="rId8"/>
    <sheet name="2.4 melléklet" sheetId="29" r:id="rId9"/>
    <sheet name="2.5 melléklet" sheetId="31" r:id="rId10"/>
    <sheet name="2.6 melléklet" sheetId="35" r:id="rId11"/>
    <sheet name="3.1 melléklet" sheetId="20" r:id="rId12"/>
    <sheet name="3.2 melléklet" sheetId="21" r:id="rId13"/>
    <sheet name="4.1 melléklet" sheetId="2" r:id="rId14"/>
    <sheet name="4.2 melléklet" sheetId="5" r:id="rId15"/>
    <sheet name="4.3 melléklet" sheetId="7" r:id="rId16"/>
    <sheet name="4.4 melléklet" sheetId="18" r:id="rId17"/>
    <sheet name="4.5 melléklet" sheetId="14" r:id="rId18"/>
    <sheet name="4.6 melléklet" sheetId="8" r:id="rId19"/>
    <sheet name="4.7 melléklet" sheetId="37" r:id="rId20"/>
    <sheet name="Walla" sheetId="1" state="hidden" r:id="rId21"/>
    <sheet name="4.8 melléklet" sheetId="12" r:id="rId22"/>
    <sheet name="5. melléklet" sheetId="3" r:id="rId23"/>
    <sheet name="6. melléklet" sheetId="36" r:id="rId24"/>
    <sheet name="Könyvtár" sheetId="15" state="hidden" r:id="rId25"/>
    <sheet name="Beruházás" sheetId="27" state="hidden" r:id="rId26"/>
    <sheet name="Felújítás" sheetId="28" state="hidden" r:id="rId27"/>
    <sheet name="7. projektek" sheetId="38" state="hidden" r:id="rId28"/>
    <sheet name="7. melléklet" sheetId="39" r:id="rId29"/>
    <sheet name="8. melléklet" sheetId="32" r:id="rId30"/>
    <sheet name="9. melléklet" sheetId="33" r:id="rId31"/>
    <sheet name="10. melléklet" sheetId="34" r:id="rId32"/>
    <sheet name="ÖK kiad" sheetId="26" state="hidden" r:id="rId33"/>
    <sheet name="MMMH" sheetId="17" state="hidden" r:id="rId34"/>
    <sheet name="Nyitnikék" sheetId="4" state="hidden" r:id="rId35"/>
    <sheet name="Bóbita" sheetId="6" state="hidden" r:id="rId36"/>
    <sheet name="SKSZ" sheetId="9" state="hidden" r:id="rId37"/>
    <sheet name="PH" sheetId="19" state="hidden" r:id="rId38"/>
  </sheets>
  <externalReferences>
    <externalReference r:id="rId39"/>
    <externalReference r:id="rId40"/>
    <externalReference r:id="rId41"/>
  </externalReferences>
  <definedNames>
    <definedName name="_1999._Évi_felhalmozási_és_felújítási_kiadások">"$#HIV!.$A$29:$E$29"</definedName>
    <definedName name="_xlnm._FilterDatabase" localSheetId="4" hidden="1">'1.3 melléklet'!$A$4:$B$96</definedName>
    <definedName name="_xlnm._FilterDatabase" localSheetId="7" hidden="1">'2.3 melléklet'!$A$6:$T$234</definedName>
    <definedName name="_xlnm._FilterDatabase" localSheetId="12" hidden="1">'3.2 melléklet'!$A$5:$F$38</definedName>
    <definedName name="_xlnm._FilterDatabase" localSheetId="22" hidden="1">'5. melléklet'!$A$5:$P$207</definedName>
    <definedName name="_xlnm._FilterDatabase" localSheetId="28" hidden="1">'7. melléklet'!$A$6:$L$62</definedName>
    <definedName name="_xlnm._FilterDatabase" localSheetId="27" hidden="1">'7. projektek'!$A$3:$F$38</definedName>
    <definedName name="_xlnm._FilterDatabase" localSheetId="25" hidden="1">Beruházás!$A$4:$Q$115</definedName>
    <definedName name="Excel_BuiltIn_Print_Area_1">"$#HIV!.$A$2:$C$155"</definedName>
    <definedName name="Excel_BuiltIn_Print_Area_10">"$#HIV!.$B$1:$G$95"</definedName>
    <definedName name="Excel_BuiltIn_Print_Area_11">"$#HIV!.$B$2:$H$40"</definedName>
    <definedName name="Excel_BuiltIn_Print_Area_12">"$#HIV!.$B$1:$E$25"</definedName>
    <definedName name="Excel_BuiltIn_Print_Area_13">"$#HIV!.$A$7:$E$53"</definedName>
    <definedName name="Excel_BuiltIn_Print_Area_14">"$#HIV!.$A$1:$M$59"</definedName>
    <definedName name="Excel_BuiltIn_Print_Area_15">"$#HIV!.$E$1:$F$98"</definedName>
    <definedName name="Excel_BuiltIn_Print_Area_16">"$#HIV!.$A$1:$D$139"</definedName>
    <definedName name="Excel_BuiltIn_Print_Area_2">"$#HIV!.$D$2:$H$55"</definedName>
    <definedName name="Excel_BuiltIn_Print_Area_3">"$#HIV!.$A$1:$F$131"</definedName>
    <definedName name="Excel_BuiltIn_Print_Area_4">"$#HIV!.$A$1:$F$115"</definedName>
    <definedName name="Excel_BuiltIn_Print_Area_5">"$#HIV!.$A$2:$B$22"</definedName>
    <definedName name="Excel_BuiltIn_Print_Area_6">"$#HIV!.$A$2:$C$143"</definedName>
    <definedName name="Excel_BuiltIn_Print_Area_7">"$#HIV!.$A$2:$C$143"</definedName>
    <definedName name="Excel_BuiltIn_Print_Area_8">"$#HIV!.$A$1:$I$144"</definedName>
    <definedName name="Excel_BuiltIn_Print_Area_9">"$#HIV!.$A$1:$H$98"</definedName>
    <definedName name="Excel_BuiltIn_Print_Titles_1">"$#HIV!.$A$2:$IQ$2"</definedName>
    <definedName name="Excel_BuiltIn_Print_Titles_10">"$#HIV!.$A$1:$IT$2"</definedName>
    <definedName name="Excel_BuiltIn_Print_Titles_14">"$#HIV!.$A$61:$IU$61"</definedName>
    <definedName name="Excel_BuiltIn_Print_Titles_19">"$#HIV!.$A$1:$IV$1"</definedName>
    <definedName name="Excel_BuiltIn_Print_Titles_2">"$Összesítő.$#HIV!$1:$#HIV!$31999"</definedName>
    <definedName name="Excel_BuiltIn_Print_Titles_21">"$#HIV!.$A$1:$IV$2"</definedName>
    <definedName name="Excel_BuiltIn_Print_Titles_4">"$#HIV!.$A$2:$IV$4"</definedName>
    <definedName name="Excel_BuiltIn_Print_Titles_6">"$#HIV!.$A$2:$II$3"</definedName>
    <definedName name="Excel_BuiltIn_Print_Titles_7">"$#HIV!.$A$2:$IR$3"</definedName>
    <definedName name="Excel_BuiltIn_Print_Titles_8">"$#HIV!.$A$2:$IS$3"</definedName>
    <definedName name="Excel_BuiltIn_Print_Titles_9">"$#HIV!.$A$1:$IT$2"</definedName>
    <definedName name="_xlnm.Print_Titles" localSheetId="2">'1.1 melléklet'!$A:$B,'1.1 melléklet'!$1:$2</definedName>
    <definedName name="_xlnm.Print_Titles" localSheetId="3">'1.2 melléklet'!$A:$B,'1.2 melléklet'!$1:$2</definedName>
    <definedName name="_xlnm.Print_Titles" localSheetId="4">'1.3 melléklet'!$A:$B,'1.3 melléklet'!$1:$4</definedName>
    <definedName name="_xlnm.Print_Titles" localSheetId="5">'2.1 melléklet'!$A:$B,'2.1 melléklet'!$1:$4</definedName>
    <definedName name="_xlnm.Print_Titles" localSheetId="6">'2.2 melléklet'!$A:$B,'2.2 melléklet'!$1:$3</definedName>
    <definedName name="_xlnm.Print_Titles" localSheetId="7">'2.3 melléklet'!$A:$B,'2.3 melléklet'!$2:$5</definedName>
    <definedName name="_xlnm.Print_Titles" localSheetId="11">'3.1 melléklet'!$A:$B,'3.1 melléklet'!$1:$3</definedName>
    <definedName name="_xlnm.Print_Titles" localSheetId="12">'3.2 melléklet'!$A:$B,'3.2 melléklet'!$1:$4</definedName>
    <definedName name="_xlnm.Print_Titles" localSheetId="13">'4.1 melléklet'!$A:$B,'4.1 melléklet'!$1:$4</definedName>
    <definedName name="_xlnm.Print_Titles" localSheetId="14">'4.2 melléklet'!$A:$B,'4.2 melléklet'!$1:$4</definedName>
    <definedName name="_xlnm.Print_Titles" localSheetId="15">'4.3 melléklet'!$A:$B,'4.3 melléklet'!$1:$4</definedName>
    <definedName name="_xlnm.Print_Titles" localSheetId="16">'4.4 melléklet'!$A:$B,'4.4 melléklet'!$1:$4</definedName>
    <definedName name="_xlnm.Print_Titles" localSheetId="17">'4.5 melléklet'!$A:$B,'4.5 melléklet'!$1:$4</definedName>
    <definedName name="_xlnm.Print_Titles" localSheetId="18">'4.6 melléklet'!$A:$B,'4.6 melléklet'!$1:$4</definedName>
    <definedName name="_xlnm.Print_Titles" localSheetId="19">'4.7 melléklet'!$A:$B,'4.7 melléklet'!$1:$4</definedName>
    <definedName name="_xlnm.Print_Titles" localSheetId="21">'4.8 melléklet'!$A:$B,'4.8 melléklet'!$2:$4</definedName>
    <definedName name="_xlnm.Print_Titles" localSheetId="22">'5. melléklet'!$A:$B,'5. melléklet'!$1:$5</definedName>
    <definedName name="_xlnm.Print_Titles" localSheetId="25">Beruházás!$4:$4</definedName>
    <definedName name="_xlnm.Print_Titles" localSheetId="24">Könyvtár!$1:$3</definedName>
    <definedName name="_xlnm.Print_Titles" localSheetId="33">MMMH!$1:$3</definedName>
    <definedName name="_xlnm.Print_Titles" localSheetId="32">'ÖK kiad'!$1:$1</definedName>
    <definedName name="_xlnm.Print_Titles" localSheetId="37">PH!$A:$C</definedName>
    <definedName name="_xlnm.Print_Titles" localSheetId="36">SKSZ!$A:$C</definedName>
    <definedName name="_xlnm.Print_Titles" localSheetId="20">Walla!$1:$3</definedName>
    <definedName name="_xlnm.Print_Area" localSheetId="1">'0.Mérleg'!$A$1:$L$27</definedName>
    <definedName name="_xlnm.Print_Area" localSheetId="2">'1.1 melléklet'!$A$1:$R$61</definedName>
    <definedName name="_xlnm.Print_Area" localSheetId="3">'1.2 melléklet'!$A$1:$R$35</definedName>
    <definedName name="_xlnm.Print_Area" localSheetId="4">'1.3 melléklet'!$A$1:$R$95</definedName>
    <definedName name="_xlnm.Print_Area" localSheetId="31">'10. melléklet'!$A$1:$C$16</definedName>
    <definedName name="_xlnm.Print_Area" localSheetId="5">'2.1 melléklet'!$A$1:$R$111</definedName>
    <definedName name="_xlnm.Print_Area" localSheetId="6">'2.2 melléklet'!$A$1:$R$44</definedName>
    <definedName name="_xlnm.Print_Area" localSheetId="7">'2.3 melléklet'!$A$1:$N$234</definedName>
    <definedName name="_xlnm.Print_Area" localSheetId="8">'2.4 melléklet'!$A$1:$C$34</definedName>
    <definedName name="_xlnm.Print_Area" localSheetId="9">'2.5 melléklet'!$A$1:$D$40</definedName>
    <definedName name="_xlnm.Print_Area" localSheetId="10">'2.6 melléklet'!$A$1:$D$35</definedName>
    <definedName name="_xlnm.Print_Area" localSheetId="11">'3.1 melléklet'!$A$1:$R$49</definedName>
    <definedName name="_xlnm.Print_Area" localSheetId="12">'3.2 melléklet'!$A$1:$R$38</definedName>
    <definedName name="_xlnm.Print_Area" localSheetId="13">'4.1 melléklet'!$A$1:$N$46</definedName>
    <definedName name="_xlnm.Print_Area" localSheetId="14">'4.2 melléklet'!$A$1:$N$46</definedName>
    <definedName name="_xlnm.Print_Area" localSheetId="15">'4.3 melléklet'!$A$1:$N$46</definedName>
    <definedName name="_xlnm.Print_Area" localSheetId="16">'4.4 melléklet'!$A$1:$N$46</definedName>
    <definedName name="_xlnm.Print_Area" localSheetId="17">'4.5 melléklet'!$A$1:$N$46</definedName>
    <definedName name="_xlnm.Print_Area" localSheetId="18">'4.6 melléklet'!$A$1:$N$46</definedName>
    <definedName name="_xlnm.Print_Area" localSheetId="19">'4.7 melléklet'!$A$1:$N$46</definedName>
    <definedName name="_xlnm.Print_Area" localSheetId="21">'4.8 melléklet'!$A$1:$N$46</definedName>
    <definedName name="_xlnm.Print_Area" localSheetId="22">'5. melléklet'!$A$1:$N$207</definedName>
    <definedName name="_xlnm.Print_Area" localSheetId="23">'6. melléklet'!$A$1:$G$19</definedName>
    <definedName name="_xlnm.Print_Area" localSheetId="28">'7. melléklet'!$A$1:$L$108</definedName>
    <definedName name="_xlnm.Print_Area" localSheetId="27">'7. projektek'!$A$1:$H$123</definedName>
    <definedName name="_xlnm.Print_Area" localSheetId="29">'8. melléklet'!$A$1:$C$32</definedName>
    <definedName name="_xlnm.Print_Area" localSheetId="25">Beruházás!$A$1:$L$119</definedName>
    <definedName name="_xlnm.Print_Area" localSheetId="26">Felújítás!$A$1:$L$49</definedName>
    <definedName name="Print_Titles_1" localSheetId="4">[1]Bóbita!$A$1:$B$65536,[1]Bóbita!$A$1:$IV$1</definedName>
    <definedName name="Print_Titles_1" localSheetId="31">[2]Bóbita!$A$1:$B$65536,[2]Bóbita!$A$1:$IV$1</definedName>
    <definedName name="Print_Titles_1" localSheetId="23">[2]Bóbita!$A$1:$B$65536,[2]Bóbita!$A$1:$IV$1</definedName>
    <definedName name="Print_Titles_1" localSheetId="29">[2]Bóbita!$A$1:$B$65536,[2]Bóbita!$A$1:$IV$1</definedName>
    <definedName name="Print_Titles_1" localSheetId="30">[2]Bóbita!$A$1:$B$65536,[2]Bóbita!$A$1:$IV$1</definedName>
    <definedName name="Print_Titles_1">[3]Bóbita!$A$1:$B$65536,[3]Bóbita!$A$1:$IV$1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24" l="1"/>
  <c r="J15" i="24"/>
  <c r="G15" i="24"/>
  <c r="J16" i="24"/>
  <c r="G16" i="24"/>
  <c r="J4" i="24"/>
  <c r="J14" i="24"/>
  <c r="G14" i="24"/>
  <c r="G9" i="24"/>
  <c r="J17" i="30"/>
  <c r="J16" i="30"/>
  <c r="H51" i="25"/>
  <c r="H55" i="25"/>
  <c r="I62" i="39"/>
  <c r="C14" i="36"/>
  <c r="I6" i="18"/>
  <c r="F6" i="18"/>
  <c r="C6" i="18"/>
  <c r="C11" i="36"/>
  <c r="C10" i="36"/>
  <c r="C16" i="36"/>
  <c r="C6" i="36"/>
  <c r="E18" i="36"/>
  <c r="D16" i="36"/>
  <c r="D14" i="36"/>
  <c r="D12" i="36"/>
  <c r="D11" i="36"/>
  <c r="D10" i="36"/>
  <c r="D18" i="36" s="1"/>
  <c r="D19" i="36" s="1"/>
  <c r="E8" i="36"/>
  <c r="E19" i="36" s="1"/>
  <c r="D7" i="36"/>
  <c r="D6" i="36"/>
  <c r="D8" i="36" s="1"/>
  <c r="K55" i="25" l="1"/>
  <c r="P150" i="3" l="1"/>
  <c r="L9" i="24"/>
  <c r="N13" i="30"/>
  <c r="K167" i="25"/>
  <c r="I66" i="3" l="1"/>
  <c r="L89" i="39" l="1"/>
  <c r="L23" i="23"/>
  <c r="K168" i="25"/>
  <c r="K9" i="11"/>
  <c r="L26" i="11"/>
  <c r="K26" i="11"/>
  <c r="K25" i="11"/>
  <c r="K24" i="11"/>
  <c r="K23" i="11"/>
  <c r="K22" i="11"/>
  <c r="K21" i="11"/>
  <c r="L23" i="11"/>
  <c r="L21" i="11"/>
  <c r="K20" i="11"/>
  <c r="K6" i="11"/>
  <c r="I39" i="8"/>
  <c r="I41" i="18"/>
  <c r="N78" i="30"/>
  <c r="N55" i="30"/>
  <c r="N51" i="30"/>
  <c r="N50" i="30"/>
  <c r="N44" i="30"/>
  <c r="N93" i="30"/>
  <c r="N94" i="30"/>
  <c r="N95" i="30"/>
  <c r="N21" i="30"/>
  <c r="N11" i="30"/>
  <c r="N10" i="30"/>
  <c r="N60" i="10"/>
  <c r="L51" i="10"/>
  <c r="K42" i="10"/>
  <c r="N25" i="10"/>
  <c r="K19" i="10"/>
  <c r="N11" i="10"/>
  <c r="L11" i="23"/>
  <c r="K11" i="23"/>
  <c r="M37" i="23"/>
  <c r="N37" i="23" s="1"/>
  <c r="K34" i="23"/>
  <c r="K33" i="23" s="1"/>
  <c r="N40" i="23"/>
  <c r="M39" i="23"/>
  <c r="N39" i="23" s="1"/>
  <c r="N36" i="23"/>
  <c r="N35" i="23"/>
  <c r="L32" i="23"/>
  <c r="L24" i="23"/>
  <c r="K29" i="23"/>
  <c r="N29" i="23" s="1"/>
  <c r="L84" i="39"/>
  <c r="L15" i="23"/>
  <c r="N15" i="23" s="1"/>
  <c r="L9" i="23"/>
  <c r="K9" i="23"/>
  <c r="L8" i="23"/>
  <c r="K8" i="23"/>
  <c r="L62" i="39"/>
  <c r="K22" i="23"/>
  <c r="N14" i="23"/>
  <c r="M20" i="23"/>
  <c r="L20" i="23"/>
  <c r="N19" i="23"/>
  <c r="M19" i="23"/>
  <c r="N18" i="23"/>
  <c r="M17" i="23"/>
  <c r="M12" i="23" s="1"/>
  <c r="L17" i="23"/>
  <c r="K20" i="23"/>
  <c r="K17" i="23" s="1"/>
  <c r="K19" i="23"/>
  <c r="K18" i="23"/>
  <c r="L22" i="23"/>
  <c r="K166" i="25"/>
  <c r="L10" i="23" s="1"/>
  <c r="K56" i="25"/>
  <c r="K23" i="23" s="1"/>
  <c r="N23" i="23" s="1"/>
  <c r="K54" i="25"/>
  <c r="K10" i="23" s="1"/>
  <c r="N11" i="23" l="1"/>
  <c r="N34" i="23"/>
  <c r="N9" i="23"/>
  <c r="K24" i="23"/>
  <c r="N24" i="23" s="1"/>
  <c r="N33" i="23"/>
  <c r="K32" i="23"/>
  <c r="K241" i="25"/>
  <c r="N17" i="23"/>
  <c r="N20" i="23"/>
  <c r="N10" i="23"/>
  <c r="N8" i="23"/>
  <c r="N22" i="23"/>
  <c r="K189" i="3"/>
  <c r="K188" i="3"/>
  <c r="L16" i="23"/>
  <c r="N16" i="23" s="1"/>
  <c r="K220" i="25"/>
  <c r="N85" i="30" s="1"/>
  <c r="K217" i="25"/>
  <c r="K115" i="25"/>
  <c r="N58" i="30" s="1"/>
  <c r="K88" i="25"/>
  <c r="N47" i="30" s="1"/>
  <c r="K47" i="25"/>
  <c r="K13" i="23" s="1"/>
  <c r="N13" i="23" s="1"/>
  <c r="K42" i="20"/>
  <c r="N9" i="21"/>
  <c r="N8" i="21"/>
  <c r="N7" i="21"/>
  <c r="L12" i="23" l="1"/>
  <c r="K12" i="23"/>
  <c r="N12" i="23" s="1"/>
  <c r="I16" i="12"/>
  <c r="I13" i="12"/>
  <c r="K202" i="3"/>
  <c r="K201" i="3"/>
  <c r="K200" i="3"/>
  <c r="I19" i="12"/>
  <c r="I15" i="12"/>
  <c r="I15" i="37"/>
  <c r="K16" i="20"/>
  <c r="I15" i="8"/>
  <c r="I19" i="8"/>
  <c r="I34" i="7"/>
  <c r="I33" i="7"/>
  <c r="I34" i="5"/>
  <c r="I33" i="5"/>
  <c r="I34" i="2"/>
  <c r="I19" i="5"/>
  <c r="I19" i="2"/>
  <c r="I39" i="18"/>
  <c r="I16" i="18"/>
  <c r="I13" i="18"/>
  <c r="I10" i="18"/>
  <c r="J11" i="14"/>
  <c r="J42" i="12"/>
  <c r="I39" i="14"/>
  <c r="I11" i="14"/>
  <c r="I44" i="18"/>
  <c r="K44" i="18" s="1"/>
  <c r="L102" i="39" s="1"/>
  <c r="K65" i="3"/>
  <c r="N33" i="30" s="1"/>
  <c r="I11" i="18"/>
  <c r="K11" i="18" s="1"/>
  <c r="K16" i="18"/>
  <c r="K15" i="18"/>
  <c r="K14" i="18"/>
  <c r="K13" i="18"/>
  <c r="J11" i="18"/>
  <c r="I9" i="18"/>
  <c r="K10" i="18"/>
  <c r="J11" i="7"/>
  <c r="I11" i="7"/>
  <c r="K11" i="7" s="1"/>
  <c r="K19" i="7"/>
  <c r="N60" i="11"/>
  <c r="N59" i="11"/>
  <c r="M58" i="11"/>
  <c r="L58" i="11"/>
  <c r="K58" i="11"/>
  <c r="N58" i="11" s="1"/>
  <c r="M57" i="11"/>
  <c r="L57" i="11"/>
  <c r="K57" i="11"/>
  <c r="N56" i="11"/>
  <c r="N54" i="11"/>
  <c r="N53" i="11"/>
  <c r="N52" i="11"/>
  <c r="N51" i="11"/>
  <c r="M50" i="11"/>
  <c r="M49" i="11" s="1"/>
  <c r="L50" i="11"/>
  <c r="K50" i="11"/>
  <c r="L49" i="11"/>
  <c r="K49" i="11"/>
  <c r="L44" i="11"/>
  <c r="M42" i="11"/>
  <c r="N42" i="11" s="1"/>
  <c r="L42" i="11"/>
  <c r="K42" i="11"/>
  <c r="M41" i="11"/>
  <c r="N41" i="11" s="1"/>
  <c r="L41" i="11"/>
  <c r="K41" i="11"/>
  <c r="M39" i="11"/>
  <c r="N39" i="11" s="1"/>
  <c r="L39" i="11"/>
  <c r="K39" i="11"/>
  <c r="M38" i="11"/>
  <c r="N38" i="11" s="1"/>
  <c r="L38" i="11"/>
  <c r="K38" i="11"/>
  <c r="M36" i="11"/>
  <c r="N36" i="11" s="1"/>
  <c r="L36" i="11"/>
  <c r="K36" i="11"/>
  <c r="M34" i="11"/>
  <c r="N34" i="11" s="1"/>
  <c r="L34" i="11"/>
  <c r="K34" i="11"/>
  <c r="M33" i="11"/>
  <c r="N33" i="11" s="1"/>
  <c r="L33" i="11"/>
  <c r="K33" i="11"/>
  <c r="M32" i="11"/>
  <c r="N32" i="11" s="1"/>
  <c r="L32" i="11"/>
  <c r="K32" i="11"/>
  <c r="M31" i="11"/>
  <c r="N31" i="11" s="1"/>
  <c r="L31" i="11"/>
  <c r="K31" i="11"/>
  <c r="M29" i="11"/>
  <c r="M27" i="11" s="1"/>
  <c r="K29" i="11"/>
  <c r="K27" i="11" s="1"/>
  <c r="M28" i="11"/>
  <c r="L28" i="11"/>
  <c r="K28" i="11"/>
  <c r="N28" i="11" s="1"/>
  <c r="M26" i="11"/>
  <c r="N26" i="11" s="1"/>
  <c r="L18" i="11"/>
  <c r="M25" i="11"/>
  <c r="N25" i="11" s="1"/>
  <c r="M24" i="11"/>
  <c r="N24" i="11" s="1"/>
  <c r="M22" i="11"/>
  <c r="N22" i="11" s="1"/>
  <c r="M20" i="11"/>
  <c r="N20" i="11" s="1"/>
  <c r="M19" i="11"/>
  <c r="K18" i="11"/>
  <c r="M17" i="11"/>
  <c r="M15" i="11" s="1"/>
  <c r="L17" i="11"/>
  <c r="K17" i="11"/>
  <c r="M16" i="11"/>
  <c r="L16" i="11"/>
  <c r="K16" i="11"/>
  <c r="N16" i="11" s="1"/>
  <c r="L14" i="11"/>
  <c r="M8" i="11"/>
  <c r="L8" i="11"/>
  <c r="K8" i="11"/>
  <c r="M7" i="11"/>
  <c r="L7" i="11"/>
  <c r="K7" i="11"/>
  <c r="M34" i="24"/>
  <c r="L34" i="24"/>
  <c r="K34" i="24"/>
  <c r="N34" i="24" s="1"/>
  <c r="M33" i="24"/>
  <c r="M32" i="24" s="1"/>
  <c r="L33" i="24"/>
  <c r="K33" i="24"/>
  <c r="L32" i="24"/>
  <c r="M31" i="24"/>
  <c r="L31" i="24"/>
  <c r="K31" i="24"/>
  <c r="L30" i="24"/>
  <c r="K30" i="24"/>
  <c r="M29" i="24"/>
  <c r="L29" i="24"/>
  <c r="K29" i="24"/>
  <c r="M28" i="24"/>
  <c r="L28" i="24"/>
  <c r="K28" i="24"/>
  <c r="M27" i="24"/>
  <c r="L27" i="24"/>
  <c r="K27" i="24"/>
  <c r="N23" i="24"/>
  <c r="N22" i="24"/>
  <c r="N21" i="24"/>
  <c r="N20" i="24"/>
  <c r="N19" i="24"/>
  <c r="M18" i="24"/>
  <c r="K18" i="24"/>
  <c r="M17" i="24"/>
  <c r="M16" i="24"/>
  <c r="K14" i="24"/>
  <c r="N14" i="24" s="1"/>
  <c r="L13" i="24"/>
  <c r="N13" i="24" s="1"/>
  <c r="L12" i="24"/>
  <c r="N12" i="24" s="1"/>
  <c r="K11" i="24"/>
  <c r="N11" i="24" s="1"/>
  <c r="K10" i="24"/>
  <c r="N10" i="24" s="1"/>
  <c r="M9" i="24"/>
  <c r="M8" i="24"/>
  <c r="L8" i="24"/>
  <c r="K8" i="24"/>
  <c r="M6" i="24"/>
  <c r="M5" i="24"/>
  <c r="N177" i="25"/>
  <c r="N110" i="10"/>
  <c r="N109" i="10"/>
  <c r="M108" i="10"/>
  <c r="L108" i="10"/>
  <c r="K108" i="10"/>
  <c r="N108" i="10" s="1"/>
  <c r="N106" i="10"/>
  <c r="N105" i="10"/>
  <c r="N104" i="10"/>
  <c r="M103" i="10"/>
  <c r="M55" i="11" s="1"/>
  <c r="L103" i="10"/>
  <c r="K103" i="10"/>
  <c r="N102" i="10"/>
  <c r="N101" i="10"/>
  <c r="N100" i="10"/>
  <c r="N99" i="10"/>
  <c r="N98" i="10"/>
  <c r="M97" i="10"/>
  <c r="M96" i="10" s="1"/>
  <c r="M95" i="10" s="1"/>
  <c r="L97" i="10"/>
  <c r="K97" i="10"/>
  <c r="N91" i="10"/>
  <c r="N90" i="10"/>
  <c r="N89" i="10"/>
  <c r="N88" i="10"/>
  <c r="N87" i="10"/>
  <c r="N86" i="10"/>
  <c r="M85" i="10"/>
  <c r="M78" i="10" s="1"/>
  <c r="K85" i="10"/>
  <c r="K44" i="11" s="1"/>
  <c r="N84" i="10"/>
  <c r="N83" i="10"/>
  <c r="N82" i="10"/>
  <c r="M81" i="10"/>
  <c r="M43" i="11" s="1"/>
  <c r="L81" i="10"/>
  <c r="L43" i="11" s="1"/>
  <c r="L40" i="11" s="1"/>
  <c r="K81" i="10"/>
  <c r="K43" i="11" s="1"/>
  <c r="N80" i="10"/>
  <c r="N79" i="10"/>
  <c r="L78" i="10"/>
  <c r="N77" i="10"/>
  <c r="N76" i="10"/>
  <c r="N75" i="10"/>
  <c r="N74" i="10"/>
  <c r="N73" i="10"/>
  <c r="M72" i="10"/>
  <c r="M70" i="10" s="1"/>
  <c r="M65" i="10" s="1"/>
  <c r="L72" i="10"/>
  <c r="L37" i="11" s="1"/>
  <c r="L35" i="11" s="1"/>
  <c r="K72" i="10"/>
  <c r="K70" i="10" s="1"/>
  <c r="N71" i="10"/>
  <c r="N69" i="10"/>
  <c r="N68" i="10"/>
  <c r="N67" i="10"/>
  <c r="N66" i="10"/>
  <c r="M66" i="10"/>
  <c r="L66" i="10"/>
  <c r="K66" i="10"/>
  <c r="L60" i="10"/>
  <c r="L58" i="10" s="1"/>
  <c r="N59" i="10"/>
  <c r="M58" i="10"/>
  <c r="K58" i="10"/>
  <c r="N57" i="10"/>
  <c r="N56" i="10"/>
  <c r="N55" i="10"/>
  <c r="M54" i="10"/>
  <c r="M23" i="11" s="1"/>
  <c r="N23" i="11" s="1"/>
  <c r="N54" i="10"/>
  <c r="N53" i="10"/>
  <c r="N52" i="10"/>
  <c r="N51" i="10"/>
  <c r="N50" i="10"/>
  <c r="M49" i="10"/>
  <c r="M21" i="11" s="1"/>
  <c r="N21" i="11" s="1"/>
  <c r="L49" i="10"/>
  <c r="K49" i="10"/>
  <c r="N48" i="10"/>
  <c r="N47" i="10"/>
  <c r="M46" i="10"/>
  <c r="L46" i="10"/>
  <c r="K46" i="10"/>
  <c r="N45" i="10"/>
  <c r="N43" i="10"/>
  <c r="N42" i="10"/>
  <c r="N41" i="10"/>
  <c r="N40" i="10"/>
  <c r="M39" i="10"/>
  <c r="L39" i="10"/>
  <c r="K39" i="10"/>
  <c r="N39" i="10" s="1"/>
  <c r="N38" i="10"/>
  <c r="N37" i="10"/>
  <c r="N36" i="10"/>
  <c r="M35" i="10"/>
  <c r="L35" i="10"/>
  <c r="K35" i="10"/>
  <c r="K14" i="11" s="1"/>
  <c r="N34" i="10"/>
  <c r="N33" i="10"/>
  <c r="M32" i="10"/>
  <c r="M13" i="11" s="1"/>
  <c r="L32" i="10"/>
  <c r="L13" i="11" s="1"/>
  <c r="K32" i="10"/>
  <c r="K13" i="11" s="1"/>
  <c r="N31" i="10"/>
  <c r="N30" i="10"/>
  <c r="M29" i="10"/>
  <c r="M12" i="11" s="1"/>
  <c r="L29" i="10"/>
  <c r="L12" i="11" s="1"/>
  <c r="K29" i="10"/>
  <c r="K12" i="11" s="1"/>
  <c r="L27" i="10"/>
  <c r="N26" i="10"/>
  <c r="N24" i="10"/>
  <c r="N23" i="10"/>
  <c r="N22" i="10"/>
  <c r="M21" i="10"/>
  <c r="N21" i="10" s="1"/>
  <c r="N20" i="10"/>
  <c r="L19" i="10"/>
  <c r="L9" i="11" s="1"/>
  <c r="N18" i="10"/>
  <c r="N17" i="10"/>
  <c r="N16" i="10"/>
  <c r="N15" i="10"/>
  <c r="N14" i="10"/>
  <c r="N13" i="10"/>
  <c r="N12" i="10"/>
  <c r="N10" i="10"/>
  <c r="N9" i="10"/>
  <c r="N8" i="10"/>
  <c r="M7" i="10"/>
  <c r="M6" i="11" s="1"/>
  <c r="L7" i="10"/>
  <c r="L6" i="11" s="1"/>
  <c r="K7" i="10"/>
  <c r="K223" i="25"/>
  <c r="N88" i="30" s="1"/>
  <c r="K213" i="25"/>
  <c r="K209" i="25"/>
  <c r="K207" i="25"/>
  <c r="K203" i="25"/>
  <c r="K199" i="25"/>
  <c r="K195" i="25"/>
  <c r="N86" i="30" s="1"/>
  <c r="K191" i="25"/>
  <c r="N87" i="30" s="1"/>
  <c r="K187" i="25"/>
  <c r="N82" i="30" s="1"/>
  <c r="K183" i="25"/>
  <c r="N77" i="30" s="1"/>
  <c r="K181" i="25"/>
  <c r="N83" i="30" s="1"/>
  <c r="K177" i="25"/>
  <c r="N79" i="30" s="1"/>
  <c r="K163" i="25"/>
  <c r="N75" i="30" s="1"/>
  <c r="K155" i="25"/>
  <c r="N74" i="30" s="1"/>
  <c r="K152" i="25"/>
  <c r="N73" i="30" s="1"/>
  <c r="K150" i="25"/>
  <c r="N72" i="30" s="1"/>
  <c r="K148" i="25"/>
  <c r="N71" i="30" s="1"/>
  <c r="K146" i="25"/>
  <c r="N70" i="30" s="1"/>
  <c r="K143" i="25"/>
  <c r="N69" i="30" s="1"/>
  <c r="K141" i="25"/>
  <c r="N68" i="30" s="1"/>
  <c r="K138" i="25"/>
  <c r="N67" i="30" s="1"/>
  <c r="K135" i="25"/>
  <c r="N66" i="30" s="1"/>
  <c r="K132" i="25"/>
  <c r="N65" i="30" s="1"/>
  <c r="K130" i="25"/>
  <c r="N64" i="30" s="1"/>
  <c r="K128" i="25"/>
  <c r="N63" i="30" s="1"/>
  <c r="K126" i="25"/>
  <c r="N62" i="30" s="1"/>
  <c r="K124" i="25"/>
  <c r="N61" i="30" s="1"/>
  <c r="K122" i="25"/>
  <c r="N60" i="30" s="1"/>
  <c r="K118" i="25"/>
  <c r="N59" i="30" s="1"/>
  <c r="K113" i="25"/>
  <c r="N57" i="30" s="1"/>
  <c r="K108" i="25"/>
  <c r="N56" i="30" s="1"/>
  <c r="K102" i="25"/>
  <c r="N54" i="30" s="1"/>
  <c r="K100" i="25"/>
  <c r="N53" i="30" s="1"/>
  <c r="K98" i="25"/>
  <c r="N52" i="30" s="1"/>
  <c r="K92" i="25"/>
  <c r="N49" i="30" s="1"/>
  <c r="K90" i="25"/>
  <c r="N48" i="30" s="1"/>
  <c r="K84" i="25"/>
  <c r="N46" i="30" s="1"/>
  <c r="K80" i="25"/>
  <c r="N45" i="30" s="1"/>
  <c r="K74" i="25"/>
  <c r="N43" i="30" s="1"/>
  <c r="K69" i="25"/>
  <c r="K61" i="25"/>
  <c r="N19" i="30" s="1"/>
  <c r="K30" i="25"/>
  <c r="K21" i="25"/>
  <c r="N9" i="30" s="1"/>
  <c r="K16" i="25"/>
  <c r="N8" i="30" s="1"/>
  <c r="K13" i="25"/>
  <c r="N7" i="30" s="1"/>
  <c r="K7" i="25"/>
  <c r="N6" i="30" s="1"/>
  <c r="K37" i="25"/>
  <c r="N15" i="30" s="1"/>
  <c r="K34" i="25"/>
  <c r="N14" i="30" s="1"/>
  <c r="K43" i="25"/>
  <c r="N48" i="25"/>
  <c r="M48" i="20"/>
  <c r="L48" i="20"/>
  <c r="K48" i="20"/>
  <c r="N48" i="20" s="1"/>
  <c r="M47" i="20"/>
  <c r="L47" i="20"/>
  <c r="K47" i="20"/>
  <c r="N47" i="20" s="1"/>
  <c r="M46" i="20"/>
  <c r="L46" i="20"/>
  <c r="L45" i="20" s="1"/>
  <c r="K46" i="20"/>
  <c r="M45" i="20"/>
  <c r="M44" i="20"/>
  <c r="L44" i="20"/>
  <c r="K44" i="20"/>
  <c r="N44" i="20" s="1"/>
  <c r="M43" i="20"/>
  <c r="L43" i="20"/>
  <c r="K43" i="20"/>
  <c r="N43" i="20" s="1"/>
  <c r="M42" i="20"/>
  <c r="M7" i="24" s="1"/>
  <c r="L42" i="20"/>
  <c r="M41" i="20"/>
  <c r="L41" i="20"/>
  <c r="K41" i="20"/>
  <c r="M40" i="20"/>
  <c r="L40" i="20"/>
  <c r="K40" i="20"/>
  <c r="M39" i="20"/>
  <c r="N36" i="20"/>
  <c r="M14" i="20"/>
  <c r="L14" i="20"/>
  <c r="K14" i="20"/>
  <c r="N14" i="20" s="1"/>
  <c r="M11" i="20"/>
  <c r="L11" i="20"/>
  <c r="K11" i="20"/>
  <c r="N11" i="20" s="1"/>
  <c r="K45" i="2"/>
  <c r="I44" i="2"/>
  <c r="K44" i="2" s="1"/>
  <c r="J43" i="2"/>
  <c r="J42" i="2" s="1"/>
  <c r="I43" i="2"/>
  <c r="J41" i="2"/>
  <c r="I41" i="2"/>
  <c r="K40" i="2"/>
  <c r="J39" i="2"/>
  <c r="I39" i="2"/>
  <c r="K39" i="2" s="1"/>
  <c r="J38" i="2"/>
  <c r="I38" i="2"/>
  <c r="J37" i="2"/>
  <c r="I37" i="2"/>
  <c r="K33" i="2"/>
  <c r="J11" i="2"/>
  <c r="I11" i="2"/>
  <c r="K11" i="2" s="1"/>
  <c r="N19" i="2"/>
  <c r="N18" i="2"/>
  <c r="N17" i="2"/>
  <c r="N16" i="2"/>
  <c r="N15" i="2"/>
  <c r="K19" i="2"/>
  <c r="K18" i="2"/>
  <c r="K17" i="2"/>
  <c r="K16" i="2"/>
  <c r="K15" i="2"/>
  <c r="K45" i="5"/>
  <c r="K44" i="5"/>
  <c r="J43" i="5"/>
  <c r="J42" i="5" s="1"/>
  <c r="I43" i="5"/>
  <c r="I42" i="5" s="1"/>
  <c r="J41" i="5"/>
  <c r="I41" i="5"/>
  <c r="K40" i="5"/>
  <c r="J39" i="5"/>
  <c r="I39" i="5"/>
  <c r="J38" i="5"/>
  <c r="I38" i="5"/>
  <c r="J37" i="5"/>
  <c r="I37" i="5"/>
  <c r="K33" i="5"/>
  <c r="J11" i="5"/>
  <c r="I11" i="5"/>
  <c r="K11" i="5" s="1"/>
  <c r="K19" i="5"/>
  <c r="K18" i="5"/>
  <c r="K17" i="5"/>
  <c r="K16" i="5"/>
  <c r="K15" i="5"/>
  <c r="K45" i="7"/>
  <c r="K44" i="7"/>
  <c r="J43" i="7"/>
  <c r="J42" i="7" s="1"/>
  <c r="I43" i="7"/>
  <c r="J41" i="7"/>
  <c r="I41" i="7"/>
  <c r="K41" i="7" s="1"/>
  <c r="K40" i="7"/>
  <c r="J39" i="7"/>
  <c r="I39" i="7"/>
  <c r="J38" i="7"/>
  <c r="I38" i="7"/>
  <c r="K38" i="7" s="1"/>
  <c r="J37" i="7"/>
  <c r="I37" i="7"/>
  <c r="K33" i="7"/>
  <c r="J43" i="18"/>
  <c r="J42" i="18" s="1"/>
  <c r="I43" i="18"/>
  <c r="J39" i="18"/>
  <c r="J38" i="18"/>
  <c r="I38" i="18"/>
  <c r="J37" i="18"/>
  <c r="I37" i="18"/>
  <c r="K33" i="18"/>
  <c r="J9" i="18"/>
  <c r="K9" i="18" s="1"/>
  <c r="K19" i="18"/>
  <c r="K18" i="18"/>
  <c r="K17" i="18"/>
  <c r="I44" i="14"/>
  <c r="K44" i="14" s="1"/>
  <c r="J43" i="14"/>
  <c r="J42" i="14" s="1"/>
  <c r="I43" i="14"/>
  <c r="I41" i="14"/>
  <c r="K41" i="14" s="1"/>
  <c r="K40" i="14"/>
  <c r="J39" i="14"/>
  <c r="J38" i="14"/>
  <c r="I38" i="14"/>
  <c r="K38" i="14" s="1"/>
  <c r="J37" i="14"/>
  <c r="I37" i="14"/>
  <c r="K11" i="14"/>
  <c r="K33" i="14"/>
  <c r="K19" i="14"/>
  <c r="J11" i="8"/>
  <c r="I11" i="8"/>
  <c r="K11" i="8" s="1"/>
  <c r="J43" i="8"/>
  <c r="J42" i="8" s="1"/>
  <c r="I43" i="8"/>
  <c r="I42" i="8" s="1"/>
  <c r="I41" i="8"/>
  <c r="J39" i="8"/>
  <c r="J38" i="8"/>
  <c r="I38" i="8"/>
  <c r="J37" i="8"/>
  <c r="I37" i="8"/>
  <c r="K19" i="8"/>
  <c r="K18" i="8"/>
  <c r="K17" i="8"/>
  <c r="K16" i="8"/>
  <c r="K15" i="8"/>
  <c r="I45" i="37"/>
  <c r="J43" i="37"/>
  <c r="I43" i="37"/>
  <c r="I42" i="37" s="1"/>
  <c r="I41" i="37"/>
  <c r="J39" i="37"/>
  <c r="I39" i="37"/>
  <c r="J38" i="37"/>
  <c r="I38" i="37"/>
  <c r="J37" i="37"/>
  <c r="I37" i="37"/>
  <c r="J11" i="37"/>
  <c r="I11" i="37"/>
  <c r="K11" i="37" s="1"/>
  <c r="K19" i="37"/>
  <c r="K18" i="37"/>
  <c r="K17" i="37"/>
  <c r="K16" i="37"/>
  <c r="K15" i="37"/>
  <c r="K14" i="37"/>
  <c r="K13" i="37"/>
  <c r="K12" i="37"/>
  <c r="K19" i="12"/>
  <c r="K18" i="12"/>
  <c r="K17" i="12"/>
  <c r="K16" i="12"/>
  <c r="K15" i="12"/>
  <c r="K14" i="12"/>
  <c r="K13" i="12"/>
  <c r="K12" i="12"/>
  <c r="I65" i="3"/>
  <c r="I57" i="3" s="1"/>
  <c r="I56" i="3" s="1"/>
  <c r="J84" i="39"/>
  <c r="O11" i="24"/>
  <c r="N49" i="11" l="1"/>
  <c r="L15" i="11"/>
  <c r="N50" i="11"/>
  <c r="M15" i="24"/>
  <c r="N27" i="24"/>
  <c r="L26" i="24"/>
  <c r="L25" i="24" s="1"/>
  <c r="N33" i="24"/>
  <c r="K42" i="8"/>
  <c r="K43" i="18"/>
  <c r="L93" i="39" s="1"/>
  <c r="K41" i="5"/>
  <c r="N81" i="30"/>
  <c r="L30" i="11"/>
  <c r="L70" i="10"/>
  <c r="N8" i="11"/>
  <c r="L5" i="11"/>
  <c r="N7" i="11"/>
  <c r="N35" i="10"/>
  <c r="N12" i="11"/>
  <c r="L10" i="11"/>
  <c r="N43" i="11"/>
  <c r="K40" i="11"/>
  <c r="N32" i="10"/>
  <c r="N97" i="10"/>
  <c r="M14" i="11"/>
  <c r="M10" i="11" s="1"/>
  <c r="K37" i="11"/>
  <c r="N13" i="11"/>
  <c r="N58" i="10"/>
  <c r="L65" i="10"/>
  <c r="N103" i="10"/>
  <c r="L29" i="11"/>
  <c r="N57" i="11"/>
  <c r="M48" i="11"/>
  <c r="M47" i="11" s="1"/>
  <c r="L6" i="10"/>
  <c r="M27" i="10"/>
  <c r="M44" i="10"/>
  <c r="N85" i="10"/>
  <c r="L96" i="10"/>
  <c r="L95" i="10" s="1"/>
  <c r="N17" i="11"/>
  <c r="M18" i="11"/>
  <c r="N18" i="11" s="1"/>
  <c r="M37" i="11"/>
  <c r="M35" i="11" s="1"/>
  <c r="M44" i="11"/>
  <c r="M40" i="11" s="1"/>
  <c r="L55" i="11"/>
  <c r="L48" i="11" s="1"/>
  <c r="L47" i="11" s="1"/>
  <c r="K6" i="10"/>
  <c r="N7" i="10"/>
  <c r="K5" i="11"/>
  <c r="N6" i="11"/>
  <c r="K26" i="24"/>
  <c r="N29" i="24"/>
  <c r="N28" i="24"/>
  <c r="N31" i="24"/>
  <c r="N8" i="24"/>
  <c r="N42" i="20"/>
  <c r="N46" i="20"/>
  <c r="N41" i="20"/>
  <c r="L39" i="20"/>
  <c r="N40" i="20"/>
  <c r="K39" i="14"/>
  <c r="K37" i="7"/>
  <c r="K39" i="7"/>
  <c r="K43" i="7"/>
  <c r="L92" i="39" s="1"/>
  <c r="K37" i="14"/>
  <c r="K43" i="14"/>
  <c r="L94" i="39" s="1"/>
  <c r="J36" i="7"/>
  <c r="K39" i="5"/>
  <c r="K37" i="2"/>
  <c r="J36" i="2"/>
  <c r="K38" i="2"/>
  <c r="I42" i="2"/>
  <c r="K42" i="2" s="1"/>
  <c r="K41" i="2"/>
  <c r="I42" i="14"/>
  <c r="K42" i="14" s="1"/>
  <c r="I42" i="18"/>
  <c r="K42" i="18" s="1"/>
  <c r="I42" i="7"/>
  <c r="K42" i="7" s="1"/>
  <c r="I36" i="7"/>
  <c r="K36" i="7" s="1"/>
  <c r="I36" i="5"/>
  <c r="K38" i="5"/>
  <c r="K37" i="5"/>
  <c r="K43" i="2"/>
  <c r="L90" i="39" s="1"/>
  <c r="I36" i="2"/>
  <c r="K36" i="2" s="1"/>
  <c r="K15" i="11"/>
  <c r="N15" i="11" s="1"/>
  <c r="N19" i="11"/>
  <c r="K32" i="24"/>
  <c r="K96" i="10"/>
  <c r="K95" i="10" s="1"/>
  <c r="N81" i="10"/>
  <c r="N72" i="10"/>
  <c r="N70" i="10"/>
  <c r="K78" i="10"/>
  <c r="N78" i="10" s="1"/>
  <c r="L44" i="10"/>
  <c r="N49" i="10"/>
  <c r="N29" i="10"/>
  <c r="M19" i="10"/>
  <c r="K44" i="10"/>
  <c r="N46" i="10"/>
  <c r="K27" i="10"/>
  <c r="K39" i="20"/>
  <c r="K45" i="20"/>
  <c r="N45" i="20" s="1"/>
  <c r="K42" i="5"/>
  <c r="J36" i="5"/>
  <c r="J34" i="5" s="1"/>
  <c r="K43" i="5"/>
  <c r="L91" i="39" s="1"/>
  <c r="L6" i="18"/>
  <c r="K10" i="11" l="1"/>
  <c r="N96" i="10"/>
  <c r="L5" i="10"/>
  <c r="L94" i="10" s="1"/>
  <c r="N37" i="11"/>
  <c r="K35" i="11"/>
  <c r="M6" i="10"/>
  <c r="M5" i="10" s="1"/>
  <c r="M9" i="11"/>
  <c r="N14" i="11"/>
  <c r="N44" i="11"/>
  <c r="N40" i="11"/>
  <c r="N29" i="11"/>
  <c r="L27" i="11"/>
  <c r="N44" i="10"/>
  <c r="M30" i="11"/>
  <c r="L111" i="10"/>
  <c r="N10" i="11"/>
  <c r="K4" i="11"/>
  <c r="N32" i="24"/>
  <c r="K25" i="24"/>
  <c r="N95" i="10"/>
  <c r="K65" i="10"/>
  <c r="N27" i="10"/>
  <c r="K5" i="10"/>
  <c r="N5" i="10" s="1"/>
  <c r="N19" i="10"/>
  <c r="N39" i="20"/>
  <c r="K36" i="5"/>
  <c r="N6" i="10" l="1"/>
  <c r="M5" i="11"/>
  <c r="N9" i="11"/>
  <c r="N35" i="11"/>
  <c r="K30" i="11"/>
  <c r="N30" i="11" s="1"/>
  <c r="N27" i="11"/>
  <c r="L4" i="11"/>
  <c r="M111" i="10"/>
  <c r="M94" i="10"/>
  <c r="K111" i="10"/>
  <c r="N111" i="10" s="1"/>
  <c r="K46" i="11"/>
  <c r="N65" i="10"/>
  <c r="K94" i="10"/>
  <c r="N94" i="10" s="1"/>
  <c r="M4" i="11" l="1"/>
  <c r="N5" i="11"/>
  <c r="L46" i="11"/>
  <c r="L61" i="11"/>
  <c r="C12" i="31"/>
  <c r="D37" i="31"/>
  <c r="C17" i="31"/>
  <c r="M46" i="11" l="1"/>
  <c r="N46" i="11" s="1"/>
  <c r="M61" i="11"/>
  <c r="N4" i="11"/>
  <c r="D36" i="31"/>
  <c r="D33" i="31"/>
  <c r="D26" i="31"/>
  <c r="D20" i="31"/>
  <c r="D19" i="31" s="1"/>
  <c r="C16" i="31"/>
  <c r="C15" i="31" s="1"/>
  <c r="C7" i="31"/>
  <c r="C6" i="31" s="1"/>
  <c r="C5" i="31" s="1"/>
  <c r="C14" i="31" s="1"/>
  <c r="D31" i="35"/>
  <c r="D30" i="35" s="1"/>
  <c r="D24" i="35"/>
  <c r="C20" i="35"/>
  <c r="C19" i="35" s="1"/>
  <c r="C13" i="35"/>
  <c r="C10" i="35"/>
  <c r="C6" i="35"/>
  <c r="C5" i="35" l="1"/>
  <c r="C18" i="35" s="1"/>
  <c r="C3" i="35" s="1"/>
  <c r="D29" i="35" s="1"/>
  <c r="C3" i="31"/>
  <c r="D25" i="31"/>
  <c r="D39" i="31" s="1"/>
  <c r="D3" i="31" s="1"/>
  <c r="P30" i="3" l="1"/>
  <c r="P28" i="3"/>
  <c r="L65" i="3" l="1"/>
  <c r="L58" i="3"/>
  <c r="L57" i="3" l="1"/>
  <c r="L56" i="3" s="1"/>
  <c r="O20" i="30"/>
  <c r="O27" i="30"/>
  <c r="K27" i="30"/>
  <c r="P81" i="10"/>
  <c r="O72" i="10"/>
  <c r="O29" i="11"/>
  <c r="N17" i="21"/>
  <c r="K204" i="3"/>
  <c r="K166" i="3"/>
  <c r="N25" i="30" s="1"/>
  <c r="K147" i="3"/>
  <c r="K126" i="3"/>
  <c r="K100" i="3"/>
  <c r="K77" i="3"/>
  <c r="K52" i="3"/>
  <c r="K36" i="3"/>
  <c r="K20" i="3"/>
  <c r="O42" i="30"/>
  <c r="N41" i="30" l="1"/>
  <c r="O5" i="30"/>
  <c r="O4" i="30" s="1"/>
  <c r="P19" i="10" l="1"/>
  <c r="O19" i="10"/>
  <c r="R25" i="10"/>
  <c r="O28" i="23" l="1"/>
  <c r="T49" i="25"/>
  <c r="N191" i="25"/>
  <c r="P29" i="23" l="1"/>
  <c r="N217" i="25"/>
  <c r="N143" i="25"/>
  <c r="L44" i="12" l="1"/>
  <c r="N166" i="3"/>
  <c r="N204" i="3"/>
  <c r="O44" i="20"/>
  <c r="O42" i="20" l="1"/>
  <c r="O46" i="20"/>
  <c r="R17" i="21"/>
  <c r="L39" i="14"/>
  <c r="M39" i="14"/>
  <c r="N100" i="3"/>
  <c r="L43" i="8"/>
  <c r="L42" i="8" s="1"/>
  <c r="N121" i="3"/>
  <c r="R38" i="30" s="1"/>
  <c r="L44" i="18"/>
  <c r="L43" i="18"/>
  <c r="L41" i="18"/>
  <c r="N77" i="3"/>
  <c r="L43" i="7"/>
  <c r="L42" i="7" s="1"/>
  <c r="N52" i="3"/>
  <c r="L38" i="7"/>
  <c r="N147" i="3"/>
  <c r="N126" i="3"/>
  <c r="N36" i="3"/>
  <c r="N20" i="3"/>
  <c r="L39" i="2"/>
  <c r="R60" i="11"/>
  <c r="R59" i="11"/>
  <c r="Q58" i="11"/>
  <c r="P58" i="11"/>
  <c r="O58" i="11"/>
  <c r="Q57" i="11"/>
  <c r="P57" i="11"/>
  <c r="O57" i="11"/>
  <c r="R56" i="11"/>
  <c r="O54" i="11"/>
  <c r="R54" i="11" s="1"/>
  <c r="F23" i="16" s="1"/>
  <c r="R53" i="11"/>
  <c r="R52" i="11"/>
  <c r="R51" i="11"/>
  <c r="Q50" i="11"/>
  <c r="Q49" i="11" s="1"/>
  <c r="P50" i="11"/>
  <c r="P49" i="11" s="1"/>
  <c r="O50" i="11"/>
  <c r="O49" i="11" s="1"/>
  <c r="P44" i="11"/>
  <c r="Q42" i="11"/>
  <c r="P42" i="11"/>
  <c r="O42" i="11"/>
  <c r="Q41" i="11"/>
  <c r="P41" i="11"/>
  <c r="O41" i="11"/>
  <c r="Q39" i="11"/>
  <c r="P39" i="11"/>
  <c r="O39" i="11"/>
  <c r="Q38" i="11"/>
  <c r="P38" i="11"/>
  <c r="O38" i="11"/>
  <c r="Q36" i="11"/>
  <c r="P36" i="11"/>
  <c r="O36" i="11"/>
  <c r="Q34" i="11"/>
  <c r="P34" i="11"/>
  <c r="Q33" i="11"/>
  <c r="P33" i="11"/>
  <c r="O33" i="11"/>
  <c r="Q32" i="11"/>
  <c r="P32" i="11"/>
  <c r="O32" i="11"/>
  <c r="Q29" i="11"/>
  <c r="Q28" i="11"/>
  <c r="P28" i="11"/>
  <c r="O28" i="11"/>
  <c r="O26" i="11"/>
  <c r="O24" i="11"/>
  <c r="O19" i="11"/>
  <c r="Q17" i="11"/>
  <c r="P17" i="11"/>
  <c r="O17" i="11"/>
  <c r="Q16" i="11"/>
  <c r="P16" i="11"/>
  <c r="O16" i="11"/>
  <c r="Q8" i="11"/>
  <c r="P8" i="11"/>
  <c r="O8" i="11"/>
  <c r="Q7" i="11"/>
  <c r="P7" i="11"/>
  <c r="Q34" i="24"/>
  <c r="P34" i="24"/>
  <c r="O34" i="24"/>
  <c r="Q33" i="24"/>
  <c r="P33" i="24"/>
  <c r="O33" i="24"/>
  <c r="Q31" i="24"/>
  <c r="P31" i="24"/>
  <c r="O31" i="24"/>
  <c r="P30" i="24"/>
  <c r="O30" i="24"/>
  <c r="P29" i="24"/>
  <c r="O29" i="24"/>
  <c r="Q28" i="24"/>
  <c r="P28" i="24"/>
  <c r="O28" i="24"/>
  <c r="Q27" i="24"/>
  <c r="P27" i="24"/>
  <c r="R23" i="24"/>
  <c r="R22" i="24"/>
  <c r="R21" i="24"/>
  <c r="R20" i="24"/>
  <c r="R19" i="24"/>
  <c r="R11" i="24"/>
  <c r="R94" i="30"/>
  <c r="R95" i="30"/>
  <c r="R93" i="30"/>
  <c r="R110" i="10"/>
  <c r="R109" i="10"/>
  <c r="Q108" i="10"/>
  <c r="P108" i="10"/>
  <c r="O108" i="10"/>
  <c r="R106" i="10"/>
  <c r="O103" i="10"/>
  <c r="R104" i="10"/>
  <c r="Q103" i="10"/>
  <c r="Q55" i="11" s="1"/>
  <c r="P103" i="10"/>
  <c r="R102" i="10"/>
  <c r="R101" i="10"/>
  <c r="R100" i="10"/>
  <c r="R99" i="10"/>
  <c r="R98" i="10"/>
  <c r="Q97" i="10"/>
  <c r="Q96" i="10" s="1"/>
  <c r="P97" i="10"/>
  <c r="O97" i="10"/>
  <c r="R91" i="10"/>
  <c r="R90" i="10"/>
  <c r="R89" i="10"/>
  <c r="R88" i="10"/>
  <c r="R87" i="10"/>
  <c r="R86" i="10"/>
  <c r="Q85" i="10"/>
  <c r="O85" i="10"/>
  <c r="R84" i="10"/>
  <c r="R83" i="10"/>
  <c r="R82" i="10"/>
  <c r="Q81" i="10"/>
  <c r="Q43" i="11" s="1"/>
  <c r="P43" i="11"/>
  <c r="O81" i="10"/>
  <c r="R80" i="10"/>
  <c r="R79" i="10"/>
  <c r="R77" i="10"/>
  <c r="R76" i="10"/>
  <c r="R75" i="10"/>
  <c r="R74" i="10"/>
  <c r="R73" i="10"/>
  <c r="Q72" i="10"/>
  <c r="P72" i="10"/>
  <c r="P37" i="11" s="1"/>
  <c r="O37" i="11"/>
  <c r="R71" i="10"/>
  <c r="Q70" i="10"/>
  <c r="R34" i="11"/>
  <c r="R68" i="10"/>
  <c r="R67" i="10"/>
  <c r="Q66" i="10"/>
  <c r="P66" i="10"/>
  <c r="R63" i="10"/>
  <c r="R62" i="10"/>
  <c r="R61" i="10"/>
  <c r="P60" i="10"/>
  <c r="P29" i="11" s="1"/>
  <c r="R59" i="10"/>
  <c r="Q58" i="10"/>
  <c r="O58" i="10"/>
  <c r="R57" i="10"/>
  <c r="R56" i="10"/>
  <c r="R55" i="10"/>
  <c r="Q54" i="10"/>
  <c r="P54" i="10"/>
  <c r="O54" i="10"/>
  <c r="R53" i="10"/>
  <c r="R52" i="10"/>
  <c r="R51" i="10"/>
  <c r="R50" i="10"/>
  <c r="Q49" i="10"/>
  <c r="P49" i="10"/>
  <c r="O49" i="10"/>
  <c r="R48" i="10"/>
  <c r="R47" i="10"/>
  <c r="Q46" i="10"/>
  <c r="P46" i="10"/>
  <c r="O46" i="10"/>
  <c r="R45" i="10"/>
  <c r="R43" i="10"/>
  <c r="R42" i="10"/>
  <c r="R41" i="10"/>
  <c r="R40" i="10"/>
  <c r="Q39" i="10"/>
  <c r="P39" i="10"/>
  <c r="O39" i="10"/>
  <c r="R38" i="10"/>
  <c r="R37" i="10"/>
  <c r="R36" i="10"/>
  <c r="Q35" i="10"/>
  <c r="P35" i="10"/>
  <c r="O34" i="10"/>
  <c r="R33" i="10"/>
  <c r="Q32" i="10"/>
  <c r="P32" i="10"/>
  <c r="R30" i="10"/>
  <c r="Q29" i="10"/>
  <c r="P29" i="10"/>
  <c r="R26" i="10"/>
  <c r="R24" i="10"/>
  <c r="R23" i="10"/>
  <c r="R22" i="10"/>
  <c r="Q21" i="10"/>
  <c r="R21" i="10" s="1"/>
  <c r="R20" i="10"/>
  <c r="R18" i="10"/>
  <c r="R16" i="10"/>
  <c r="R15" i="10"/>
  <c r="R14" i="10"/>
  <c r="R13" i="10"/>
  <c r="R12" i="10"/>
  <c r="R10" i="10"/>
  <c r="R9" i="10"/>
  <c r="R8" i="10"/>
  <c r="Q7" i="10"/>
  <c r="P7" i="10"/>
  <c r="O7" i="10"/>
  <c r="Q48" i="20"/>
  <c r="P48" i="20"/>
  <c r="O48" i="20"/>
  <c r="Q47" i="20"/>
  <c r="P47" i="20"/>
  <c r="O47" i="20"/>
  <c r="Q46" i="20"/>
  <c r="Q16" i="24" s="1"/>
  <c r="P46" i="20"/>
  <c r="Q44" i="20"/>
  <c r="P44" i="20"/>
  <c r="Q43" i="20"/>
  <c r="Q8" i="24" s="1"/>
  <c r="P43" i="20"/>
  <c r="O43" i="20"/>
  <c r="Q41" i="20"/>
  <c r="Q6" i="24" s="1"/>
  <c r="Q40" i="20"/>
  <c r="R36" i="20"/>
  <c r="R32" i="20"/>
  <c r="R31" i="20"/>
  <c r="Q31" i="20"/>
  <c r="P31" i="20"/>
  <c r="O31" i="20"/>
  <c r="R30" i="20"/>
  <c r="R29" i="20"/>
  <c r="Q28" i="20"/>
  <c r="P28" i="20"/>
  <c r="O28" i="20"/>
  <c r="R27" i="20"/>
  <c r="Q26" i="20"/>
  <c r="Q25" i="20" s="1"/>
  <c r="P26" i="20"/>
  <c r="O26" i="20"/>
  <c r="R24" i="20"/>
  <c r="Q23" i="20"/>
  <c r="P23" i="20"/>
  <c r="O23" i="20"/>
  <c r="Q22" i="20"/>
  <c r="Q26" i="11" s="1"/>
  <c r="P22" i="20"/>
  <c r="R22" i="20" s="1"/>
  <c r="Q21" i="20"/>
  <c r="Q25" i="11" s="1"/>
  <c r="P21" i="20"/>
  <c r="R21" i="20" s="1"/>
  <c r="O25" i="11"/>
  <c r="Q20" i="20"/>
  <c r="Q24" i="11" s="1"/>
  <c r="P20" i="20"/>
  <c r="R19" i="20"/>
  <c r="R18" i="20"/>
  <c r="Q18" i="20"/>
  <c r="Q22" i="11" s="1"/>
  <c r="P18" i="20"/>
  <c r="O22" i="11"/>
  <c r="R17" i="20"/>
  <c r="Q17" i="20"/>
  <c r="P17" i="20"/>
  <c r="R16" i="20"/>
  <c r="Q15" i="20"/>
  <c r="Q19" i="11" s="1"/>
  <c r="P15" i="20"/>
  <c r="O15" i="20"/>
  <c r="O14" i="20"/>
  <c r="R13" i="20"/>
  <c r="R12" i="20"/>
  <c r="Q11" i="20"/>
  <c r="P11" i="20"/>
  <c r="O11" i="20"/>
  <c r="R10" i="20"/>
  <c r="Q9" i="20"/>
  <c r="P9" i="20"/>
  <c r="O9" i="20"/>
  <c r="R9" i="20" s="1"/>
  <c r="R7" i="20"/>
  <c r="R6" i="20"/>
  <c r="R34" i="21"/>
  <c r="R91" i="30" s="1"/>
  <c r="R89" i="30" s="1"/>
  <c r="R32" i="21"/>
  <c r="P42" i="20"/>
  <c r="R12" i="21"/>
  <c r="R12" i="30" s="1"/>
  <c r="O41" i="20"/>
  <c r="O6" i="21"/>
  <c r="O5" i="21" s="1"/>
  <c r="O4" i="21" s="1"/>
  <c r="Q37" i="23"/>
  <c r="Q29" i="24" s="1"/>
  <c r="O34" i="23"/>
  <c r="O33" i="23" s="1"/>
  <c r="O27" i="24" s="1"/>
  <c r="R18" i="23"/>
  <c r="O13" i="23"/>
  <c r="O9" i="23"/>
  <c r="R43" i="23"/>
  <c r="R42" i="23"/>
  <c r="Q41" i="23"/>
  <c r="P41" i="23"/>
  <c r="O41" i="23"/>
  <c r="R40" i="23"/>
  <c r="R39" i="23"/>
  <c r="R36" i="23"/>
  <c r="R35" i="23"/>
  <c r="P32" i="23"/>
  <c r="R28" i="23"/>
  <c r="R27" i="23"/>
  <c r="R26" i="23"/>
  <c r="R25" i="23"/>
  <c r="Q24" i="23"/>
  <c r="P24" i="23"/>
  <c r="Q21" i="23"/>
  <c r="Q20" i="23"/>
  <c r="P20" i="23"/>
  <c r="P17" i="23" s="1"/>
  <c r="Q19" i="23"/>
  <c r="O15" i="23"/>
  <c r="R14" i="23"/>
  <c r="R6" i="23"/>
  <c r="R5" i="23"/>
  <c r="N220" i="25"/>
  <c r="R85" i="30" s="1"/>
  <c r="N213" i="25"/>
  <c r="N209" i="25"/>
  <c r="N207" i="25"/>
  <c r="N203" i="25"/>
  <c r="N199" i="25"/>
  <c r="N195" i="25"/>
  <c r="R86" i="30" s="1"/>
  <c r="R87" i="30"/>
  <c r="N187" i="25"/>
  <c r="R82" i="30" s="1"/>
  <c r="N183" i="25"/>
  <c r="R77" i="30" s="1"/>
  <c r="N181" i="25"/>
  <c r="R83" i="30" s="1"/>
  <c r="R79" i="30"/>
  <c r="N170" i="25"/>
  <c r="R78" i="30" s="1"/>
  <c r="N150" i="25"/>
  <c r="R72" i="30" s="1"/>
  <c r="N148" i="25"/>
  <c r="R71" i="30" s="1"/>
  <c r="P16" i="23"/>
  <c r="R69" i="30"/>
  <c r="N141" i="25"/>
  <c r="R68" i="30" s="1"/>
  <c r="N138" i="25"/>
  <c r="R67" i="30" s="1"/>
  <c r="N135" i="25"/>
  <c r="R66" i="30" s="1"/>
  <c r="N132" i="25"/>
  <c r="R65" i="30" s="1"/>
  <c r="N130" i="25"/>
  <c r="R64" i="30" s="1"/>
  <c r="N128" i="25"/>
  <c r="R63" i="30" s="1"/>
  <c r="N126" i="25"/>
  <c r="R62" i="30" s="1"/>
  <c r="N124" i="25"/>
  <c r="R61" i="30" s="1"/>
  <c r="N122" i="25"/>
  <c r="R60" i="30" s="1"/>
  <c r="N113" i="25"/>
  <c r="R57" i="30" s="1"/>
  <c r="N108" i="25"/>
  <c r="R56" i="30" s="1"/>
  <c r="N104" i="25"/>
  <c r="R55" i="30" s="1"/>
  <c r="N102" i="25"/>
  <c r="R54" i="30" s="1"/>
  <c r="N100" i="25"/>
  <c r="R53" i="30" s="1"/>
  <c r="N98" i="25"/>
  <c r="R52" i="30" s="1"/>
  <c r="N96" i="25"/>
  <c r="R51" i="30" s="1"/>
  <c r="N94" i="25"/>
  <c r="R50" i="30" s="1"/>
  <c r="N92" i="25"/>
  <c r="R49" i="30" s="1"/>
  <c r="N90" i="25"/>
  <c r="R48" i="30" s="1"/>
  <c r="N88" i="25"/>
  <c r="R47" i="30" s="1"/>
  <c r="N84" i="25"/>
  <c r="R46" i="30" s="1"/>
  <c r="N80" i="25"/>
  <c r="R45" i="30" s="1"/>
  <c r="N77" i="25"/>
  <c r="R44" i="30" s="1"/>
  <c r="N74" i="25"/>
  <c r="R43" i="30" s="1"/>
  <c r="N65" i="25"/>
  <c r="R21" i="30" s="1"/>
  <c r="N239" i="25"/>
  <c r="N57" i="25"/>
  <c r="O8" i="23"/>
  <c r="N34" i="25"/>
  <c r="R14" i="30" s="1"/>
  <c r="N30" i="25"/>
  <c r="N28" i="25"/>
  <c r="R11" i="30" s="1"/>
  <c r="N26" i="25"/>
  <c r="R10" i="30" s="1"/>
  <c r="N16" i="25"/>
  <c r="R8" i="30" s="1"/>
  <c r="N13" i="25"/>
  <c r="R7" i="30" s="1"/>
  <c r="N243" i="25"/>
  <c r="L45" i="37"/>
  <c r="N44" i="37"/>
  <c r="M43" i="37"/>
  <c r="M42" i="37" s="1"/>
  <c r="L41" i="37"/>
  <c r="N41" i="37" s="1"/>
  <c r="N40" i="37"/>
  <c r="M39" i="37"/>
  <c r="M38" i="37"/>
  <c r="M37" i="37"/>
  <c r="N33" i="37"/>
  <c r="N29" i="37"/>
  <c r="M28" i="37"/>
  <c r="L28" i="37"/>
  <c r="N28" i="37" s="1"/>
  <c r="N27" i="37"/>
  <c r="N26" i="37"/>
  <c r="M25" i="37"/>
  <c r="L25" i="37"/>
  <c r="N25" i="37" s="1"/>
  <c r="N24" i="37"/>
  <c r="M23" i="37"/>
  <c r="L23" i="37"/>
  <c r="N23" i="37" s="1"/>
  <c r="L22" i="37"/>
  <c r="N21" i="37"/>
  <c r="M20" i="37"/>
  <c r="L20" i="37"/>
  <c r="N20" i="37" s="1"/>
  <c r="N19" i="37"/>
  <c r="N18" i="37"/>
  <c r="N17" i="37"/>
  <c r="N16" i="37"/>
  <c r="N15" i="37"/>
  <c r="N14" i="37"/>
  <c r="N13" i="37"/>
  <c r="N12" i="37"/>
  <c r="M11" i="37"/>
  <c r="L11" i="37"/>
  <c r="N11" i="37" s="1"/>
  <c r="N10" i="37"/>
  <c r="N9" i="37"/>
  <c r="M9" i="37"/>
  <c r="L9" i="37"/>
  <c r="M8" i="37"/>
  <c r="N7" i="37"/>
  <c r="N6" i="37"/>
  <c r="N45" i="2"/>
  <c r="L44" i="2"/>
  <c r="M43" i="2"/>
  <c r="M41" i="2"/>
  <c r="L41" i="2"/>
  <c r="N40" i="2"/>
  <c r="M39" i="2"/>
  <c r="M38" i="2"/>
  <c r="L38" i="2"/>
  <c r="M37" i="2"/>
  <c r="L37" i="2"/>
  <c r="N33" i="2"/>
  <c r="N29" i="2"/>
  <c r="M28" i="2"/>
  <c r="L28" i="2"/>
  <c r="N27" i="2"/>
  <c r="N26" i="2"/>
  <c r="M25" i="2"/>
  <c r="N25" i="2" s="1"/>
  <c r="L25" i="2"/>
  <c r="N24" i="2"/>
  <c r="M23" i="2"/>
  <c r="M22" i="2" s="1"/>
  <c r="L23" i="2"/>
  <c r="N21" i="2"/>
  <c r="M20" i="2"/>
  <c r="N20" i="2" s="1"/>
  <c r="L20" i="2"/>
  <c r="N14" i="2"/>
  <c r="N13" i="2"/>
  <c r="N12" i="2"/>
  <c r="M11" i="2"/>
  <c r="L11" i="2"/>
  <c r="N10" i="2"/>
  <c r="M9" i="2"/>
  <c r="L9" i="2"/>
  <c r="N7" i="2"/>
  <c r="N6" i="2"/>
  <c r="N45" i="5"/>
  <c r="N44" i="5"/>
  <c r="M43" i="5"/>
  <c r="M42" i="5" s="1"/>
  <c r="M41" i="5"/>
  <c r="L41" i="5"/>
  <c r="N40" i="5"/>
  <c r="M39" i="5"/>
  <c r="M38" i="5"/>
  <c r="M37" i="5"/>
  <c r="N33" i="5"/>
  <c r="N29" i="5"/>
  <c r="M28" i="5"/>
  <c r="L28" i="5"/>
  <c r="N28" i="5" s="1"/>
  <c r="N27" i="5"/>
  <c r="N26" i="5"/>
  <c r="M25" i="5"/>
  <c r="L25" i="5"/>
  <c r="N25" i="5" s="1"/>
  <c r="N24" i="5"/>
  <c r="M23" i="5"/>
  <c r="M22" i="5" s="1"/>
  <c r="L23" i="5"/>
  <c r="L22" i="5"/>
  <c r="N21" i="5"/>
  <c r="M20" i="5"/>
  <c r="M8" i="5" s="1"/>
  <c r="L20" i="5"/>
  <c r="N19" i="5"/>
  <c r="N18" i="5"/>
  <c r="N17" i="5"/>
  <c r="N16" i="5"/>
  <c r="N15" i="5"/>
  <c r="N14" i="5"/>
  <c r="N13" i="5"/>
  <c r="N12" i="5"/>
  <c r="M11" i="5"/>
  <c r="L11" i="5"/>
  <c r="N11" i="5" s="1"/>
  <c r="N10" i="5"/>
  <c r="M9" i="5"/>
  <c r="L9" i="5"/>
  <c r="N9" i="5" s="1"/>
  <c r="N7" i="5"/>
  <c r="N6" i="5"/>
  <c r="N45" i="7"/>
  <c r="N44" i="7"/>
  <c r="M43" i="7"/>
  <c r="M41" i="7"/>
  <c r="L41" i="7"/>
  <c r="N40" i="7"/>
  <c r="M39" i="7"/>
  <c r="M38" i="7"/>
  <c r="M37" i="7"/>
  <c r="N33" i="7"/>
  <c r="N29" i="7"/>
  <c r="M28" i="7"/>
  <c r="L28" i="7"/>
  <c r="N28" i="7" s="1"/>
  <c r="N27" i="7"/>
  <c r="N26" i="7"/>
  <c r="M25" i="7"/>
  <c r="L25" i="7"/>
  <c r="N24" i="7"/>
  <c r="M23" i="7"/>
  <c r="L23" i="7"/>
  <c r="N21" i="7"/>
  <c r="M20" i="7"/>
  <c r="L20" i="7"/>
  <c r="N20" i="7" s="1"/>
  <c r="N19" i="7"/>
  <c r="N18" i="7"/>
  <c r="N17" i="7"/>
  <c r="N16" i="7"/>
  <c r="N15" i="7"/>
  <c r="N14" i="7"/>
  <c r="N13" i="7"/>
  <c r="N12" i="7"/>
  <c r="M11" i="7"/>
  <c r="L11" i="7"/>
  <c r="N11" i="7" s="1"/>
  <c r="N10" i="7"/>
  <c r="M9" i="7"/>
  <c r="L9" i="7"/>
  <c r="N9" i="7" s="1"/>
  <c r="N7" i="7"/>
  <c r="N45" i="18"/>
  <c r="M43" i="18"/>
  <c r="M42" i="18" s="1"/>
  <c r="N40" i="18"/>
  <c r="M39" i="18"/>
  <c r="M38" i="18"/>
  <c r="M37" i="18"/>
  <c r="N33" i="18"/>
  <c r="N29" i="18"/>
  <c r="M28" i="18"/>
  <c r="L28" i="18"/>
  <c r="N28" i="18" s="1"/>
  <c r="N27" i="18"/>
  <c r="N26" i="18"/>
  <c r="M25" i="18"/>
  <c r="N25" i="18" s="1"/>
  <c r="L25" i="18"/>
  <c r="N24" i="18"/>
  <c r="M23" i="18"/>
  <c r="N23" i="18" s="1"/>
  <c r="L23" i="18"/>
  <c r="M22" i="18"/>
  <c r="L22" i="18"/>
  <c r="N21" i="18"/>
  <c r="M20" i="18"/>
  <c r="L20" i="18"/>
  <c r="N20" i="18" s="1"/>
  <c r="N19" i="18"/>
  <c r="N18" i="18"/>
  <c r="N17" i="18"/>
  <c r="N16" i="18"/>
  <c r="N15" i="18"/>
  <c r="N14" i="18"/>
  <c r="N13" i="18"/>
  <c r="N12" i="18"/>
  <c r="M11" i="18"/>
  <c r="L11" i="18"/>
  <c r="N11" i="18" s="1"/>
  <c r="N10" i="18"/>
  <c r="M9" i="18"/>
  <c r="M8" i="18" s="1"/>
  <c r="L9" i="18"/>
  <c r="N7" i="18"/>
  <c r="N6" i="18"/>
  <c r="N45" i="14"/>
  <c r="L44" i="14"/>
  <c r="N44" i="14" s="1"/>
  <c r="M43" i="14"/>
  <c r="M42" i="14" s="1"/>
  <c r="L41" i="14"/>
  <c r="N41" i="14" s="1"/>
  <c r="N40" i="14"/>
  <c r="N33" i="14"/>
  <c r="N29" i="14"/>
  <c r="M28" i="14"/>
  <c r="L28" i="14"/>
  <c r="N28" i="14" s="1"/>
  <c r="N27" i="14"/>
  <c r="N26" i="14"/>
  <c r="M25" i="14"/>
  <c r="L25" i="14"/>
  <c r="N25" i="14" s="1"/>
  <c r="N24" i="14"/>
  <c r="M23" i="14"/>
  <c r="M22" i="14" s="1"/>
  <c r="L23" i="14"/>
  <c r="N21" i="14"/>
  <c r="M20" i="14"/>
  <c r="L20" i="14"/>
  <c r="N19" i="14"/>
  <c r="N18" i="14"/>
  <c r="N17" i="14"/>
  <c r="N16" i="14"/>
  <c r="N15" i="14"/>
  <c r="N14" i="14"/>
  <c r="N13" i="14"/>
  <c r="N12" i="14"/>
  <c r="N11" i="14"/>
  <c r="M11" i="14"/>
  <c r="L11" i="14"/>
  <c r="N10" i="14"/>
  <c r="N9" i="14"/>
  <c r="M9" i="14"/>
  <c r="M8" i="14" s="1"/>
  <c r="L9" i="14"/>
  <c r="N7" i="14"/>
  <c r="N6" i="14"/>
  <c r="N45" i="8"/>
  <c r="N44" i="8"/>
  <c r="M43" i="8"/>
  <c r="L41" i="8"/>
  <c r="N41" i="8" s="1"/>
  <c r="N40" i="8"/>
  <c r="M39" i="8"/>
  <c r="M38" i="8"/>
  <c r="M37" i="8"/>
  <c r="N33" i="8"/>
  <c r="N29" i="8"/>
  <c r="M28" i="8"/>
  <c r="L28" i="8"/>
  <c r="N28" i="8" s="1"/>
  <c r="N27" i="8"/>
  <c r="N26" i="8"/>
  <c r="M25" i="8"/>
  <c r="L25" i="8"/>
  <c r="N25" i="8" s="1"/>
  <c r="N24" i="8"/>
  <c r="M23" i="8"/>
  <c r="M22" i="8" s="1"/>
  <c r="L23" i="8"/>
  <c r="N21" i="8"/>
  <c r="M20" i="8"/>
  <c r="L20" i="8"/>
  <c r="N20" i="8" s="1"/>
  <c r="N19" i="8"/>
  <c r="N18" i="8"/>
  <c r="N17" i="8"/>
  <c r="N16" i="8"/>
  <c r="N15" i="8"/>
  <c r="N14" i="8"/>
  <c r="N13" i="8"/>
  <c r="N12" i="8"/>
  <c r="M11" i="8"/>
  <c r="N10" i="8"/>
  <c r="M9" i="8"/>
  <c r="L9" i="8"/>
  <c r="N9" i="8" s="1"/>
  <c r="N7" i="8"/>
  <c r="N45" i="12"/>
  <c r="M42" i="12"/>
  <c r="N40" i="12"/>
  <c r="M36" i="12"/>
  <c r="N33" i="12"/>
  <c r="N29" i="12"/>
  <c r="M28" i="12"/>
  <c r="L28" i="12"/>
  <c r="N27" i="12"/>
  <c r="N26" i="12"/>
  <c r="M25" i="12"/>
  <c r="N25" i="12" s="1"/>
  <c r="L25" i="12"/>
  <c r="N24" i="12"/>
  <c r="M23" i="12"/>
  <c r="L23" i="12"/>
  <c r="L22" i="12" s="1"/>
  <c r="N21" i="12"/>
  <c r="M20" i="12"/>
  <c r="L20" i="12"/>
  <c r="N20" i="12" s="1"/>
  <c r="N19" i="12"/>
  <c r="N18" i="12"/>
  <c r="P25" i="11" s="1"/>
  <c r="N17" i="12"/>
  <c r="N16" i="12"/>
  <c r="N15" i="12"/>
  <c r="N14" i="12"/>
  <c r="N13" i="12"/>
  <c r="N12" i="12"/>
  <c r="P19" i="11" s="1"/>
  <c r="M11" i="12"/>
  <c r="L11" i="12"/>
  <c r="N11" i="12" s="1"/>
  <c r="N10" i="12"/>
  <c r="M9" i="12"/>
  <c r="M8" i="12" s="1"/>
  <c r="L9" i="12"/>
  <c r="N7" i="12"/>
  <c r="L43" i="12"/>
  <c r="N43" i="12" s="1"/>
  <c r="L41" i="12"/>
  <c r="N41" i="12" s="1"/>
  <c r="N183" i="3"/>
  <c r="N170" i="3"/>
  <c r="R26" i="30" s="1"/>
  <c r="N163" i="3"/>
  <c r="R24" i="30" s="1"/>
  <c r="N157" i="3"/>
  <c r="L151" i="3"/>
  <c r="L150" i="3" s="1"/>
  <c r="L6" i="12" s="1"/>
  <c r="N6" i="12" s="1"/>
  <c r="N142" i="3"/>
  <c r="R40" i="30" s="1"/>
  <c r="L43" i="37"/>
  <c r="L38" i="37"/>
  <c r="N129" i="3"/>
  <c r="N128" i="3" s="1"/>
  <c r="L110" i="3"/>
  <c r="L109" i="3" s="1"/>
  <c r="L108" i="3" s="1"/>
  <c r="L6" i="8" s="1"/>
  <c r="N6" i="8" s="1"/>
  <c r="M38" i="14"/>
  <c r="L102" i="3"/>
  <c r="L43" i="14"/>
  <c r="L38" i="14"/>
  <c r="L37" i="14"/>
  <c r="L87" i="3"/>
  <c r="N82" i="3"/>
  <c r="N81" i="3" s="1"/>
  <c r="N72" i="3"/>
  <c r="N47" i="3"/>
  <c r="L37" i="7"/>
  <c r="L40" i="3"/>
  <c r="L39" i="3" s="1"/>
  <c r="N31" i="3"/>
  <c r="L43" i="5"/>
  <c r="L38" i="5"/>
  <c r="L43" i="2"/>
  <c r="P23" i="23"/>
  <c r="L16" i="24" l="1"/>
  <c r="N45" i="37"/>
  <c r="L18" i="24"/>
  <c r="N18" i="24" s="1"/>
  <c r="P58" i="10"/>
  <c r="R39" i="10"/>
  <c r="R28" i="20"/>
  <c r="L17" i="24"/>
  <c r="Q32" i="24"/>
  <c r="P32" i="24"/>
  <c r="R16" i="23"/>
  <c r="P13" i="24"/>
  <c r="R13" i="24" s="1"/>
  <c r="R13" i="23"/>
  <c r="O10" i="24"/>
  <c r="R10" i="24" s="1"/>
  <c r="P15" i="11"/>
  <c r="R19" i="23"/>
  <c r="R23" i="20"/>
  <c r="P96" i="10"/>
  <c r="P31" i="23"/>
  <c r="R20" i="23"/>
  <c r="Q17" i="23"/>
  <c r="Q12" i="23" s="1"/>
  <c r="Q7" i="23" s="1"/>
  <c r="L8" i="2"/>
  <c r="L39" i="12"/>
  <c r="N39" i="12" s="1"/>
  <c r="N23" i="12"/>
  <c r="N9" i="12"/>
  <c r="N28" i="12"/>
  <c r="N22" i="37"/>
  <c r="M22" i="37"/>
  <c r="M30" i="37" s="1"/>
  <c r="L11" i="8"/>
  <c r="N11" i="8" s="1"/>
  <c r="M8" i="8"/>
  <c r="L22" i="8"/>
  <c r="N22" i="8" s="1"/>
  <c r="N20" i="14"/>
  <c r="N23" i="14"/>
  <c r="M30" i="14"/>
  <c r="L22" i="14"/>
  <c r="N22" i="14" s="1"/>
  <c r="P22" i="11"/>
  <c r="R22" i="11" s="1"/>
  <c r="M8" i="7"/>
  <c r="N25" i="7"/>
  <c r="L22" i="7"/>
  <c r="N23" i="7"/>
  <c r="N20" i="5"/>
  <c r="N23" i="5"/>
  <c r="M30" i="5"/>
  <c r="N11" i="2"/>
  <c r="N23" i="2"/>
  <c r="N28" i="2"/>
  <c r="P24" i="11"/>
  <c r="R24" i="11" s="1"/>
  <c r="M8" i="2"/>
  <c r="M30" i="2" s="1"/>
  <c r="L22" i="2"/>
  <c r="N22" i="2" s="1"/>
  <c r="P26" i="11"/>
  <c r="R26" i="11" s="1"/>
  <c r="R15" i="20"/>
  <c r="R26" i="20"/>
  <c r="P25" i="20"/>
  <c r="Q14" i="20"/>
  <c r="R20" i="20"/>
  <c r="N238" i="25"/>
  <c r="O32" i="24"/>
  <c r="Q18" i="24"/>
  <c r="R60" i="10"/>
  <c r="Q95" i="10"/>
  <c r="P26" i="24"/>
  <c r="R31" i="24"/>
  <c r="R34" i="24"/>
  <c r="P31" i="11"/>
  <c r="Q31" i="11"/>
  <c r="R58" i="11"/>
  <c r="F26" i="16" s="1"/>
  <c r="P23" i="11"/>
  <c r="P8" i="23"/>
  <c r="N236" i="25"/>
  <c r="N237" i="25"/>
  <c r="R9" i="23"/>
  <c r="P40" i="11"/>
  <c r="R38" i="11"/>
  <c r="R42" i="11"/>
  <c r="R28" i="24"/>
  <c r="R33" i="24"/>
  <c r="Q27" i="11"/>
  <c r="Q15" i="11"/>
  <c r="Q48" i="11"/>
  <c r="Q47" i="11" s="1"/>
  <c r="O31" i="11"/>
  <c r="O35" i="11"/>
  <c r="Q27" i="10"/>
  <c r="Q12" i="11"/>
  <c r="P20" i="11"/>
  <c r="Q44" i="11"/>
  <c r="Q40" i="11" s="1"/>
  <c r="O9" i="11"/>
  <c r="Q44" i="10"/>
  <c r="P6" i="10"/>
  <c r="P27" i="10"/>
  <c r="O29" i="10"/>
  <c r="R29" i="10" s="1"/>
  <c r="R46" i="10"/>
  <c r="R54" i="10"/>
  <c r="R81" i="10"/>
  <c r="R85" i="10"/>
  <c r="R97" i="10"/>
  <c r="P6" i="11"/>
  <c r="P9" i="11"/>
  <c r="P14" i="11"/>
  <c r="R17" i="11"/>
  <c r="C6" i="32" s="1"/>
  <c r="R19" i="11"/>
  <c r="Q20" i="11"/>
  <c r="Q23" i="11"/>
  <c r="R25" i="11"/>
  <c r="R28" i="11"/>
  <c r="P27" i="11"/>
  <c r="R41" i="11"/>
  <c r="R50" i="11"/>
  <c r="O55" i="11"/>
  <c r="R55" i="11" s="1"/>
  <c r="F19" i="16" s="1"/>
  <c r="R7" i="10"/>
  <c r="R17" i="10"/>
  <c r="O32" i="10"/>
  <c r="R49" i="10"/>
  <c r="P44" i="10"/>
  <c r="R72" i="10"/>
  <c r="O78" i="10"/>
  <c r="P78" i="10"/>
  <c r="P95" i="10"/>
  <c r="Q6" i="11"/>
  <c r="R8" i="11"/>
  <c r="P13" i="11"/>
  <c r="Q14" i="11"/>
  <c r="R16" i="11"/>
  <c r="P21" i="11"/>
  <c r="R33" i="11"/>
  <c r="R36" i="11"/>
  <c r="O44" i="11"/>
  <c r="R49" i="11"/>
  <c r="F25" i="16" s="1"/>
  <c r="R57" i="11"/>
  <c r="F22" i="16" s="1"/>
  <c r="R58" i="10"/>
  <c r="O66" i="10"/>
  <c r="P70" i="10"/>
  <c r="Q78" i="10"/>
  <c r="Q65" i="10" s="1"/>
  <c r="R108" i="10"/>
  <c r="O7" i="11"/>
  <c r="R7" i="11" s="1"/>
  <c r="P12" i="11"/>
  <c r="Q13" i="11"/>
  <c r="O15" i="11"/>
  <c r="Q21" i="11"/>
  <c r="O23" i="11"/>
  <c r="O27" i="11"/>
  <c r="R32" i="11"/>
  <c r="P35" i="11"/>
  <c r="Q37" i="11"/>
  <c r="R37" i="11" s="1"/>
  <c r="R39" i="11"/>
  <c r="O43" i="11"/>
  <c r="R43" i="11" s="1"/>
  <c r="P48" i="11"/>
  <c r="P47" i="11" s="1"/>
  <c r="P18" i="24"/>
  <c r="P15" i="23"/>
  <c r="N146" i="25"/>
  <c r="R70" i="30" s="1"/>
  <c r="N152" i="25"/>
  <c r="R73" i="30" s="1"/>
  <c r="P11" i="23"/>
  <c r="P8" i="24" s="1"/>
  <c r="N223" i="25"/>
  <c r="R88" i="30" s="1"/>
  <c r="R37" i="23"/>
  <c r="R18" i="30"/>
  <c r="R8" i="23"/>
  <c r="O10" i="23"/>
  <c r="R81" i="30"/>
  <c r="Q9" i="24"/>
  <c r="R27" i="24"/>
  <c r="L19" i="16" s="1"/>
  <c r="O26" i="24"/>
  <c r="O25" i="24" s="1"/>
  <c r="N21" i="25"/>
  <c r="R9" i="30" s="1"/>
  <c r="N155" i="25"/>
  <c r="R74" i="30" s="1"/>
  <c r="P10" i="23"/>
  <c r="P7" i="24" s="1"/>
  <c r="R92" i="30"/>
  <c r="Q30" i="24"/>
  <c r="Q26" i="24" s="1"/>
  <c r="Q25" i="24" s="1"/>
  <c r="N37" i="25"/>
  <c r="R15" i="30" s="1"/>
  <c r="N115" i="25"/>
  <c r="R58" i="30" s="1"/>
  <c r="O11" i="23"/>
  <c r="O29" i="23"/>
  <c r="O21" i="11"/>
  <c r="O20" i="11"/>
  <c r="O6" i="11"/>
  <c r="O6" i="10"/>
  <c r="P17" i="24"/>
  <c r="N7" i="25"/>
  <c r="R6" i="30" s="1"/>
  <c r="R29" i="24"/>
  <c r="L23" i="16" s="1"/>
  <c r="R13" i="30"/>
  <c r="N65" i="3"/>
  <c r="R33" i="30" s="1"/>
  <c r="L39" i="18"/>
  <c r="L42" i="12"/>
  <c r="N42" i="12" s="1"/>
  <c r="R41" i="30"/>
  <c r="R46" i="20"/>
  <c r="P40" i="20"/>
  <c r="P41" i="20"/>
  <c r="R41" i="20" s="1"/>
  <c r="R26" i="21"/>
  <c r="O5" i="20"/>
  <c r="R5" i="20" s="1"/>
  <c r="Q42" i="20"/>
  <c r="Q7" i="24" s="1"/>
  <c r="Q45" i="20"/>
  <c r="R43" i="20"/>
  <c r="R6" i="21"/>
  <c r="R5" i="21" s="1"/>
  <c r="P45" i="20"/>
  <c r="Q17" i="24"/>
  <c r="O40" i="20"/>
  <c r="R44" i="20"/>
  <c r="R47" i="20"/>
  <c r="Q5" i="24"/>
  <c r="R31" i="21"/>
  <c r="O45" i="20"/>
  <c r="R48" i="20"/>
  <c r="L38" i="18"/>
  <c r="N38" i="18" s="1"/>
  <c r="L42" i="37"/>
  <c r="N42" i="37" s="1"/>
  <c r="N41" i="18"/>
  <c r="N41" i="3"/>
  <c r="L39" i="8"/>
  <c r="N39" i="8" s="1"/>
  <c r="L39" i="37"/>
  <c r="N39" i="37" s="1"/>
  <c r="N43" i="2"/>
  <c r="N9" i="18"/>
  <c r="L39" i="5"/>
  <c r="N39" i="5" s="1"/>
  <c r="L42" i="14"/>
  <c r="N42" i="14" s="1"/>
  <c r="N38" i="5"/>
  <c r="N38" i="14"/>
  <c r="L37" i="8"/>
  <c r="N37" i="8" s="1"/>
  <c r="L42" i="18"/>
  <c r="N42" i="18" s="1"/>
  <c r="N103" i="3"/>
  <c r="N102" i="3" s="1"/>
  <c r="N116" i="3"/>
  <c r="R37" i="30" s="1"/>
  <c r="N199" i="3"/>
  <c r="R29" i="30" s="1"/>
  <c r="N39" i="14"/>
  <c r="N15" i="3"/>
  <c r="R31" i="30" s="1"/>
  <c r="N38" i="2"/>
  <c r="N41" i="2"/>
  <c r="N41" i="5"/>
  <c r="L86" i="3"/>
  <c r="L5" i="3" s="1"/>
  <c r="M46" i="12"/>
  <c r="N43" i="8"/>
  <c r="M36" i="18"/>
  <c r="M34" i="18" s="1"/>
  <c r="M32" i="18" s="1"/>
  <c r="M31" i="18" s="1"/>
  <c r="M35" i="18" s="1"/>
  <c r="N152" i="3"/>
  <c r="N178" i="3"/>
  <c r="R28" i="30" s="1"/>
  <c r="N187" i="3"/>
  <c r="M37" i="14"/>
  <c r="M36" i="14" s="1"/>
  <c r="M46" i="14" s="1"/>
  <c r="M34" i="14" s="1"/>
  <c r="M32" i="14" s="1"/>
  <c r="M31" i="14" s="1"/>
  <c r="M35" i="14" s="1"/>
  <c r="N41" i="7"/>
  <c r="L36" i="14"/>
  <c r="N43" i="14"/>
  <c r="M36" i="8"/>
  <c r="N38" i="7"/>
  <c r="N43" i="37"/>
  <c r="L38" i="12"/>
  <c r="M36" i="2"/>
  <c r="N43" i="5"/>
  <c r="L42" i="5"/>
  <c r="N42" i="5" s="1"/>
  <c r="N136" i="3"/>
  <c r="N135" i="3" s="1"/>
  <c r="L37" i="37"/>
  <c r="N173" i="3"/>
  <c r="R27" i="30" s="1"/>
  <c r="N88" i="3"/>
  <c r="N95" i="3"/>
  <c r="R35" i="30" s="1"/>
  <c r="N110" i="3"/>
  <c r="L38" i="8"/>
  <c r="N38" i="8" s="1"/>
  <c r="N38" i="37"/>
  <c r="L37" i="18"/>
  <c r="N37" i="18" s="1"/>
  <c r="L6" i="7"/>
  <c r="N6" i="7" s="1"/>
  <c r="N43" i="7"/>
  <c r="N25" i="3"/>
  <c r="N58" i="3"/>
  <c r="R23" i="30"/>
  <c r="N194" i="3"/>
  <c r="M36" i="5"/>
  <c r="M46" i="5" s="1"/>
  <c r="M42" i="2"/>
  <c r="L42" i="2"/>
  <c r="N43" i="18"/>
  <c r="N37" i="7"/>
  <c r="L37" i="5"/>
  <c r="M36" i="37"/>
  <c r="M34" i="37" s="1"/>
  <c r="M32" i="37" s="1"/>
  <c r="M31" i="37" s="1"/>
  <c r="M35" i="37" s="1"/>
  <c r="N39" i="2"/>
  <c r="N8" i="3"/>
  <c r="N37" i="2"/>
  <c r="R32" i="24"/>
  <c r="R103" i="10"/>
  <c r="O96" i="10"/>
  <c r="R66" i="10"/>
  <c r="Q19" i="10"/>
  <c r="R31" i="10"/>
  <c r="R34" i="10"/>
  <c r="O35" i="10"/>
  <c r="O44" i="10"/>
  <c r="R69" i="10"/>
  <c r="R105" i="10"/>
  <c r="O70" i="10"/>
  <c r="Q8" i="20"/>
  <c r="Q33" i="20" s="1"/>
  <c r="O8" i="20"/>
  <c r="R11" i="20"/>
  <c r="P14" i="20"/>
  <c r="P8" i="20" s="1"/>
  <c r="O25" i="20"/>
  <c r="Q30" i="23"/>
  <c r="R33" i="23"/>
  <c r="O32" i="23"/>
  <c r="O17" i="23"/>
  <c r="R34" i="23"/>
  <c r="R41" i="23"/>
  <c r="N118" i="25"/>
  <c r="R59" i="30" s="1"/>
  <c r="N61" i="25"/>
  <c r="R19" i="30" s="1"/>
  <c r="L8" i="37"/>
  <c r="N8" i="37" s="1"/>
  <c r="L30" i="2"/>
  <c r="N9" i="2"/>
  <c r="N44" i="2"/>
  <c r="N22" i="5"/>
  <c r="L8" i="5"/>
  <c r="N8" i="5" s="1"/>
  <c r="M22" i="7"/>
  <c r="M30" i="7" s="1"/>
  <c r="M36" i="7"/>
  <c r="M42" i="7"/>
  <c r="N42" i="7" s="1"/>
  <c r="L8" i="7"/>
  <c r="N8" i="7" s="1"/>
  <c r="N22" i="7"/>
  <c r="M30" i="18"/>
  <c r="L8" i="18"/>
  <c r="N8" i="18" s="1"/>
  <c r="N22" i="18"/>
  <c r="N44" i="18"/>
  <c r="L8" i="14"/>
  <c r="N8" i="14" s="1"/>
  <c r="M30" i="8"/>
  <c r="N23" i="8"/>
  <c r="M42" i="8"/>
  <c r="N42" i="8" s="1"/>
  <c r="M22" i="12"/>
  <c r="M30" i="12" s="1"/>
  <c r="L8" i="12"/>
  <c r="N8" i="12" s="1"/>
  <c r="P25" i="24" l="1"/>
  <c r="N38" i="12"/>
  <c r="L6" i="24"/>
  <c r="L15" i="24"/>
  <c r="N240" i="25"/>
  <c r="O27" i="10"/>
  <c r="R27" i="10" s="1"/>
  <c r="P12" i="23"/>
  <c r="P7" i="23" s="1"/>
  <c r="P12" i="24"/>
  <c r="R12" i="24" s="1"/>
  <c r="Q15" i="24"/>
  <c r="N8" i="2"/>
  <c r="N109" i="3"/>
  <c r="N108" i="3" s="1"/>
  <c r="R17" i="23"/>
  <c r="O14" i="24"/>
  <c r="R14" i="24" s="1"/>
  <c r="P30" i="11"/>
  <c r="P65" i="10"/>
  <c r="R31" i="11"/>
  <c r="F11" i="16" s="1"/>
  <c r="R45" i="20"/>
  <c r="L8" i="8"/>
  <c r="N8" i="8" s="1"/>
  <c r="N57" i="3"/>
  <c r="N56" i="3" s="1"/>
  <c r="R22" i="30"/>
  <c r="N151" i="3"/>
  <c r="N150" i="3" s="1"/>
  <c r="L30" i="14"/>
  <c r="N30" i="14" s="1"/>
  <c r="R20" i="30"/>
  <c r="Q39" i="20"/>
  <c r="Q49" i="20" s="1"/>
  <c r="P33" i="20"/>
  <c r="P37" i="20" s="1"/>
  <c r="P35" i="20" s="1"/>
  <c r="P34" i="20" s="1"/>
  <c r="P38" i="20" s="1"/>
  <c r="P39" i="20"/>
  <c r="O5" i="11"/>
  <c r="R15" i="11"/>
  <c r="R44" i="10"/>
  <c r="P5" i="10"/>
  <c r="P94" i="10" s="1"/>
  <c r="R44" i="11"/>
  <c r="P18" i="11"/>
  <c r="L30" i="12"/>
  <c r="N30" i="12" s="1"/>
  <c r="Q10" i="11"/>
  <c r="Q35" i="11"/>
  <c r="R35" i="11" s="1"/>
  <c r="R21" i="11"/>
  <c r="C5" i="32" s="1"/>
  <c r="R27" i="11"/>
  <c r="F7" i="16" s="1"/>
  <c r="Q18" i="11"/>
  <c r="O12" i="11"/>
  <c r="R70" i="10"/>
  <c r="R35" i="10"/>
  <c r="O14" i="11"/>
  <c r="R14" i="11" s="1"/>
  <c r="Q6" i="10"/>
  <c r="Q5" i="10" s="1"/>
  <c r="Q9" i="11"/>
  <c r="Q5" i="11" s="1"/>
  <c r="O48" i="11"/>
  <c r="O47" i="11" s="1"/>
  <c r="R23" i="11"/>
  <c r="P10" i="11"/>
  <c r="O40" i="11"/>
  <c r="R40" i="11" s="1"/>
  <c r="F13" i="16" s="1"/>
  <c r="P5" i="11"/>
  <c r="R29" i="11"/>
  <c r="R19" i="10"/>
  <c r="R6" i="11"/>
  <c r="R78" i="10"/>
  <c r="R32" i="10"/>
  <c r="O13" i="11"/>
  <c r="R13" i="11" s="1"/>
  <c r="N43" i="25"/>
  <c r="R16" i="30" s="1"/>
  <c r="R15" i="23"/>
  <c r="R25" i="24"/>
  <c r="R11" i="23"/>
  <c r="R30" i="24"/>
  <c r="R26" i="24"/>
  <c r="R10" i="23"/>
  <c r="O8" i="24"/>
  <c r="R8" i="24" s="1"/>
  <c r="O24" i="23"/>
  <c r="R29" i="23"/>
  <c r="R20" i="11"/>
  <c r="O18" i="11"/>
  <c r="P6" i="24"/>
  <c r="R21" i="21"/>
  <c r="R20" i="21" s="1"/>
  <c r="R4" i="21" s="1"/>
  <c r="R42" i="20"/>
  <c r="Q4" i="24"/>
  <c r="Q24" i="24" s="1"/>
  <c r="Q35" i="24" s="1"/>
  <c r="P49" i="20"/>
  <c r="R40" i="20"/>
  <c r="O39" i="20"/>
  <c r="N87" i="3"/>
  <c r="N86" i="3" s="1"/>
  <c r="L39" i="7"/>
  <c r="O7" i="24" s="1"/>
  <c r="R7" i="24" s="1"/>
  <c r="M34" i="5"/>
  <c r="M32" i="5" s="1"/>
  <c r="M31" i="5" s="1"/>
  <c r="M35" i="5" s="1"/>
  <c r="N40" i="3"/>
  <c r="N39" i="3" s="1"/>
  <c r="L30" i="18"/>
  <c r="N30" i="18" s="1"/>
  <c r="N24" i="3"/>
  <c r="N23" i="3" s="1"/>
  <c r="R80" i="30"/>
  <c r="M46" i="18"/>
  <c r="N7" i="3"/>
  <c r="N6" i="3" s="1"/>
  <c r="N36" i="14"/>
  <c r="M34" i="12"/>
  <c r="M32" i="12" s="1"/>
  <c r="M31" i="12" s="1"/>
  <c r="M35" i="12" s="1"/>
  <c r="P5" i="24"/>
  <c r="N37" i="14"/>
  <c r="L46" i="14"/>
  <c r="N46" i="14" s="1"/>
  <c r="L36" i="18"/>
  <c r="L46" i="18" s="1"/>
  <c r="M46" i="37"/>
  <c r="M46" i="2"/>
  <c r="M34" i="2" s="1"/>
  <c r="M32" i="2" s="1"/>
  <c r="M31" i="2" s="1"/>
  <c r="M35" i="2" s="1"/>
  <c r="L36" i="2"/>
  <c r="L46" i="2" s="1"/>
  <c r="R30" i="30"/>
  <c r="N42" i="2"/>
  <c r="N134" i="3"/>
  <c r="R39" i="30"/>
  <c r="R32" i="30"/>
  <c r="R36" i="30"/>
  <c r="M46" i="8"/>
  <c r="N44" i="12"/>
  <c r="L37" i="12"/>
  <c r="L5" i="24" s="1"/>
  <c r="N37" i="5"/>
  <c r="L36" i="5"/>
  <c r="L34" i="5" s="1"/>
  <c r="O6" i="24"/>
  <c r="L36" i="8"/>
  <c r="N36" i="8" s="1"/>
  <c r="M34" i="8"/>
  <c r="M32" i="8" s="1"/>
  <c r="M31" i="8" s="1"/>
  <c r="M35" i="8" s="1"/>
  <c r="N39" i="18"/>
  <c r="R34" i="30"/>
  <c r="N37" i="37"/>
  <c r="L36" i="37"/>
  <c r="O95" i="10"/>
  <c r="R96" i="10"/>
  <c r="O65" i="10"/>
  <c r="R65" i="10" s="1"/>
  <c r="R6" i="10"/>
  <c r="R8" i="20"/>
  <c r="R14" i="20"/>
  <c r="O33" i="20"/>
  <c r="R25" i="20"/>
  <c r="O31" i="23"/>
  <c r="O9" i="24"/>
  <c r="L30" i="37"/>
  <c r="N30" i="2"/>
  <c r="L30" i="5"/>
  <c r="N30" i="5" s="1"/>
  <c r="M46" i="7"/>
  <c r="M34" i="7" s="1"/>
  <c r="M32" i="7" s="1"/>
  <c r="M31" i="7" s="1"/>
  <c r="M35" i="7" s="1"/>
  <c r="L30" i="7"/>
  <c r="N30" i="7" s="1"/>
  <c r="N22" i="12"/>
  <c r="P9" i="24" l="1"/>
  <c r="O5" i="10"/>
  <c r="N39" i="7"/>
  <c r="L7" i="24"/>
  <c r="L30" i="8"/>
  <c r="N30" i="8" s="1"/>
  <c r="F12" i="16"/>
  <c r="C7" i="32"/>
  <c r="L6" i="16"/>
  <c r="L7" i="16"/>
  <c r="P111" i="10"/>
  <c r="Q37" i="20"/>
  <c r="Q35" i="20" s="1"/>
  <c r="Q34" i="20" s="1"/>
  <c r="Q38" i="20" s="1"/>
  <c r="L36" i="7"/>
  <c r="L46" i="7" s="1"/>
  <c r="N46" i="7" s="1"/>
  <c r="P4" i="11"/>
  <c r="P46" i="11" s="1"/>
  <c r="O30" i="11"/>
  <c r="R9" i="11"/>
  <c r="Q30" i="11"/>
  <c r="R48" i="11"/>
  <c r="R18" i="11"/>
  <c r="F6" i="16" s="1"/>
  <c r="Q4" i="11"/>
  <c r="R5" i="11"/>
  <c r="F4" i="16" s="1"/>
  <c r="R12" i="11"/>
  <c r="C4" i="32" s="1"/>
  <c r="O10" i="11"/>
  <c r="Q94" i="10"/>
  <c r="Q111" i="10"/>
  <c r="R6" i="24"/>
  <c r="R24" i="23"/>
  <c r="O18" i="24"/>
  <c r="R18" i="24" s="1"/>
  <c r="R9" i="24"/>
  <c r="N69" i="25"/>
  <c r="R25" i="30" s="1"/>
  <c r="O23" i="23"/>
  <c r="N242" i="25"/>
  <c r="P4" i="24"/>
  <c r="R76" i="30"/>
  <c r="O49" i="20"/>
  <c r="R49" i="20" s="1"/>
  <c r="R39" i="20"/>
  <c r="N36" i="2"/>
  <c r="L46" i="8"/>
  <c r="N46" i="8" s="1"/>
  <c r="N46" i="18"/>
  <c r="L34" i="14"/>
  <c r="L32" i="14" s="1"/>
  <c r="N5" i="3"/>
  <c r="N36" i="18"/>
  <c r="L34" i="18"/>
  <c r="L46" i="5"/>
  <c r="N46" i="5" s="1"/>
  <c r="N36" i="5"/>
  <c r="N36" i="37"/>
  <c r="L46" i="37"/>
  <c r="N46" i="37" s="1"/>
  <c r="N37" i="12"/>
  <c r="L36" i="12"/>
  <c r="O5" i="24"/>
  <c r="R47" i="11"/>
  <c r="O94" i="10"/>
  <c r="R5" i="10"/>
  <c r="O111" i="10"/>
  <c r="R95" i="10"/>
  <c r="O37" i="20"/>
  <c r="R33" i="20"/>
  <c r="R12" i="23"/>
  <c r="O7" i="23"/>
  <c r="N30" i="37"/>
  <c r="L34" i="37"/>
  <c r="N46" i="2"/>
  <c r="L34" i="2"/>
  <c r="L32" i="5"/>
  <c r="N34" i="5"/>
  <c r="L34" i="8"/>
  <c r="N36" i="7" l="1"/>
  <c r="L5" i="16"/>
  <c r="L13" i="16"/>
  <c r="L8" i="16"/>
  <c r="L34" i="7"/>
  <c r="N34" i="7" s="1"/>
  <c r="R30" i="11"/>
  <c r="P61" i="11"/>
  <c r="R111" i="10"/>
  <c r="R94" i="10"/>
  <c r="Q46" i="11"/>
  <c r="Q61" i="11"/>
  <c r="R10" i="11"/>
  <c r="F5" i="16" s="1"/>
  <c r="O4" i="11"/>
  <c r="R23" i="23"/>
  <c r="O17" i="24"/>
  <c r="R17" i="24" s="1"/>
  <c r="N34" i="14"/>
  <c r="L32" i="18"/>
  <c r="N34" i="18"/>
  <c r="N36" i="12"/>
  <c r="L46" i="12"/>
  <c r="R5" i="24"/>
  <c r="O4" i="24"/>
  <c r="R37" i="20"/>
  <c r="O35" i="20"/>
  <c r="R7" i="23"/>
  <c r="L32" i="37"/>
  <c r="N34" i="37"/>
  <c r="N34" i="2"/>
  <c r="L32" i="2"/>
  <c r="L31" i="5"/>
  <c r="N32" i="5"/>
  <c r="L31" i="14"/>
  <c r="N32" i="14"/>
  <c r="L32" i="8"/>
  <c r="N34" i="8"/>
  <c r="L32" i="7" l="1"/>
  <c r="L31" i="7" s="1"/>
  <c r="L4" i="16"/>
  <c r="L12" i="16"/>
  <c r="O61" i="11"/>
  <c r="R61" i="11" s="1"/>
  <c r="O46" i="11"/>
  <c r="R46" i="11" s="1"/>
  <c r="R4" i="11"/>
  <c r="N32" i="18"/>
  <c r="L31" i="18"/>
  <c r="L34" i="12"/>
  <c r="N46" i="12"/>
  <c r="R4" i="24"/>
  <c r="O34" i="20"/>
  <c r="R35" i="20"/>
  <c r="L31" i="37"/>
  <c r="N32" i="37"/>
  <c r="N32" i="2"/>
  <c r="L31" i="2"/>
  <c r="L35" i="5"/>
  <c r="N35" i="5" s="1"/>
  <c r="N31" i="5"/>
  <c r="N32" i="7"/>
  <c r="L35" i="14"/>
  <c r="N35" i="14" s="1"/>
  <c r="N31" i="14"/>
  <c r="L31" i="8"/>
  <c r="N32" i="8"/>
  <c r="N31" i="18" l="1"/>
  <c r="L35" i="18"/>
  <c r="N35" i="18" s="1"/>
  <c r="L32" i="12"/>
  <c r="N34" i="12"/>
  <c r="N231" i="25" s="1"/>
  <c r="O38" i="20"/>
  <c r="R38" i="20" s="1"/>
  <c r="R34" i="20"/>
  <c r="L35" i="37"/>
  <c r="N35" i="37" s="1"/>
  <c r="N31" i="37"/>
  <c r="N31" i="2"/>
  <c r="L35" i="2"/>
  <c r="N35" i="2" s="1"/>
  <c r="L35" i="7"/>
  <c r="N35" i="7" s="1"/>
  <c r="N31" i="7"/>
  <c r="L35" i="8"/>
  <c r="N35" i="8" s="1"/>
  <c r="N31" i="8"/>
  <c r="L31" i="12" l="1"/>
  <c r="N32" i="12"/>
  <c r="N230" i="25"/>
  <c r="N244" i="25" s="1"/>
  <c r="Q38" i="23"/>
  <c r="E26" i="16"/>
  <c r="J62" i="39" l="1"/>
  <c r="L35" i="12"/>
  <c r="N35" i="12" s="1"/>
  <c r="N31" i="12"/>
  <c r="R38" i="23"/>
  <c r="Q32" i="23"/>
  <c r="K24" i="16"/>
  <c r="N92" i="30"/>
  <c r="K42" i="30"/>
  <c r="N63" i="10"/>
  <c r="N62" i="10"/>
  <c r="N61" i="10"/>
  <c r="N43" i="23"/>
  <c r="N42" i="23"/>
  <c r="M41" i="23"/>
  <c r="L41" i="23"/>
  <c r="K41" i="23"/>
  <c r="M30" i="24"/>
  <c r="M21" i="23"/>
  <c r="N6" i="23"/>
  <c r="N5" i="23"/>
  <c r="K237" i="25"/>
  <c r="K239" i="25"/>
  <c r="K243" i="25"/>
  <c r="N32" i="20"/>
  <c r="M31" i="20"/>
  <c r="L31" i="20"/>
  <c r="K31" i="20"/>
  <c r="N30" i="20"/>
  <c r="N29" i="20"/>
  <c r="M28" i="20"/>
  <c r="L28" i="20"/>
  <c r="K28" i="20"/>
  <c r="N27" i="20"/>
  <c r="M26" i="20"/>
  <c r="M25" i="20" s="1"/>
  <c r="L26" i="20"/>
  <c r="K26" i="20"/>
  <c r="N24" i="20"/>
  <c r="N19" i="20"/>
  <c r="N17" i="20"/>
  <c r="N16" i="20"/>
  <c r="N13" i="20"/>
  <c r="N12" i="20"/>
  <c r="N10" i="20"/>
  <c r="N7" i="20"/>
  <c r="N6" i="20"/>
  <c r="N34" i="21"/>
  <c r="N91" i="30" s="1"/>
  <c r="N32" i="21"/>
  <c r="N26" i="21"/>
  <c r="N21" i="21"/>
  <c r="N12" i="21"/>
  <c r="N12" i="30" s="1"/>
  <c r="N6" i="21"/>
  <c r="N20" i="30" s="1"/>
  <c r="K6" i="21"/>
  <c r="K29" i="2"/>
  <c r="J28" i="2"/>
  <c r="I28" i="2"/>
  <c r="K28" i="2" s="1"/>
  <c r="K27" i="2"/>
  <c r="K26" i="2"/>
  <c r="J25" i="2"/>
  <c r="I25" i="2"/>
  <c r="K24" i="2"/>
  <c r="J23" i="2"/>
  <c r="I23" i="2"/>
  <c r="K21" i="2"/>
  <c r="J20" i="2"/>
  <c r="I20" i="2"/>
  <c r="K20" i="2" s="1"/>
  <c r="K10" i="2"/>
  <c r="J9" i="2"/>
  <c r="I9" i="2"/>
  <c r="K7" i="2"/>
  <c r="K6" i="2"/>
  <c r="K29" i="5"/>
  <c r="J28" i="5"/>
  <c r="I28" i="5"/>
  <c r="K28" i="5" s="1"/>
  <c r="K27" i="5"/>
  <c r="K26" i="5"/>
  <c r="J25" i="5"/>
  <c r="I25" i="5"/>
  <c r="K25" i="5" s="1"/>
  <c r="K24" i="5"/>
  <c r="J23" i="5"/>
  <c r="I23" i="5"/>
  <c r="K21" i="5"/>
  <c r="K10" i="5"/>
  <c r="K9" i="5"/>
  <c r="J9" i="5"/>
  <c r="I9" i="5"/>
  <c r="J8" i="5"/>
  <c r="K7" i="5"/>
  <c r="K6" i="5"/>
  <c r="K29" i="7"/>
  <c r="J28" i="7"/>
  <c r="I28" i="7"/>
  <c r="K27" i="7"/>
  <c r="K26" i="7"/>
  <c r="J25" i="7"/>
  <c r="I25" i="7"/>
  <c r="K24" i="7"/>
  <c r="J23" i="7"/>
  <c r="I23" i="7"/>
  <c r="I22" i="7" s="1"/>
  <c r="K21" i="7"/>
  <c r="J20" i="7"/>
  <c r="I20" i="7"/>
  <c r="K18" i="7"/>
  <c r="K17" i="7"/>
  <c r="K16" i="7"/>
  <c r="K15" i="7"/>
  <c r="K14" i="7"/>
  <c r="K13" i="7"/>
  <c r="K12" i="7"/>
  <c r="K10" i="7"/>
  <c r="J9" i="7"/>
  <c r="K9" i="7" s="1"/>
  <c r="K7" i="7"/>
  <c r="K45" i="18"/>
  <c r="K41" i="18"/>
  <c r="K40" i="18"/>
  <c r="K29" i="18"/>
  <c r="J28" i="18"/>
  <c r="K28" i="18" s="1"/>
  <c r="I28" i="18"/>
  <c r="K27" i="18"/>
  <c r="K26" i="18"/>
  <c r="J25" i="18"/>
  <c r="I25" i="18"/>
  <c r="K24" i="18"/>
  <c r="J23" i="18"/>
  <c r="I23" i="18"/>
  <c r="I22" i="18" s="1"/>
  <c r="K21" i="18"/>
  <c r="K7" i="18"/>
  <c r="K6" i="18"/>
  <c r="K45" i="14"/>
  <c r="K29" i="14"/>
  <c r="J28" i="14"/>
  <c r="I28" i="14"/>
  <c r="K27" i="14"/>
  <c r="K26" i="14"/>
  <c r="J25" i="14"/>
  <c r="I25" i="14"/>
  <c r="K24" i="14"/>
  <c r="J23" i="14"/>
  <c r="I23" i="14"/>
  <c r="I22" i="14" s="1"/>
  <c r="K21" i="14"/>
  <c r="J20" i="14"/>
  <c r="J8" i="14" s="1"/>
  <c r="I20" i="14"/>
  <c r="K7" i="14"/>
  <c r="K6" i="14"/>
  <c r="K45" i="8"/>
  <c r="K44" i="8"/>
  <c r="K41" i="8"/>
  <c r="K40" i="8"/>
  <c r="K33" i="8"/>
  <c r="K29" i="8"/>
  <c r="J28" i="8"/>
  <c r="I28" i="8"/>
  <c r="K27" i="8"/>
  <c r="K26" i="8"/>
  <c r="J25" i="8"/>
  <c r="I25" i="8"/>
  <c r="K24" i="8"/>
  <c r="J23" i="8"/>
  <c r="J22" i="8" s="1"/>
  <c r="I23" i="8"/>
  <c r="K23" i="8" s="1"/>
  <c r="K21" i="8"/>
  <c r="J20" i="8"/>
  <c r="I20" i="8"/>
  <c r="K20" i="8" s="1"/>
  <c r="K10" i="8"/>
  <c r="J9" i="8"/>
  <c r="I9" i="8"/>
  <c r="J8" i="8"/>
  <c r="K7" i="8"/>
  <c r="K45" i="37"/>
  <c r="K44" i="37"/>
  <c r="J42" i="37"/>
  <c r="K42" i="37" s="1"/>
  <c r="K41" i="37"/>
  <c r="K40" i="37"/>
  <c r="K33" i="37"/>
  <c r="K29" i="37"/>
  <c r="J28" i="37"/>
  <c r="I28" i="37"/>
  <c r="K27" i="37"/>
  <c r="K26" i="37"/>
  <c r="J25" i="37"/>
  <c r="I25" i="37"/>
  <c r="K24" i="37"/>
  <c r="J23" i="37"/>
  <c r="J22" i="37" s="1"/>
  <c r="I23" i="37"/>
  <c r="K21" i="37"/>
  <c r="J20" i="37"/>
  <c r="I20" i="37"/>
  <c r="K10" i="37"/>
  <c r="J9" i="37"/>
  <c r="K9" i="37" s="1"/>
  <c r="I9" i="37"/>
  <c r="K7" i="37"/>
  <c r="K6" i="37"/>
  <c r="K45" i="12"/>
  <c r="K40" i="12"/>
  <c r="J36" i="12"/>
  <c r="K29" i="12"/>
  <c r="J28" i="12"/>
  <c r="I28" i="12"/>
  <c r="K28" i="12" s="1"/>
  <c r="K27" i="12"/>
  <c r="K26" i="12"/>
  <c r="J25" i="12"/>
  <c r="I25" i="12"/>
  <c r="K25" i="12" s="1"/>
  <c r="K24" i="12"/>
  <c r="J23" i="12"/>
  <c r="I23" i="12"/>
  <c r="I22" i="12"/>
  <c r="K21" i="12"/>
  <c r="J20" i="12"/>
  <c r="I20" i="12"/>
  <c r="J11" i="12"/>
  <c r="I11" i="12"/>
  <c r="K10" i="12"/>
  <c r="J9" i="12"/>
  <c r="I9" i="12"/>
  <c r="K9" i="12" s="1"/>
  <c r="K7" i="12"/>
  <c r="I44" i="12"/>
  <c r="K199" i="3"/>
  <c r="N29" i="30" s="1"/>
  <c r="K194" i="3"/>
  <c r="K187" i="3"/>
  <c r="K183" i="3"/>
  <c r="K178" i="3"/>
  <c r="N28" i="30" s="1"/>
  <c r="K173" i="3"/>
  <c r="N27" i="30" s="1"/>
  <c r="K170" i="3"/>
  <c r="N26" i="30" s="1"/>
  <c r="K163" i="3"/>
  <c r="N24" i="30" s="1"/>
  <c r="K157" i="3"/>
  <c r="N23" i="30" s="1"/>
  <c r="K152" i="3"/>
  <c r="N22" i="30" s="1"/>
  <c r="I151" i="3"/>
  <c r="I150" i="3" s="1"/>
  <c r="I6" i="12" s="1"/>
  <c r="K6" i="12" s="1"/>
  <c r="K142" i="3"/>
  <c r="N40" i="30" s="1"/>
  <c r="K136" i="3"/>
  <c r="N39" i="30" s="1"/>
  <c r="K129" i="3"/>
  <c r="K128" i="3" s="1"/>
  <c r="K121" i="3"/>
  <c r="N38" i="30" s="1"/>
  <c r="K116" i="3"/>
  <c r="N37" i="30" s="1"/>
  <c r="K110" i="3"/>
  <c r="N36" i="30" s="1"/>
  <c r="I109" i="3"/>
  <c r="I108" i="3" s="1"/>
  <c r="I6" i="8" s="1"/>
  <c r="K6" i="8" s="1"/>
  <c r="K103" i="3"/>
  <c r="I102" i="3"/>
  <c r="K95" i="3"/>
  <c r="N35" i="30" s="1"/>
  <c r="K88" i="3"/>
  <c r="N34" i="30" s="1"/>
  <c r="I87" i="3"/>
  <c r="K81" i="3"/>
  <c r="K80" i="3" s="1"/>
  <c r="K72" i="3"/>
  <c r="N18" i="30" s="1"/>
  <c r="K58" i="3"/>
  <c r="N32" i="30" s="1"/>
  <c r="K47" i="3"/>
  <c r="K41" i="3"/>
  <c r="I40" i="3"/>
  <c r="I39" i="3" s="1"/>
  <c r="I6" i="7" s="1"/>
  <c r="K6" i="7" s="1"/>
  <c r="K31" i="3"/>
  <c r="K25" i="3"/>
  <c r="K15" i="3"/>
  <c r="K8" i="3"/>
  <c r="K102" i="3" l="1"/>
  <c r="N80" i="30"/>
  <c r="N16" i="30"/>
  <c r="N30" i="30"/>
  <c r="I41" i="12"/>
  <c r="K41" i="12" s="1"/>
  <c r="K9" i="24" s="1"/>
  <c r="N9" i="24" s="1"/>
  <c r="N31" i="30"/>
  <c r="M26" i="24"/>
  <c r="N30" i="24"/>
  <c r="N167" i="25"/>
  <c r="N163" i="25" s="1"/>
  <c r="N76" i="30"/>
  <c r="N42" i="30" s="1"/>
  <c r="K48" i="11"/>
  <c r="N55" i="11"/>
  <c r="K57" i="3"/>
  <c r="I38" i="12"/>
  <c r="K38" i="12" s="1"/>
  <c r="I43" i="12"/>
  <c r="I39" i="12"/>
  <c r="K39" i="12" s="1"/>
  <c r="J30" i="8"/>
  <c r="K151" i="3"/>
  <c r="K150" i="3" s="1"/>
  <c r="K7" i="3"/>
  <c r="K6" i="3" s="1"/>
  <c r="K24" i="3"/>
  <c r="K23" i="3" s="1"/>
  <c r="N5" i="21"/>
  <c r="K56" i="3"/>
  <c r="K40" i="3"/>
  <c r="K39" i="3" s="1"/>
  <c r="K109" i="3"/>
  <c r="K108" i="3" s="1"/>
  <c r="K135" i="3"/>
  <c r="K20" i="12"/>
  <c r="K23" i="12"/>
  <c r="I22" i="37"/>
  <c r="K22" i="37" s="1"/>
  <c r="K25" i="8"/>
  <c r="K28" i="8"/>
  <c r="J22" i="14"/>
  <c r="J22" i="7"/>
  <c r="K25" i="7"/>
  <c r="K28" i="7"/>
  <c r="K23" i="5"/>
  <c r="J22" i="2"/>
  <c r="N31" i="20"/>
  <c r="N89" i="30"/>
  <c r="J8" i="12"/>
  <c r="J46" i="12"/>
  <c r="K39" i="37"/>
  <c r="K44" i="12"/>
  <c r="J36" i="8"/>
  <c r="J46" i="2"/>
  <c r="R32" i="23"/>
  <c r="Q31" i="23"/>
  <c r="I86" i="3"/>
  <c r="I5" i="3" s="1"/>
  <c r="K39" i="8"/>
  <c r="N28" i="20"/>
  <c r="K25" i="37"/>
  <c r="K28" i="37"/>
  <c r="K37" i="37"/>
  <c r="K25" i="18"/>
  <c r="J30" i="14"/>
  <c r="K23" i="2"/>
  <c r="I22" i="2"/>
  <c r="K22" i="2" s="1"/>
  <c r="J8" i="7"/>
  <c r="J30" i="7" s="1"/>
  <c r="J8" i="2"/>
  <c r="J30" i="2" s="1"/>
  <c r="L31" i="23"/>
  <c r="J22" i="12"/>
  <c r="J30" i="12" s="1"/>
  <c r="J8" i="37"/>
  <c r="J30" i="37" s="1"/>
  <c r="K20" i="37"/>
  <c r="K23" i="37"/>
  <c r="K43" i="37"/>
  <c r="L96" i="39" s="1"/>
  <c r="K9" i="8"/>
  <c r="K25" i="14"/>
  <c r="K28" i="14"/>
  <c r="J8" i="18"/>
  <c r="J22" i="18"/>
  <c r="K22" i="18" s="1"/>
  <c r="K39" i="18"/>
  <c r="J22" i="5"/>
  <c r="J30" i="5" s="1"/>
  <c r="K5" i="21"/>
  <c r="K20" i="30"/>
  <c r="K5" i="30" s="1"/>
  <c r="K4" i="30" s="1"/>
  <c r="N18" i="20"/>
  <c r="N23" i="20"/>
  <c r="N26" i="20"/>
  <c r="L25" i="20"/>
  <c r="I22" i="5"/>
  <c r="K11" i="12"/>
  <c r="K38" i="37"/>
  <c r="K20" i="14"/>
  <c r="K23" i="14"/>
  <c r="K23" i="18"/>
  <c r="J36" i="18"/>
  <c r="J34" i="18" s="1"/>
  <c r="K25" i="2"/>
  <c r="N31" i="21"/>
  <c r="N9" i="20"/>
  <c r="K43" i="8"/>
  <c r="L95" i="39" s="1"/>
  <c r="K20" i="7"/>
  <c r="K23" i="7"/>
  <c r="J46" i="7"/>
  <c r="K9" i="2"/>
  <c r="N21" i="20"/>
  <c r="E22" i="16"/>
  <c r="N20" i="21"/>
  <c r="E25" i="16"/>
  <c r="K8" i="20"/>
  <c r="J36" i="14"/>
  <c r="J46" i="14" s="1"/>
  <c r="I36" i="18"/>
  <c r="J46" i="5"/>
  <c r="L8" i="20"/>
  <c r="M8" i="20"/>
  <c r="M33" i="20" s="1"/>
  <c r="N20" i="20"/>
  <c r="M7" i="23"/>
  <c r="M30" i="23" s="1"/>
  <c r="K38" i="18"/>
  <c r="I36" i="37"/>
  <c r="K38" i="8"/>
  <c r="J36" i="37"/>
  <c r="K37" i="8"/>
  <c r="I36" i="14"/>
  <c r="K37" i="18"/>
  <c r="N15" i="20"/>
  <c r="N22" i="20"/>
  <c r="N41" i="23"/>
  <c r="K238" i="25"/>
  <c r="K236" i="25"/>
  <c r="L33" i="20"/>
  <c r="K25" i="20"/>
  <c r="I8" i="2"/>
  <c r="I8" i="5"/>
  <c r="K22" i="7"/>
  <c r="I8" i="7"/>
  <c r="I8" i="18"/>
  <c r="K22" i="14"/>
  <c r="I8" i="14"/>
  <c r="K8" i="14" s="1"/>
  <c r="I8" i="8"/>
  <c r="K8" i="8" s="1"/>
  <c r="I22" i="8"/>
  <c r="I36" i="8"/>
  <c r="I8" i="37"/>
  <c r="I8" i="12"/>
  <c r="K8" i="12" s="1"/>
  <c r="K134" i="3"/>
  <c r="K87" i="3"/>
  <c r="I37" i="12"/>
  <c r="J34" i="8" l="1"/>
  <c r="K17" i="24"/>
  <c r="N17" i="24" s="1"/>
  <c r="L101" i="39"/>
  <c r="L103" i="39" s="1"/>
  <c r="K6" i="24"/>
  <c r="N6" i="24" s="1"/>
  <c r="M25" i="24"/>
  <c r="N25" i="24" s="1"/>
  <c r="N26" i="24"/>
  <c r="K51" i="25"/>
  <c r="N17" i="30" s="1"/>
  <c r="N5" i="30" s="1"/>
  <c r="P22" i="23"/>
  <c r="P16" i="24" s="1"/>
  <c r="P15" i="24" s="1"/>
  <c r="P24" i="24" s="1"/>
  <c r="P35" i="24" s="1"/>
  <c r="N241" i="25"/>
  <c r="N245" i="25" s="1"/>
  <c r="K43" i="12"/>
  <c r="L97" i="39" s="1"/>
  <c r="I42" i="12"/>
  <c r="K42" i="12" s="1"/>
  <c r="K47" i="11"/>
  <c r="N48" i="11"/>
  <c r="K16" i="24"/>
  <c r="K15" i="24" s="1"/>
  <c r="N15" i="24" s="1"/>
  <c r="K7" i="24"/>
  <c r="N7" i="24" s="1"/>
  <c r="K34" i="18"/>
  <c r="J34" i="7"/>
  <c r="K8" i="5"/>
  <c r="K34" i="5"/>
  <c r="J34" i="2"/>
  <c r="J32" i="2" s="1"/>
  <c r="J31" i="2" s="1"/>
  <c r="J35" i="2" s="1"/>
  <c r="J46" i="8"/>
  <c r="J32" i="8"/>
  <c r="J31" i="8" s="1"/>
  <c r="J35" i="8" s="1"/>
  <c r="J46" i="37"/>
  <c r="J34" i="37"/>
  <c r="J32" i="37" s="1"/>
  <c r="J31" i="37" s="1"/>
  <c r="J35" i="37" s="1"/>
  <c r="R75" i="30"/>
  <c r="R42" i="30" s="1"/>
  <c r="N73" i="25"/>
  <c r="P21" i="23"/>
  <c r="P30" i="23" s="1"/>
  <c r="P44" i="23" s="1"/>
  <c r="O22" i="23"/>
  <c r="N51" i="25"/>
  <c r="J46" i="18"/>
  <c r="J32" i="18"/>
  <c r="J31" i="18" s="1"/>
  <c r="J35" i="18" s="1"/>
  <c r="N8" i="20"/>
  <c r="L49" i="20"/>
  <c r="J32" i="14"/>
  <c r="J31" i="14" s="1"/>
  <c r="J35" i="14" s="1"/>
  <c r="L35" i="20"/>
  <c r="L34" i="20" s="1"/>
  <c r="L38" i="20" s="1"/>
  <c r="M49" i="20"/>
  <c r="I46" i="37"/>
  <c r="J32" i="12"/>
  <c r="J31" i="12" s="1"/>
  <c r="J35" i="12" s="1"/>
  <c r="K36" i="14"/>
  <c r="K86" i="3"/>
  <c r="K5" i="3" s="1"/>
  <c r="R31" i="23"/>
  <c r="Q44" i="23"/>
  <c r="I32" i="18"/>
  <c r="J32" i="7"/>
  <c r="J31" i="7" s="1"/>
  <c r="J35" i="7" s="1"/>
  <c r="K8" i="37"/>
  <c r="L98" i="39"/>
  <c r="I46" i="18"/>
  <c r="K242" i="25"/>
  <c r="K240" i="25"/>
  <c r="K22" i="5"/>
  <c r="I46" i="2"/>
  <c r="M4" i="24"/>
  <c r="M24" i="24" s="1"/>
  <c r="M35" i="24" s="1"/>
  <c r="I30" i="14"/>
  <c r="N4" i="21"/>
  <c r="I46" i="14"/>
  <c r="K46" i="14" s="1"/>
  <c r="N47" i="14" s="1"/>
  <c r="K36" i="18"/>
  <c r="K22" i="12"/>
  <c r="I30" i="37"/>
  <c r="K30" i="37" s="1"/>
  <c r="K8" i="18"/>
  <c r="K8" i="7"/>
  <c r="I46" i="5"/>
  <c r="K46" i="5" s="1"/>
  <c r="N47" i="5" s="1"/>
  <c r="J32" i="5"/>
  <c r="J31" i="5" s="1"/>
  <c r="J35" i="5" s="1"/>
  <c r="E24" i="16"/>
  <c r="K4" i="21"/>
  <c r="K5" i="20"/>
  <c r="N5" i="20" s="1"/>
  <c r="J30" i="18"/>
  <c r="I46" i="7"/>
  <c r="K34" i="7" s="1"/>
  <c r="K36" i="37"/>
  <c r="K49" i="20"/>
  <c r="M35" i="20"/>
  <c r="M34" i="20" s="1"/>
  <c r="M38" i="20" s="1"/>
  <c r="K33" i="20"/>
  <c r="N37" i="20" s="1"/>
  <c r="N25" i="20"/>
  <c r="I30" i="2"/>
  <c r="K8" i="2"/>
  <c r="I30" i="5"/>
  <c r="K30" i="5" s="1"/>
  <c r="I30" i="7"/>
  <c r="K30" i="7" s="1"/>
  <c r="I30" i="18"/>
  <c r="K36" i="8"/>
  <c r="I46" i="8"/>
  <c r="K46" i="8" s="1"/>
  <c r="N47" i="8" s="1"/>
  <c r="K22" i="8"/>
  <c r="I30" i="8"/>
  <c r="I30" i="12"/>
  <c r="L108" i="39"/>
  <c r="K46" i="37" l="1"/>
  <c r="N47" i="37" s="1"/>
  <c r="N47" i="11"/>
  <c r="K61" i="11"/>
  <c r="N61" i="11" s="1"/>
  <c r="N16" i="24"/>
  <c r="K30" i="12"/>
  <c r="K34" i="12"/>
  <c r="K46" i="2"/>
  <c r="N47" i="2" s="1"/>
  <c r="K34" i="2"/>
  <c r="K30" i="14"/>
  <c r="K34" i="14"/>
  <c r="K30" i="8"/>
  <c r="K46" i="18"/>
  <c r="N47" i="18" s="1"/>
  <c r="R17" i="30"/>
  <c r="N6" i="25"/>
  <c r="N5" i="25" s="1"/>
  <c r="O21" i="23"/>
  <c r="R22" i="23"/>
  <c r="O16" i="24"/>
  <c r="K30" i="18"/>
  <c r="E19" i="16"/>
  <c r="K23" i="16"/>
  <c r="K19" i="16"/>
  <c r="N49" i="20"/>
  <c r="E12" i="16"/>
  <c r="E23" i="16"/>
  <c r="E11" i="16"/>
  <c r="K6" i="25"/>
  <c r="K46" i="7"/>
  <c r="N47" i="7" s="1"/>
  <c r="L107" i="39"/>
  <c r="E4" i="16"/>
  <c r="L86" i="39"/>
  <c r="L105" i="39" s="1"/>
  <c r="K37" i="12"/>
  <c r="K5" i="24" s="1"/>
  <c r="N5" i="24" s="1"/>
  <c r="I36" i="12"/>
  <c r="K31" i="23"/>
  <c r="N33" i="20"/>
  <c r="K30" i="2"/>
  <c r="I32" i="5"/>
  <c r="I32" i="7"/>
  <c r="K32" i="18"/>
  <c r="I31" i="18"/>
  <c r="I32" i="37"/>
  <c r="K34" i="37"/>
  <c r="R50" i="20" l="1"/>
  <c r="I32" i="14"/>
  <c r="I31" i="14" s="1"/>
  <c r="R21" i="23"/>
  <c r="O30" i="23"/>
  <c r="N246" i="25"/>
  <c r="R46" i="23"/>
  <c r="R16" i="24"/>
  <c r="O15" i="24"/>
  <c r="K18" i="16"/>
  <c r="K17" i="16" s="1"/>
  <c r="E18" i="16"/>
  <c r="E17" i="16" s="1"/>
  <c r="K13" i="16"/>
  <c r="E5" i="16"/>
  <c r="E13" i="16"/>
  <c r="E10" i="16" s="1"/>
  <c r="K73" i="25"/>
  <c r="K36" i="12"/>
  <c r="K35" i="20"/>
  <c r="I32" i="2"/>
  <c r="I31" i="5"/>
  <c r="K32" i="5"/>
  <c r="I31" i="7"/>
  <c r="K32" i="7"/>
  <c r="I35" i="18"/>
  <c r="K35" i="18" s="1"/>
  <c r="K31" i="18"/>
  <c r="K32" i="14"/>
  <c r="I32" i="8"/>
  <c r="K34" i="8"/>
  <c r="K231" i="25" s="1"/>
  <c r="M38" i="23" s="1"/>
  <c r="I31" i="37"/>
  <c r="K32" i="37"/>
  <c r="N38" i="23" l="1"/>
  <c r="M32" i="23"/>
  <c r="N32" i="23" s="1"/>
  <c r="N247" i="25"/>
  <c r="L11" i="16"/>
  <c r="R15" i="24"/>
  <c r="O24" i="24"/>
  <c r="O44" i="23"/>
  <c r="R44" i="23" s="1"/>
  <c r="R30" i="23"/>
  <c r="R112" i="10"/>
  <c r="K34" i="20"/>
  <c r="N35" i="20"/>
  <c r="K32" i="2"/>
  <c r="I31" i="2"/>
  <c r="I35" i="5"/>
  <c r="K35" i="5" s="1"/>
  <c r="K31" i="5"/>
  <c r="I35" i="7"/>
  <c r="K35" i="7" s="1"/>
  <c r="K31" i="7"/>
  <c r="I35" i="14"/>
  <c r="K35" i="14" s="1"/>
  <c r="K31" i="14"/>
  <c r="K32" i="8"/>
  <c r="I31" i="8"/>
  <c r="I35" i="37"/>
  <c r="K35" i="37" s="1"/>
  <c r="K31" i="37"/>
  <c r="R24" i="24" l="1"/>
  <c r="O35" i="24"/>
  <c r="R35" i="24" s="1"/>
  <c r="R63" i="11" s="1"/>
  <c r="R113" i="10"/>
  <c r="R47" i="23"/>
  <c r="I32" i="12"/>
  <c r="K38" i="20"/>
  <c r="N38" i="20" s="1"/>
  <c r="N34" i="20"/>
  <c r="K31" i="2"/>
  <c r="I35" i="2"/>
  <c r="K35" i="2" s="1"/>
  <c r="I35" i="8"/>
  <c r="K35" i="8" s="1"/>
  <c r="K31" i="8"/>
  <c r="K32" i="12" l="1"/>
  <c r="I31" i="12"/>
  <c r="K230" i="25" l="1"/>
  <c r="I35" i="12"/>
  <c r="K35" i="12" s="1"/>
  <c r="K31" i="12"/>
  <c r="K244" i="25" l="1"/>
  <c r="K245" i="25" s="1"/>
  <c r="K246" i="25" s="1"/>
  <c r="K5" i="25"/>
  <c r="L24" i="16" l="1"/>
  <c r="J24" i="16"/>
  <c r="J6" i="23"/>
  <c r="J5" i="23"/>
  <c r="J7" i="20"/>
  <c r="J6" i="20"/>
  <c r="H7" i="2"/>
  <c r="H6" i="2"/>
  <c r="H7" i="5"/>
  <c r="H6" i="5"/>
  <c r="H7" i="7"/>
  <c r="H7" i="18"/>
  <c r="H6" i="18"/>
  <c r="C13" i="36" s="1"/>
  <c r="H29" i="14"/>
  <c r="G28" i="14"/>
  <c r="F28" i="14"/>
  <c r="H28" i="14" s="1"/>
  <c r="H27" i="14"/>
  <c r="H26" i="14"/>
  <c r="G25" i="14"/>
  <c r="F25" i="14"/>
  <c r="H25" i="14" s="1"/>
  <c r="H24" i="14"/>
  <c r="G23" i="14"/>
  <c r="F23" i="14"/>
  <c r="H21" i="14"/>
  <c r="G20" i="14"/>
  <c r="F20" i="14"/>
  <c r="H20" i="14" s="1"/>
  <c r="H19" i="14"/>
  <c r="H18" i="14"/>
  <c r="H17" i="14"/>
  <c r="H16" i="14"/>
  <c r="H15" i="14"/>
  <c r="H14" i="14"/>
  <c r="H13" i="14"/>
  <c r="H12" i="14"/>
  <c r="G11" i="14"/>
  <c r="F11" i="14"/>
  <c r="H11" i="14" s="1"/>
  <c r="H10" i="14"/>
  <c r="G9" i="14"/>
  <c r="G8" i="14" s="1"/>
  <c r="F9" i="14"/>
  <c r="H9" i="14" s="1"/>
  <c r="H7" i="14"/>
  <c r="H6" i="14"/>
  <c r="H7" i="8"/>
  <c r="H7" i="37"/>
  <c r="H6" i="37"/>
  <c r="H7" i="12"/>
  <c r="F6" i="12"/>
  <c r="H6" i="12" s="1"/>
  <c r="F6" i="8"/>
  <c r="H6" i="8" s="1"/>
  <c r="C15" i="36" s="1"/>
  <c r="F6" i="7"/>
  <c r="H6" i="7" s="1"/>
  <c r="C12" i="36" s="1"/>
  <c r="F65" i="39"/>
  <c r="C13" i="32"/>
  <c r="C6" i="8"/>
  <c r="E6" i="8" s="1"/>
  <c r="D62" i="39"/>
  <c r="C6" i="12"/>
  <c r="E6" i="12" s="1"/>
  <c r="C6" i="7"/>
  <c r="E6" i="7" s="1"/>
  <c r="B12" i="36" s="1"/>
  <c r="G50" i="38"/>
  <c r="D50" i="38"/>
  <c r="E191" i="19"/>
  <c r="D191" i="19"/>
  <c r="E190" i="19"/>
  <c r="D190" i="19"/>
  <c r="E189" i="19"/>
  <c r="D189" i="19"/>
  <c r="E188" i="19"/>
  <c r="D188" i="19"/>
  <c r="E187" i="19"/>
  <c r="D187" i="19"/>
  <c r="G186" i="19"/>
  <c r="E186" i="19" s="1"/>
  <c r="D186" i="19"/>
  <c r="E185" i="19"/>
  <c r="D185" i="19"/>
  <c r="E184" i="19"/>
  <c r="D184" i="19"/>
  <c r="E183" i="19"/>
  <c r="D183" i="19"/>
  <c r="E182" i="19"/>
  <c r="D182" i="19"/>
  <c r="E181" i="19"/>
  <c r="D181" i="19"/>
  <c r="U180" i="19"/>
  <c r="U192" i="19"/>
  <c r="T180" i="19"/>
  <c r="T192" i="19" s="1"/>
  <c r="S180" i="19"/>
  <c r="R180" i="19"/>
  <c r="Q180" i="19"/>
  <c r="Q192" i="19" s="1"/>
  <c r="P180" i="19"/>
  <c r="P192" i="19" s="1"/>
  <c r="O180" i="19"/>
  <c r="N180" i="19"/>
  <c r="M180" i="19"/>
  <c r="M192" i="19" s="1"/>
  <c r="L180" i="19"/>
  <c r="L192" i="19" s="1"/>
  <c r="K180" i="19"/>
  <c r="J180" i="19"/>
  <c r="I180" i="19"/>
  <c r="I192" i="19" s="1"/>
  <c r="H180" i="19"/>
  <c r="G180" i="19"/>
  <c r="F180" i="19"/>
  <c r="E179" i="19"/>
  <c r="E178" i="19"/>
  <c r="D179" i="19"/>
  <c r="D178" i="19"/>
  <c r="U178" i="19"/>
  <c r="T178" i="19"/>
  <c r="S178" i="19"/>
  <c r="R178" i="19"/>
  <c r="Q178" i="19"/>
  <c r="P178" i="19"/>
  <c r="O178" i="19"/>
  <c r="N178" i="19"/>
  <c r="N192" i="19" s="1"/>
  <c r="M178" i="19"/>
  <c r="L178" i="19"/>
  <c r="K178" i="19"/>
  <c r="J178" i="19"/>
  <c r="I178" i="19"/>
  <c r="H178" i="19"/>
  <c r="G178" i="19"/>
  <c r="F178" i="19"/>
  <c r="F192" i="19" s="1"/>
  <c r="U165" i="19"/>
  <c r="T165" i="19"/>
  <c r="S165" i="19"/>
  <c r="R165" i="19"/>
  <c r="Q165" i="19"/>
  <c r="P165" i="19"/>
  <c r="O165" i="19"/>
  <c r="N165" i="19"/>
  <c r="M165" i="19"/>
  <c r="L165" i="19"/>
  <c r="L166" i="19" s="1"/>
  <c r="K165" i="19"/>
  <c r="J165" i="19"/>
  <c r="I165" i="19"/>
  <c r="H165" i="19"/>
  <c r="F165" i="19"/>
  <c r="F166" i="19" s="1"/>
  <c r="G164" i="19"/>
  <c r="G165" i="19"/>
  <c r="D164" i="19"/>
  <c r="E163" i="19"/>
  <c r="D163" i="19"/>
  <c r="E162" i="19"/>
  <c r="D162" i="19"/>
  <c r="E161" i="19"/>
  <c r="D161" i="19"/>
  <c r="E160" i="19"/>
  <c r="D160" i="19"/>
  <c r="D165" i="19" s="1"/>
  <c r="T159" i="19"/>
  <c r="T166" i="19" s="1"/>
  <c r="S159" i="19"/>
  <c r="R159" i="19"/>
  <c r="R166" i="19" s="1"/>
  <c r="Q159" i="19"/>
  <c r="Q166" i="19" s="1"/>
  <c r="P159" i="19"/>
  <c r="N159" i="19"/>
  <c r="N166" i="19" s="1"/>
  <c r="M159" i="19"/>
  <c r="M166" i="19" s="1"/>
  <c r="L159" i="19"/>
  <c r="K159" i="19"/>
  <c r="J159" i="19"/>
  <c r="I159" i="19"/>
  <c r="I166" i="19" s="1"/>
  <c r="H159" i="19"/>
  <c r="F159" i="19"/>
  <c r="U158" i="19"/>
  <c r="U159" i="19" s="1"/>
  <c r="U166" i="19" s="1"/>
  <c r="O158" i="19"/>
  <c r="O159" i="19"/>
  <c r="D158" i="19"/>
  <c r="E157" i="19"/>
  <c r="D157" i="19"/>
  <c r="E156" i="19"/>
  <c r="D156" i="19"/>
  <c r="E155" i="19"/>
  <c r="D155" i="19"/>
  <c r="G154" i="19"/>
  <c r="G158" i="19" s="1"/>
  <c r="D154" i="19"/>
  <c r="E153" i="19"/>
  <c r="D153" i="19"/>
  <c r="E152" i="19"/>
  <c r="D152" i="19"/>
  <c r="E151" i="19"/>
  <c r="D151" i="19"/>
  <c r="U141" i="19"/>
  <c r="T141" i="19"/>
  <c r="S141" i="19"/>
  <c r="R141" i="19"/>
  <c r="Q141" i="19"/>
  <c r="P141" i="19"/>
  <c r="O141" i="19"/>
  <c r="N141" i="19"/>
  <c r="M141" i="19"/>
  <c r="L141" i="19"/>
  <c r="K141" i="19"/>
  <c r="J141" i="19"/>
  <c r="I141" i="19"/>
  <c r="H141" i="19"/>
  <c r="G141" i="19"/>
  <c r="F141" i="19"/>
  <c r="E140" i="19"/>
  <c r="D140" i="19"/>
  <c r="E139" i="19"/>
  <c r="D139" i="19"/>
  <c r="E138" i="19"/>
  <c r="D138" i="19"/>
  <c r="E137" i="19"/>
  <c r="D137" i="19"/>
  <c r="E136" i="19"/>
  <c r="D136" i="19"/>
  <c r="E135" i="19"/>
  <c r="D135" i="19"/>
  <c r="E134" i="19"/>
  <c r="D134" i="19"/>
  <c r="E133" i="19"/>
  <c r="D133" i="19"/>
  <c r="S131" i="19"/>
  <c r="M131" i="19"/>
  <c r="U126" i="19"/>
  <c r="T126" i="19"/>
  <c r="Q126" i="19"/>
  <c r="P126" i="19"/>
  <c r="O126" i="19"/>
  <c r="N126" i="19"/>
  <c r="G126" i="19"/>
  <c r="E126" i="19" s="1"/>
  <c r="F126" i="19"/>
  <c r="D126" i="19" s="1"/>
  <c r="U123" i="19"/>
  <c r="T123" i="19"/>
  <c r="Q123" i="19"/>
  <c r="P123" i="19"/>
  <c r="G123" i="19"/>
  <c r="F123" i="19"/>
  <c r="U118" i="19"/>
  <c r="T118" i="19"/>
  <c r="Q118" i="19"/>
  <c r="P118" i="19"/>
  <c r="G118" i="19"/>
  <c r="E118" i="19" s="1"/>
  <c r="F118" i="19"/>
  <c r="D118" i="19" s="1"/>
  <c r="U114" i="19"/>
  <c r="T114" i="19"/>
  <c r="Q114" i="19"/>
  <c r="P114" i="19"/>
  <c r="G114" i="19"/>
  <c r="F114" i="19"/>
  <c r="T111" i="19"/>
  <c r="R111" i="19"/>
  <c r="R131" i="19" s="1"/>
  <c r="P111" i="19"/>
  <c r="N111" i="19"/>
  <c r="N131" i="19" s="1"/>
  <c r="L111" i="19"/>
  <c r="L131" i="19" s="1"/>
  <c r="L132" i="19" s="1"/>
  <c r="K111" i="19"/>
  <c r="K131" i="19" s="1"/>
  <c r="J111" i="19"/>
  <c r="J131" i="19"/>
  <c r="I111" i="19"/>
  <c r="I131" i="19" s="1"/>
  <c r="H111" i="19"/>
  <c r="H131" i="19" s="1"/>
  <c r="F111" i="19"/>
  <c r="S110" i="19"/>
  <c r="R110" i="19"/>
  <c r="M110" i="19"/>
  <c r="L110" i="19"/>
  <c r="K110" i="19"/>
  <c r="J110" i="19"/>
  <c r="I110" i="19"/>
  <c r="H110" i="19"/>
  <c r="E109" i="19"/>
  <c r="D109" i="19"/>
  <c r="U106" i="19"/>
  <c r="U110" i="19" s="1"/>
  <c r="T106" i="19"/>
  <c r="T110" i="19" s="1"/>
  <c r="Q106" i="19"/>
  <c r="Q110" i="19"/>
  <c r="P106" i="19"/>
  <c r="P110" i="19" s="1"/>
  <c r="O106" i="19"/>
  <c r="O110" i="19"/>
  <c r="N106" i="19"/>
  <c r="N110" i="19" s="1"/>
  <c r="G106" i="19"/>
  <c r="F106" i="19"/>
  <c r="F110" i="19" s="1"/>
  <c r="S105" i="19"/>
  <c r="R105" i="19"/>
  <c r="M105" i="19"/>
  <c r="L105" i="19"/>
  <c r="K105" i="19"/>
  <c r="J105" i="19"/>
  <c r="I105" i="19"/>
  <c r="H105" i="19"/>
  <c r="U104" i="19"/>
  <c r="U100" i="19"/>
  <c r="T100" i="19"/>
  <c r="Q100" i="19"/>
  <c r="P100" i="19"/>
  <c r="O100" i="19"/>
  <c r="N100" i="19"/>
  <c r="G100" i="19"/>
  <c r="F100" i="19"/>
  <c r="U96" i="19"/>
  <c r="T96" i="19"/>
  <c r="P96" i="19"/>
  <c r="O96" i="19"/>
  <c r="N96" i="19"/>
  <c r="G96" i="19"/>
  <c r="F96" i="19"/>
  <c r="D96" i="19" s="1"/>
  <c r="U93" i="19"/>
  <c r="E93" i="19" s="1"/>
  <c r="T93" i="19"/>
  <c r="P93" i="19"/>
  <c r="O93" i="19"/>
  <c r="O105" i="19" s="1"/>
  <c r="N93" i="19"/>
  <c r="G93" i="19"/>
  <c r="F93" i="19"/>
  <c r="Q92" i="19"/>
  <c r="Q105" i="19" s="1"/>
  <c r="O92" i="19"/>
  <c r="D92" i="19"/>
  <c r="U89" i="19"/>
  <c r="T89" i="19"/>
  <c r="Q89" i="19"/>
  <c r="P89" i="19"/>
  <c r="N89" i="19"/>
  <c r="G89" i="19"/>
  <c r="F89" i="19"/>
  <c r="E88" i="19"/>
  <c r="D88" i="19"/>
  <c r="U84" i="19"/>
  <c r="T84" i="19"/>
  <c r="T105" i="19" s="1"/>
  <c r="Q84" i="19"/>
  <c r="P84" i="19"/>
  <c r="N84" i="19"/>
  <c r="G84" i="19"/>
  <c r="E84" i="19" s="1"/>
  <c r="F84" i="19"/>
  <c r="S83" i="19"/>
  <c r="R83" i="19"/>
  <c r="R132" i="19" s="1"/>
  <c r="O83" i="19"/>
  <c r="M83" i="19"/>
  <c r="L83" i="19"/>
  <c r="K83" i="19"/>
  <c r="J83" i="19"/>
  <c r="I83" i="19"/>
  <c r="H83" i="19"/>
  <c r="U80" i="19"/>
  <c r="T80" i="19"/>
  <c r="Q80" i="19"/>
  <c r="P80" i="19"/>
  <c r="O80" i="19"/>
  <c r="E80" i="19" s="1"/>
  <c r="N80" i="19"/>
  <c r="G80" i="19"/>
  <c r="F80" i="19"/>
  <c r="U73" i="19"/>
  <c r="U83" i="19" s="1"/>
  <c r="T73" i="19"/>
  <c r="Q73" i="19"/>
  <c r="Q83" i="19" s="1"/>
  <c r="P73" i="19"/>
  <c r="P83" i="19"/>
  <c r="N73" i="19"/>
  <c r="G73" i="19"/>
  <c r="F73" i="19"/>
  <c r="S72" i="19"/>
  <c r="S132" i="19" s="1"/>
  <c r="R72" i="19"/>
  <c r="Q72" i="19"/>
  <c r="M72" i="19"/>
  <c r="M132" i="19" s="1"/>
  <c r="L72" i="19"/>
  <c r="K72" i="19"/>
  <c r="J72" i="19"/>
  <c r="I72" i="19"/>
  <c r="H72" i="19"/>
  <c r="H132" i="19" s="1"/>
  <c r="Q69" i="19"/>
  <c r="P69" i="19"/>
  <c r="D69" i="19" s="1"/>
  <c r="G69" i="19"/>
  <c r="F69" i="19"/>
  <c r="U62" i="19"/>
  <c r="T62" i="19"/>
  <c r="Q62" i="19"/>
  <c r="P62" i="19"/>
  <c r="O62" i="19"/>
  <c r="O72" i="19" s="1"/>
  <c r="N62" i="19"/>
  <c r="N72" i="19"/>
  <c r="G62" i="19"/>
  <c r="F62" i="19"/>
  <c r="D62" i="19" s="1"/>
  <c r="U55" i="19"/>
  <c r="T55" i="19"/>
  <c r="T72" i="19"/>
  <c r="P55" i="19"/>
  <c r="G55" i="19"/>
  <c r="F55" i="19"/>
  <c r="T45" i="19"/>
  <c r="S45" i="19"/>
  <c r="R45" i="19"/>
  <c r="P45" i="19"/>
  <c r="N45" i="19"/>
  <c r="L45" i="19"/>
  <c r="J45" i="19"/>
  <c r="H45" i="19"/>
  <c r="F45" i="19"/>
  <c r="U44" i="19"/>
  <c r="Q44" i="19"/>
  <c r="O44" i="19"/>
  <c r="M44" i="19"/>
  <c r="K44" i="19"/>
  <c r="I44" i="19"/>
  <c r="G44" i="19"/>
  <c r="D44" i="19"/>
  <c r="E43" i="19"/>
  <c r="D43" i="19"/>
  <c r="K42" i="19"/>
  <c r="K45" i="19"/>
  <c r="I42" i="19"/>
  <c r="D42" i="19"/>
  <c r="U41" i="19"/>
  <c r="Q41" i="19"/>
  <c r="O41" i="19"/>
  <c r="K41" i="19"/>
  <c r="I41" i="19"/>
  <c r="D41" i="19"/>
  <c r="D45" i="19" s="1"/>
  <c r="T39" i="19"/>
  <c r="S39" i="19"/>
  <c r="R39" i="19"/>
  <c r="Q39" i="19"/>
  <c r="P39" i="19"/>
  <c r="O39" i="19"/>
  <c r="K39" i="19"/>
  <c r="J39" i="19"/>
  <c r="I39" i="19"/>
  <c r="H39" i="19"/>
  <c r="U36" i="19"/>
  <c r="U42" i="19" s="1"/>
  <c r="U39" i="19"/>
  <c r="M36" i="19"/>
  <c r="M42" i="19" s="1"/>
  <c r="L36" i="19"/>
  <c r="G36" i="19"/>
  <c r="F36" i="19"/>
  <c r="D36" i="19" s="1"/>
  <c r="G35" i="19"/>
  <c r="N34" i="19"/>
  <c r="N39" i="19"/>
  <c r="M34" i="19"/>
  <c r="M41" i="19" s="1"/>
  <c r="L34" i="19"/>
  <c r="G34" i="19"/>
  <c r="F34" i="19"/>
  <c r="G31" i="19"/>
  <c r="F31" i="19"/>
  <c r="U30" i="19"/>
  <c r="T30" i="19"/>
  <c r="S30" i="19"/>
  <c r="S40" i="19"/>
  <c r="S46" i="19"/>
  <c r="R30" i="19"/>
  <c r="M30" i="19"/>
  <c r="L30" i="19"/>
  <c r="K30" i="19"/>
  <c r="K40" i="19" s="1"/>
  <c r="I30" i="19"/>
  <c r="I40" i="19" s="1"/>
  <c r="H30" i="19"/>
  <c r="H40" i="19"/>
  <c r="H46" i="19" s="1"/>
  <c r="P28" i="19"/>
  <c r="G28" i="19"/>
  <c r="E28" i="19"/>
  <c r="F28" i="19"/>
  <c r="D28" i="19" s="1"/>
  <c r="G27" i="19"/>
  <c r="G26" i="19" s="1"/>
  <c r="E26" i="19" s="1"/>
  <c r="P26" i="19"/>
  <c r="D26" i="19"/>
  <c r="P24" i="19"/>
  <c r="G24" i="19"/>
  <c r="E24" i="19" s="1"/>
  <c r="F24" i="19"/>
  <c r="D24" i="19"/>
  <c r="Q21" i="19"/>
  <c r="P21" i="19"/>
  <c r="O21" i="19"/>
  <c r="G21" i="19"/>
  <c r="E21" i="19" s="1"/>
  <c r="D21" i="19"/>
  <c r="E20" i="19"/>
  <c r="D20" i="19"/>
  <c r="E19" i="19"/>
  <c r="D19" i="19"/>
  <c r="Q16" i="19"/>
  <c r="Q30" i="19" s="1"/>
  <c r="P16" i="19"/>
  <c r="P30" i="19" s="1"/>
  <c r="O16" i="19"/>
  <c r="N16" i="19"/>
  <c r="N30" i="19" s="1"/>
  <c r="G16" i="19"/>
  <c r="E16" i="19"/>
  <c r="F16" i="19"/>
  <c r="E14" i="19"/>
  <c r="D14" i="19"/>
  <c r="E13" i="19"/>
  <c r="D13" i="19"/>
  <c r="P10" i="19"/>
  <c r="J10" i="19"/>
  <c r="J30" i="19" s="1"/>
  <c r="G10" i="19"/>
  <c r="E9" i="19"/>
  <c r="D9" i="19"/>
  <c r="E8" i="19"/>
  <c r="D8" i="19"/>
  <c r="E6" i="19"/>
  <c r="D6" i="19"/>
  <c r="E227" i="9"/>
  <c r="D227" i="9"/>
  <c r="E226" i="9"/>
  <c r="D226" i="9"/>
  <c r="E225" i="9"/>
  <c r="D225" i="9"/>
  <c r="E224" i="9"/>
  <c r="D224" i="9"/>
  <c r="E223" i="9"/>
  <c r="D223" i="9"/>
  <c r="O222" i="9"/>
  <c r="K222" i="9"/>
  <c r="K216" i="9"/>
  <c r="K228" i="9" s="1"/>
  <c r="I222" i="9"/>
  <c r="I216" i="9" s="1"/>
  <c r="I228" i="9" s="1"/>
  <c r="G222" i="9"/>
  <c r="D222" i="9"/>
  <c r="E221" i="9"/>
  <c r="D221" i="9"/>
  <c r="E220" i="9"/>
  <c r="D220" i="9"/>
  <c r="E219" i="9"/>
  <c r="D219" i="9"/>
  <c r="E218" i="9"/>
  <c r="D218" i="9"/>
  <c r="E217" i="9"/>
  <c r="D217" i="9"/>
  <c r="S216" i="9"/>
  <c r="S228" i="9"/>
  <c r="R216" i="9"/>
  <c r="R228" i="9" s="1"/>
  <c r="Q216" i="9"/>
  <c r="Q228" i="9" s="1"/>
  <c r="P216" i="9"/>
  <c r="P228" i="9"/>
  <c r="O216" i="9"/>
  <c r="O228" i="9" s="1"/>
  <c r="N216" i="9"/>
  <c r="N228" i="9"/>
  <c r="M216" i="9"/>
  <c r="M228" i="9" s="1"/>
  <c r="L216" i="9"/>
  <c r="L228" i="9"/>
  <c r="J216" i="9"/>
  <c r="J228" i="9" s="1"/>
  <c r="H216" i="9"/>
  <c r="H228" i="9" s="1"/>
  <c r="F216" i="9"/>
  <c r="F228" i="9"/>
  <c r="R203" i="9"/>
  <c r="P203" i="9"/>
  <c r="P204" i="9" s="1"/>
  <c r="O203" i="9"/>
  <c r="N203" i="9"/>
  <c r="M203" i="9"/>
  <c r="L203" i="9"/>
  <c r="K203" i="9"/>
  <c r="J203" i="9"/>
  <c r="H203" i="9"/>
  <c r="F203" i="9"/>
  <c r="F204" i="9" s="1"/>
  <c r="I202" i="9"/>
  <c r="I203" i="9"/>
  <c r="G202" i="9"/>
  <c r="G203" i="9" s="1"/>
  <c r="D202" i="9"/>
  <c r="E201" i="9"/>
  <c r="D201" i="9"/>
  <c r="E200" i="9"/>
  <c r="D200" i="9"/>
  <c r="E199" i="9"/>
  <c r="D199" i="9"/>
  <c r="E198" i="9"/>
  <c r="D198" i="9"/>
  <c r="D203" i="9" s="1"/>
  <c r="R197" i="9"/>
  <c r="P197" i="9"/>
  <c r="N197" i="9"/>
  <c r="L197" i="9"/>
  <c r="L204" i="9" s="1"/>
  <c r="K197" i="9"/>
  <c r="K204" i="9" s="1"/>
  <c r="J197" i="9"/>
  <c r="J204" i="9" s="1"/>
  <c r="H197" i="9"/>
  <c r="F197" i="9"/>
  <c r="O196" i="9"/>
  <c r="O197" i="9" s="1"/>
  <c r="O204" i="9" s="1"/>
  <c r="M196" i="9"/>
  <c r="M197" i="9"/>
  <c r="M204" i="9" s="1"/>
  <c r="I196" i="9"/>
  <c r="I197" i="9" s="1"/>
  <c r="I204" i="9" s="1"/>
  <c r="G196" i="9"/>
  <c r="G197" i="9" s="1"/>
  <c r="D196" i="9"/>
  <c r="E195" i="9"/>
  <c r="D195" i="9"/>
  <c r="E194" i="9"/>
  <c r="D194" i="9"/>
  <c r="E193" i="9"/>
  <c r="D193" i="9"/>
  <c r="E192" i="9"/>
  <c r="D192" i="9"/>
  <c r="E191" i="9"/>
  <c r="D191" i="9"/>
  <c r="E190" i="9"/>
  <c r="D190" i="9"/>
  <c r="E189" i="9"/>
  <c r="D189" i="9"/>
  <c r="R173" i="9"/>
  <c r="P173" i="9"/>
  <c r="O173" i="9"/>
  <c r="N173" i="9"/>
  <c r="M173" i="9"/>
  <c r="L173" i="9"/>
  <c r="K173" i="9"/>
  <c r="J173" i="9"/>
  <c r="I173" i="9"/>
  <c r="H173" i="9"/>
  <c r="G173" i="9"/>
  <c r="E173" i="9" s="1"/>
  <c r="F173" i="9"/>
  <c r="D173" i="9" s="1"/>
  <c r="R170" i="9"/>
  <c r="P170" i="9"/>
  <c r="O170" i="9"/>
  <c r="N170" i="9"/>
  <c r="M170" i="9"/>
  <c r="L170" i="9"/>
  <c r="K170" i="9"/>
  <c r="J170" i="9"/>
  <c r="I170" i="9"/>
  <c r="H170" i="9"/>
  <c r="G170" i="9"/>
  <c r="F170" i="9"/>
  <c r="D170" i="9" s="1"/>
  <c r="R165" i="9"/>
  <c r="P165" i="9"/>
  <c r="O165" i="9"/>
  <c r="N165" i="9"/>
  <c r="M165" i="9"/>
  <c r="L165" i="9"/>
  <c r="K165" i="9"/>
  <c r="J165" i="9"/>
  <c r="I165" i="9"/>
  <c r="H165" i="9"/>
  <c r="G165" i="9"/>
  <c r="E165" i="9" s="1"/>
  <c r="F165" i="9"/>
  <c r="R161" i="9"/>
  <c r="P161" i="9"/>
  <c r="O161" i="9"/>
  <c r="N161" i="9"/>
  <c r="M161" i="9"/>
  <c r="M178" i="9" s="1"/>
  <c r="L161" i="9"/>
  <c r="K161" i="9"/>
  <c r="J161" i="9"/>
  <c r="I161" i="9"/>
  <c r="H161" i="9"/>
  <c r="G161" i="9"/>
  <c r="F161" i="9"/>
  <c r="R158" i="9"/>
  <c r="R178" i="9" s="1"/>
  <c r="Q158" i="9"/>
  <c r="Q178" i="9"/>
  <c r="P158" i="9"/>
  <c r="N158" i="9"/>
  <c r="L158" i="9"/>
  <c r="J158" i="9"/>
  <c r="H158" i="9"/>
  <c r="F158" i="9"/>
  <c r="E156" i="9"/>
  <c r="D156" i="9"/>
  <c r="R153" i="9"/>
  <c r="R157" i="9" s="1"/>
  <c r="Q153" i="9"/>
  <c r="Q157" i="9" s="1"/>
  <c r="P153" i="9"/>
  <c r="P157" i="9" s="1"/>
  <c r="O153" i="9"/>
  <c r="O157" i="9"/>
  <c r="N153" i="9"/>
  <c r="N157" i="9" s="1"/>
  <c r="M153" i="9"/>
  <c r="M157" i="9"/>
  <c r="L153" i="9"/>
  <c r="L157" i="9" s="1"/>
  <c r="K153" i="9"/>
  <c r="K157" i="9"/>
  <c r="J153" i="9"/>
  <c r="J157" i="9" s="1"/>
  <c r="I153" i="9"/>
  <c r="I157" i="9" s="1"/>
  <c r="H153" i="9"/>
  <c r="H157" i="9"/>
  <c r="G153" i="9"/>
  <c r="F153" i="9"/>
  <c r="F157" i="9" s="1"/>
  <c r="R147" i="9"/>
  <c r="Q147" i="9"/>
  <c r="P147" i="9"/>
  <c r="O147" i="9"/>
  <c r="N147" i="9"/>
  <c r="M147" i="9"/>
  <c r="L147" i="9"/>
  <c r="K147" i="9"/>
  <c r="J147" i="9"/>
  <c r="I147" i="9"/>
  <c r="H147" i="9"/>
  <c r="G147" i="9"/>
  <c r="E147" i="9" s="1"/>
  <c r="F147" i="9"/>
  <c r="R143" i="9"/>
  <c r="Q143" i="9"/>
  <c r="P143" i="9"/>
  <c r="O143" i="9"/>
  <c r="N143" i="9"/>
  <c r="M143" i="9"/>
  <c r="L143" i="9"/>
  <c r="K143" i="9"/>
  <c r="J143" i="9"/>
  <c r="I143" i="9"/>
  <c r="H143" i="9"/>
  <c r="G143" i="9"/>
  <c r="F143" i="9"/>
  <c r="R140" i="9"/>
  <c r="P140" i="9"/>
  <c r="N140" i="9"/>
  <c r="M140" i="9"/>
  <c r="L140" i="9"/>
  <c r="K140" i="9"/>
  <c r="J140" i="9"/>
  <c r="I140" i="9"/>
  <c r="H140" i="9"/>
  <c r="G140" i="9"/>
  <c r="F140" i="9"/>
  <c r="E139" i="9"/>
  <c r="D139" i="9"/>
  <c r="R136" i="9"/>
  <c r="P136" i="9"/>
  <c r="O136" i="9"/>
  <c r="N136" i="9"/>
  <c r="M136" i="9"/>
  <c r="L136" i="9"/>
  <c r="K136" i="9"/>
  <c r="J136" i="9"/>
  <c r="I136" i="9"/>
  <c r="H136" i="9"/>
  <c r="G136" i="9"/>
  <c r="E136" i="9" s="1"/>
  <c r="F136" i="9"/>
  <c r="R134" i="9"/>
  <c r="P134" i="9"/>
  <c r="O134" i="9"/>
  <c r="N134" i="9"/>
  <c r="L134" i="9"/>
  <c r="K134" i="9"/>
  <c r="J134" i="9"/>
  <c r="D134" i="9" s="1"/>
  <c r="I134" i="9"/>
  <c r="G134" i="9"/>
  <c r="R130" i="9"/>
  <c r="R152" i="9" s="1"/>
  <c r="P130" i="9"/>
  <c r="O130" i="9"/>
  <c r="N130" i="9"/>
  <c r="M130" i="9"/>
  <c r="L130" i="9"/>
  <c r="K130" i="9"/>
  <c r="K152" i="9"/>
  <c r="J130" i="9"/>
  <c r="I130" i="9"/>
  <c r="I152" i="9"/>
  <c r="H130" i="9"/>
  <c r="G130" i="9"/>
  <c r="F130" i="9"/>
  <c r="Q129" i="9"/>
  <c r="R126" i="9"/>
  <c r="R129" i="9" s="1"/>
  <c r="R179" i="9" s="1"/>
  <c r="P126" i="9"/>
  <c r="O126" i="9"/>
  <c r="N126" i="9"/>
  <c r="M126" i="9"/>
  <c r="M129" i="9" s="1"/>
  <c r="L126" i="9"/>
  <c r="K126" i="9"/>
  <c r="K129" i="9"/>
  <c r="J126" i="9"/>
  <c r="J129" i="9" s="1"/>
  <c r="I126" i="9"/>
  <c r="H126" i="9"/>
  <c r="G126" i="9"/>
  <c r="E126" i="9"/>
  <c r="F126" i="9"/>
  <c r="R119" i="9"/>
  <c r="P119" i="9"/>
  <c r="O119" i="9"/>
  <c r="O129" i="9" s="1"/>
  <c r="N119" i="9"/>
  <c r="N129" i="9" s="1"/>
  <c r="M119" i="9"/>
  <c r="L119" i="9"/>
  <c r="K119" i="9"/>
  <c r="J119" i="9"/>
  <c r="I119" i="9"/>
  <c r="I129" i="9" s="1"/>
  <c r="H119" i="9"/>
  <c r="G119" i="9"/>
  <c r="F119" i="9"/>
  <c r="F129" i="9" s="1"/>
  <c r="Q118" i="9"/>
  <c r="R115" i="9"/>
  <c r="P115" i="9"/>
  <c r="O115" i="9"/>
  <c r="N115" i="9"/>
  <c r="M115" i="9"/>
  <c r="L115" i="9"/>
  <c r="K115" i="9"/>
  <c r="J115" i="9"/>
  <c r="I115" i="9"/>
  <c r="H115" i="9"/>
  <c r="G115" i="9"/>
  <c r="F115" i="9"/>
  <c r="D115" i="9" s="1"/>
  <c r="R108" i="9"/>
  <c r="P108" i="9"/>
  <c r="O108" i="9"/>
  <c r="N108" i="9"/>
  <c r="M108" i="9"/>
  <c r="L108" i="9"/>
  <c r="K108" i="9"/>
  <c r="J108" i="9"/>
  <c r="I108" i="9"/>
  <c r="H108" i="9"/>
  <c r="G108" i="9"/>
  <c r="E108" i="9" s="1"/>
  <c r="F108" i="9"/>
  <c r="R101" i="9"/>
  <c r="P101" i="9"/>
  <c r="P118" i="9"/>
  <c r="O101" i="9"/>
  <c r="N101" i="9"/>
  <c r="M101" i="9"/>
  <c r="M118" i="9" s="1"/>
  <c r="L101" i="9"/>
  <c r="L118" i="9" s="1"/>
  <c r="K101" i="9"/>
  <c r="J101" i="9"/>
  <c r="J118" i="9" s="1"/>
  <c r="I101" i="9"/>
  <c r="I118" i="9" s="1"/>
  <c r="H101" i="9"/>
  <c r="G101" i="9"/>
  <c r="F101" i="9"/>
  <c r="R91" i="9"/>
  <c r="Q91" i="9"/>
  <c r="P91" i="9"/>
  <c r="O91" i="9"/>
  <c r="N91" i="9"/>
  <c r="L91" i="9"/>
  <c r="J91" i="9"/>
  <c r="F91" i="9"/>
  <c r="M90" i="9"/>
  <c r="K90" i="9"/>
  <c r="I90" i="9"/>
  <c r="G90" i="9"/>
  <c r="D90" i="9"/>
  <c r="E89" i="9"/>
  <c r="D89" i="9"/>
  <c r="D88" i="9"/>
  <c r="O85" i="9"/>
  <c r="K85" i="9"/>
  <c r="J85" i="9"/>
  <c r="R83" i="9"/>
  <c r="Q83" i="9"/>
  <c r="Q85" i="9" s="1"/>
  <c r="P83" i="9"/>
  <c r="N83" i="9"/>
  <c r="M83" i="9"/>
  <c r="L83" i="9"/>
  <c r="I83" i="9"/>
  <c r="H83" i="9"/>
  <c r="G83" i="9"/>
  <c r="F83" i="9"/>
  <c r="R81" i="9"/>
  <c r="R85" i="9" s="1"/>
  <c r="P81" i="9"/>
  <c r="N81" i="9"/>
  <c r="M81" i="9"/>
  <c r="M85" i="9" s="1"/>
  <c r="L81" i="9"/>
  <c r="I81" i="9"/>
  <c r="H81" i="9"/>
  <c r="G81" i="9"/>
  <c r="F81" i="9"/>
  <c r="E80" i="9"/>
  <c r="D80" i="9"/>
  <c r="Q79" i="9"/>
  <c r="D76" i="9"/>
  <c r="F74" i="9"/>
  <c r="D74" i="9" s="1"/>
  <c r="E73" i="9"/>
  <c r="D73" i="9"/>
  <c r="M70" i="9"/>
  <c r="I70" i="9"/>
  <c r="G70" i="9"/>
  <c r="D70" i="9"/>
  <c r="E69" i="9"/>
  <c r="D69" i="9"/>
  <c r="E68" i="9"/>
  <c r="D68" i="9"/>
  <c r="R66" i="9"/>
  <c r="P66" i="9"/>
  <c r="N66" i="9"/>
  <c r="M66" i="9"/>
  <c r="L66" i="9"/>
  <c r="K66" i="9"/>
  <c r="K88" i="9" s="1"/>
  <c r="J66" i="9"/>
  <c r="I66" i="9"/>
  <c r="H66" i="9"/>
  <c r="G66" i="9"/>
  <c r="G88" i="9"/>
  <c r="F66" i="9"/>
  <c r="R61" i="9"/>
  <c r="P61" i="9"/>
  <c r="D61" i="9"/>
  <c r="N61" i="9"/>
  <c r="M61" i="9"/>
  <c r="L61" i="9"/>
  <c r="I61" i="9"/>
  <c r="E61" i="9" s="1"/>
  <c r="G61" i="9"/>
  <c r="E60" i="9"/>
  <c r="D60" i="9"/>
  <c r="R57" i="9"/>
  <c r="P57" i="9"/>
  <c r="O57" i="9"/>
  <c r="O79" i="9"/>
  <c r="O86" i="9" s="1"/>
  <c r="O92" i="9" s="1"/>
  <c r="N57" i="9"/>
  <c r="M57" i="9"/>
  <c r="L57" i="9"/>
  <c r="K57" i="9"/>
  <c r="K87" i="9" s="1"/>
  <c r="K91" i="9" s="1"/>
  <c r="K79" i="9"/>
  <c r="J57" i="9"/>
  <c r="I57" i="9"/>
  <c r="H57" i="9"/>
  <c r="H79" i="9" s="1"/>
  <c r="G57" i="9"/>
  <c r="F57" i="9"/>
  <c r="E56" i="9"/>
  <c r="D56" i="9"/>
  <c r="E55" i="9"/>
  <c r="D55" i="9"/>
  <c r="M54" i="9"/>
  <c r="M6" i="9" s="1"/>
  <c r="I26" i="9"/>
  <c r="I6" i="9" s="1"/>
  <c r="G6" i="9"/>
  <c r="D6" i="9"/>
  <c r="F180" i="6"/>
  <c r="E179" i="6"/>
  <c r="D179" i="6"/>
  <c r="E178" i="6"/>
  <c r="D178" i="6"/>
  <c r="E177" i="6"/>
  <c r="D177" i="6"/>
  <c r="E176" i="6"/>
  <c r="D176" i="6"/>
  <c r="E175" i="6"/>
  <c r="D175" i="6"/>
  <c r="I174" i="6"/>
  <c r="I168" i="6" s="1"/>
  <c r="I180" i="6" s="1"/>
  <c r="G174" i="6"/>
  <c r="D174" i="6"/>
  <c r="E173" i="6"/>
  <c r="D173" i="6"/>
  <c r="E172" i="6"/>
  <c r="D172" i="6"/>
  <c r="E171" i="6"/>
  <c r="D171" i="6"/>
  <c r="E170" i="6"/>
  <c r="D170" i="6"/>
  <c r="E169" i="6"/>
  <c r="D169" i="6"/>
  <c r="H168" i="6"/>
  <c r="H180" i="6" s="1"/>
  <c r="F168" i="6"/>
  <c r="H155" i="6"/>
  <c r="H156" i="6" s="1"/>
  <c r="F155" i="6"/>
  <c r="I154" i="6"/>
  <c r="I155" i="6"/>
  <c r="G154" i="6"/>
  <c r="D154" i="6"/>
  <c r="E153" i="6"/>
  <c r="D153" i="6"/>
  <c r="E152" i="6"/>
  <c r="D152" i="6"/>
  <c r="E151" i="6"/>
  <c r="D151" i="6"/>
  <c r="E150" i="6"/>
  <c r="D150" i="6"/>
  <c r="H149" i="6"/>
  <c r="F149" i="6"/>
  <c r="F156" i="6" s="1"/>
  <c r="I148" i="6"/>
  <c r="I149" i="6" s="1"/>
  <c r="G148" i="6"/>
  <c r="D148" i="6"/>
  <c r="E147" i="6"/>
  <c r="D147" i="6"/>
  <c r="E146" i="6"/>
  <c r="D146" i="6"/>
  <c r="E145" i="6"/>
  <c r="D145" i="6"/>
  <c r="E144" i="6"/>
  <c r="D144" i="6"/>
  <c r="E143" i="6"/>
  <c r="D143" i="6"/>
  <c r="E142" i="6"/>
  <c r="D142" i="6"/>
  <c r="E141" i="6"/>
  <c r="D141" i="6"/>
  <c r="I125" i="6"/>
  <c r="H125" i="6"/>
  <c r="G125" i="6"/>
  <c r="F125" i="6"/>
  <c r="D125" i="6" s="1"/>
  <c r="I122" i="6"/>
  <c r="H122" i="6"/>
  <c r="G122" i="6"/>
  <c r="E122" i="6" s="1"/>
  <c r="F122" i="6"/>
  <c r="I117" i="6"/>
  <c r="H117" i="6"/>
  <c r="G117" i="6"/>
  <c r="E117" i="6" s="1"/>
  <c r="F117" i="6"/>
  <c r="I113" i="6"/>
  <c r="H113" i="6"/>
  <c r="G113" i="6"/>
  <c r="E113" i="6" s="1"/>
  <c r="F113" i="6"/>
  <c r="H110" i="6"/>
  <c r="F110" i="6"/>
  <c r="E108" i="6"/>
  <c r="D108" i="6"/>
  <c r="I105" i="6"/>
  <c r="I109" i="6"/>
  <c r="H105" i="6"/>
  <c r="H109" i="6" s="1"/>
  <c r="G105" i="6"/>
  <c r="E105" i="6" s="1"/>
  <c r="E109" i="6" s="1"/>
  <c r="F105" i="6"/>
  <c r="F109" i="6" s="1"/>
  <c r="I99" i="6"/>
  <c r="H99" i="6"/>
  <c r="G99" i="6"/>
  <c r="F99" i="6"/>
  <c r="I95" i="6"/>
  <c r="H95" i="6"/>
  <c r="G95" i="6"/>
  <c r="E95" i="6" s="1"/>
  <c r="F95" i="6"/>
  <c r="D95" i="6" s="1"/>
  <c r="I92" i="6"/>
  <c r="G92" i="6"/>
  <c r="E92" i="6" s="1"/>
  <c r="D92" i="6"/>
  <c r="E91" i="6"/>
  <c r="D91" i="6"/>
  <c r="I88" i="6"/>
  <c r="H88" i="6"/>
  <c r="G88" i="6"/>
  <c r="F88" i="6"/>
  <c r="D88" i="6"/>
  <c r="I86" i="6"/>
  <c r="G86" i="6"/>
  <c r="D86" i="6"/>
  <c r="I82" i="6"/>
  <c r="E82" i="6" s="1"/>
  <c r="H82" i="6"/>
  <c r="G82" i="6"/>
  <c r="F82" i="6"/>
  <c r="D82" i="6" s="1"/>
  <c r="I78" i="6"/>
  <c r="H78" i="6"/>
  <c r="G78" i="6"/>
  <c r="E78" i="6" s="1"/>
  <c r="F78" i="6"/>
  <c r="D78" i="6" s="1"/>
  <c r="I71" i="6"/>
  <c r="I81" i="6" s="1"/>
  <c r="H71" i="6"/>
  <c r="H81" i="6" s="1"/>
  <c r="G71" i="6"/>
  <c r="F71" i="6"/>
  <c r="I67" i="6"/>
  <c r="H67" i="6"/>
  <c r="G67" i="6"/>
  <c r="F67" i="6"/>
  <c r="D67" i="6"/>
  <c r="I60" i="6"/>
  <c r="H60" i="6"/>
  <c r="G60" i="6"/>
  <c r="F60" i="6"/>
  <c r="I53" i="6"/>
  <c r="I70" i="6"/>
  <c r="H53" i="6"/>
  <c r="G53" i="6"/>
  <c r="G70" i="6" s="1"/>
  <c r="F53" i="6"/>
  <c r="F43" i="6"/>
  <c r="G42" i="6"/>
  <c r="E42" i="6" s="1"/>
  <c r="D42" i="6"/>
  <c r="E41" i="6"/>
  <c r="D41" i="6"/>
  <c r="D40" i="6"/>
  <c r="I35" i="6"/>
  <c r="E35" i="6" s="1"/>
  <c r="H35" i="6"/>
  <c r="G35" i="6"/>
  <c r="F35" i="6"/>
  <c r="D35" i="6" s="1"/>
  <c r="I33" i="6"/>
  <c r="H33" i="6"/>
  <c r="H39" i="6" s="1"/>
  <c r="G33" i="6"/>
  <c r="E33" i="6" s="1"/>
  <c r="E37" i="6" s="1"/>
  <c r="F33" i="6"/>
  <c r="F37" i="6" s="1"/>
  <c r="E32" i="6"/>
  <c r="D32" i="6"/>
  <c r="I28" i="6"/>
  <c r="D28" i="6"/>
  <c r="I26" i="6"/>
  <c r="H26" i="6"/>
  <c r="H31" i="6" s="1"/>
  <c r="F26" i="6"/>
  <c r="D26" i="6" s="1"/>
  <c r="E25" i="6"/>
  <c r="D25" i="6"/>
  <c r="I22" i="6"/>
  <c r="G22" i="6"/>
  <c r="E22" i="6" s="1"/>
  <c r="D22" i="6"/>
  <c r="E21" i="6"/>
  <c r="D21" i="6"/>
  <c r="E20" i="6"/>
  <c r="D20" i="6"/>
  <c r="I18" i="6"/>
  <c r="G18" i="6"/>
  <c r="D18" i="6"/>
  <c r="G15" i="6"/>
  <c r="E15" i="6" s="1"/>
  <c r="D15" i="6"/>
  <c r="E14" i="6"/>
  <c r="D14" i="6"/>
  <c r="I11" i="6"/>
  <c r="G11" i="6"/>
  <c r="E11" i="6" s="1"/>
  <c r="F11" i="6"/>
  <c r="F31" i="6" s="1"/>
  <c r="F38" i="6" s="1"/>
  <c r="F44" i="6" s="1"/>
  <c r="E10" i="6"/>
  <c r="D10" i="6"/>
  <c r="E9" i="6"/>
  <c r="D9" i="6"/>
  <c r="I6" i="6"/>
  <c r="I39" i="6" s="1"/>
  <c r="I43" i="6" s="1"/>
  <c r="G6" i="6"/>
  <c r="G30" i="6" s="1"/>
  <c r="G28" i="6" s="1"/>
  <c r="D6" i="6"/>
  <c r="E210" i="4"/>
  <c r="D210" i="4"/>
  <c r="E209" i="4"/>
  <c r="D209" i="4"/>
  <c r="E208" i="4"/>
  <c r="D208" i="4"/>
  <c r="E207" i="4"/>
  <c r="D207" i="4"/>
  <c r="E206" i="4"/>
  <c r="D206" i="4"/>
  <c r="I205" i="4"/>
  <c r="G205" i="4"/>
  <c r="G199" i="4" s="1"/>
  <c r="G211" i="4" s="1"/>
  <c r="D205" i="4"/>
  <c r="E204" i="4"/>
  <c r="D204" i="4"/>
  <c r="E203" i="4"/>
  <c r="D203" i="4"/>
  <c r="E202" i="4"/>
  <c r="D202" i="4"/>
  <c r="E201" i="4"/>
  <c r="D201" i="4"/>
  <c r="E200" i="4"/>
  <c r="D200" i="4"/>
  <c r="H199" i="4"/>
  <c r="H211" i="4"/>
  <c r="F199" i="4"/>
  <c r="F211" i="4" s="1"/>
  <c r="D199" i="4"/>
  <c r="D211" i="4" s="1"/>
  <c r="H186" i="4"/>
  <c r="F186" i="4"/>
  <c r="I185" i="4"/>
  <c r="G185" i="4"/>
  <c r="E185" i="4" s="1"/>
  <c r="D185" i="4"/>
  <c r="E184" i="4"/>
  <c r="D184" i="4"/>
  <c r="E183" i="4"/>
  <c r="D183" i="4"/>
  <c r="E182" i="4"/>
  <c r="D182" i="4"/>
  <c r="E181" i="4"/>
  <c r="E186" i="4" s="1"/>
  <c r="D181" i="4"/>
  <c r="H180" i="4"/>
  <c r="H187" i="4" s="1"/>
  <c r="F180" i="4"/>
  <c r="I179" i="4"/>
  <c r="G179" i="4"/>
  <c r="D179" i="4"/>
  <c r="E178" i="4"/>
  <c r="D178" i="4"/>
  <c r="E177" i="4"/>
  <c r="D177" i="4"/>
  <c r="E176" i="4"/>
  <c r="D176" i="4"/>
  <c r="E175" i="4"/>
  <c r="D175" i="4"/>
  <c r="E174" i="4"/>
  <c r="D174" i="4"/>
  <c r="E173" i="4"/>
  <c r="D173" i="4"/>
  <c r="E172" i="4"/>
  <c r="D172" i="4"/>
  <c r="I156" i="4"/>
  <c r="H156" i="4"/>
  <c r="G156" i="4"/>
  <c r="F156" i="4"/>
  <c r="I153" i="4"/>
  <c r="H153" i="4"/>
  <c r="G153" i="4"/>
  <c r="E153" i="4" s="1"/>
  <c r="F153" i="4"/>
  <c r="D153" i="4"/>
  <c r="I148" i="4"/>
  <c r="H148" i="4"/>
  <c r="G148" i="4"/>
  <c r="F148" i="4"/>
  <c r="D148" i="4" s="1"/>
  <c r="I144" i="4"/>
  <c r="H144" i="4"/>
  <c r="G144" i="4"/>
  <c r="F144" i="4"/>
  <c r="D144" i="4" s="1"/>
  <c r="H141" i="4"/>
  <c r="H161" i="4" s="1"/>
  <c r="F141" i="4"/>
  <c r="F161" i="4" s="1"/>
  <c r="E139" i="4"/>
  <c r="D139" i="4"/>
  <c r="I136" i="4"/>
  <c r="I140" i="4" s="1"/>
  <c r="H136" i="4"/>
  <c r="H140" i="4"/>
  <c r="G136" i="4"/>
  <c r="G140" i="4" s="1"/>
  <c r="F136" i="4"/>
  <c r="F140" i="4" s="1"/>
  <c r="I130" i="4"/>
  <c r="H130" i="4"/>
  <c r="G130" i="4"/>
  <c r="F130" i="4"/>
  <c r="D130" i="4" s="1"/>
  <c r="I126" i="4"/>
  <c r="H126" i="4"/>
  <c r="G126" i="4"/>
  <c r="F126" i="4"/>
  <c r="D126" i="4" s="1"/>
  <c r="I123" i="4"/>
  <c r="G123" i="4"/>
  <c r="D123" i="4"/>
  <c r="E122" i="4"/>
  <c r="D122" i="4"/>
  <c r="I119" i="4"/>
  <c r="H119" i="4"/>
  <c r="G119" i="4"/>
  <c r="E119" i="4" s="1"/>
  <c r="F119" i="4"/>
  <c r="D119" i="4"/>
  <c r="I117" i="4"/>
  <c r="G117" i="4"/>
  <c r="D117" i="4"/>
  <c r="I113" i="4"/>
  <c r="H113" i="4"/>
  <c r="H135" i="4" s="1"/>
  <c r="G113" i="4"/>
  <c r="E113" i="4" s="1"/>
  <c r="F113" i="4"/>
  <c r="I109" i="4"/>
  <c r="H109" i="4"/>
  <c r="H112" i="4" s="1"/>
  <c r="G109" i="4"/>
  <c r="F109" i="4"/>
  <c r="D109" i="4" s="1"/>
  <c r="D112" i="4" s="1"/>
  <c r="I102" i="4"/>
  <c r="I112" i="4" s="1"/>
  <c r="H102" i="4"/>
  <c r="G102" i="4"/>
  <c r="F102" i="4"/>
  <c r="D102" i="4" s="1"/>
  <c r="I98" i="4"/>
  <c r="H98" i="4"/>
  <c r="G98" i="4"/>
  <c r="F98" i="4"/>
  <c r="I91" i="4"/>
  <c r="H91" i="4"/>
  <c r="G91" i="4"/>
  <c r="E91" i="4" s="1"/>
  <c r="F91" i="4"/>
  <c r="I84" i="4"/>
  <c r="I101" i="4" s="1"/>
  <c r="H84" i="4"/>
  <c r="H101" i="4" s="1"/>
  <c r="G84" i="4"/>
  <c r="E84" i="4" s="1"/>
  <c r="F84" i="4"/>
  <c r="D84" i="4" s="1"/>
  <c r="F74" i="4"/>
  <c r="G73" i="4"/>
  <c r="E73" i="4" s="1"/>
  <c r="D73" i="4"/>
  <c r="E72" i="4"/>
  <c r="D72" i="4"/>
  <c r="D71" i="4"/>
  <c r="I66" i="4"/>
  <c r="H66" i="4"/>
  <c r="G66" i="4"/>
  <c r="E66" i="4" s="1"/>
  <c r="F66" i="4"/>
  <c r="D66" i="4" s="1"/>
  <c r="I64" i="4"/>
  <c r="I68" i="4" s="1"/>
  <c r="H64" i="4"/>
  <c r="H70" i="4"/>
  <c r="H74" i="4" s="1"/>
  <c r="G64" i="4"/>
  <c r="E64" i="4" s="1"/>
  <c r="F64" i="4"/>
  <c r="D64" i="4"/>
  <c r="E63" i="4"/>
  <c r="D63" i="4"/>
  <c r="I59" i="4"/>
  <c r="G59" i="4"/>
  <c r="D59" i="4"/>
  <c r="I57" i="4"/>
  <c r="H57" i="4"/>
  <c r="H62" i="4" s="1"/>
  <c r="F57" i="4"/>
  <c r="D57" i="4" s="1"/>
  <c r="E56" i="4"/>
  <c r="D56" i="4"/>
  <c r="I53" i="4"/>
  <c r="G53" i="4"/>
  <c r="D53" i="4"/>
  <c r="E52" i="4"/>
  <c r="D52" i="4"/>
  <c r="E51" i="4"/>
  <c r="D51" i="4"/>
  <c r="I49" i="4"/>
  <c r="G49" i="4"/>
  <c r="E49" i="4" s="1"/>
  <c r="D49" i="4"/>
  <c r="G47" i="4"/>
  <c r="G46" i="4" s="1"/>
  <c r="E46" i="4" s="1"/>
  <c r="D46" i="4"/>
  <c r="E45" i="4"/>
  <c r="D45" i="4"/>
  <c r="I42" i="4"/>
  <c r="G42" i="4"/>
  <c r="F42" i="4"/>
  <c r="E41" i="4"/>
  <c r="D41" i="4"/>
  <c r="E40" i="4"/>
  <c r="D40" i="4"/>
  <c r="G39" i="4"/>
  <c r="G33" i="4"/>
  <c r="G32" i="4"/>
  <c r="G26" i="4"/>
  <c r="G24" i="4"/>
  <c r="G23" i="4"/>
  <c r="G19" i="4"/>
  <c r="G13" i="4"/>
  <c r="I6" i="4"/>
  <c r="I70" i="4" s="1"/>
  <c r="D6" i="4"/>
  <c r="E171" i="17"/>
  <c r="D171" i="17"/>
  <c r="E170" i="17"/>
  <c r="D170" i="17"/>
  <c r="E169" i="17"/>
  <c r="D169" i="17"/>
  <c r="E168" i="17"/>
  <c r="D168" i="17"/>
  <c r="D160" i="17" s="1"/>
  <c r="D172" i="17" s="1"/>
  <c r="E167" i="17"/>
  <c r="D167" i="17"/>
  <c r="I166" i="17"/>
  <c r="I160" i="17" s="1"/>
  <c r="I172" i="17" s="1"/>
  <c r="G166" i="17"/>
  <c r="G160" i="17" s="1"/>
  <c r="G172" i="17" s="1"/>
  <c r="D166" i="17"/>
  <c r="E165" i="17"/>
  <c r="D165" i="17"/>
  <c r="E164" i="17"/>
  <c r="D164" i="17"/>
  <c r="E163" i="17"/>
  <c r="D163" i="17"/>
  <c r="E162" i="17"/>
  <c r="D162" i="17"/>
  <c r="E161" i="17"/>
  <c r="D161" i="17"/>
  <c r="M160" i="17"/>
  <c r="M172" i="17"/>
  <c r="L160" i="17"/>
  <c r="L172" i="17" s="1"/>
  <c r="K160" i="17"/>
  <c r="K172" i="17" s="1"/>
  <c r="J160" i="17"/>
  <c r="J172" i="17"/>
  <c r="H160" i="17"/>
  <c r="H172" i="17" s="1"/>
  <c r="F160" i="17"/>
  <c r="F172" i="17" s="1"/>
  <c r="M147" i="17"/>
  <c r="L147" i="17"/>
  <c r="K147" i="17"/>
  <c r="K148" i="17" s="1"/>
  <c r="J147" i="17"/>
  <c r="H147" i="17"/>
  <c r="F147" i="17"/>
  <c r="I146" i="17"/>
  <c r="I147" i="17" s="1"/>
  <c r="G146" i="17"/>
  <c r="G147" i="17"/>
  <c r="D146" i="17"/>
  <c r="E145" i="17"/>
  <c r="D145" i="17"/>
  <c r="E144" i="17"/>
  <c r="D144" i="17"/>
  <c r="E143" i="17"/>
  <c r="D143" i="17"/>
  <c r="E142" i="17"/>
  <c r="D142" i="17"/>
  <c r="M141" i="17"/>
  <c r="M148" i="17" s="1"/>
  <c r="L141" i="17"/>
  <c r="L148" i="17" s="1"/>
  <c r="K141" i="17"/>
  <c r="J141" i="17"/>
  <c r="J148" i="17" s="1"/>
  <c r="H141" i="17"/>
  <c r="H148" i="17"/>
  <c r="F141" i="17"/>
  <c r="F148" i="17" s="1"/>
  <c r="I140" i="17"/>
  <c r="I141" i="17" s="1"/>
  <c r="G140" i="17"/>
  <c r="G141" i="17" s="1"/>
  <c r="D140" i="17"/>
  <c r="E139" i="17"/>
  <c r="D139" i="17"/>
  <c r="E138" i="17"/>
  <c r="D138" i="17"/>
  <c r="E137" i="17"/>
  <c r="D137" i="17"/>
  <c r="E136" i="17"/>
  <c r="D136" i="17"/>
  <c r="E135" i="17"/>
  <c r="D135" i="17"/>
  <c r="D141" i="17" s="1"/>
  <c r="E134" i="17"/>
  <c r="D134" i="17"/>
  <c r="E133" i="17"/>
  <c r="D133" i="17"/>
  <c r="M117" i="17"/>
  <c r="L117" i="17"/>
  <c r="K117" i="17"/>
  <c r="J117" i="17"/>
  <c r="I117" i="17"/>
  <c r="H117" i="17"/>
  <c r="G117" i="17"/>
  <c r="E117" i="17"/>
  <c r="F117" i="17"/>
  <c r="M114" i="17"/>
  <c r="L114" i="17"/>
  <c r="K114" i="17"/>
  <c r="J114" i="17"/>
  <c r="I114" i="17"/>
  <c r="H114" i="17"/>
  <c r="G114" i="17"/>
  <c r="F114" i="17"/>
  <c r="E114" i="17"/>
  <c r="M109" i="17"/>
  <c r="L109" i="17"/>
  <c r="K109" i="17"/>
  <c r="J109" i="17"/>
  <c r="I109" i="17"/>
  <c r="H109" i="17"/>
  <c r="G109" i="17"/>
  <c r="E109" i="17" s="1"/>
  <c r="F109" i="17"/>
  <c r="D109" i="17" s="1"/>
  <c r="M105" i="17"/>
  <c r="L105" i="17"/>
  <c r="K105" i="17"/>
  <c r="J105" i="17"/>
  <c r="I105" i="17"/>
  <c r="H105" i="17"/>
  <c r="G105" i="17"/>
  <c r="F105" i="17"/>
  <c r="D105" i="17"/>
  <c r="L102" i="17"/>
  <c r="K102" i="17"/>
  <c r="K122" i="17" s="1"/>
  <c r="J102" i="17"/>
  <c r="I102" i="17"/>
  <c r="I122" i="17"/>
  <c r="H102" i="17"/>
  <c r="G102" i="17"/>
  <c r="G122" i="17" s="1"/>
  <c r="F102" i="17"/>
  <c r="D102" i="17" s="1"/>
  <c r="E100" i="17"/>
  <c r="D100" i="17"/>
  <c r="M97" i="17"/>
  <c r="M101" i="17" s="1"/>
  <c r="L97" i="17"/>
  <c r="L101" i="17" s="1"/>
  <c r="K97" i="17"/>
  <c r="K101" i="17" s="1"/>
  <c r="J97" i="17"/>
  <c r="J101" i="17"/>
  <c r="I97" i="17"/>
  <c r="I101" i="17" s="1"/>
  <c r="H97" i="17"/>
  <c r="H101" i="17" s="1"/>
  <c r="G97" i="17"/>
  <c r="E97" i="17" s="1"/>
  <c r="E101" i="17" s="1"/>
  <c r="F97" i="17"/>
  <c r="M91" i="17"/>
  <c r="L91" i="17"/>
  <c r="K91" i="17"/>
  <c r="J91" i="17"/>
  <c r="I91" i="17"/>
  <c r="H91" i="17"/>
  <c r="G91" i="17"/>
  <c r="E91" i="17" s="1"/>
  <c r="F91" i="17"/>
  <c r="D91" i="17"/>
  <c r="M87" i="17"/>
  <c r="L87" i="17"/>
  <c r="K87" i="17"/>
  <c r="J87" i="17"/>
  <c r="I87" i="17"/>
  <c r="H87" i="17"/>
  <c r="G87" i="17"/>
  <c r="F87" i="17"/>
  <c r="M84" i="17"/>
  <c r="L84" i="17"/>
  <c r="K84" i="17"/>
  <c r="J84" i="17"/>
  <c r="I84" i="17"/>
  <c r="H84" i="17"/>
  <c r="G84" i="17"/>
  <c r="F84" i="17"/>
  <c r="D84" i="17" s="1"/>
  <c r="E83" i="17"/>
  <c r="D83" i="17"/>
  <c r="M80" i="17"/>
  <c r="L80" i="17"/>
  <c r="K80" i="17"/>
  <c r="J80" i="17"/>
  <c r="I80" i="17"/>
  <c r="H80" i="17"/>
  <c r="G80" i="17"/>
  <c r="E80" i="17" s="1"/>
  <c r="F80" i="17"/>
  <c r="D80" i="17"/>
  <c r="M78" i="17"/>
  <c r="L78" i="17"/>
  <c r="K78" i="17"/>
  <c r="J78" i="17"/>
  <c r="I78" i="17"/>
  <c r="G78" i="17"/>
  <c r="E78" i="17" s="1"/>
  <c r="M74" i="17"/>
  <c r="M96" i="17" s="1"/>
  <c r="M104" i="17" s="1"/>
  <c r="M102" i="17" s="1"/>
  <c r="L74" i="17"/>
  <c r="K74" i="17"/>
  <c r="K96" i="17" s="1"/>
  <c r="J74" i="17"/>
  <c r="I74" i="17"/>
  <c r="H74" i="17"/>
  <c r="G74" i="17"/>
  <c r="F74" i="17"/>
  <c r="M70" i="17"/>
  <c r="L70" i="17"/>
  <c r="K70" i="17"/>
  <c r="J70" i="17"/>
  <c r="I70" i="17"/>
  <c r="H70" i="17"/>
  <c r="G70" i="17"/>
  <c r="F70" i="17"/>
  <c r="D70" i="17" s="1"/>
  <c r="M63" i="17"/>
  <c r="M73" i="17" s="1"/>
  <c r="L63" i="17"/>
  <c r="L73" i="17" s="1"/>
  <c r="K63" i="17"/>
  <c r="K73" i="17"/>
  <c r="J63" i="17"/>
  <c r="I63" i="17"/>
  <c r="I73" i="17" s="1"/>
  <c r="H63" i="17"/>
  <c r="H73" i="17" s="1"/>
  <c r="G63" i="17"/>
  <c r="E63" i="17"/>
  <c r="F63" i="17"/>
  <c r="M59" i="17"/>
  <c r="L59" i="17"/>
  <c r="K59" i="17"/>
  <c r="J59" i="17"/>
  <c r="I59" i="17"/>
  <c r="H59" i="17"/>
  <c r="G59" i="17"/>
  <c r="F59" i="17"/>
  <c r="D59" i="17"/>
  <c r="M52" i="17"/>
  <c r="L52" i="17"/>
  <c r="K52" i="17"/>
  <c r="J52" i="17"/>
  <c r="I52" i="17"/>
  <c r="H52" i="17"/>
  <c r="G52" i="17"/>
  <c r="E52" i="17" s="1"/>
  <c r="F52" i="17"/>
  <c r="M45" i="17"/>
  <c r="M62" i="17"/>
  <c r="L45" i="17"/>
  <c r="K45" i="17"/>
  <c r="K62" i="17" s="1"/>
  <c r="J45" i="17"/>
  <c r="I45" i="17"/>
  <c r="I62" i="17" s="1"/>
  <c r="H45" i="17"/>
  <c r="H62" i="17" s="1"/>
  <c r="G45" i="17"/>
  <c r="F45" i="17"/>
  <c r="M38" i="17"/>
  <c r="L38" i="17"/>
  <c r="K38" i="17"/>
  <c r="J38" i="17"/>
  <c r="H38" i="17"/>
  <c r="F38" i="17"/>
  <c r="G37" i="17"/>
  <c r="D37" i="17"/>
  <c r="E36" i="17"/>
  <c r="D36" i="17"/>
  <c r="D35" i="17"/>
  <c r="D34" i="17"/>
  <c r="M30" i="17"/>
  <c r="L30" i="17"/>
  <c r="K30" i="17"/>
  <c r="J30" i="17"/>
  <c r="I30" i="17"/>
  <c r="E30" i="17" s="1"/>
  <c r="H30" i="17"/>
  <c r="G30" i="17"/>
  <c r="F30" i="17"/>
  <c r="D30" i="17" s="1"/>
  <c r="M28" i="17"/>
  <c r="L28" i="17"/>
  <c r="L32" i="17" s="1"/>
  <c r="K28" i="17"/>
  <c r="K32" i="17" s="1"/>
  <c r="J28" i="17"/>
  <c r="J32" i="17"/>
  <c r="I28" i="17"/>
  <c r="H28" i="17"/>
  <c r="H32" i="17" s="1"/>
  <c r="G28" i="17"/>
  <c r="F28" i="17"/>
  <c r="F32" i="17"/>
  <c r="E27" i="17"/>
  <c r="D27" i="17"/>
  <c r="M26" i="17"/>
  <c r="L26" i="17"/>
  <c r="K26" i="17"/>
  <c r="J26" i="17"/>
  <c r="J33" i="17" s="1"/>
  <c r="J39" i="17" s="1"/>
  <c r="G24" i="17"/>
  <c r="D24" i="17"/>
  <c r="G23" i="17"/>
  <c r="G22" i="17" s="1"/>
  <c r="I22" i="17"/>
  <c r="H22" i="17"/>
  <c r="F22" i="17"/>
  <c r="D22" i="17" s="1"/>
  <c r="E21" i="17"/>
  <c r="D21" i="17"/>
  <c r="I19" i="17"/>
  <c r="G19" i="17"/>
  <c r="E19" i="17" s="1"/>
  <c r="D19" i="17"/>
  <c r="E18" i="17"/>
  <c r="D18" i="17"/>
  <c r="E17" i="17"/>
  <c r="D17" i="17"/>
  <c r="I15" i="17"/>
  <c r="I35" i="17" s="1"/>
  <c r="H15" i="17"/>
  <c r="D15" i="17" s="1"/>
  <c r="G15" i="17"/>
  <c r="E14" i="17"/>
  <c r="D14" i="17"/>
  <c r="E13" i="17"/>
  <c r="D13" i="17"/>
  <c r="I10" i="17"/>
  <c r="H10" i="17"/>
  <c r="G10" i="17"/>
  <c r="E10" i="17" s="1"/>
  <c r="F10" i="17"/>
  <c r="D10" i="17" s="1"/>
  <c r="E9" i="17"/>
  <c r="D9" i="17"/>
  <c r="E8" i="17"/>
  <c r="D8" i="17"/>
  <c r="I6" i="17"/>
  <c r="E6" i="17" s="1"/>
  <c r="D6" i="17"/>
  <c r="DT106" i="26"/>
  <c r="DS106" i="26"/>
  <c r="DQ106" i="26"/>
  <c r="DP106" i="26"/>
  <c r="DO106" i="26"/>
  <c r="DN106" i="26"/>
  <c r="DM106" i="26"/>
  <c r="DL106" i="26"/>
  <c r="DK106" i="26"/>
  <c r="DJ106" i="26"/>
  <c r="DI106" i="26"/>
  <c r="DH106" i="26"/>
  <c r="DG106" i="26"/>
  <c r="DF106" i="26"/>
  <c r="DE106" i="26"/>
  <c r="DD106" i="26"/>
  <c r="DC106" i="26"/>
  <c r="DA106" i="26"/>
  <c r="CY106" i="26"/>
  <c r="CX106" i="26"/>
  <c r="CW106" i="26"/>
  <c r="CV106" i="26"/>
  <c r="CU106" i="26"/>
  <c r="CT106" i="26"/>
  <c r="CS106" i="26"/>
  <c r="CR106" i="26"/>
  <c r="CQ106" i="26"/>
  <c r="CP106" i="26"/>
  <c r="CO106" i="26"/>
  <c r="CN106" i="26"/>
  <c r="CM106" i="26"/>
  <c r="CL106" i="26"/>
  <c r="CK106" i="26"/>
  <c r="CJ106" i="26"/>
  <c r="CI106" i="26"/>
  <c r="CH106" i="26"/>
  <c r="CG106" i="26"/>
  <c r="CF106" i="26"/>
  <c r="CE106" i="26"/>
  <c r="CD106" i="26"/>
  <c r="CC106" i="26"/>
  <c r="CB106" i="26"/>
  <c r="CA106" i="26"/>
  <c r="BZ106" i="26"/>
  <c r="BY106" i="26"/>
  <c r="BX106" i="26"/>
  <c r="BW106" i="26"/>
  <c r="BV106" i="26"/>
  <c r="BU106" i="26"/>
  <c r="BT106" i="26"/>
  <c r="BS106" i="26"/>
  <c r="BR106" i="26"/>
  <c r="BQ106" i="26"/>
  <c r="BP106" i="26"/>
  <c r="BO106" i="26"/>
  <c r="BN106" i="26"/>
  <c r="BM106" i="26"/>
  <c r="BL106" i="26"/>
  <c r="BK106" i="26"/>
  <c r="BJ106" i="26"/>
  <c r="BI106" i="26"/>
  <c r="BH106" i="26"/>
  <c r="BG106" i="26"/>
  <c r="BF106" i="26"/>
  <c r="BE106" i="26"/>
  <c r="BD106" i="26"/>
  <c r="BC106" i="26"/>
  <c r="BB106" i="26"/>
  <c r="BA106" i="26"/>
  <c r="AZ106" i="26"/>
  <c r="AY106" i="26"/>
  <c r="AX106" i="26"/>
  <c r="AW106" i="26"/>
  <c r="AV106" i="26"/>
  <c r="AU106" i="26"/>
  <c r="AT106" i="26"/>
  <c r="AS106" i="26"/>
  <c r="AR106" i="26"/>
  <c r="AQ106" i="26"/>
  <c r="AP106" i="26"/>
  <c r="AO106" i="26"/>
  <c r="AM106" i="26"/>
  <c r="AL106" i="26"/>
  <c r="AK106" i="26"/>
  <c r="AJ106" i="26"/>
  <c r="AI106" i="26"/>
  <c r="AH106" i="26"/>
  <c r="AF106" i="26"/>
  <c r="AE106" i="26"/>
  <c r="AD106" i="26"/>
  <c r="AC106" i="26"/>
  <c r="AB106" i="26"/>
  <c r="AA106" i="26"/>
  <c r="Z106" i="26"/>
  <c r="Y106" i="26"/>
  <c r="X106" i="26"/>
  <c r="W106" i="26"/>
  <c r="V106" i="26"/>
  <c r="U106" i="26"/>
  <c r="T106" i="26"/>
  <c r="S106" i="26"/>
  <c r="R106" i="26"/>
  <c r="Q106" i="26"/>
  <c r="P106" i="26"/>
  <c r="O106" i="26"/>
  <c r="N106" i="26"/>
  <c r="M106" i="26"/>
  <c r="L106" i="26"/>
  <c r="K106" i="26"/>
  <c r="H105" i="26"/>
  <c r="G105" i="26"/>
  <c r="F105" i="26"/>
  <c r="D105" i="26" s="1"/>
  <c r="E105" i="26"/>
  <c r="C105" i="26"/>
  <c r="H104" i="26"/>
  <c r="G104" i="26"/>
  <c r="F104" i="26"/>
  <c r="D104" i="26" s="1"/>
  <c r="E104" i="26"/>
  <c r="C104" i="26"/>
  <c r="H103" i="26"/>
  <c r="G103" i="26"/>
  <c r="F103" i="26"/>
  <c r="D103" i="26" s="1"/>
  <c r="E103" i="26"/>
  <c r="C103" i="26"/>
  <c r="H102" i="26"/>
  <c r="G102" i="26"/>
  <c r="F102" i="26"/>
  <c r="E102" i="26"/>
  <c r="D102" i="26"/>
  <c r="C102" i="26"/>
  <c r="H101" i="26"/>
  <c r="G101" i="26"/>
  <c r="F101" i="26"/>
  <c r="D101" i="26" s="1"/>
  <c r="E101" i="26"/>
  <c r="C101" i="26"/>
  <c r="H100" i="26"/>
  <c r="G100" i="26"/>
  <c r="F100" i="26"/>
  <c r="D100" i="26" s="1"/>
  <c r="E100" i="26"/>
  <c r="C100" i="26"/>
  <c r="H99" i="26"/>
  <c r="G99" i="26"/>
  <c r="F99" i="26"/>
  <c r="E99" i="26"/>
  <c r="C99" i="26"/>
  <c r="J98" i="26"/>
  <c r="J106" i="26" s="1"/>
  <c r="J107" i="26" s="1"/>
  <c r="I98" i="26"/>
  <c r="I106" i="26" s="1"/>
  <c r="H98" i="26"/>
  <c r="G98" i="26"/>
  <c r="F98" i="26"/>
  <c r="E98" i="26"/>
  <c r="H97" i="26"/>
  <c r="G97" i="26"/>
  <c r="F97" i="26"/>
  <c r="E97" i="26"/>
  <c r="C97" i="26"/>
  <c r="H96" i="26"/>
  <c r="G96" i="26"/>
  <c r="F96" i="26"/>
  <c r="E96" i="26"/>
  <c r="C96" i="26"/>
  <c r="H95" i="26"/>
  <c r="G95" i="26"/>
  <c r="F95" i="26"/>
  <c r="D95" i="26"/>
  <c r="E95" i="26"/>
  <c r="C95" i="26"/>
  <c r="H94" i="26"/>
  <c r="G94" i="26"/>
  <c r="F94" i="26"/>
  <c r="D94" i="26" s="1"/>
  <c r="E94" i="26"/>
  <c r="C94" i="26"/>
  <c r="H93" i="26"/>
  <c r="G93" i="26"/>
  <c r="F93" i="26"/>
  <c r="D93" i="26"/>
  <c r="E93" i="26"/>
  <c r="C93" i="26"/>
  <c r="H92" i="26"/>
  <c r="G92" i="26"/>
  <c r="F92" i="26"/>
  <c r="D92" i="26" s="1"/>
  <c r="E92" i="26"/>
  <c r="C92" i="26"/>
  <c r="H91" i="26"/>
  <c r="G91" i="26"/>
  <c r="F91" i="26"/>
  <c r="D91" i="26"/>
  <c r="E91" i="26"/>
  <c r="C91" i="26"/>
  <c r="H90" i="26"/>
  <c r="G90" i="26"/>
  <c r="F90" i="26"/>
  <c r="E90" i="26"/>
  <c r="C90" i="26"/>
  <c r="H89" i="26"/>
  <c r="G89" i="26"/>
  <c r="F89" i="26"/>
  <c r="E89" i="26"/>
  <c r="C89" i="26"/>
  <c r="DT88" i="26"/>
  <c r="DS88" i="26"/>
  <c r="DQ88" i="26"/>
  <c r="DP88" i="26"/>
  <c r="DO88" i="26"/>
  <c r="DN88" i="26"/>
  <c r="DM88" i="26"/>
  <c r="DL88" i="26"/>
  <c r="DK88" i="26"/>
  <c r="DJ88" i="26"/>
  <c r="DI88" i="26"/>
  <c r="DH88" i="26"/>
  <c r="DG88" i="26"/>
  <c r="DF88" i="26"/>
  <c r="DE88" i="26"/>
  <c r="DD88" i="26"/>
  <c r="DC88" i="26"/>
  <c r="DA88" i="26"/>
  <c r="CY88" i="26"/>
  <c r="CX88" i="26"/>
  <c r="CW88" i="26"/>
  <c r="CV88" i="26"/>
  <c r="CU88" i="26"/>
  <c r="CT88" i="26"/>
  <c r="CS88" i="26"/>
  <c r="CR88" i="26"/>
  <c r="CQ88" i="26"/>
  <c r="CP88" i="26"/>
  <c r="CO88" i="26"/>
  <c r="CN88" i="26"/>
  <c r="CM88" i="26"/>
  <c r="CL88" i="26"/>
  <c r="CK88" i="26"/>
  <c r="CJ88" i="26"/>
  <c r="CI88" i="26"/>
  <c r="CH88" i="26"/>
  <c r="CG88" i="26"/>
  <c r="CF88" i="26"/>
  <c r="CE88" i="26"/>
  <c r="CD88" i="26"/>
  <c r="CC88" i="26"/>
  <c r="CB88" i="26"/>
  <c r="CA88" i="26"/>
  <c r="BZ88" i="26"/>
  <c r="BY88" i="26"/>
  <c r="BX88" i="26"/>
  <c r="BW88" i="26"/>
  <c r="BV88" i="26"/>
  <c r="BU88" i="26"/>
  <c r="BT88" i="26"/>
  <c r="BS88" i="26"/>
  <c r="BR88" i="26"/>
  <c r="BQ88" i="26"/>
  <c r="BP88" i="26"/>
  <c r="BO88" i="26"/>
  <c r="BN88" i="26"/>
  <c r="BM88" i="26"/>
  <c r="BL88" i="26"/>
  <c r="BK88" i="26"/>
  <c r="BJ88" i="26"/>
  <c r="BI88" i="26"/>
  <c r="BH88" i="26"/>
  <c r="BG88" i="26"/>
  <c r="BF88" i="26"/>
  <c r="BE88" i="26"/>
  <c r="BD88" i="26"/>
  <c r="BC88" i="26"/>
  <c r="BB88" i="26"/>
  <c r="BA88" i="26"/>
  <c r="AZ88" i="26"/>
  <c r="AY88" i="26"/>
  <c r="AX88" i="26"/>
  <c r="AW88" i="26"/>
  <c r="AV88" i="26"/>
  <c r="AU88" i="26"/>
  <c r="AT88" i="26"/>
  <c r="AS88" i="26"/>
  <c r="AR88" i="26"/>
  <c r="AQ88" i="26"/>
  <c r="AP88" i="26"/>
  <c r="AO88" i="26"/>
  <c r="AM88" i="26"/>
  <c r="AL88" i="26"/>
  <c r="AK88" i="26"/>
  <c r="AJ88" i="26"/>
  <c r="AI88" i="26"/>
  <c r="AH88" i="26"/>
  <c r="AF88" i="26"/>
  <c r="AE88" i="26"/>
  <c r="AD88" i="26"/>
  <c r="AC88" i="26"/>
  <c r="AB88" i="26"/>
  <c r="AA88" i="26"/>
  <c r="Z88" i="26"/>
  <c r="Y88" i="26"/>
  <c r="X88" i="26"/>
  <c r="W88" i="26"/>
  <c r="V88" i="26"/>
  <c r="U88" i="26"/>
  <c r="T88" i="26"/>
  <c r="S88" i="26"/>
  <c r="R88" i="26"/>
  <c r="Q88" i="26"/>
  <c r="P88" i="26"/>
  <c r="O88" i="26"/>
  <c r="N88" i="26"/>
  <c r="M88" i="26"/>
  <c r="L88" i="26"/>
  <c r="K88" i="26"/>
  <c r="J88" i="26"/>
  <c r="I88" i="26"/>
  <c r="H87" i="26"/>
  <c r="D87" i="26" s="1"/>
  <c r="G87" i="26"/>
  <c r="F87" i="26"/>
  <c r="E87" i="26"/>
  <c r="C87" i="26"/>
  <c r="H86" i="26"/>
  <c r="G86" i="26"/>
  <c r="F86" i="26"/>
  <c r="D86" i="26" s="1"/>
  <c r="E86" i="26"/>
  <c r="C86" i="26"/>
  <c r="H85" i="26"/>
  <c r="G85" i="26"/>
  <c r="F85" i="26"/>
  <c r="D85" i="26" s="1"/>
  <c r="E85" i="26"/>
  <c r="C85" i="26"/>
  <c r="H84" i="26"/>
  <c r="G84" i="26"/>
  <c r="F84" i="26"/>
  <c r="E84" i="26"/>
  <c r="C84" i="26"/>
  <c r="H83" i="26"/>
  <c r="G83" i="26"/>
  <c r="F83" i="26"/>
  <c r="E83" i="26"/>
  <c r="C83" i="26"/>
  <c r="H82" i="26"/>
  <c r="G82" i="26"/>
  <c r="F82" i="26"/>
  <c r="D82" i="26" s="1"/>
  <c r="E82" i="26"/>
  <c r="C82" i="26"/>
  <c r="H81" i="26"/>
  <c r="G81" i="26"/>
  <c r="F81" i="26"/>
  <c r="D81" i="26" s="1"/>
  <c r="E81" i="26"/>
  <c r="C81" i="26"/>
  <c r="H80" i="26"/>
  <c r="G80" i="26"/>
  <c r="G88" i="26" s="1"/>
  <c r="F80" i="26"/>
  <c r="E80" i="26"/>
  <c r="D80" i="26"/>
  <c r="C80" i="26"/>
  <c r="C88" i="26" s="1"/>
  <c r="DT79" i="26"/>
  <c r="DS79" i="26"/>
  <c r="DQ79" i="26"/>
  <c r="DP79" i="26"/>
  <c r="DO79" i="26"/>
  <c r="DN79" i="26"/>
  <c r="DM79" i="26"/>
  <c r="DL79" i="26"/>
  <c r="DJ79" i="26"/>
  <c r="DI79" i="26"/>
  <c r="DH79" i="26"/>
  <c r="DG79" i="26"/>
  <c r="DF79" i="26"/>
  <c r="DE79" i="26"/>
  <c r="DD79" i="26"/>
  <c r="DC79" i="26"/>
  <c r="DA79" i="26"/>
  <c r="CY79" i="26"/>
  <c r="CX79" i="26"/>
  <c r="CW79" i="26"/>
  <c r="CV79" i="26"/>
  <c r="CU79" i="26"/>
  <c r="CT79" i="26"/>
  <c r="CS79" i="26"/>
  <c r="CR79" i="26"/>
  <c r="CQ79" i="26"/>
  <c r="CP79" i="26"/>
  <c r="CO79" i="26"/>
  <c r="CN79" i="26"/>
  <c r="CM79" i="26"/>
  <c r="CL79" i="26"/>
  <c r="CK79" i="26"/>
  <c r="CJ79" i="26"/>
  <c r="CI79" i="26"/>
  <c r="CH79" i="26"/>
  <c r="CG79" i="26"/>
  <c r="CF79" i="26"/>
  <c r="CE79" i="26"/>
  <c r="CD79" i="26"/>
  <c r="CC79" i="26"/>
  <c r="CB79" i="26"/>
  <c r="CA79" i="26"/>
  <c r="BZ79" i="26"/>
  <c r="BY79" i="26"/>
  <c r="BX79" i="26"/>
  <c r="BW79" i="26"/>
  <c r="BV79" i="26"/>
  <c r="BU79" i="26"/>
  <c r="BT79" i="26"/>
  <c r="BS79" i="26"/>
  <c r="BR79" i="26"/>
  <c r="BQ79" i="26"/>
  <c r="BP79" i="26"/>
  <c r="BO79" i="26"/>
  <c r="BN79" i="26"/>
  <c r="BM79" i="26"/>
  <c r="BL79" i="26"/>
  <c r="BK79" i="26"/>
  <c r="BJ79" i="26"/>
  <c r="BI79" i="26"/>
  <c r="BH79" i="26"/>
  <c r="BG79" i="26"/>
  <c r="BF79" i="26"/>
  <c r="BE79" i="26"/>
  <c r="BD79" i="26"/>
  <c r="BC79" i="26"/>
  <c r="BB79" i="26"/>
  <c r="BA79" i="26"/>
  <c r="AZ79" i="26"/>
  <c r="AY79" i="26"/>
  <c r="AX79" i="26"/>
  <c r="AW79" i="26"/>
  <c r="AV79" i="26"/>
  <c r="AU79" i="26"/>
  <c r="AT79" i="26"/>
  <c r="AS79" i="26"/>
  <c r="AR79" i="26"/>
  <c r="AQ79" i="26"/>
  <c r="AP79" i="26"/>
  <c r="AO79" i="26"/>
  <c r="AM79" i="26"/>
  <c r="AL79" i="26"/>
  <c r="AK79" i="26"/>
  <c r="AJ79" i="26"/>
  <c r="AI79" i="26"/>
  <c r="AH79" i="26"/>
  <c r="AF79" i="26"/>
  <c r="AD79" i="26"/>
  <c r="AC79" i="26"/>
  <c r="AB79" i="26"/>
  <c r="AA79" i="26"/>
  <c r="Z79" i="26"/>
  <c r="Y79" i="26"/>
  <c r="X79" i="26"/>
  <c r="W79" i="26"/>
  <c r="V79" i="26"/>
  <c r="U79" i="26"/>
  <c r="T79" i="26"/>
  <c r="S79" i="26"/>
  <c r="R79" i="26"/>
  <c r="Q79" i="26"/>
  <c r="P79" i="26"/>
  <c r="O79" i="26"/>
  <c r="N79" i="26"/>
  <c r="M79" i="26"/>
  <c r="L79" i="26"/>
  <c r="K79" i="26"/>
  <c r="J79" i="26"/>
  <c r="I79" i="26"/>
  <c r="DK78" i="26"/>
  <c r="G78" i="26" s="1"/>
  <c r="AE78" i="26"/>
  <c r="E78" i="26" s="1"/>
  <c r="H78" i="26"/>
  <c r="F78" i="26"/>
  <c r="H77" i="26"/>
  <c r="G77" i="26"/>
  <c r="F77" i="26"/>
  <c r="D77" i="26" s="1"/>
  <c r="E77" i="26"/>
  <c r="C77" i="26"/>
  <c r="H76" i="26"/>
  <c r="D76" i="26" s="1"/>
  <c r="G76" i="26"/>
  <c r="F76" i="26"/>
  <c r="E76" i="26"/>
  <c r="C76" i="26"/>
  <c r="DK75" i="26"/>
  <c r="G75" i="26" s="1"/>
  <c r="AE75" i="26"/>
  <c r="H75" i="26"/>
  <c r="F75" i="26"/>
  <c r="DT74" i="26"/>
  <c r="DS74" i="26"/>
  <c r="DQ74" i="26"/>
  <c r="DP74" i="26"/>
  <c r="DO74" i="26"/>
  <c r="DN74" i="26"/>
  <c r="DM74" i="26"/>
  <c r="DL74" i="26"/>
  <c r="DK74" i="26"/>
  <c r="DH74" i="26"/>
  <c r="DG74" i="26"/>
  <c r="DF74" i="26"/>
  <c r="DE74" i="26"/>
  <c r="DD74" i="26"/>
  <c r="DC74" i="26"/>
  <c r="DA74" i="26"/>
  <c r="CY74" i="26"/>
  <c r="CX74" i="26"/>
  <c r="CW74" i="26"/>
  <c r="CV74" i="26"/>
  <c r="CU74" i="26"/>
  <c r="CT74" i="26"/>
  <c r="CS74" i="26"/>
  <c r="CR74" i="26"/>
  <c r="CQ74" i="26"/>
  <c r="CP74" i="26"/>
  <c r="CO74" i="26"/>
  <c r="CN74" i="26"/>
  <c r="CM74" i="26"/>
  <c r="CL74" i="26"/>
  <c r="CK74" i="26"/>
  <c r="CJ74" i="26"/>
  <c r="CI74" i="26"/>
  <c r="CH74" i="26"/>
  <c r="CG74" i="26"/>
  <c r="CF74" i="26"/>
  <c r="CE74" i="26"/>
  <c r="CD74" i="26"/>
  <c r="CC74" i="26"/>
  <c r="CB74" i="26"/>
  <c r="CA74" i="26"/>
  <c r="BZ74" i="26"/>
  <c r="BY74" i="26"/>
  <c r="BX74" i="26"/>
  <c r="BW74" i="26"/>
  <c r="BV74" i="26"/>
  <c r="BU74" i="26"/>
  <c r="BT74" i="26"/>
  <c r="BS74" i="26"/>
  <c r="BR74" i="26"/>
  <c r="BQ74" i="26"/>
  <c r="BP74" i="26"/>
  <c r="BO74" i="26"/>
  <c r="BN74" i="26"/>
  <c r="BM74" i="26"/>
  <c r="BL74" i="26"/>
  <c r="BK74" i="26"/>
  <c r="BJ74" i="26"/>
  <c r="BI74" i="26"/>
  <c r="BH74" i="26"/>
  <c r="BG74" i="26"/>
  <c r="BF74" i="26"/>
  <c r="BE74" i="26"/>
  <c r="BD74" i="26"/>
  <c r="BC74" i="26"/>
  <c r="BB74" i="26"/>
  <c r="BA74" i="26"/>
  <c r="AZ74" i="26"/>
  <c r="AY74" i="26"/>
  <c r="AX74" i="26"/>
  <c r="AW74" i="26"/>
  <c r="AV74" i="26"/>
  <c r="AU74" i="26"/>
  <c r="AT74" i="26"/>
  <c r="AS74" i="26"/>
  <c r="AR74" i="26"/>
  <c r="AQ74" i="26"/>
  <c r="AP74" i="26"/>
  <c r="AO74" i="26"/>
  <c r="AM74" i="26"/>
  <c r="AL74" i="26"/>
  <c r="AK74" i="26"/>
  <c r="AJ74" i="26"/>
  <c r="AI74" i="26"/>
  <c r="AH74" i="26"/>
  <c r="AD74" i="26"/>
  <c r="AC74" i="26"/>
  <c r="AA74" i="26"/>
  <c r="Y74" i="26"/>
  <c r="X74" i="26"/>
  <c r="W74" i="26"/>
  <c r="U74" i="26"/>
  <c r="T74" i="26"/>
  <c r="S74" i="26"/>
  <c r="R74" i="26"/>
  <c r="Q74" i="26"/>
  <c r="P74" i="26"/>
  <c r="O74" i="26"/>
  <c r="M74" i="26"/>
  <c r="J74" i="26"/>
  <c r="I74" i="26"/>
  <c r="DI73" i="26"/>
  <c r="G73" i="26" s="1"/>
  <c r="AH73" i="26"/>
  <c r="AE73" i="26"/>
  <c r="AB73" i="26"/>
  <c r="AB74" i="26" s="1"/>
  <c r="V73" i="26"/>
  <c r="V74" i="26" s="1"/>
  <c r="N73" i="26"/>
  <c r="N74" i="26" s="1"/>
  <c r="K73" i="26"/>
  <c r="K74" i="26" s="1"/>
  <c r="H73" i="26"/>
  <c r="H72" i="26"/>
  <c r="G72" i="26"/>
  <c r="F72" i="26"/>
  <c r="E72" i="26"/>
  <c r="C72" i="26"/>
  <c r="H71" i="26"/>
  <c r="G71" i="26"/>
  <c r="F71" i="26"/>
  <c r="D71" i="26" s="1"/>
  <c r="E71" i="26"/>
  <c r="C71" i="26"/>
  <c r="DI70" i="26"/>
  <c r="G70" i="26" s="1"/>
  <c r="AF70" i="26"/>
  <c r="AF74" i="26" s="1"/>
  <c r="AE70" i="26"/>
  <c r="E70" i="26" s="1"/>
  <c r="H70" i="26"/>
  <c r="DI69" i="26"/>
  <c r="G69" i="26" s="1"/>
  <c r="H69" i="26"/>
  <c r="F69" i="26"/>
  <c r="E69" i="26"/>
  <c r="DI68" i="26"/>
  <c r="AE68" i="26"/>
  <c r="Z68" i="26"/>
  <c r="F68" i="26"/>
  <c r="AE67" i="26"/>
  <c r="L67" i="26"/>
  <c r="H67" i="26"/>
  <c r="G67" i="26"/>
  <c r="DV66" i="26"/>
  <c r="DU66" i="26"/>
  <c r="DT66" i="26"/>
  <c r="DS66" i="26"/>
  <c r="DQ66" i="26"/>
  <c r="DP66" i="26"/>
  <c r="DO66" i="26"/>
  <c r="DN66" i="26"/>
  <c r="DM66" i="26"/>
  <c r="DL66" i="26"/>
  <c r="DK66" i="26"/>
  <c r="DJ66" i="26"/>
  <c r="DI66" i="26"/>
  <c r="DH66" i="26"/>
  <c r="DG66" i="26"/>
  <c r="DF66" i="26"/>
  <c r="DE66" i="26"/>
  <c r="DD66" i="26"/>
  <c r="DC66" i="26"/>
  <c r="DA66" i="26"/>
  <c r="CY66" i="26"/>
  <c r="CW66" i="26"/>
  <c r="CT66" i="26"/>
  <c r="CS66" i="26"/>
  <c r="CR66" i="26"/>
  <c r="CQ66" i="26"/>
  <c r="CN66" i="26"/>
  <c r="CM66" i="26"/>
  <c r="CL66" i="26"/>
  <c r="CK66" i="26"/>
  <c r="CI66" i="26"/>
  <c r="CH66" i="26"/>
  <c r="CG66" i="26"/>
  <c r="CF66" i="26"/>
  <c r="CE66" i="26"/>
  <c r="CD66" i="26"/>
  <c r="CC66" i="26"/>
  <c r="CA66" i="26"/>
  <c r="BX66" i="26"/>
  <c r="BW66" i="26"/>
  <c r="BR66" i="26"/>
  <c r="BQ66" i="26"/>
  <c r="BP66" i="26"/>
  <c r="BO66" i="26"/>
  <c r="BN66" i="26"/>
  <c r="BM66" i="26"/>
  <c r="BL66" i="26"/>
  <c r="BK66" i="26"/>
  <c r="BJ66" i="26"/>
  <c r="BI66" i="26"/>
  <c r="BH66" i="26"/>
  <c r="BG66" i="26"/>
  <c r="BF66" i="26"/>
  <c r="BE66" i="26"/>
  <c r="BD66" i="26"/>
  <c r="BC66" i="26"/>
  <c r="BB66" i="26"/>
  <c r="BA66" i="26"/>
  <c r="AZ66" i="26"/>
  <c r="AY66" i="26"/>
  <c r="AX66" i="26"/>
  <c r="AW66" i="26"/>
  <c r="AV66" i="26"/>
  <c r="AU66" i="26"/>
  <c r="AT66" i="26"/>
  <c r="AS66" i="26"/>
  <c r="AR66" i="26"/>
  <c r="AQ66" i="26"/>
  <c r="AP66" i="26"/>
  <c r="AO66" i="26"/>
  <c r="AM66" i="26"/>
  <c r="AL66" i="26"/>
  <c r="AK66" i="26"/>
  <c r="AJ66" i="26"/>
  <c r="AI66" i="26"/>
  <c r="AD66" i="26"/>
  <c r="AC66" i="26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AF65" i="26"/>
  <c r="AF66" i="26" s="1"/>
  <c r="AE65" i="26"/>
  <c r="E65" i="26" s="1"/>
  <c r="H65" i="26"/>
  <c r="G65" i="26"/>
  <c r="CX64" i="26"/>
  <c r="CX66" i="26" s="1"/>
  <c r="CV64" i="26"/>
  <c r="CV66" i="26" s="1"/>
  <c r="CU64" i="26"/>
  <c r="CU66" i="26" s="1"/>
  <c r="CP64" i="26"/>
  <c r="CO64" i="26"/>
  <c r="CO66" i="26" s="1"/>
  <c r="CJ64" i="26"/>
  <c r="CJ66" i="26" s="1"/>
  <c r="CB64" i="26"/>
  <c r="F64" i="26"/>
  <c r="E64" i="26"/>
  <c r="H63" i="26"/>
  <c r="G63" i="26"/>
  <c r="F63" i="26"/>
  <c r="E63" i="26"/>
  <c r="C63" i="26"/>
  <c r="H62" i="26"/>
  <c r="G62" i="26"/>
  <c r="F62" i="26"/>
  <c r="E62" i="26"/>
  <c r="C62" i="26"/>
  <c r="H61" i="26"/>
  <c r="G61" i="26"/>
  <c r="F61" i="26"/>
  <c r="E61" i="26"/>
  <c r="C61" i="26"/>
  <c r="H60" i="26"/>
  <c r="G60" i="26"/>
  <c r="F60" i="26"/>
  <c r="E60" i="26"/>
  <c r="D60" i="26"/>
  <c r="C60" i="26"/>
  <c r="BZ59" i="26"/>
  <c r="BY59" i="26"/>
  <c r="BV59" i="26"/>
  <c r="BV66" i="26"/>
  <c r="BU59" i="26"/>
  <c r="BU66" i="26"/>
  <c r="BT59" i="26"/>
  <c r="BT66" i="26"/>
  <c r="BS59" i="26"/>
  <c r="BS66" i="26"/>
  <c r="F59" i="26"/>
  <c r="E59" i="26"/>
  <c r="H58" i="26"/>
  <c r="G58" i="26"/>
  <c r="F58" i="26"/>
  <c r="E58" i="26"/>
  <c r="C58" i="26"/>
  <c r="H57" i="26"/>
  <c r="G57" i="26"/>
  <c r="F57" i="26"/>
  <c r="E57" i="26"/>
  <c r="C57" i="26"/>
  <c r="H56" i="26"/>
  <c r="G56" i="26"/>
  <c r="F56" i="26"/>
  <c r="E56" i="26"/>
  <c r="C56" i="26"/>
  <c r="H55" i="26"/>
  <c r="G55" i="26"/>
  <c r="F55" i="26"/>
  <c r="E55" i="26"/>
  <c r="C55" i="26"/>
  <c r="H54" i="26"/>
  <c r="G54" i="26"/>
  <c r="F54" i="26"/>
  <c r="E54" i="26"/>
  <c r="C54" i="26"/>
  <c r="DT53" i="26"/>
  <c r="DS53" i="26"/>
  <c r="DQ53" i="26"/>
  <c r="DP53" i="26"/>
  <c r="DO53" i="26"/>
  <c r="DN53" i="26"/>
  <c r="DM53" i="26"/>
  <c r="DL53" i="26"/>
  <c r="DK53" i="26"/>
  <c r="DJ53" i="26"/>
  <c r="DI53" i="26"/>
  <c r="DH53" i="26"/>
  <c r="DG53" i="26"/>
  <c r="DD53" i="26"/>
  <c r="DC53" i="26"/>
  <c r="DA53" i="26"/>
  <c r="CY53" i="26"/>
  <c r="CX53" i="26"/>
  <c r="CW53" i="26"/>
  <c r="CV53" i="26"/>
  <c r="CU53" i="26"/>
  <c r="CT53" i="26"/>
  <c r="CS53" i="26"/>
  <c r="CR53" i="26"/>
  <c r="CQ53" i="26"/>
  <c r="CP53" i="26"/>
  <c r="CO53" i="26"/>
  <c r="CN53" i="26"/>
  <c r="CM53" i="26"/>
  <c r="CL53" i="26"/>
  <c r="CK53" i="26"/>
  <c r="CJ53" i="26"/>
  <c r="CI53" i="26"/>
  <c r="CH53" i="26"/>
  <c r="CG53" i="26"/>
  <c r="CF53" i="26"/>
  <c r="CE53" i="26"/>
  <c r="CD53" i="26"/>
  <c r="CC53" i="26"/>
  <c r="CB53" i="26"/>
  <c r="CA53" i="26"/>
  <c r="BZ53" i="26"/>
  <c r="BY53" i="26"/>
  <c r="BX53" i="26"/>
  <c r="BW53" i="26"/>
  <c r="BV53" i="26"/>
  <c r="BU53" i="26"/>
  <c r="BT53" i="26"/>
  <c r="BS53" i="26"/>
  <c r="BR53" i="26"/>
  <c r="BQ53" i="26"/>
  <c r="BP53" i="26"/>
  <c r="BO53" i="26"/>
  <c r="BN53" i="26"/>
  <c r="BM53" i="26"/>
  <c r="BL53" i="26"/>
  <c r="BK53" i="26"/>
  <c r="BJ53" i="26"/>
  <c r="BI53" i="26"/>
  <c r="BH53" i="26"/>
  <c r="BG53" i="26"/>
  <c r="BF53" i="26"/>
  <c r="BE53" i="26"/>
  <c r="BD53" i="26"/>
  <c r="BC53" i="26"/>
  <c r="BB53" i="26"/>
  <c r="BA53" i="26"/>
  <c r="AZ53" i="26"/>
  <c r="AY53" i="26"/>
  <c r="AX53" i="26"/>
  <c r="AW53" i="26"/>
  <c r="AV53" i="26"/>
  <c r="AU53" i="26"/>
  <c r="AT53" i="26"/>
  <c r="AS53" i="26"/>
  <c r="AR53" i="26"/>
  <c r="AQ53" i="26"/>
  <c r="AP53" i="26"/>
  <c r="AO53" i="26"/>
  <c r="AM53" i="26"/>
  <c r="AL53" i="26"/>
  <c r="AK53" i="26"/>
  <c r="AI53" i="26"/>
  <c r="AH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DE52" i="26"/>
  <c r="C52" i="26" s="1"/>
  <c r="AJ52" i="26"/>
  <c r="F52" i="26"/>
  <c r="D52" i="26" s="1"/>
  <c r="AI52" i="26"/>
  <c r="E52" i="26" s="1"/>
  <c r="H52" i="26"/>
  <c r="H51" i="26"/>
  <c r="G51" i="26"/>
  <c r="F51" i="26"/>
  <c r="E51" i="26"/>
  <c r="C51" i="26"/>
  <c r="DF50" i="26"/>
  <c r="G50" i="26"/>
  <c r="F50" i="26"/>
  <c r="E50" i="26"/>
  <c r="H49" i="26"/>
  <c r="G49" i="26"/>
  <c r="F49" i="26"/>
  <c r="E49" i="26"/>
  <c r="C49" i="26"/>
  <c r="DF48" i="26"/>
  <c r="G48" i="26"/>
  <c r="F48" i="26"/>
  <c r="E48" i="26"/>
  <c r="H47" i="26"/>
  <c r="G47" i="26"/>
  <c r="F47" i="26"/>
  <c r="E47" i="26"/>
  <c r="C47" i="26"/>
  <c r="H46" i="26"/>
  <c r="G46" i="26"/>
  <c r="F46" i="26"/>
  <c r="D46" i="26" s="1"/>
  <c r="E46" i="26"/>
  <c r="C46" i="26"/>
  <c r="H45" i="26"/>
  <c r="G45" i="26"/>
  <c r="F45" i="26"/>
  <c r="E45" i="26"/>
  <c r="C45" i="26"/>
  <c r="AH44" i="26"/>
  <c r="J44" i="26"/>
  <c r="DT43" i="26"/>
  <c r="DS43" i="26"/>
  <c r="DQ43" i="26"/>
  <c r="DN43" i="26"/>
  <c r="DM43" i="26"/>
  <c r="DL43" i="26"/>
  <c r="DK43" i="26"/>
  <c r="DJ43" i="26"/>
  <c r="DI43" i="26"/>
  <c r="DG43" i="26"/>
  <c r="DF43" i="26"/>
  <c r="DE43" i="26"/>
  <c r="DD43" i="26"/>
  <c r="DC43" i="26"/>
  <c r="DA43" i="26"/>
  <c r="CY43" i="26"/>
  <c r="CX43" i="26"/>
  <c r="CW43" i="26"/>
  <c r="CV43" i="26"/>
  <c r="CU43" i="26"/>
  <c r="CS43" i="26"/>
  <c r="CR43" i="26"/>
  <c r="CQ43" i="26"/>
  <c r="CP43" i="26"/>
  <c r="CO43" i="26"/>
  <c r="CN43" i="26"/>
  <c r="CM43" i="26"/>
  <c r="CL43" i="26"/>
  <c r="CK43" i="26"/>
  <c r="CH43" i="26"/>
  <c r="CG43" i="26"/>
  <c r="CF43" i="26"/>
  <c r="CE43" i="26"/>
  <c r="CD43" i="26"/>
  <c r="CC43" i="26"/>
  <c r="CB43" i="26"/>
  <c r="CA43" i="26"/>
  <c r="BZ43" i="26"/>
  <c r="BY43" i="26"/>
  <c r="BX43" i="26"/>
  <c r="BW43" i="26"/>
  <c r="BV43" i="26"/>
  <c r="BU43" i="26"/>
  <c r="BT43" i="26"/>
  <c r="BS43" i="26"/>
  <c r="BR43" i="26"/>
  <c r="BQ43" i="26"/>
  <c r="BN43" i="26"/>
  <c r="BM43" i="26"/>
  <c r="BK43" i="26"/>
  <c r="BH43" i="26"/>
  <c r="BG43" i="26"/>
  <c r="BD43" i="26"/>
  <c r="BC43" i="26"/>
  <c r="BA43" i="26"/>
  <c r="AZ43" i="26"/>
  <c r="AY43" i="26"/>
  <c r="AX43" i="26"/>
  <c r="AW43" i="26"/>
  <c r="AV43" i="26"/>
  <c r="AU43" i="26"/>
  <c r="AT43" i="26"/>
  <c r="AS43" i="26"/>
  <c r="AP43" i="26"/>
  <c r="AO43" i="26"/>
  <c r="AM43" i="26"/>
  <c r="AL43" i="26"/>
  <c r="AK43" i="26"/>
  <c r="AJ43" i="26"/>
  <c r="AI43" i="26"/>
  <c r="Y43" i="26"/>
  <c r="V43" i="26"/>
  <c r="U43" i="26"/>
  <c r="T43" i="26"/>
  <c r="S43" i="26"/>
  <c r="DH42" i="26"/>
  <c r="H42" i="26" s="1"/>
  <c r="G42" i="26"/>
  <c r="F42" i="26"/>
  <c r="D42" i="26" s="1"/>
  <c r="E42" i="26"/>
  <c r="C42" i="26" s="1"/>
  <c r="H41" i="26"/>
  <c r="G41" i="26"/>
  <c r="F41" i="26"/>
  <c r="E41" i="26"/>
  <c r="H40" i="26"/>
  <c r="G40" i="26"/>
  <c r="F40" i="26"/>
  <c r="E40" i="26"/>
  <c r="C40" i="26"/>
  <c r="H39" i="26"/>
  <c r="G39" i="26"/>
  <c r="F39" i="26"/>
  <c r="E39" i="26"/>
  <c r="C39" i="26" s="1"/>
  <c r="Z38" i="26"/>
  <c r="Z43" i="26" s="1"/>
  <c r="DT37" i="26"/>
  <c r="DS37" i="26"/>
  <c r="DQ37" i="26"/>
  <c r="DP37" i="26"/>
  <c r="DO37" i="26"/>
  <c r="DN37" i="26"/>
  <c r="DM37" i="26"/>
  <c r="DL37" i="26"/>
  <c r="DK37" i="26"/>
  <c r="DJ37" i="26"/>
  <c r="DI37" i="26"/>
  <c r="DH37" i="26"/>
  <c r="DG37" i="26"/>
  <c r="DF37" i="26"/>
  <c r="DE37" i="26"/>
  <c r="DD37" i="26"/>
  <c r="DC37" i="26"/>
  <c r="DA37" i="26"/>
  <c r="CY37" i="26"/>
  <c r="CX37" i="26"/>
  <c r="CW37" i="26"/>
  <c r="CV37" i="26"/>
  <c r="CU37" i="26"/>
  <c r="CT37" i="26"/>
  <c r="CS37" i="26"/>
  <c r="CR37" i="26"/>
  <c r="CQ37" i="26"/>
  <c r="CP37" i="26"/>
  <c r="CO37" i="26"/>
  <c r="CN37" i="26"/>
  <c r="CM37" i="26"/>
  <c r="CL37" i="26"/>
  <c r="CK37" i="26"/>
  <c r="CJ37" i="26"/>
  <c r="CI37" i="26"/>
  <c r="CH37" i="26"/>
  <c r="CG37" i="26"/>
  <c r="CF37" i="26"/>
  <c r="CE37" i="26"/>
  <c r="CD37" i="26"/>
  <c r="CC37" i="26"/>
  <c r="CB37" i="26"/>
  <c r="CA37" i="26"/>
  <c r="BZ37" i="26"/>
  <c r="BY37" i="26"/>
  <c r="BX37" i="26"/>
  <c r="BW37" i="26"/>
  <c r="BV37" i="26"/>
  <c r="BU37" i="26"/>
  <c r="BT37" i="26"/>
  <c r="BS37" i="26"/>
  <c r="BR37" i="26"/>
  <c r="BQ37" i="26"/>
  <c r="BP37" i="26"/>
  <c r="BO37" i="26"/>
  <c r="BN37" i="26"/>
  <c r="BM37" i="26"/>
  <c r="BL37" i="26"/>
  <c r="BK37" i="26"/>
  <c r="BJ37" i="26"/>
  <c r="BI37" i="26"/>
  <c r="BH37" i="26"/>
  <c r="BG37" i="26"/>
  <c r="BF37" i="26"/>
  <c r="BE37" i="26"/>
  <c r="BD37" i="26"/>
  <c r="BC37" i="26"/>
  <c r="BB37" i="26"/>
  <c r="BA37" i="26"/>
  <c r="AZ37" i="26"/>
  <c r="AY37" i="26"/>
  <c r="AX37" i="26"/>
  <c r="AW37" i="26"/>
  <c r="AV37" i="26"/>
  <c r="AU37" i="26"/>
  <c r="AT37" i="26"/>
  <c r="AS37" i="26"/>
  <c r="AR37" i="26"/>
  <c r="AQ37" i="26"/>
  <c r="AP37" i="26"/>
  <c r="AO37" i="26"/>
  <c r="AM37" i="26"/>
  <c r="AL37" i="26"/>
  <c r="AK37" i="26"/>
  <c r="AJ37" i="26"/>
  <c r="AI37" i="26"/>
  <c r="AF37" i="26"/>
  <c r="AE37" i="26"/>
  <c r="AD37" i="26"/>
  <c r="AC37" i="26"/>
  <c r="AB37" i="26"/>
  <c r="AA37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M37" i="26"/>
  <c r="L37" i="26"/>
  <c r="K37" i="26"/>
  <c r="G37" i="26"/>
  <c r="H36" i="26"/>
  <c r="G36" i="26"/>
  <c r="F36" i="26"/>
  <c r="D36" i="26" s="1"/>
  <c r="E36" i="26"/>
  <c r="C36" i="26" s="1"/>
  <c r="H35" i="26"/>
  <c r="H37" i="26" s="1"/>
  <c r="G35" i="26"/>
  <c r="F35" i="26"/>
  <c r="E35" i="26"/>
  <c r="DT34" i="26"/>
  <c r="DS34" i="26"/>
  <c r="DQ34" i="26"/>
  <c r="DP34" i="26"/>
  <c r="DO34" i="26"/>
  <c r="DN34" i="26"/>
  <c r="DM34" i="26"/>
  <c r="DL34" i="26"/>
  <c r="DK34" i="26"/>
  <c r="DJ34" i="26"/>
  <c r="DI34" i="26"/>
  <c r="DG34" i="26"/>
  <c r="DF34" i="26"/>
  <c r="DE34" i="26"/>
  <c r="DD34" i="26"/>
  <c r="DC34" i="26"/>
  <c r="DA34" i="26"/>
  <c r="CY34" i="26"/>
  <c r="CX34" i="26"/>
  <c r="CW34" i="26"/>
  <c r="CV34" i="26"/>
  <c r="CU34" i="26"/>
  <c r="CT34" i="26"/>
  <c r="CS34" i="26"/>
  <c r="CR34" i="26"/>
  <c r="CQ34" i="26"/>
  <c r="CP34" i="26"/>
  <c r="CO34" i="26"/>
  <c r="CN34" i="26"/>
  <c r="CM34" i="26"/>
  <c r="CL34" i="26"/>
  <c r="CK34" i="26"/>
  <c r="CJ34" i="26"/>
  <c r="CI34" i="26"/>
  <c r="CH34" i="26"/>
  <c r="CG34" i="26"/>
  <c r="CF34" i="26"/>
  <c r="CE34" i="26"/>
  <c r="CD34" i="26"/>
  <c r="CC34" i="26"/>
  <c r="CB34" i="26"/>
  <c r="CA34" i="26"/>
  <c r="BZ34" i="26"/>
  <c r="BY34" i="26"/>
  <c r="BX34" i="26"/>
  <c r="BW34" i="26"/>
  <c r="BV34" i="26"/>
  <c r="BU34" i="26"/>
  <c r="BT34" i="26"/>
  <c r="BS34" i="26"/>
  <c r="BR34" i="26"/>
  <c r="BQ34" i="26"/>
  <c r="BN34" i="26"/>
  <c r="BM34" i="26"/>
  <c r="BL34" i="26"/>
  <c r="BJ34" i="26"/>
  <c r="BI34" i="26"/>
  <c r="BH34" i="26"/>
  <c r="BG34" i="26"/>
  <c r="BF34" i="26"/>
  <c r="BE34" i="26"/>
  <c r="BD34" i="26"/>
  <c r="BC34" i="26"/>
  <c r="BB34" i="26"/>
  <c r="BA34" i="26"/>
  <c r="AZ34" i="26"/>
  <c r="AY34" i="26"/>
  <c r="AX34" i="26"/>
  <c r="AW34" i="26"/>
  <c r="AV34" i="26"/>
  <c r="AU34" i="26"/>
  <c r="AT34" i="26"/>
  <c r="AS34" i="26"/>
  <c r="AR34" i="26"/>
  <c r="AQ34" i="26"/>
  <c r="AP34" i="26"/>
  <c r="AO34" i="26"/>
  <c r="AM34" i="26"/>
  <c r="AL34" i="26"/>
  <c r="AK34" i="26"/>
  <c r="AJ34" i="26"/>
  <c r="AI34" i="26"/>
  <c r="AF34" i="26"/>
  <c r="AE34" i="26"/>
  <c r="AD34" i="26"/>
  <c r="AC34" i="26"/>
  <c r="X34" i="26"/>
  <c r="W34" i="26"/>
  <c r="V34" i="26"/>
  <c r="U34" i="26"/>
  <c r="T34" i="26"/>
  <c r="T44" i="26" s="1"/>
  <c r="S34" i="26"/>
  <c r="R34" i="26"/>
  <c r="Q34" i="26"/>
  <c r="O34" i="26"/>
  <c r="N34" i="26"/>
  <c r="M34" i="26"/>
  <c r="BP33" i="26"/>
  <c r="BO33" i="26"/>
  <c r="G33" i="26" s="1"/>
  <c r="G34" i="26" s="1"/>
  <c r="AB33" i="26"/>
  <c r="AA33" i="26"/>
  <c r="AA34" i="26" s="1"/>
  <c r="Z33" i="26"/>
  <c r="Z34" i="26" s="1"/>
  <c r="Y33" i="26"/>
  <c r="Y34" i="26" s="1"/>
  <c r="Y44" i="26" s="1"/>
  <c r="Y107" i="26" s="1"/>
  <c r="DH32" i="26"/>
  <c r="DH34" i="26" s="1"/>
  <c r="P32" i="26"/>
  <c r="L32" i="26"/>
  <c r="L34" i="26" s="1"/>
  <c r="K32" i="26"/>
  <c r="G32" i="26"/>
  <c r="H31" i="26"/>
  <c r="G31" i="26"/>
  <c r="F31" i="26"/>
  <c r="E31" i="26"/>
  <c r="BK30" i="26"/>
  <c r="H30" i="26"/>
  <c r="F30" i="26"/>
  <c r="D30" i="26" s="1"/>
  <c r="E30" i="26"/>
  <c r="P29" i="26"/>
  <c r="P34" i="26" s="1"/>
  <c r="H29" i="26"/>
  <c r="G29" i="26"/>
  <c r="C29" i="26"/>
  <c r="F29" i="26"/>
  <c r="D29" i="26" s="1"/>
  <c r="E29" i="26"/>
  <c r="H28" i="26"/>
  <c r="G28" i="26"/>
  <c r="F28" i="26"/>
  <c r="D28" i="26" s="1"/>
  <c r="E28" i="26"/>
  <c r="H27" i="26"/>
  <c r="G27" i="26"/>
  <c r="C27" i="26" s="1"/>
  <c r="F27" i="26"/>
  <c r="E27" i="26"/>
  <c r="DP26" i="26"/>
  <c r="DO26" i="26"/>
  <c r="DN26" i="26"/>
  <c r="DM26" i="26"/>
  <c r="DL26" i="26"/>
  <c r="DK26" i="26"/>
  <c r="DJ26" i="26"/>
  <c r="DI26" i="26"/>
  <c r="DH26" i="26"/>
  <c r="DH38" i="26" s="1"/>
  <c r="DH43" i="26" s="1"/>
  <c r="DG26" i="26"/>
  <c r="DF26" i="26"/>
  <c r="DE26" i="26"/>
  <c r="DD26" i="26"/>
  <c r="DC26" i="26"/>
  <c r="DA26" i="26"/>
  <c r="CY26" i="26"/>
  <c r="CX26" i="26"/>
  <c r="CW26" i="26"/>
  <c r="CV26" i="26"/>
  <c r="CU26" i="26"/>
  <c r="CT26" i="26"/>
  <c r="CS26" i="26"/>
  <c r="CS44" i="26" s="1"/>
  <c r="CR26" i="26"/>
  <c r="CQ26" i="26"/>
  <c r="CP26" i="26"/>
  <c r="CO26" i="26"/>
  <c r="CN26" i="26"/>
  <c r="CM26" i="26"/>
  <c r="CL26" i="26"/>
  <c r="CK26" i="26"/>
  <c r="CJ26" i="26"/>
  <c r="CI26" i="26"/>
  <c r="CH26" i="26"/>
  <c r="CG26" i="26"/>
  <c r="CF26" i="26"/>
  <c r="CE26" i="26"/>
  <c r="CD26" i="26"/>
  <c r="CC26" i="26"/>
  <c r="CB26" i="26"/>
  <c r="CA26" i="26"/>
  <c r="BZ26" i="26"/>
  <c r="BY26" i="26"/>
  <c r="BX26" i="26"/>
  <c r="BW26" i="26"/>
  <c r="BV26" i="26"/>
  <c r="BU26" i="26"/>
  <c r="BT26" i="26"/>
  <c r="BS26" i="26"/>
  <c r="BR26" i="26"/>
  <c r="BQ26" i="26"/>
  <c r="BP26" i="26"/>
  <c r="BO26" i="26"/>
  <c r="BN26" i="26"/>
  <c r="BM26" i="26"/>
  <c r="BL26" i="26"/>
  <c r="BK26" i="26"/>
  <c r="BJ26" i="26"/>
  <c r="BI26" i="26"/>
  <c r="BH26" i="26"/>
  <c r="BG26" i="26"/>
  <c r="BF26" i="26"/>
  <c r="BF38" i="26" s="1"/>
  <c r="BF43" i="26" s="1"/>
  <c r="BE26" i="26"/>
  <c r="BD26" i="26"/>
  <c r="BC26" i="26"/>
  <c r="BB26" i="26"/>
  <c r="BA26" i="26"/>
  <c r="AZ26" i="26"/>
  <c r="AY26" i="26"/>
  <c r="AX26" i="26"/>
  <c r="AW26" i="26"/>
  <c r="AV26" i="26"/>
  <c r="AU26" i="26"/>
  <c r="AT26" i="26"/>
  <c r="AS26" i="26"/>
  <c r="AR26" i="26"/>
  <c r="AQ26" i="26"/>
  <c r="AP26" i="26"/>
  <c r="AO26" i="26"/>
  <c r="AM26" i="26"/>
  <c r="AL26" i="26"/>
  <c r="AK26" i="26"/>
  <c r="AJ26" i="26"/>
  <c r="AI26" i="26"/>
  <c r="AF26" i="26"/>
  <c r="AE26" i="26"/>
  <c r="AE38" i="26" s="1"/>
  <c r="AE43" i="26" s="1"/>
  <c r="AE44" i="26" s="1"/>
  <c r="AD26" i="26"/>
  <c r="AC26" i="26"/>
  <c r="AB26" i="26"/>
  <c r="AA26" i="26"/>
  <c r="Z26" i="26"/>
  <c r="Y26" i="26"/>
  <c r="X26" i="26"/>
  <c r="W26" i="26"/>
  <c r="W38" i="26" s="1"/>
  <c r="W43" i="26" s="1"/>
  <c r="W44" i="26" s="1"/>
  <c r="W107" i="26" s="1"/>
  <c r="V26" i="26"/>
  <c r="U26" i="26"/>
  <c r="T26" i="26"/>
  <c r="S26" i="26"/>
  <c r="R26" i="26"/>
  <c r="Q26" i="26"/>
  <c r="P26" i="26"/>
  <c r="O26" i="26"/>
  <c r="N26" i="26"/>
  <c r="M26" i="26"/>
  <c r="L26" i="26"/>
  <c r="K26" i="26"/>
  <c r="H25" i="26"/>
  <c r="G25" i="26"/>
  <c r="F25" i="26"/>
  <c r="E25" i="26"/>
  <c r="H24" i="26"/>
  <c r="G24" i="26"/>
  <c r="F24" i="26"/>
  <c r="E24" i="26"/>
  <c r="DP23" i="26"/>
  <c r="DO23" i="26"/>
  <c r="DN23" i="26"/>
  <c r="DM23" i="26"/>
  <c r="DL23" i="26"/>
  <c r="DK23" i="26"/>
  <c r="DJ23" i="26"/>
  <c r="DJ44" i="26" s="1"/>
  <c r="DI23" i="26"/>
  <c r="DH23" i="26"/>
  <c r="DG23" i="26"/>
  <c r="DF23" i="26"/>
  <c r="DE23" i="26"/>
  <c r="DE44" i="26" s="1"/>
  <c r="DD23" i="26"/>
  <c r="DC23" i="26"/>
  <c r="DA23" i="26"/>
  <c r="CY23" i="26"/>
  <c r="CY44" i="26" s="1"/>
  <c r="CY107" i="26" s="1"/>
  <c r="CX23" i="26"/>
  <c r="CW23" i="26"/>
  <c r="CV23" i="26"/>
  <c r="CV44" i="26" s="1"/>
  <c r="CU23" i="26"/>
  <c r="CU44" i="26" s="1"/>
  <c r="CT23" i="26"/>
  <c r="CS23" i="26"/>
  <c r="CR23" i="26"/>
  <c r="CQ23" i="26"/>
  <c r="CP23" i="26"/>
  <c r="CO23" i="26"/>
  <c r="CN23" i="26"/>
  <c r="CN44" i="26" s="1"/>
  <c r="CM23" i="26"/>
  <c r="CM44" i="26" s="1"/>
  <c r="CM107" i="26" s="1"/>
  <c r="CL23" i="26"/>
  <c r="CK23" i="26"/>
  <c r="CJ23" i="26"/>
  <c r="CI23" i="26"/>
  <c r="CH23" i="26"/>
  <c r="CG23" i="26"/>
  <c r="CF23" i="26"/>
  <c r="CE23" i="26"/>
  <c r="CE44" i="26"/>
  <c r="CD23" i="26"/>
  <c r="CC23" i="26"/>
  <c r="CB23" i="26"/>
  <c r="CB44" i="26" s="1"/>
  <c r="CA23" i="26"/>
  <c r="CA44" i="26" s="1"/>
  <c r="BZ23" i="26"/>
  <c r="BY23" i="26"/>
  <c r="BX23" i="26"/>
  <c r="BW23" i="26"/>
  <c r="BV23" i="26"/>
  <c r="BU23" i="26"/>
  <c r="BU44" i="26" s="1"/>
  <c r="BT23" i="26"/>
  <c r="BS23" i="26"/>
  <c r="BR23" i="26"/>
  <c r="BQ23" i="26"/>
  <c r="BQ44" i="26" s="1"/>
  <c r="BQ107" i="26" s="1"/>
  <c r="BP23" i="26"/>
  <c r="BO23" i="26"/>
  <c r="BN23" i="26"/>
  <c r="BM23" i="26"/>
  <c r="BM44" i="26" s="1"/>
  <c r="BL23" i="26"/>
  <c r="BK23" i="26"/>
  <c r="BJ23" i="26"/>
  <c r="BI23" i="26"/>
  <c r="BH23" i="26"/>
  <c r="BG23" i="26"/>
  <c r="BG44" i="26" s="1"/>
  <c r="BF23" i="26"/>
  <c r="BE23" i="26"/>
  <c r="BD23" i="26"/>
  <c r="BC23" i="26"/>
  <c r="BB23" i="26"/>
  <c r="BA23" i="26"/>
  <c r="BA44" i="26" s="1"/>
  <c r="BA107" i="26" s="1"/>
  <c r="AZ23" i="26"/>
  <c r="AY23" i="26"/>
  <c r="AX23" i="26"/>
  <c r="AW23" i="26"/>
  <c r="AV23" i="26"/>
  <c r="AV44" i="26" s="1"/>
  <c r="AV107" i="26" s="1"/>
  <c r="AU23" i="26"/>
  <c r="AU44" i="26" s="1"/>
  <c r="AT23" i="26"/>
  <c r="AS23" i="26"/>
  <c r="AR23" i="26"/>
  <c r="AQ23" i="26"/>
  <c r="AP23" i="26"/>
  <c r="AO23" i="26"/>
  <c r="AO44" i="26" s="1"/>
  <c r="AM23" i="26"/>
  <c r="AL23" i="26"/>
  <c r="AK23" i="26"/>
  <c r="AJ23" i="26"/>
  <c r="AJ44" i="26" s="1"/>
  <c r="AI23" i="26"/>
  <c r="AE23" i="26"/>
  <c r="AD23" i="26"/>
  <c r="AC23" i="26"/>
  <c r="AB23" i="26"/>
  <c r="AA23" i="26"/>
  <c r="Z23" i="26"/>
  <c r="Y23" i="26"/>
  <c r="X23" i="26"/>
  <c r="W23" i="26"/>
  <c r="V23" i="26"/>
  <c r="U23" i="26"/>
  <c r="T23" i="26"/>
  <c r="S23" i="26"/>
  <c r="Q23" i="26"/>
  <c r="P23" i="26"/>
  <c r="O23" i="26"/>
  <c r="N23" i="26"/>
  <c r="M23" i="26"/>
  <c r="M38" i="26" s="1"/>
  <c r="L23" i="26"/>
  <c r="K23" i="26"/>
  <c r="H22" i="26"/>
  <c r="G22" i="26"/>
  <c r="F22" i="26"/>
  <c r="E22" i="26"/>
  <c r="AF21" i="26"/>
  <c r="AF23" i="26" s="1"/>
  <c r="F21" i="26"/>
  <c r="H21" i="26"/>
  <c r="G21" i="26"/>
  <c r="E21" i="26"/>
  <c r="R20" i="26"/>
  <c r="R23" i="26" s="1"/>
  <c r="H20" i="26"/>
  <c r="G20" i="26"/>
  <c r="E20" i="26"/>
  <c r="C20" i="26" s="1"/>
  <c r="CT19" i="26"/>
  <c r="H19" i="26" s="1"/>
  <c r="AH19" i="26"/>
  <c r="Q19" i="26"/>
  <c r="O19" i="26"/>
  <c r="G19" i="26"/>
  <c r="DV18" i="26"/>
  <c r="DU18" i="26"/>
  <c r="DT18" i="26"/>
  <c r="DS18" i="26"/>
  <c r="DQ18" i="26"/>
  <c r="DP18" i="26"/>
  <c r="DO18" i="26"/>
  <c r="DN18" i="26"/>
  <c r="DM18" i="26"/>
  <c r="DL18" i="26"/>
  <c r="DK18" i="26"/>
  <c r="DJ18" i="26"/>
  <c r="DI18" i="26"/>
  <c r="DH18" i="26"/>
  <c r="DG18" i="26"/>
  <c r="DF18" i="26"/>
  <c r="DE18" i="26"/>
  <c r="DD18" i="26"/>
  <c r="DC18" i="26"/>
  <c r="DA18" i="26"/>
  <c r="CY18" i="26"/>
  <c r="CX18" i="26"/>
  <c r="CW18" i="26"/>
  <c r="CV18" i="26"/>
  <c r="CU18" i="26"/>
  <c r="CT18" i="26"/>
  <c r="CS18" i="26"/>
  <c r="CR18" i="26"/>
  <c r="CQ18" i="26"/>
  <c r="CP18" i="26"/>
  <c r="CO18" i="26"/>
  <c r="CN18" i="26"/>
  <c r="CM18" i="26"/>
  <c r="CL18" i="26"/>
  <c r="CK18" i="26"/>
  <c r="CJ18" i="26"/>
  <c r="CI18" i="26"/>
  <c r="CH18" i="26"/>
  <c r="CG18" i="26"/>
  <c r="CF18" i="26"/>
  <c r="CE18" i="26"/>
  <c r="CD18" i="26"/>
  <c r="CC18" i="26"/>
  <c r="CB18" i="26"/>
  <c r="CA18" i="26"/>
  <c r="BZ18" i="26"/>
  <c r="BY18" i="26"/>
  <c r="BX18" i="26"/>
  <c r="BW18" i="26"/>
  <c r="BV18" i="26"/>
  <c r="BU18" i="26"/>
  <c r="BT18" i="26"/>
  <c r="BS18" i="26"/>
  <c r="BR18" i="26"/>
  <c r="BQ18" i="26"/>
  <c r="BP18" i="26"/>
  <c r="BO18" i="26"/>
  <c r="BN18" i="26"/>
  <c r="BM18" i="26"/>
  <c r="BL18" i="26"/>
  <c r="BK18" i="26"/>
  <c r="BJ18" i="26"/>
  <c r="BI18" i="26"/>
  <c r="BH18" i="26"/>
  <c r="BG18" i="26"/>
  <c r="BF18" i="26"/>
  <c r="BE18" i="26"/>
  <c r="BD18" i="26"/>
  <c r="BC18" i="26"/>
  <c r="BB18" i="26"/>
  <c r="BA18" i="26"/>
  <c r="AZ18" i="26"/>
  <c r="AY18" i="26"/>
  <c r="AX18" i="26"/>
  <c r="AW18" i="26"/>
  <c r="AV18" i="26"/>
  <c r="AU18" i="26"/>
  <c r="AS18" i="26"/>
  <c r="AR18" i="26"/>
  <c r="AQ18" i="26"/>
  <c r="AP18" i="26"/>
  <c r="AO18" i="26"/>
  <c r="AM18" i="26"/>
  <c r="AL18" i="26"/>
  <c r="AK18" i="26"/>
  <c r="AJ18" i="26"/>
  <c r="AI18" i="26"/>
  <c r="AH18" i="26"/>
  <c r="AE18" i="26"/>
  <c r="AE19" i="26" s="1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Q18" i="26"/>
  <c r="P18" i="26"/>
  <c r="O18" i="26"/>
  <c r="N18" i="26"/>
  <c r="M18" i="26"/>
  <c r="L18" i="26"/>
  <c r="K18" i="26"/>
  <c r="J18" i="26"/>
  <c r="I18" i="26"/>
  <c r="AT17" i="26"/>
  <c r="H17" i="26" s="1"/>
  <c r="D17" i="26" s="1"/>
  <c r="AT18" i="26"/>
  <c r="G17" i="26"/>
  <c r="F17" i="26"/>
  <c r="E17" i="26"/>
  <c r="H16" i="26"/>
  <c r="G16" i="26"/>
  <c r="F16" i="26"/>
  <c r="E16" i="26"/>
  <c r="AF15" i="26"/>
  <c r="AF19" i="26" s="1"/>
  <c r="H15" i="26"/>
  <c r="G15" i="26"/>
  <c r="E15" i="26"/>
  <c r="C15" i="26"/>
  <c r="H14" i="26"/>
  <c r="D14" i="26" s="1"/>
  <c r="G14" i="26"/>
  <c r="F14" i="26"/>
  <c r="E14" i="26"/>
  <c r="H13" i="26"/>
  <c r="G13" i="26"/>
  <c r="F13" i="26"/>
  <c r="E13" i="26"/>
  <c r="H12" i="26"/>
  <c r="G12" i="26"/>
  <c r="F12" i="26"/>
  <c r="D12" i="26"/>
  <c r="E12" i="26"/>
  <c r="C12" i="26" s="1"/>
  <c r="H11" i="26"/>
  <c r="G11" i="26"/>
  <c r="F11" i="26"/>
  <c r="D11" i="26" s="1"/>
  <c r="E11" i="26"/>
  <c r="H10" i="26"/>
  <c r="D10" i="26" s="1"/>
  <c r="G10" i="26"/>
  <c r="F10" i="26"/>
  <c r="E10" i="26"/>
  <c r="C10" i="26" s="1"/>
  <c r="H9" i="26"/>
  <c r="G9" i="26"/>
  <c r="F9" i="26"/>
  <c r="D9" i="26" s="1"/>
  <c r="E9" i="26"/>
  <c r="C9" i="26" s="1"/>
  <c r="H8" i="26"/>
  <c r="G8" i="26"/>
  <c r="F8" i="26"/>
  <c r="D8" i="26" s="1"/>
  <c r="E8" i="26"/>
  <c r="C8" i="26"/>
  <c r="H7" i="26"/>
  <c r="G7" i="26"/>
  <c r="F7" i="26"/>
  <c r="E7" i="26"/>
  <c r="D7" i="26"/>
  <c r="H6" i="26"/>
  <c r="G6" i="26"/>
  <c r="F6" i="26"/>
  <c r="D6" i="26" s="1"/>
  <c r="E6" i="26"/>
  <c r="C6" i="26" s="1"/>
  <c r="H5" i="26"/>
  <c r="G5" i="26"/>
  <c r="F5" i="26"/>
  <c r="D5" i="26" s="1"/>
  <c r="E5" i="26"/>
  <c r="H4" i="26"/>
  <c r="G4" i="26"/>
  <c r="F4" i="26"/>
  <c r="D4" i="26" s="1"/>
  <c r="E4" i="26"/>
  <c r="H3" i="26"/>
  <c r="G3" i="26"/>
  <c r="F3" i="26"/>
  <c r="E3" i="26"/>
  <c r="R2" i="26"/>
  <c r="H2" i="26"/>
  <c r="G2" i="26"/>
  <c r="E2" i="26"/>
  <c r="H7" i="33"/>
  <c r="G7" i="33"/>
  <c r="F7" i="33"/>
  <c r="E7" i="33"/>
  <c r="D7" i="33"/>
  <c r="C7" i="33"/>
  <c r="B7" i="33"/>
  <c r="I4" i="33"/>
  <c r="I7" i="33"/>
  <c r="E42" i="28"/>
  <c r="D42" i="28"/>
  <c r="E41" i="28"/>
  <c r="D41" i="28"/>
  <c r="D39" i="28" s="1"/>
  <c r="C41" i="28"/>
  <c r="E40" i="28"/>
  <c r="D40" i="28"/>
  <c r="C40" i="28"/>
  <c r="C39" i="28" s="1"/>
  <c r="C5" i="28" s="1"/>
  <c r="C49" i="28" s="1"/>
  <c r="L39" i="28"/>
  <c r="K39" i="28"/>
  <c r="J39" i="28"/>
  <c r="I39" i="28"/>
  <c r="H39" i="28"/>
  <c r="G39" i="28"/>
  <c r="F39" i="28"/>
  <c r="O22" i="28"/>
  <c r="E22" i="28"/>
  <c r="E21" i="28"/>
  <c r="D22" i="28"/>
  <c r="D21" i="28" s="1"/>
  <c r="C22" i="28"/>
  <c r="L21" i="28"/>
  <c r="K21" i="28"/>
  <c r="J21" i="28"/>
  <c r="I21" i="28"/>
  <c r="G21" i="28"/>
  <c r="F21" i="28"/>
  <c r="C21" i="28"/>
  <c r="E19" i="28"/>
  <c r="D19" i="28"/>
  <c r="E18" i="28"/>
  <c r="E8" i="28" s="1"/>
  <c r="D18" i="28"/>
  <c r="D8" i="28" s="1"/>
  <c r="L8" i="28"/>
  <c r="L5" i="28" s="1"/>
  <c r="L49" i="28" s="1"/>
  <c r="K8" i="28"/>
  <c r="J8" i="28"/>
  <c r="G8" i="28"/>
  <c r="H8" i="28" s="1"/>
  <c r="F8" i="28"/>
  <c r="F5" i="28" s="1"/>
  <c r="F49" i="28" s="1"/>
  <c r="C8" i="28"/>
  <c r="D7" i="28"/>
  <c r="E7" i="28"/>
  <c r="D6" i="28"/>
  <c r="G118" i="27"/>
  <c r="H118" i="27" s="1"/>
  <c r="I118" i="27" s="1"/>
  <c r="J118" i="27" s="1"/>
  <c r="E118" i="27"/>
  <c r="E117" i="27" s="1"/>
  <c r="D118" i="27"/>
  <c r="L117" i="27"/>
  <c r="K117" i="27"/>
  <c r="F117" i="27"/>
  <c r="D117" i="27"/>
  <c r="C117" i="27"/>
  <c r="G115" i="27"/>
  <c r="H115" i="27" s="1"/>
  <c r="E115" i="27"/>
  <c r="D115" i="27"/>
  <c r="D114" i="27" s="1"/>
  <c r="L114" i="27"/>
  <c r="K114" i="27"/>
  <c r="J114" i="27"/>
  <c r="I114" i="27"/>
  <c r="F114" i="27"/>
  <c r="F93" i="27" s="1"/>
  <c r="E114" i="27"/>
  <c r="C114" i="27"/>
  <c r="G113" i="27"/>
  <c r="H113" i="27" s="1"/>
  <c r="E113" i="27"/>
  <c r="D113" i="27"/>
  <c r="E112" i="27"/>
  <c r="D112" i="27"/>
  <c r="D111" i="27" s="1"/>
  <c r="L111" i="27"/>
  <c r="K111" i="27"/>
  <c r="J111" i="27"/>
  <c r="I111" i="27"/>
  <c r="F111" i="27"/>
  <c r="C111" i="27"/>
  <c r="G110" i="27"/>
  <c r="G109" i="27" s="1"/>
  <c r="H109" i="27" s="1"/>
  <c r="I109" i="27" s="1"/>
  <c r="E110" i="27"/>
  <c r="E109" i="27" s="1"/>
  <c r="D110" i="27"/>
  <c r="D109" i="27"/>
  <c r="L109" i="27"/>
  <c r="K109" i="27"/>
  <c r="J109" i="27"/>
  <c r="F109" i="27"/>
  <c r="C109" i="27"/>
  <c r="G108" i="27"/>
  <c r="H108" i="27" s="1"/>
  <c r="I108" i="27" s="1"/>
  <c r="J108" i="27" s="1"/>
  <c r="K108" i="27" s="1"/>
  <c r="L107" i="27"/>
  <c r="F107" i="27"/>
  <c r="E107" i="27"/>
  <c r="D107" i="27"/>
  <c r="C107" i="27"/>
  <c r="G106" i="27"/>
  <c r="G105" i="27" s="1"/>
  <c r="E106" i="27"/>
  <c r="E105" i="27" s="1"/>
  <c r="D106" i="27"/>
  <c r="D105" i="27"/>
  <c r="L105" i="27"/>
  <c r="K105" i="27"/>
  <c r="J105" i="27"/>
  <c r="F105" i="27"/>
  <c r="C105" i="27"/>
  <c r="G104" i="27"/>
  <c r="H104" i="27" s="1"/>
  <c r="I104" i="27" s="1"/>
  <c r="J104" i="27" s="1"/>
  <c r="K104" i="27" s="1"/>
  <c r="L103" i="27"/>
  <c r="F103" i="27"/>
  <c r="E103" i="27"/>
  <c r="D103" i="27"/>
  <c r="C103" i="27"/>
  <c r="E101" i="27"/>
  <c r="D101" i="27"/>
  <c r="D99" i="27" s="1"/>
  <c r="C101" i="27"/>
  <c r="C99" i="27"/>
  <c r="L99" i="27"/>
  <c r="K99" i="27"/>
  <c r="J99" i="27"/>
  <c r="I99" i="27"/>
  <c r="H99" i="27"/>
  <c r="G99" i="27"/>
  <c r="F99" i="27"/>
  <c r="E99" i="27"/>
  <c r="E98" i="27"/>
  <c r="D98" i="27"/>
  <c r="E97" i="27"/>
  <c r="D97" i="27"/>
  <c r="E96" i="27"/>
  <c r="D96" i="27"/>
  <c r="E95" i="27"/>
  <c r="E94" i="27" s="1"/>
  <c r="D95" i="27"/>
  <c r="D94" i="27" s="1"/>
  <c r="D93" i="27" s="1"/>
  <c r="L94" i="27"/>
  <c r="G94" i="27"/>
  <c r="H94" i="27" s="1"/>
  <c r="I94" i="27" s="1"/>
  <c r="J94" i="27" s="1"/>
  <c r="K94" i="27" s="1"/>
  <c r="F94" i="27"/>
  <c r="C94" i="27"/>
  <c r="E92" i="27"/>
  <c r="D92" i="27"/>
  <c r="C92" i="27"/>
  <c r="E90" i="27"/>
  <c r="D90" i="27"/>
  <c r="C89" i="27"/>
  <c r="D89" i="27" s="1"/>
  <c r="D80" i="27" s="1"/>
  <c r="Q83" i="27"/>
  <c r="Q81" i="27"/>
  <c r="G81" i="27"/>
  <c r="G80" i="27" s="1"/>
  <c r="C81" i="27"/>
  <c r="C80" i="27" s="1"/>
  <c r="Q80" i="27"/>
  <c r="L80" i="27"/>
  <c r="K80" i="27"/>
  <c r="J80" i="27"/>
  <c r="I80" i="27"/>
  <c r="F80" i="27"/>
  <c r="L79" i="27"/>
  <c r="L78" i="27" s="1"/>
  <c r="K79" i="27"/>
  <c r="K78" i="27"/>
  <c r="J79" i="27"/>
  <c r="I79" i="27"/>
  <c r="I78" i="27" s="1"/>
  <c r="E79" i="27"/>
  <c r="E78" i="27" s="1"/>
  <c r="D79" i="27"/>
  <c r="D78" i="27" s="1"/>
  <c r="J78" i="27"/>
  <c r="G78" i="27"/>
  <c r="H78" i="27" s="1"/>
  <c r="F78" i="27"/>
  <c r="C78" i="27"/>
  <c r="K77" i="27"/>
  <c r="H77" i="27"/>
  <c r="I77" i="27"/>
  <c r="J77" i="27" s="1"/>
  <c r="E77" i="27"/>
  <c r="D77" i="27"/>
  <c r="E75" i="27"/>
  <c r="D75" i="27"/>
  <c r="E74" i="27"/>
  <c r="D74" i="27"/>
  <c r="D73" i="27"/>
  <c r="E73" i="27" s="1"/>
  <c r="D72" i="27"/>
  <c r="E72" i="27" s="1"/>
  <c r="D71" i="27"/>
  <c r="E71" i="27" s="1"/>
  <c r="E70" i="27"/>
  <c r="D70" i="27"/>
  <c r="D69" i="27"/>
  <c r="E69" i="27" s="1"/>
  <c r="E68" i="27"/>
  <c r="D68" i="27"/>
  <c r="D67" i="27"/>
  <c r="E67" i="27" s="1"/>
  <c r="H66" i="27"/>
  <c r="I66" i="27" s="1"/>
  <c r="D66" i="27"/>
  <c r="E66" i="27" s="1"/>
  <c r="H65" i="27"/>
  <c r="I65" i="27"/>
  <c r="L65" i="27" s="1"/>
  <c r="D65" i="27"/>
  <c r="E65" i="27" s="1"/>
  <c r="C64" i="27"/>
  <c r="L63" i="27"/>
  <c r="K63" i="27"/>
  <c r="J63" i="27"/>
  <c r="I63" i="27"/>
  <c r="G63" i="27"/>
  <c r="H63" i="27" s="1"/>
  <c r="F63" i="27"/>
  <c r="E62" i="27"/>
  <c r="D62" i="27"/>
  <c r="E61" i="27"/>
  <c r="E60" i="27" s="1"/>
  <c r="D61" i="27"/>
  <c r="D60" i="27" s="1"/>
  <c r="C61" i="27"/>
  <c r="C60" i="27" s="1"/>
  <c r="L60" i="27"/>
  <c r="K60" i="27"/>
  <c r="J60" i="27"/>
  <c r="I60" i="27"/>
  <c r="G60" i="27"/>
  <c r="H60" i="27" s="1"/>
  <c r="F60" i="27"/>
  <c r="E51" i="27"/>
  <c r="D51" i="27"/>
  <c r="D50" i="27"/>
  <c r="E50" i="27" s="1"/>
  <c r="C50" i="27"/>
  <c r="D49" i="27"/>
  <c r="E49" i="27"/>
  <c r="C48" i="27"/>
  <c r="D48" i="27" s="1"/>
  <c r="E48" i="27" s="1"/>
  <c r="D47" i="27"/>
  <c r="E47" i="27" s="1"/>
  <c r="D46" i="27"/>
  <c r="E46" i="27"/>
  <c r="D45" i="27"/>
  <c r="E45" i="27" s="1"/>
  <c r="E44" i="27"/>
  <c r="D44" i="27"/>
  <c r="E43" i="27"/>
  <c r="D43" i="27"/>
  <c r="C43" i="27"/>
  <c r="L42" i="27"/>
  <c r="K42" i="27"/>
  <c r="J42" i="27"/>
  <c r="I42" i="27"/>
  <c r="G42" i="27"/>
  <c r="H42" i="27" s="1"/>
  <c r="F42" i="27"/>
  <c r="E41" i="27"/>
  <c r="D41" i="27"/>
  <c r="E40" i="27"/>
  <c r="E38" i="27"/>
  <c r="D40" i="27"/>
  <c r="L38" i="27"/>
  <c r="K38" i="27"/>
  <c r="J38" i="27"/>
  <c r="I38" i="27"/>
  <c r="G38" i="27"/>
  <c r="H38" i="27" s="1"/>
  <c r="F38" i="27"/>
  <c r="C38" i="27"/>
  <c r="L33" i="27"/>
  <c r="G33" i="27"/>
  <c r="H33" i="27"/>
  <c r="I33" i="27" s="1"/>
  <c r="J33" i="27" s="1"/>
  <c r="F33" i="27"/>
  <c r="C33" i="27"/>
  <c r="D33" i="27" s="1"/>
  <c r="E33" i="27"/>
  <c r="E30" i="27"/>
  <c r="D30" i="27"/>
  <c r="E29" i="27"/>
  <c r="D29" i="27"/>
  <c r="D28" i="27"/>
  <c r="E28" i="27" s="1"/>
  <c r="E27" i="27"/>
  <c r="D27" i="27"/>
  <c r="C27" i="27"/>
  <c r="D26" i="27"/>
  <c r="D23" i="27" s="1"/>
  <c r="E25" i="27"/>
  <c r="D25" i="27"/>
  <c r="C25" i="27"/>
  <c r="C23" i="27"/>
  <c r="L23" i="27"/>
  <c r="K23" i="27"/>
  <c r="J23" i="27"/>
  <c r="I23" i="27"/>
  <c r="H23" i="27"/>
  <c r="G23" i="27"/>
  <c r="F23" i="27"/>
  <c r="E18" i="27"/>
  <c r="D18" i="27"/>
  <c r="E17" i="27"/>
  <c r="D17" i="27"/>
  <c r="E16" i="27"/>
  <c r="D16" i="27"/>
  <c r="H15" i="27"/>
  <c r="H14" i="27"/>
  <c r="E14" i="27"/>
  <c r="E6" i="27" s="1"/>
  <c r="D14" i="27"/>
  <c r="C14" i="27"/>
  <c r="H13" i="27"/>
  <c r="H12" i="27"/>
  <c r="H6" i="27" s="1"/>
  <c r="C12" i="27"/>
  <c r="H11" i="27"/>
  <c r="E11" i="27"/>
  <c r="D11" i="27"/>
  <c r="H10" i="27"/>
  <c r="H9" i="27"/>
  <c r="E9" i="27"/>
  <c r="D9" i="27"/>
  <c r="H8" i="27"/>
  <c r="H7" i="27"/>
  <c r="E7" i="27"/>
  <c r="D7" i="27"/>
  <c r="D6" i="27" s="1"/>
  <c r="C7" i="27"/>
  <c r="L6" i="27"/>
  <c r="K6" i="27"/>
  <c r="J6" i="27"/>
  <c r="I6" i="27"/>
  <c r="G6" i="27"/>
  <c r="F6" i="27"/>
  <c r="G18" i="36"/>
  <c r="E183" i="15"/>
  <c r="D183" i="15"/>
  <c r="E182" i="15"/>
  <c r="D182" i="15"/>
  <c r="E181" i="15"/>
  <c r="D181" i="15"/>
  <c r="E180" i="15"/>
  <c r="D180" i="15"/>
  <c r="E179" i="15"/>
  <c r="D179" i="15"/>
  <c r="I178" i="15"/>
  <c r="G178" i="15"/>
  <c r="D178" i="15"/>
  <c r="E177" i="15"/>
  <c r="D177" i="15"/>
  <c r="E176" i="15"/>
  <c r="D176" i="15"/>
  <c r="E175" i="15"/>
  <c r="D175" i="15"/>
  <c r="E174" i="15"/>
  <c r="D174" i="15"/>
  <c r="D172" i="15" s="1"/>
  <c r="D184" i="15" s="1"/>
  <c r="E173" i="15"/>
  <c r="D173" i="15"/>
  <c r="K172" i="15"/>
  <c r="K184" i="15" s="1"/>
  <c r="J172" i="15"/>
  <c r="J184" i="15" s="1"/>
  <c r="I172" i="15"/>
  <c r="I184" i="15" s="1"/>
  <c r="H172" i="15"/>
  <c r="H184" i="15" s="1"/>
  <c r="F172" i="15"/>
  <c r="F184" i="15" s="1"/>
  <c r="K159" i="15"/>
  <c r="J159" i="15"/>
  <c r="H159" i="15"/>
  <c r="F159" i="15"/>
  <c r="I158" i="15"/>
  <c r="G158" i="15"/>
  <c r="G159" i="15" s="1"/>
  <c r="D158" i="15"/>
  <c r="E157" i="15"/>
  <c r="D157" i="15"/>
  <c r="E156" i="15"/>
  <c r="D156" i="15"/>
  <c r="E155" i="15"/>
  <c r="D155" i="15"/>
  <c r="E154" i="15"/>
  <c r="D154" i="15"/>
  <c r="D159" i="15" s="1"/>
  <c r="K153" i="15"/>
  <c r="J153" i="15"/>
  <c r="H153" i="15"/>
  <c r="H160" i="15" s="1"/>
  <c r="F153" i="15"/>
  <c r="F160" i="15" s="1"/>
  <c r="G152" i="15"/>
  <c r="G153" i="15" s="1"/>
  <c r="G160" i="15" s="1"/>
  <c r="D152" i="15"/>
  <c r="E151" i="15"/>
  <c r="D151" i="15"/>
  <c r="E150" i="15"/>
  <c r="D150" i="15"/>
  <c r="E149" i="15"/>
  <c r="D149" i="15"/>
  <c r="I148" i="15"/>
  <c r="E148" i="15" s="1"/>
  <c r="D148" i="15"/>
  <c r="E147" i="15"/>
  <c r="D147" i="15"/>
  <c r="E146" i="15"/>
  <c r="D146" i="15"/>
  <c r="E145" i="15"/>
  <c r="D145" i="15"/>
  <c r="K129" i="15"/>
  <c r="J129" i="15"/>
  <c r="I129" i="15"/>
  <c r="H129" i="15"/>
  <c r="G129" i="15"/>
  <c r="F129" i="15"/>
  <c r="D129" i="15"/>
  <c r="K126" i="15"/>
  <c r="J126" i="15"/>
  <c r="I126" i="15"/>
  <c r="H126" i="15"/>
  <c r="D126" i="15" s="1"/>
  <c r="G126" i="15"/>
  <c r="E126" i="15" s="1"/>
  <c r="F126" i="15"/>
  <c r="K121" i="15"/>
  <c r="J121" i="15"/>
  <c r="I121" i="15"/>
  <c r="H121" i="15"/>
  <c r="G121" i="15"/>
  <c r="E121" i="15" s="1"/>
  <c r="F121" i="15"/>
  <c r="D121" i="15" s="1"/>
  <c r="K117" i="15"/>
  <c r="J117" i="15"/>
  <c r="J134" i="15" s="1"/>
  <c r="I117" i="15"/>
  <c r="H117" i="15"/>
  <c r="G117" i="15"/>
  <c r="F117" i="15"/>
  <c r="D117" i="15" s="1"/>
  <c r="K114" i="15"/>
  <c r="J114" i="15"/>
  <c r="H114" i="15"/>
  <c r="F114" i="15"/>
  <c r="E112" i="15"/>
  <c r="D112" i="15"/>
  <c r="K109" i="15"/>
  <c r="K113" i="15" s="1"/>
  <c r="J109" i="15"/>
  <c r="J113" i="15" s="1"/>
  <c r="I109" i="15"/>
  <c r="I113" i="15" s="1"/>
  <c r="H109" i="15"/>
  <c r="H113" i="15" s="1"/>
  <c r="G109" i="15"/>
  <c r="F109" i="15"/>
  <c r="F113" i="15"/>
  <c r="G107" i="15"/>
  <c r="G103" i="15" s="1"/>
  <c r="E103" i="15" s="1"/>
  <c r="K103" i="15"/>
  <c r="J103" i="15"/>
  <c r="I103" i="15"/>
  <c r="H103" i="15"/>
  <c r="F103" i="15"/>
  <c r="D103" i="15" s="1"/>
  <c r="G102" i="15"/>
  <c r="K99" i="15"/>
  <c r="K108" i="15" s="1"/>
  <c r="J99" i="15"/>
  <c r="I99" i="15"/>
  <c r="H99" i="15"/>
  <c r="G99" i="15"/>
  <c r="G108" i="15" s="1"/>
  <c r="F99" i="15"/>
  <c r="D99" i="15" s="1"/>
  <c r="K96" i="15"/>
  <c r="J96" i="15"/>
  <c r="I96" i="15"/>
  <c r="G96" i="15"/>
  <c r="F96" i="15"/>
  <c r="G95" i="15"/>
  <c r="E95" i="15" s="1"/>
  <c r="D95" i="15"/>
  <c r="K92" i="15"/>
  <c r="J92" i="15"/>
  <c r="I92" i="15"/>
  <c r="H92" i="15"/>
  <c r="D92" i="15" s="1"/>
  <c r="G92" i="15"/>
  <c r="E92" i="15" s="1"/>
  <c r="F92" i="15"/>
  <c r="K90" i="15"/>
  <c r="J90" i="15"/>
  <c r="D90" i="15" s="1"/>
  <c r="I90" i="15"/>
  <c r="G90" i="15"/>
  <c r="K86" i="15"/>
  <c r="J86" i="15"/>
  <c r="I86" i="15"/>
  <c r="H86" i="15"/>
  <c r="G86" i="15"/>
  <c r="F86" i="15"/>
  <c r="D86" i="15" s="1"/>
  <c r="D108" i="15" s="1"/>
  <c r="K82" i="15"/>
  <c r="J82" i="15"/>
  <c r="I82" i="15"/>
  <c r="H82" i="15"/>
  <c r="G82" i="15"/>
  <c r="F82" i="15"/>
  <c r="G77" i="15"/>
  <c r="G75" i="15" s="1"/>
  <c r="G85" i="15" s="1"/>
  <c r="K75" i="15"/>
  <c r="K85" i="15" s="1"/>
  <c r="J75" i="15"/>
  <c r="J85" i="15" s="1"/>
  <c r="I75" i="15"/>
  <c r="H75" i="15"/>
  <c r="H85" i="15" s="1"/>
  <c r="F75" i="15"/>
  <c r="K71" i="15"/>
  <c r="J71" i="15"/>
  <c r="I71" i="15"/>
  <c r="H71" i="15"/>
  <c r="G71" i="15"/>
  <c r="E71" i="15"/>
  <c r="F71" i="15"/>
  <c r="K64" i="15"/>
  <c r="J64" i="15"/>
  <c r="I64" i="15"/>
  <c r="H64" i="15"/>
  <c r="G64" i="15"/>
  <c r="F64" i="15"/>
  <c r="F74" i="15" s="1"/>
  <c r="K57" i="15"/>
  <c r="J57" i="15"/>
  <c r="I57" i="15"/>
  <c r="H57" i="15"/>
  <c r="G57" i="15"/>
  <c r="F57" i="15"/>
  <c r="J50" i="15"/>
  <c r="F50" i="15"/>
  <c r="K49" i="15"/>
  <c r="D49" i="15"/>
  <c r="E48" i="15"/>
  <c r="D48" i="15"/>
  <c r="D47" i="15"/>
  <c r="K42" i="15"/>
  <c r="K47" i="15" s="1"/>
  <c r="J42" i="15"/>
  <c r="I42" i="15"/>
  <c r="H42" i="15"/>
  <c r="D42" i="15" s="1"/>
  <c r="G42" i="15"/>
  <c r="F42" i="15"/>
  <c r="K40" i="15"/>
  <c r="K46" i="15" s="1"/>
  <c r="K50" i="15" s="1"/>
  <c r="J40" i="15"/>
  <c r="J44" i="15" s="1"/>
  <c r="I40" i="15"/>
  <c r="H40" i="15"/>
  <c r="H46" i="15" s="1"/>
  <c r="G40" i="15"/>
  <c r="F40" i="15"/>
  <c r="E39" i="15"/>
  <c r="D39" i="15"/>
  <c r="K38" i="15"/>
  <c r="J38" i="15"/>
  <c r="G37" i="15"/>
  <c r="I36" i="15"/>
  <c r="D36" i="15"/>
  <c r="G35" i="15"/>
  <c r="G34" i="15" s="1"/>
  <c r="E34" i="15" s="1"/>
  <c r="I34" i="15"/>
  <c r="H34" i="15"/>
  <c r="F34" i="15"/>
  <c r="E33" i="15"/>
  <c r="D33" i="15"/>
  <c r="I31" i="15"/>
  <c r="G31" i="15"/>
  <c r="E31" i="15" s="1"/>
  <c r="D31" i="15"/>
  <c r="E30" i="15"/>
  <c r="D30" i="15"/>
  <c r="E29" i="15"/>
  <c r="D29" i="15"/>
  <c r="I27" i="15"/>
  <c r="G27" i="15"/>
  <c r="D27" i="15"/>
  <c r="E26" i="15"/>
  <c r="D26" i="15"/>
  <c r="E25" i="15"/>
  <c r="D25" i="15"/>
  <c r="I22" i="15"/>
  <c r="G22" i="15"/>
  <c r="F22" i="15"/>
  <c r="F38" i="15" s="1"/>
  <c r="E21" i="15"/>
  <c r="D21" i="15"/>
  <c r="E20" i="15"/>
  <c r="D20" i="15"/>
  <c r="I6" i="15"/>
  <c r="E6" i="15" s="1"/>
  <c r="D6" i="15"/>
  <c r="E7" i="12"/>
  <c r="G186" i="1"/>
  <c r="E185" i="1"/>
  <c r="D185" i="1"/>
  <c r="E184" i="1"/>
  <c r="D184" i="1"/>
  <c r="E183" i="1"/>
  <c r="D183" i="1"/>
  <c r="E182" i="1"/>
  <c r="D182" i="1"/>
  <c r="E181" i="1"/>
  <c r="D181" i="1"/>
  <c r="I180" i="1"/>
  <c r="I174" i="1" s="1"/>
  <c r="I186" i="1"/>
  <c r="G180" i="1"/>
  <c r="D180" i="1"/>
  <c r="E179" i="1"/>
  <c r="D179" i="1"/>
  <c r="E178" i="1"/>
  <c r="D178" i="1"/>
  <c r="E177" i="1"/>
  <c r="D177" i="1"/>
  <c r="E176" i="1"/>
  <c r="D176" i="1"/>
  <c r="E175" i="1"/>
  <c r="D175" i="1"/>
  <c r="D174" i="1" s="1"/>
  <c r="D186" i="1" s="1"/>
  <c r="H174" i="1"/>
  <c r="H186" i="1" s="1"/>
  <c r="G174" i="1"/>
  <c r="F174" i="1"/>
  <c r="F186" i="1" s="1"/>
  <c r="H161" i="1"/>
  <c r="F161" i="1"/>
  <c r="I160" i="1"/>
  <c r="I161" i="1" s="1"/>
  <c r="G160" i="1"/>
  <c r="G161" i="1" s="1"/>
  <c r="D160" i="1"/>
  <c r="E159" i="1"/>
  <c r="D159" i="1"/>
  <c r="E158" i="1"/>
  <c r="D158" i="1"/>
  <c r="E157" i="1"/>
  <c r="D157" i="1"/>
  <c r="E156" i="1"/>
  <c r="D156" i="1"/>
  <c r="H155" i="1"/>
  <c r="F155" i="1"/>
  <c r="I154" i="1"/>
  <c r="G154" i="1"/>
  <c r="G155" i="1" s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I131" i="1"/>
  <c r="H131" i="1"/>
  <c r="G131" i="1"/>
  <c r="E131" i="1" s="1"/>
  <c r="F131" i="1"/>
  <c r="D131" i="1"/>
  <c r="I128" i="1"/>
  <c r="E128" i="1" s="1"/>
  <c r="H128" i="1"/>
  <c r="G128" i="1"/>
  <c r="F128" i="1"/>
  <c r="D128" i="1" s="1"/>
  <c r="I123" i="1"/>
  <c r="H123" i="1"/>
  <c r="G123" i="1"/>
  <c r="E123" i="1" s="1"/>
  <c r="F123" i="1"/>
  <c r="I119" i="1"/>
  <c r="H119" i="1"/>
  <c r="H136" i="1" s="1"/>
  <c r="G119" i="1"/>
  <c r="F119" i="1"/>
  <c r="H116" i="1"/>
  <c r="F116" i="1"/>
  <c r="D116" i="1" s="1"/>
  <c r="E114" i="1"/>
  <c r="D114" i="1"/>
  <c r="I111" i="1"/>
  <c r="H111" i="1"/>
  <c r="G111" i="1"/>
  <c r="F111" i="1"/>
  <c r="I105" i="1"/>
  <c r="H105" i="1"/>
  <c r="G105" i="1"/>
  <c r="F105" i="1"/>
  <c r="D105" i="1" s="1"/>
  <c r="I101" i="1"/>
  <c r="E101" i="1" s="1"/>
  <c r="H101" i="1"/>
  <c r="G101" i="1"/>
  <c r="F101" i="1"/>
  <c r="D101" i="1" s="1"/>
  <c r="I98" i="1"/>
  <c r="G98" i="1"/>
  <c r="E98" i="1"/>
  <c r="D98" i="1"/>
  <c r="E97" i="1"/>
  <c r="D97" i="1"/>
  <c r="I94" i="1"/>
  <c r="H94" i="1"/>
  <c r="G94" i="1"/>
  <c r="F94" i="1"/>
  <c r="E94" i="1"/>
  <c r="I92" i="1"/>
  <c r="G92" i="1"/>
  <c r="D92" i="1"/>
  <c r="I88" i="1"/>
  <c r="E88" i="1" s="1"/>
  <c r="H88" i="1"/>
  <c r="G88" i="1"/>
  <c r="F88" i="1"/>
  <c r="I84" i="1"/>
  <c r="H84" i="1"/>
  <c r="G84" i="1"/>
  <c r="F84" i="1"/>
  <c r="D84" i="1" s="1"/>
  <c r="I77" i="1"/>
  <c r="H77" i="1"/>
  <c r="H87" i="1" s="1"/>
  <c r="G77" i="1"/>
  <c r="F77" i="1"/>
  <c r="F87" i="1"/>
  <c r="D77" i="1"/>
  <c r="I73" i="1"/>
  <c r="H73" i="1"/>
  <c r="G73" i="1"/>
  <c r="F73" i="1"/>
  <c r="D73" i="1" s="1"/>
  <c r="I66" i="1"/>
  <c r="H66" i="1"/>
  <c r="G66" i="1"/>
  <c r="E66" i="1" s="1"/>
  <c r="F66" i="1"/>
  <c r="I59" i="1"/>
  <c r="I76" i="1" s="1"/>
  <c r="H59" i="1"/>
  <c r="H76" i="1"/>
  <c r="G59" i="1"/>
  <c r="E59" i="1" s="1"/>
  <c r="E76" i="1" s="1"/>
  <c r="F59" i="1"/>
  <c r="D59" i="1" s="1"/>
  <c r="F52" i="1"/>
  <c r="D51" i="1"/>
  <c r="E50" i="1"/>
  <c r="D50" i="1"/>
  <c r="D49" i="1"/>
  <c r="I44" i="1"/>
  <c r="H44" i="1"/>
  <c r="G44" i="1"/>
  <c r="E44" i="1"/>
  <c r="F44" i="1"/>
  <c r="I42" i="1"/>
  <c r="H42" i="1"/>
  <c r="G42" i="1"/>
  <c r="F42" i="1"/>
  <c r="E41" i="1"/>
  <c r="D41" i="1"/>
  <c r="I37" i="1"/>
  <c r="G37" i="1"/>
  <c r="E37" i="1" s="1"/>
  <c r="D37" i="1"/>
  <c r="I35" i="1"/>
  <c r="H35" i="1"/>
  <c r="F35" i="1"/>
  <c r="E34" i="1"/>
  <c r="D34" i="1"/>
  <c r="I31" i="1"/>
  <c r="G31" i="1"/>
  <c r="D31" i="1"/>
  <c r="E30" i="1"/>
  <c r="D30" i="1"/>
  <c r="E29" i="1"/>
  <c r="D29" i="1"/>
  <c r="G28" i="1"/>
  <c r="I27" i="1"/>
  <c r="D27" i="1"/>
  <c r="E26" i="1"/>
  <c r="D26" i="1"/>
  <c r="E25" i="1"/>
  <c r="D25" i="1"/>
  <c r="I22" i="1"/>
  <c r="I48" i="1" s="1"/>
  <c r="G22" i="1"/>
  <c r="F22" i="1"/>
  <c r="D22" i="1"/>
  <c r="E21" i="1"/>
  <c r="D21" i="1"/>
  <c r="E20" i="1"/>
  <c r="D20" i="1"/>
  <c r="G13" i="1"/>
  <c r="G6" i="1" s="1"/>
  <c r="G11" i="1"/>
  <c r="I6" i="1"/>
  <c r="D6" i="1"/>
  <c r="E7" i="37"/>
  <c r="E6" i="37"/>
  <c r="B16" i="36" s="1"/>
  <c r="E7" i="8"/>
  <c r="E29" i="14"/>
  <c r="D28" i="14"/>
  <c r="C28" i="14"/>
  <c r="E27" i="14"/>
  <c r="E26" i="14"/>
  <c r="D25" i="14"/>
  <c r="C25" i="14"/>
  <c r="E24" i="14"/>
  <c r="D23" i="14"/>
  <c r="D22" i="14" s="1"/>
  <c r="C23" i="14"/>
  <c r="E23" i="14" s="1"/>
  <c r="E21" i="14"/>
  <c r="D20" i="14"/>
  <c r="C20" i="14"/>
  <c r="E19" i="14"/>
  <c r="E18" i="14"/>
  <c r="E17" i="14"/>
  <c r="E16" i="14"/>
  <c r="E15" i="14"/>
  <c r="E14" i="14"/>
  <c r="E13" i="14"/>
  <c r="E12" i="14"/>
  <c r="D11" i="14"/>
  <c r="C11" i="14"/>
  <c r="E10" i="14"/>
  <c r="D9" i="14"/>
  <c r="C9" i="14"/>
  <c r="E9" i="14" s="1"/>
  <c r="E7" i="14"/>
  <c r="E6" i="14"/>
  <c r="B14" i="36" s="1"/>
  <c r="E7" i="18"/>
  <c r="E6" i="18"/>
  <c r="E7" i="7"/>
  <c r="E7" i="5"/>
  <c r="E6" i="5"/>
  <c r="B11" i="36" s="1"/>
  <c r="E7" i="2"/>
  <c r="E6" i="2"/>
  <c r="B10" i="36" s="1"/>
  <c r="F7" i="20"/>
  <c r="G8" i="36" s="1"/>
  <c r="F6" i="20"/>
  <c r="F7" i="36" s="1"/>
  <c r="H121" i="38"/>
  <c r="D117" i="38"/>
  <c r="D116" i="38"/>
  <c r="D115" i="38"/>
  <c r="D114" i="38"/>
  <c r="D113" i="38"/>
  <c r="D112" i="38"/>
  <c r="H111" i="38"/>
  <c r="G111" i="38"/>
  <c r="F111" i="38"/>
  <c r="D107" i="38"/>
  <c r="D99" i="38"/>
  <c r="D96" i="38"/>
  <c r="H95" i="38"/>
  <c r="G95" i="38"/>
  <c r="F95" i="38"/>
  <c r="D93" i="38"/>
  <c r="D92" i="38" s="1"/>
  <c r="H92" i="38"/>
  <c r="G92" i="38"/>
  <c r="F92" i="38"/>
  <c r="D84" i="38"/>
  <c r="D79" i="38"/>
  <c r="D77" i="38"/>
  <c r="H76" i="38"/>
  <c r="G76" i="38"/>
  <c r="F76" i="38"/>
  <c r="D70" i="38"/>
  <c r="D68" i="38"/>
  <c r="D66" i="38"/>
  <c r="H65" i="38"/>
  <c r="G65" i="38"/>
  <c r="F65" i="38"/>
  <c r="F2" i="38" s="1"/>
  <c r="D60" i="38"/>
  <c r="D57" i="38"/>
  <c r="D52" i="38"/>
  <c r="D51" i="38" s="1"/>
  <c r="H51" i="38"/>
  <c r="G51" i="38"/>
  <c r="F51" i="38"/>
  <c r="H47" i="38"/>
  <c r="H25" i="38" s="1"/>
  <c r="D47" i="38"/>
  <c r="D43" i="38"/>
  <c r="D41" i="38"/>
  <c r="D39" i="38"/>
  <c r="D37" i="38"/>
  <c r="D35" i="38"/>
  <c r="D33" i="38"/>
  <c r="D31" i="38"/>
  <c r="D26" i="38"/>
  <c r="G25" i="38"/>
  <c r="F25" i="38"/>
  <c r="D22" i="38"/>
  <c r="D21" i="38"/>
  <c r="D19" i="38"/>
  <c r="D18" i="38"/>
  <c r="D16" i="38"/>
  <c r="D14" i="38"/>
  <c r="D11" i="38"/>
  <c r="D8" i="38"/>
  <c r="D5" i="38"/>
  <c r="H4" i="38"/>
  <c r="G4" i="38"/>
  <c r="F4" i="38"/>
  <c r="F6" i="23"/>
  <c r="F6" i="36" s="1"/>
  <c r="F5" i="23"/>
  <c r="B6" i="36" s="1"/>
  <c r="C23" i="16"/>
  <c r="I24" i="16"/>
  <c r="H19" i="16"/>
  <c r="E20" i="14"/>
  <c r="F18" i="36"/>
  <c r="G51" i="1"/>
  <c r="E51" i="1" s="1"/>
  <c r="G27" i="1"/>
  <c r="G115" i="1"/>
  <c r="E26" i="27"/>
  <c r="E23" i="27" s="1"/>
  <c r="AH65" i="26"/>
  <c r="AH66" i="26" s="1"/>
  <c r="D44" i="1"/>
  <c r="F46" i="1"/>
  <c r="G119" i="38"/>
  <c r="G74" i="15"/>
  <c r="F162" i="1"/>
  <c r="AD38" i="26"/>
  <c r="AD43" i="26" s="1"/>
  <c r="AD44" i="26" s="1"/>
  <c r="AD107" i="26" s="1"/>
  <c r="BE38" i="26"/>
  <c r="BE43" i="26"/>
  <c r="BE44" i="26" s="1"/>
  <c r="BE107" i="26" s="1"/>
  <c r="BY44" i="26"/>
  <c r="CC44" i="26"/>
  <c r="DO38" i="26"/>
  <c r="DO43" i="26" s="1"/>
  <c r="DO44" i="26" s="1"/>
  <c r="G26" i="26"/>
  <c r="C24" i="26"/>
  <c r="E28" i="14"/>
  <c r="F40" i="1"/>
  <c r="F47" i="1" s="1"/>
  <c r="H48" i="1"/>
  <c r="D48" i="1" s="1"/>
  <c r="D52" i="1" s="1"/>
  <c r="H46" i="1"/>
  <c r="G76" i="1"/>
  <c r="F115" i="1"/>
  <c r="D42" i="27"/>
  <c r="G49" i="15"/>
  <c r="E49" i="15"/>
  <c r="G36" i="15"/>
  <c r="E36" i="15" s="1"/>
  <c r="K74" i="15"/>
  <c r="K44" i="15"/>
  <c r="K45" i="15" s="1"/>
  <c r="K51" i="15" s="1"/>
  <c r="D75" i="15"/>
  <c r="E86" i="15"/>
  <c r="J65" i="27"/>
  <c r="K65" i="27" s="1"/>
  <c r="E19" i="26"/>
  <c r="C19" i="26" s="1"/>
  <c r="F110" i="1"/>
  <c r="D88" i="1"/>
  <c r="I38" i="15"/>
  <c r="C63" i="27"/>
  <c r="DJ68" i="26" s="1"/>
  <c r="DJ74" i="26" s="1"/>
  <c r="D64" i="27"/>
  <c r="C2" i="26"/>
  <c r="F37" i="26"/>
  <c r="D35" i="26"/>
  <c r="D37" i="26" s="1"/>
  <c r="AJ53" i="26"/>
  <c r="J45" i="15"/>
  <c r="J51" i="15" s="1"/>
  <c r="E90" i="15"/>
  <c r="D96" i="15"/>
  <c r="D153" i="15"/>
  <c r="AL44" i="26"/>
  <c r="AY44" i="26"/>
  <c r="AY107" i="26" s="1"/>
  <c r="BC44" i="26"/>
  <c r="BS44" i="26"/>
  <c r="BS107" i="26"/>
  <c r="CI38" i="26"/>
  <c r="CI43" i="26" s="1"/>
  <c r="CI44" i="26" s="1"/>
  <c r="CI107" i="26" s="1"/>
  <c r="DM44" i="26"/>
  <c r="DM107" i="26" s="1"/>
  <c r="D27" i="26"/>
  <c r="E23" i="26"/>
  <c r="F53" i="26"/>
  <c r="CP66" i="26"/>
  <c r="C64" i="26"/>
  <c r="L73" i="26"/>
  <c r="F67" i="26"/>
  <c r="D67" i="26" s="1"/>
  <c r="BT44" i="26"/>
  <c r="BT107" i="26" s="1"/>
  <c r="DA44" i="26"/>
  <c r="DN44" i="26"/>
  <c r="G106" i="26"/>
  <c r="D78" i="26"/>
  <c r="F79" i="26"/>
  <c r="DU107" i="26"/>
  <c r="Z73" i="26"/>
  <c r="Z74" i="26" s="1"/>
  <c r="D89" i="26"/>
  <c r="E102" i="17"/>
  <c r="M122" i="17"/>
  <c r="M123" i="17"/>
  <c r="M78" i="9"/>
  <c r="M76" i="9" s="1"/>
  <c r="M75" i="9"/>
  <c r="M74" i="9"/>
  <c r="M87" i="9" s="1"/>
  <c r="M91" i="9" s="1"/>
  <c r="AR38" i="26"/>
  <c r="AR43" i="26" s="1"/>
  <c r="DV107" i="26"/>
  <c r="E106" i="26"/>
  <c r="I74" i="4"/>
  <c r="H26" i="17"/>
  <c r="H33" i="17" s="1"/>
  <c r="H39" i="17" s="1"/>
  <c r="F73" i="17"/>
  <c r="F101" i="17"/>
  <c r="D70" i="4"/>
  <c r="D74" i="4" s="1"/>
  <c r="G149" i="6"/>
  <c r="E148" i="6"/>
  <c r="E149" i="6"/>
  <c r="G168" i="6"/>
  <c r="G180" i="6" s="1"/>
  <c r="E174" i="6"/>
  <c r="E168" i="6" s="1"/>
  <c r="E180" i="6" s="1"/>
  <c r="G78" i="9"/>
  <c r="G76" i="9"/>
  <c r="G79" i="9" s="1"/>
  <c r="G86" i="9" s="1"/>
  <c r="G75" i="9"/>
  <c r="G74" i="9" s="1"/>
  <c r="E6" i="9"/>
  <c r="G118" i="9"/>
  <c r="E101" i="9"/>
  <c r="E118" i="9" s="1"/>
  <c r="D161" i="9"/>
  <c r="F178" i="9"/>
  <c r="I37" i="17"/>
  <c r="E37" i="17"/>
  <c r="G73" i="17"/>
  <c r="G101" i="17"/>
  <c r="F122" i="17"/>
  <c r="I62" i="4"/>
  <c r="I69" i="4" s="1"/>
  <c r="I75" i="4" s="1"/>
  <c r="G135" i="4"/>
  <c r="I180" i="4"/>
  <c r="G37" i="6"/>
  <c r="G40" i="6"/>
  <c r="E40" i="6" s="1"/>
  <c r="D53" i="6"/>
  <c r="G104" i="6"/>
  <c r="E86" i="6"/>
  <c r="F104" i="6"/>
  <c r="F130" i="6"/>
  <c r="R79" i="9"/>
  <c r="R86" i="9" s="1"/>
  <c r="R92" i="9" s="1"/>
  <c r="D57" i="9"/>
  <c r="K86" i="9"/>
  <c r="K92" i="9"/>
  <c r="D83" i="9"/>
  <c r="G85" i="9"/>
  <c r="E15" i="17"/>
  <c r="F26" i="17"/>
  <c r="F33" i="17" s="1"/>
  <c r="F39" i="17" s="1"/>
  <c r="G34" i="17"/>
  <c r="D45" i="17"/>
  <c r="E146" i="17"/>
  <c r="E147" i="17"/>
  <c r="D42" i="4"/>
  <c r="H68" i="4"/>
  <c r="H162" i="4"/>
  <c r="G112" i="4"/>
  <c r="I186" i="4"/>
  <c r="I199" i="4"/>
  <c r="I211" i="4" s="1"/>
  <c r="I31" i="6"/>
  <c r="D110" i="6"/>
  <c r="E154" i="6"/>
  <c r="E155" i="6" s="1"/>
  <c r="G155" i="6"/>
  <c r="G156" i="6"/>
  <c r="E31" i="19"/>
  <c r="G39" i="19"/>
  <c r="I25" i="17"/>
  <c r="I24" i="17" s="1"/>
  <c r="E45" i="17"/>
  <c r="E62" i="17"/>
  <c r="E42" i="4"/>
  <c r="G71" i="4"/>
  <c r="E71" i="4" s="1"/>
  <c r="G68" i="4"/>
  <c r="E136" i="4"/>
  <c r="E140" i="4"/>
  <c r="P79" i="9"/>
  <c r="D91" i="4"/>
  <c r="D101" i="4" s="1"/>
  <c r="D113" i="4"/>
  <c r="D135" i="4"/>
  <c r="D136" i="4"/>
  <c r="D140" i="4" s="1"/>
  <c r="G27" i="6"/>
  <c r="G26" i="6"/>
  <c r="E26" i="6" s="1"/>
  <c r="E53" i="6"/>
  <c r="E71" i="6"/>
  <c r="E81" i="6" s="1"/>
  <c r="F79" i="9"/>
  <c r="J79" i="9"/>
  <c r="J86" i="9"/>
  <c r="J92" i="9" s="1"/>
  <c r="N79" i="9"/>
  <c r="E66" i="9"/>
  <c r="M88" i="9"/>
  <c r="N85" i="9"/>
  <c r="E90" i="9"/>
  <c r="F118" i="9"/>
  <c r="F179" i="9" s="1"/>
  <c r="D101" i="9"/>
  <c r="D108" i="9"/>
  <c r="R118" i="9"/>
  <c r="H129" i="9"/>
  <c r="L129" i="9"/>
  <c r="P129" i="9"/>
  <c r="F152" i="9"/>
  <c r="J152" i="9"/>
  <c r="N152" i="9"/>
  <c r="D158" i="9"/>
  <c r="L178" i="9"/>
  <c r="G204" i="9"/>
  <c r="E202" i="9"/>
  <c r="E203" i="9" s="1"/>
  <c r="T40" i="19"/>
  <c r="T46" i="19" s="1"/>
  <c r="G83" i="19"/>
  <c r="E222" i="9"/>
  <c r="E216" i="9" s="1"/>
  <c r="E228" i="9" s="1"/>
  <c r="G216" i="9"/>
  <c r="G228" i="9" s="1"/>
  <c r="P40" i="19"/>
  <c r="P46" i="19"/>
  <c r="U40" i="19"/>
  <c r="I87" i="9"/>
  <c r="I78" i="9"/>
  <c r="I76" i="9" s="1"/>
  <c r="I75" i="9"/>
  <c r="I74" i="9"/>
  <c r="H87" i="9"/>
  <c r="H91" i="9" s="1"/>
  <c r="I160" i="9"/>
  <c r="I158" i="9" s="1"/>
  <c r="I178" i="9" s="1"/>
  <c r="I179" i="9" s="1"/>
  <c r="O42" i="19"/>
  <c r="O45" i="19" s="1"/>
  <c r="O30" i="19"/>
  <c r="O40" i="19" s="1"/>
  <c r="H142" i="19"/>
  <c r="L39" i="19"/>
  <c r="L40" i="19" s="1"/>
  <c r="L46" i="19" s="1"/>
  <c r="L142" i="19" s="1"/>
  <c r="L168" i="19" s="1"/>
  <c r="D34" i="19"/>
  <c r="S142" i="19"/>
  <c r="P72" i="19"/>
  <c r="D55" i="19"/>
  <c r="D72" i="19" s="1"/>
  <c r="O113" i="19"/>
  <c r="O111" i="19" s="1"/>
  <c r="O131" i="19" s="1"/>
  <c r="O132" i="19" s="1"/>
  <c r="D130" i="9"/>
  <c r="G41" i="19"/>
  <c r="E41" i="19" s="1"/>
  <c r="G30" i="19"/>
  <c r="G40" i="19" s="1"/>
  <c r="E10" i="19"/>
  <c r="E30" i="19" s="1"/>
  <c r="I45" i="19"/>
  <c r="I46" i="19" s="1"/>
  <c r="D84" i="19"/>
  <c r="F105" i="19"/>
  <c r="D159" i="19"/>
  <c r="D166" i="19"/>
  <c r="E196" i="9"/>
  <c r="E197" i="9" s="1"/>
  <c r="D31" i="19"/>
  <c r="D39" i="19" s="1"/>
  <c r="E36" i="19"/>
  <c r="U45" i="19"/>
  <c r="K132" i="19"/>
  <c r="Q113" i="19"/>
  <c r="Q111" i="19" s="1"/>
  <c r="Q131" i="19" s="1"/>
  <c r="Q132" i="19" s="1"/>
  <c r="D89" i="19"/>
  <c r="E92" i="19"/>
  <c r="M45" i="19"/>
  <c r="G72" i="19"/>
  <c r="E55" i="19"/>
  <c r="F83" i="19"/>
  <c r="D73" i="19"/>
  <c r="G105" i="19"/>
  <c r="E89" i="19"/>
  <c r="D141" i="19"/>
  <c r="G192" i="19"/>
  <c r="K192" i="19"/>
  <c r="O192" i="19"/>
  <c r="S192" i="19"/>
  <c r="E180" i="19"/>
  <c r="E192" i="19" s="1"/>
  <c r="E164" i="19"/>
  <c r="E165" i="19"/>
  <c r="G2" i="38"/>
  <c r="H68" i="26"/>
  <c r="D68" i="26" s="1"/>
  <c r="D87" i="9"/>
  <c r="D91" i="9"/>
  <c r="I187" i="4"/>
  <c r="L74" i="26"/>
  <c r="H52" i="1"/>
  <c r="G49" i="1"/>
  <c r="E49" i="1" s="1"/>
  <c r="E27" i="1"/>
  <c r="D160" i="15"/>
  <c r="N86" i="9"/>
  <c r="N92" i="9" s="1"/>
  <c r="E64" i="27"/>
  <c r="E63" i="27" s="1"/>
  <c r="CS107" i="26"/>
  <c r="G39" i="6"/>
  <c r="CC107" i="26"/>
  <c r="E178" i="15"/>
  <c r="G172" i="15"/>
  <c r="G184" i="15" s="1"/>
  <c r="I8" i="28"/>
  <c r="I5" i="28" s="1"/>
  <c r="I49" i="28" s="1"/>
  <c r="P38" i="26"/>
  <c r="P43" i="26" s="1"/>
  <c r="I40" i="1"/>
  <c r="D45" i="26"/>
  <c r="G31" i="6"/>
  <c r="G38" i="6" s="1"/>
  <c r="I87" i="1"/>
  <c r="E77" i="1"/>
  <c r="H115" i="1"/>
  <c r="D111" i="1"/>
  <c r="D115" i="1" s="1"/>
  <c r="D35" i="1"/>
  <c r="D40" i="1" s="1"/>
  <c r="H40" i="1"/>
  <c r="H47" i="1" s="1"/>
  <c r="I85" i="15"/>
  <c r="E82" i="15"/>
  <c r="G113" i="15"/>
  <c r="E109" i="15"/>
  <c r="E113" i="15" s="1"/>
  <c r="G110" i="1"/>
  <c r="D123" i="1"/>
  <c r="F136" i="1"/>
  <c r="G162" i="1"/>
  <c r="E22" i="15"/>
  <c r="I46" i="15"/>
  <c r="D64" i="15"/>
  <c r="BO34" i="26"/>
  <c r="BO38" i="26" s="1"/>
  <c r="BO43" i="26" s="1"/>
  <c r="BO44" i="26" s="1"/>
  <c r="BO107" i="26" s="1"/>
  <c r="E180" i="1"/>
  <c r="E174" i="1" s="1"/>
  <c r="E186" i="1" s="1"/>
  <c r="I44" i="15"/>
  <c r="I45" i="15"/>
  <c r="D38" i="27"/>
  <c r="Q87" i="27"/>
  <c r="K5" i="28"/>
  <c r="K49" i="28" s="1"/>
  <c r="K34" i="26"/>
  <c r="E32" i="26"/>
  <c r="C32" i="26" s="1"/>
  <c r="E37" i="26"/>
  <c r="C35" i="26"/>
  <c r="C37" i="26" s="1"/>
  <c r="D76" i="38"/>
  <c r="D22" i="15"/>
  <c r="E42" i="15"/>
  <c r="F20" i="26"/>
  <c r="D20" i="26" s="1"/>
  <c r="AO107" i="26"/>
  <c r="BM107" i="26"/>
  <c r="BK34" i="26"/>
  <c r="BK44" i="26" s="1"/>
  <c r="BK107" i="26" s="1"/>
  <c r="G30" i="26"/>
  <c r="BY66" i="26"/>
  <c r="BY107" i="26"/>
  <c r="G59" i="26"/>
  <c r="E160" i="1"/>
  <c r="C21" i="26"/>
  <c r="BW44" i="26"/>
  <c r="BW107" i="26" s="1"/>
  <c r="CK44" i="26"/>
  <c r="CK107" i="26" s="1"/>
  <c r="D25" i="26"/>
  <c r="D39" i="26"/>
  <c r="DE53" i="26"/>
  <c r="G52" i="26"/>
  <c r="G53" i="26" s="1"/>
  <c r="DF53" i="26"/>
  <c r="BZ66" i="26"/>
  <c r="H59" i="26"/>
  <c r="D63" i="26"/>
  <c r="D82" i="15"/>
  <c r="D85" i="15" s="1"/>
  <c r="C42" i="27"/>
  <c r="AF18" i="26"/>
  <c r="M43" i="26"/>
  <c r="M44" i="26" s="1"/>
  <c r="M107" i="26" s="1"/>
  <c r="AQ38" i="26"/>
  <c r="BR44" i="26"/>
  <c r="BR107" i="26" s="1"/>
  <c r="H26" i="26"/>
  <c r="D31" i="26"/>
  <c r="D41" i="26"/>
  <c r="D61" i="26"/>
  <c r="G64" i="26"/>
  <c r="D69" i="26"/>
  <c r="G148" i="17"/>
  <c r="E68" i="4"/>
  <c r="U44" i="26"/>
  <c r="U107" i="26" s="1"/>
  <c r="F33" i="26"/>
  <c r="AB34" i="26"/>
  <c r="CB66" i="26"/>
  <c r="CB107" i="26" s="1"/>
  <c r="H64" i="26"/>
  <c r="D64" i="26" s="1"/>
  <c r="D26" i="17"/>
  <c r="E22" i="17"/>
  <c r="G26" i="17"/>
  <c r="K33" i="17"/>
  <c r="K39" i="17" s="1"/>
  <c r="F70" i="26"/>
  <c r="Q152" i="9"/>
  <c r="Q179" i="9" s="1"/>
  <c r="E143" i="9"/>
  <c r="D28" i="17"/>
  <c r="D32" i="17" s="1"/>
  <c r="D74" i="17"/>
  <c r="E166" i="17"/>
  <c r="E160" i="17"/>
  <c r="E172" i="17" s="1"/>
  <c r="E101" i="4"/>
  <c r="E126" i="4"/>
  <c r="E130" i="4"/>
  <c r="E148" i="4"/>
  <c r="F187" i="4"/>
  <c r="H70" i="6"/>
  <c r="E67" i="6"/>
  <c r="E99" i="6"/>
  <c r="D113" i="6"/>
  <c r="D155" i="6"/>
  <c r="E83" i="9"/>
  <c r="H118" i="9"/>
  <c r="N178" i="9"/>
  <c r="D197" i="9"/>
  <c r="D204" i="9" s="1"/>
  <c r="F30" i="19"/>
  <c r="J166" i="19"/>
  <c r="G35" i="17"/>
  <c r="G38" i="17" s="1"/>
  <c r="G32" i="17"/>
  <c r="G62" i="17"/>
  <c r="D63" i="17"/>
  <c r="D73" i="17" s="1"/>
  <c r="F101" i="4"/>
  <c r="G101" i="4"/>
  <c r="G143" i="4" s="1"/>
  <c r="G141" i="4" s="1"/>
  <c r="E102" i="4"/>
  <c r="F135" i="4"/>
  <c r="G81" i="6"/>
  <c r="G112" i="6" s="1"/>
  <c r="G110" i="6" s="1"/>
  <c r="I104" i="6"/>
  <c r="D117" i="6"/>
  <c r="D122" i="6"/>
  <c r="D81" i="9"/>
  <c r="D85" i="9" s="1"/>
  <c r="H85" i="9"/>
  <c r="H86" i="9" s="1"/>
  <c r="H92" i="9" s="1"/>
  <c r="E130" i="9"/>
  <c r="G152" i="9"/>
  <c r="E134" i="9"/>
  <c r="E153" i="9"/>
  <c r="E157" i="9" s="1"/>
  <c r="G157" i="9"/>
  <c r="E161" i="9"/>
  <c r="E28" i="17"/>
  <c r="E32" i="17" s="1"/>
  <c r="F68" i="4"/>
  <c r="D141" i="4"/>
  <c r="G180" i="4"/>
  <c r="E179" i="4"/>
  <c r="E180" i="4" s="1"/>
  <c r="E187" i="4" s="1"/>
  <c r="F70" i="6"/>
  <c r="D66" i="9"/>
  <c r="D79" i="9" s="1"/>
  <c r="Q86" i="9"/>
  <c r="Q92" i="9" s="1"/>
  <c r="Q180" i="9" s="1"/>
  <c r="Q206" i="9" s="1"/>
  <c r="O118" i="9"/>
  <c r="G129" i="9"/>
  <c r="E119" i="9"/>
  <c r="E129" i="9" s="1"/>
  <c r="H152" i="9"/>
  <c r="L152" i="9"/>
  <c r="L179" i="9" s="1"/>
  <c r="J178" i="9"/>
  <c r="J179" i="9" s="1"/>
  <c r="J180" i="9" s="1"/>
  <c r="J206" i="9" s="1"/>
  <c r="D100" i="19"/>
  <c r="P105" i="19"/>
  <c r="D119" i="9"/>
  <c r="N204" i="9"/>
  <c r="D216" i="9"/>
  <c r="D228" i="9" s="1"/>
  <c r="G42" i="19"/>
  <c r="J40" i="19"/>
  <c r="J46" i="19"/>
  <c r="J142" i="19" s="1"/>
  <c r="J168" i="19" s="1"/>
  <c r="F72" i="19"/>
  <c r="J132" i="19"/>
  <c r="E100" i="19"/>
  <c r="D106" i="19"/>
  <c r="D110" i="19" s="1"/>
  <c r="N83" i="19"/>
  <c r="T83" i="19"/>
  <c r="G159" i="19"/>
  <c r="G166" i="19"/>
  <c r="E158" i="19"/>
  <c r="D10" i="19"/>
  <c r="R40" i="19"/>
  <c r="R46" i="19" s="1"/>
  <c r="R142" i="19" s="1"/>
  <c r="R168" i="19" s="1"/>
  <c r="E106" i="19"/>
  <c r="E110" i="19" s="1"/>
  <c r="G110" i="19"/>
  <c r="D114" i="19"/>
  <c r="E154" i="19"/>
  <c r="E159" i="19" s="1"/>
  <c r="E166" i="19" s="1"/>
  <c r="AB38" i="26"/>
  <c r="AB43" i="26" s="1"/>
  <c r="AB44" i="26" s="1"/>
  <c r="AB107" i="26" s="1"/>
  <c r="AQ43" i="26"/>
  <c r="AQ44" i="26" s="1"/>
  <c r="AQ107" i="26" s="1"/>
  <c r="I52" i="1"/>
  <c r="C30" i="26"/>
  <c r="D130" i="6"/>
  <c r="D70" i="26"/>
  <c r="D59" i="26"/>
  <c r="R38" i="26"/>
  <c r="I50" i="15"/>
  <c r="G43" i="6"/>
  <c r="R43" i="26"/>
  <c r="R44" i="26" s="1"/>
  <c r="C18" i="36" l="1"/>
  <c r="F108" i="39"/>
  <c r="G19" i="36"/>
  <c r="C19" i="36"/>
  <c r="E84" i="39"/>
  <c r="D98" i="26"/>
  <c r="C26" i="16"/>
  <c r="E62" i="39"/>
  <c r="C5" i="20"/>
  <c r="F5" i="20" s="1"/>
  <c r="B7" i="36" s="1"/>
  <c r="B8" i="36" s="1"/>
  <c r="G107" i="27"/>
  <c r="H107" i="27" s="1"/>
  <c r="I107" i="27" s="1"/>
  <c r="J107" i="27" s="1"/>
  <c r="K107" i="27" s="1"/>
  <c r="G114" i="27"/>
  <c r="H114" i="27" s="1"/>
  <c r="G112" i="27"/>
  <c r="H112" i="27" s="1"/>
  <c r="H110" i="27"/>
  <c r="I110" i="27" s="1"/>
  <c r="G38" i="15"/>
  <c r="E27" i="15"/>
  <c r="H50" i="15"/>
  <c r="D46" i="15"/>
  <c r="D50" i="15" s="1"/>
  <c r="I159" i="15"/>
  <c r="E158" i="15"/>
  <c r="E159" i="15" s="1"/>
  <c r="E6" i="28"/>
  <c r="E5" i="28" s="1"/>
  <c r="E49" i="28" s="1"/>
  <c r="D5" i="28"/>
  <c r="D49" i="28" s="1"/>
  <c r="R19" i="26"/>
  <c r="F19" i="26" s="1"/>
  <c r="D19" i="26" s="1"/>
  <c r="R18" i="26"/>
  <c r="D50" i="26"/>
  <c r="E39" i="6"/>
  <c r="E43" i="6" s="1"/>
  <c r="D129" i="9"/>
  <c r="G160" i="9"/>
  <c r="G158" i="9" s="1"/>
  <c r="D86" i="9"/>
  <c r="D92" i="9" s="1"/>
  <c r="F162" i="4"/>
  <c r="D26" i="26"/>
  <c r="E172" i="15"/>
  <c r="E184" i="15" s="1"/>
  <c r="R180" i="9"/>
  <c r="C26" i="26"/>
  <c r="F8" i="36"/>
  <c r="F19" i="36" s="1"/>
  <c r="G46" i="1"/>
  <c r="E42" i="1"/>
  <c r="E46" i="1" s="1"/>
  <c r="D71" i="15"/>
  <c r="E93" i="27"/>
  <c r="D24" i="26"/>
  <c r="F26" i="26"/>
  <c r="L38" i="26"/>
  <c r="L43" i="26" s="1"/>
  <c r="L44" i="26"/>
  <c r="L107" i="26" s="1"/>
  <c r="I51" i="15"/>
  <c r="P86" i="9"/>
  <c r="P92" i="9" s="1"/>
  <c r="I115" i="1"/>
  <c r="E111" i="1"/>
  <c r="E115" i="1" s="1"/>
  <c r="H38" i="15"/>
  <c r="D34" i="15"/>
  <c r="D38" i="15" s="1"/>
  <c r="H18" i="26"/>
  <c r="D3" i="26"/>
  <c r="C25" i="26"/>
  <c r="E26" i="26"/>
  <c r="O44" i="26"/>
  <c r="O107" i="26" s="1"/>
  <c r="D97" i="26"/>
  <c r="F106" i="26"/>
  <c r="E35" i="17"/>
  <c r="F23" i="26"/>
  <c r="G45" i="19"/>
  <c r="G46" i="19" s="1"/>
  <c r="G123" i="17"/>
  <c r="D96" i="17"/>
  <c r="F2" i="26"/>
  <c r="I47" i="1"/>
  <c r="I53" i="1" s="1"/>
  <c r="G47" i="15"/>
  <c r="E84" i="1"/>
  <c r="G87" i="1"/>
  <c r="G118" i="1" s="1"/>
  <c r="G116" i="1" s="1"/>
  <c r="G136" i="1" s="1"/>
  <c r="I155" i="1"/>
  <c r="I162" i="1" s="1"/>
  <c r="E154" i="1"/>
  <c r="E155" i="1" s="1"/>
  <c r="E161" i="1"/>
  <c r="D114" i="15"/>
  <c r="D134" i="15" s="1"/>
  <c r="H134" i="15"/>
  <c r="J66" i="27"/>
  <c r="K66" i="27" s="1"/>
  <c r="L66" i="27"/>
  <c r="E18" i="26"/>
  <c r="AX44" i="26"/>
  <c r="AX107" i="26" s="1"/>
  <c r="BB38" i="26"/>
  <c r="BB43" i="26" s="1"/>
  <c r="BB44" i="26" s="1"/>
  <c r="BB107" i="26" s="1"/>
  <c r="BF44" i="26"/>
  <c r="BF107" i="26" s="1"/>
  <c r="BJ44" i="26"/>
  <c r="BJ107" i="26" s="1"/>
  <c r="BJ38" i="26"/>
  <c r="BJ43" i="26" s="1"/>
  <c r="P44" i="26"/>
  <c r="P107" i="26" s="1"/>
  <c r="R107" i="26"/>
  <c r="F132" i="19"/>
  <c r="G33" i="17"/>
  <c r="K124" i="17"/>
  <c r="K150" i="17" s="1"/>
  <c r="H108" i="15"/>
  <c r="G44" i="6"/>
  <c r="E204" i="9"/>
  <c r="E11" i="14"/>
  <c r="C8" i="14"/>
  <c r="E25" i="14"/>
  <c r="C22" i="14"/>
  <c r="E6" i="1"/>
  <c r="G36" i="1"/>
  <c r="G35" i="1" s="1"/>
  <c r="D66" i="1"/>
  <c r="D76" i="1" s="1"/>
  <c r="F76" i="1"/>
  <c r="F137" i="1" s="1"/>
  <c r="E92" i="1"/>
  <c r="E110" i="1" s="1"/>
  <c r="E38" i="15"/>
  <c r="E40" i="15"/>
  <c r="E44" i="15" s="1"/>
  <c r="E45" i="15" s="1"/>
  <c r="G44" i="15"/>
  <c r="H74" i="15"/>
  <c r="D57" i="15"/>
  <c r="D74" i="15" s="1"/>
  <c r="F5" i="27"/>
  <c r="F119" i="27" s="1"/>
  <c r="L93" i="27"/>
  <c r="F15" i="26"/>
  <c r="D15" i="26" s="1"/>
  <c r="DL44" i="26"/>
  <c r="DL107" i="26" s="1"/>
  <c r="DP38" i="26"/>
  <c r="DP43" i="26" s="1"/>
  <c r="DP44" i="26" s="1"/>
  <c r="DP107" i="26" s="1"/>
  <c r="U46" i="19"/>
  <c r="U142" i="19" s="1"/>
  <c r="U168" i="19" s="1"/>
  <c r="E156" i="6"/>
  <c r="F53" i="1"/>
  <c r="F138" i="1" s="1"/>
  <c r="F164" i="1" s="1"/>
  <c r="H2" i="38"/>
  <c r="G46" i="15"/>
  <c r="E46" i="15" s="1"/>
  <c r="H44" i="15"/>
  <c r="I74" i="15"/>
  <c r="E64" i="15"/>
  <c r="E117" i="15"/>
  <c r="E111" i="27"/>
  <c r="D13" i="26"/>
  <c r="C14" i="26"/>
  <c r="C17" i="26"/>
  <c r="AF38" i="26"/>
  <c r="AF43" i="26" s="1"/>
  <c r="AF44" i="26" s="1"/>
  <c r="N38" i="26"/>
  <c r="N43" i="26" s="1"/>
  <c r="N44" i="26" s="1"/>
  <c r="N107" i="26" s="1"/>
  <c r="S44" i="26"/>
  <c r="S107" i="26" s="1"/>
  <c r="AK44" i="26"/>
  <c r="AT44" i="26"/>
  <c r="AT107" i="26" s="1"/>
  <c r="AW44" i="26"/>
  <c r="AW107" i="26" s="1"/>
  <c r="BN44" i="26"/>
  <c r="BN107" i="26" s="1"/>
  <c r="BV44" i="26"/>
  <c r="BV107" i="26" s="1"/>
  <c r="BZ44" i="26"/>
  <c r="BZ107" i="26" s="1"/>
  <c r="CN107" i="26"/>
  <c r="CV107" i="26"/>
  <c r="C48" i="26"/>
  <c r="H48" i="26"/>
  <c r="H79" i="26"/>
  <c r="D75" i="26"/>
  <c r="D79" i="26" s="1"/>
  <c r="DE107" i="26"/>
  <c r="H53" i="1"/>
  <c r="H137" i="1"/>
  <c r="G113" i="19"/>
  <c r="G111" i="19" s="1"/>
  <c r="E76" i="9"/>
  <c r="D62" i="4"/>
  <c r="DN107" i="26"/>
  <c r="D63" i="27"/>
  <c r="F119" i="38"/>
  <c r="F123" i="38" s="1"/>
  <c r="D4" i="38"/>
  <c r="D25" i="38"/>
  <c r="D111" i="38"/>
  <c r="D8" i="14"/>
  <c r="D30" i="14" s="1"/>
  <c r="I46" i="1"/>
  <c r="D94" i="1"/>
  <c r="E105" i="1"/>
  <c r="D119" i="1"/>
  <c r="H162" i="1"/>
  <c r="J74" i="15"/>
  <c r="F85" i="15"/>
  <c r="F108" i="15"/>
  <c r="J108" i="15"/>
  <c r="J135" i="15" s="1"/>
  <c r="J136" i="15" s="1"/>
  <c r="J162" i="15" s="1"/>
  <c r="K134" i="15"/>
  <c r="K135" i="15" s="1"/>
  <c r="K136" i="15" s="1"/>
  <c r="K162" i="15" s="1"/>
  <c r="E129" i="15"/>
  <c r="J160" i="15"/>
  <c r="E39" i="28"/>
  <c r="C4" i="26"/>
  <c r="C5" i="26"/>
  <c r="G18" i="26"/>
  <c r="C11" i="26"/>
  <c r="D16" i="26"/>
  <c r="G23" i="26"/>
  <c r="C22" i="26"/>
  <c r="C23" i="26" s="1"/>
  <c r="O38" i="26"/>
  <c r="O43" i="26" s="1"/>
  <c r="CD44" i="26"/>
  <c r="CO44" i="26"/>
  <c r="CO107" i="26" s="1"/>
  <c r="DT44" i="26"/>
  <c r="DT107" i="26" s="1"/>
  <c r="H50" i="26"/>
  <c r="C50" i="26"/>
  <c r="K38" i="26"/>
  <c r="E87" i="1"/>
  <c r="D118" i="9"/>
  <c r="D110" i="1"/>
  <c r="AH107" i="26"/>
  <c r="D95" i="38"/>
  <c r="E22" i="1"/>
  <c r="D42" i="1"/>
  <c r="D46" i="1" s="1"/>
  <c r="D47" i="1" s="1"/>
  <c r="D53" i="1" s="1"/>
  <c r="H110" i="1"/>
  <c r="E119" i="1"/>
  <c r="D155" i="1"/>
  <c r="D162" i="1" s="1"/>
  <c r="D161" i="1"/>
  <c r="E96" i="15"/>
  <c r="F134" i="15"/>
  <c r="K160" i="15"/>
  <c r="J5" i="28"/>
  <c r="J49" i="28" s="1"/>
  <c r="CH44" i="26"/>
  <c r="CL44" i="26"/>
  <c r="CL107" i="26" s="1"/>
  <c r="DD44" i="26"/>
  <c r="DD107" i="26" s="1"/>
  <c r="AP44" i="26"/>
  <c r="V44" i="26"/>
  <c r="AS44" i="26"/>
  <c r="AS107" i="26" s="1"/>
  <c r="CG44" i="26"/>
  <c r="CG107" i="26" s="1"/>
  <c r="H106" i="26"/>
  <c r="K123" i="17"/>
  <c r="E141" i="17"/>
  <c r="E148" i="17" s="1"/>
  <c r="C53" i="26"/>
  <c r="AL107" i="26"/>
  <c r="BC107" i="26"/>
  <c r="BG107" i="26"/>
  <c r="CU107" i="26"/>
  <c r="D55" i="26"/>
  <c r="DA107" i="26"/>
  <c r="E73" i="26"/>
  <c r="E88" i="26"/>
  <c r="D96" i="26"/>
  <c r="M32" i="17"/>
  <c r="M33" i="17" s="1"/>
  <c r="M39" i="17" s="1"/>
  <c r="M124" i="17" s="1"/>
  <c r="M150" i="17" s="1"/>
  <c r="D52" i="17"/>
  <c r="D62" i="17" s="1"/>
  <c r="F81" i="6"/>
  <c r="F131" i="6" s="1"/>
  <c r="F132" i="6" s="1"/>
  <c r="F158" i="6" s="1"/>
  <c r="F131" i="19"/>
  <c r="D111" i="19"/>
  <c r="D131" i="19" s="1"/>
  <c r="CP44" i="26"/>
  <c r="CP107" i="26" s="1"/>
  <c r="CT38" i="26"/>
  <c r="CT43" i="26" s="1"/>
  <c r="CT44" i="26" s="1"/>
  <c r="CT107" i="26" s="1"/>
  <c r="DG44" i="26"/>
  <c r="DG107" i="26" s="1"/>
  <c r="DK44" i="26"/>
  <c r="Q38" i="26"/>
  <c r="Q43" i="26" s="1"/>
  <c r="Q44" i="26" s="1"/>
  <c r="Q107" i="26" s="1"/>
  <c r="AI44" i="26"/>
  <c r="AI107" i="26" s="1"/>
  <c r="BL38" i="26"/>
  <c r="BL43" i="26" s="1"/>
  <c r="C28" i="26"/>
  <c r="C31" i="26"/>
  <c r="AA38" i="26"/>
  <c r="AA43" i="26" s="1"/>
  <c r="AA44" i="26" s="1"/>
  <c r="AA107" i="26" s="1"/>
  <c r="DQ44" i="26"/>
  <c r="DQ107" i="26" s="1"/>
  <c r="E53" i="26"/>
  <c r="D49" i="26"/>
  <c r="D51" i="26"/>
  <c r="D56" i="26"/>
  <c r="D72" i="26"/>
  <c r="D84" i="26"/>
  <c r="D90" i="26"/>
  <c r="D106" i="26" s="1"/>
  <c r="D99" i="26"/>
  <c r="F62" i="17"/>
  <c r="L62" i="17"/>
  <c r="E74" i="17"/>
  <c r="I96" i="17"/>
  <c r="I123" i="17" s="1"/>
  <c r="L96" i="17"/>
  <c r="H96" i="17"/>
  <c r="H123" i="17" s="1"/>
  <c r="H124" i="17" s="1"/>
  <c r="H150" i="17" s="1"/>
  <c r="D117" i="17"/>
  <c r="E59" i="4"/>
  <c r="E117" i="4"/>
  <c r="E135" i="4" s="1"/>
  <c r="E199" i="4"/>
  <c r="E211" i="4" s="1"/>
  <c r="E205" i="4"/>
  <c r="E18" i="6"/>
  <c r="G109" i="6"/>
  <c r="H130" i="6"/>
  <c r="I85" i="9"/>
  <c r="K118" i="9"/>
  <c r="K160" i="9" s="1"/>
  <c r="K158" i="9" s="1"/>
  <c r="K178" i="9" s="1"/>
  <c r="K179" i="9" s="1"/>
  <c r="K180" i="9" s="1"/>
  <c r="K206" i="9" s="1"/>
  <c r="K46" i="19"/>
  <c r="K142" i="19" s="1"/>
  <c r="K168" i="19" s="1"/>
  <c r="E34" i="19"/>
  <c r="E39" i="19" s="1"/>
  <c r="E40" i="19" s="1"/>
  <c r="U105" i="19"/>
  <c r="E96" i="19"/>
  <c r="E105" i="19" s="1"/>
  <c r="J62" i="17"/>
  <c r="E59" i="17"/>
  <c r="E73" i="17"/>
  <c r="E70" i="17"/>
  <c r="J96" i="17"/>
  <c r="D87" i="17"/>
  <c r="J122" i="17"/>
  <c r="E105" i="17"/>
  <c r="E122" i="17" s="1"/>
  <c r="I148" i="17"/>
  <c r="G6" i="4"/>
  <c r="F62" i="4"/>
  <c r="F69" i="4" s="1"/>
  <c r="F75" i="4" s="1"/>
  <c r="F163" i="4" s="1"/>
  <c r="F189" i="4" s="1"/>
  <c r="D68" i="4"/>
  <c r="E98" i="4"/>
  <c r="I135" i="4"/>
  <c r="I143" i="4" s="1"/>
  <c r="I141" i="4" s="1"/>
  <c r="I161" i="4" s="1"/>
  <c r="I162" i="4" s="1"/>
  <c r="E144" i="4"/>
  <c r="E156" i="4"/>
  <c r="D60" i="6"/>
  <c r="D70" i="6" s="1"/>
  <c r="E88" i="6"/>
  <c r="E104" i="6" s="1"/>
  <c r="O152" i="9"/>
  <c r="O160" i="9" s="1"/>
  <c r="O158" i="9" s="1"/>
  <c r="O178" i="9" s="1"/>
  <c r="G5" i="20"/>
  <c r="J5" i="20" s="1"/>
  <c r="C7" i="36" s="1"/>
  <c r="C8" i="36" s="1"/>
  <c r="CX44" i="26"/>
  <c r="CX107" i="26" s="1"/>
  <c r="DI44" i="26"/>
  <c r="C67" i="26"/>
  <c r="D38" i="17"/>
  <c r="J73" i="17"/>
  <c r="J123" i="17" s="1"/>
  <c r="J124" i="17" s="1"/>
  <c r="J150" i="17" s="1"/>
  <c r="G96" i="17"/>
  <c r="D78" i="17"/>
  <c r="E84" i="17"/>
  <c r="E87" i="17"/>
  <c r="D97" i="17"/>
  <c r="D101" i="17" s="1"/>
  <c r="H122" i="17"/>
  <c r="D114" i="17"/>
  <c r="D122" i="17" s="1"/>
  <c r="L122" i="17"/>
  <c r="E140" i="17"/>
  <c r="D147" i="17"/>
  <c r="D148" i="17" s="1"/>
  <c r="E53" i="4"/>
  <c r="D98" i="4"/>
  <c r="F112" i="4"/>
  <c r="E109" i="4"/>
  <c r="E112" i="4" s="1"/>
  <c r="E123" i="4"/>
  <c r="D156" i="4"/>
  <c r="D161" i="4" s="1"/>
  <c r="D162" i="4" s="1"/>
  <c r="D180" i="4"/>
  <c r="D187" i="4" s="1"/>
  <c r="D186" i="4"/>
  <c r="E28" i="6"/>
  <c r="D11" i="6"/>
  <c r="D31" i="6" s="1"/>
  <c r="E60" i="6"/>
  <c r="E70" i="6" s="1"/>
  <c r="D71" i="6"/>
  <c r="H104" i="6"/>
  <c r="H131" i="6" s="1"/>
  <c r="D99" i="6"/>
  <c r="D104" i="6" s="1"/>
  <c r="I156" i="6"/>
  <c r="D168" i="6"/>
  <c r="D180" i="6" s="1"/>
  <c r="P152" i="9"/>
  <c r="D140" i="9"/>
  <c r="Q40" i="19"/>
  <c r="E62" i="19"/>
  <c r="E72" i="19" s="1"/>
  <c r="D80" i="19"/>
  <c r="D83" i="19" s="1"/>
  <c r="D132" i="19" s="1"/>
  <c r="N105" i="19"/>
  <c r="N132" i="19" s="1"/>
  <c r="T131" i="19"/>
  <c r="T132" i="19" s="1"/>
  <c r="T142" i="19" s="1"/>
  <c r="T168" i="19" s="1"/>
  <c r="O166" i="19"/>
  <c r="D84" i="39"/>
  <c r="D149" i="6"/>
  <c r="D156" i="6" s="1"/>
  <c r="L79" i="9"/>
  <c r="E70" i="9"/>
  <c r="F85" i="9"/>
  <c r="F86" i="9" s="1"/>
  <c r="F92" i="9" s="1"/>
  <c r="F180" i="9" s="1"/>
  <c r="F206" i="9" s="1"/>
  <c r="L85" i="9"/>
  <c r="P85" i="9"/>
  <c r="D143" i="9"/>
  <c r="H204" i="9"/>
  <c r="N40" i="19"/>
  <c r="N46" i="19" s="1"/>
  <c r="E44" i="19"/>
  <c r="U72" i="19"/>
  <c r="U113" i="19" s="1"/>
  <c r="U111" i="19" s="1"/>
  <c r="U131" i="19" s="1"/>
  <c r="U132" i="19" s="1"/>
  <c r="E73" i="19"/>
  <c r="E83" i="19" s="1"/>
  <c r="D93" i="19"/>
  <c r="D105" i="19" s="1"/>
  <c r="P131" i="19"/>
  <c r="P132" i="19" s="1"/>
  <c r="P142" i="19" s="1"/>
  <c r="P168" i="19" s="1"/>
  <c r="D123" i="19"/>
  <c r="H166" i="19"/>
  <c r="H168" i="19" s="1"/>
  <c r="K166" i="19"/>
  <c r="P166" i="19"/>
  <c r="S166" i="19"/>
  <c r="S168" i="19" s="1"/>
  <c r="H192" i="19"/>
  <c r="E125" i="6"/>
  <c r="E57" i="9"/>
  <c r="I88" i="9"/>
  <c r="E81" i="9"/>
  <c r="E85" i="9" s="1"/>
  <c r="N118" i="9"/>
  <c r="N179" i="9" s="1"/>
  <c r="N180" i="9" s="1"/>
  <c r="N206" i="9" s="1"/>
  <c r="E115" i="9"/>
  <c r="D126" i="9"/>
  <c r="M152" i="9"/>
  <c r="M179" i="9" s="1"/>
  <c r="D136" i="9"/>
  <c r="E140" i="9"/>
  <c r="E152" i="9" s="1"/>
  <c r="D147" i="9"/>
  <c r="H178" i="9"/>
  <c r="H179" i="9" s="1"/>
  <c r="H180" i="9" s="1"/>
  <c r="H206" i="9" s="1"/>
  <c r="P178" i="9"/>
  <c r="D165" i="9"/>
  <c r="D178" i="9" s="1"/>
  <c r="E170" i="9"/>
  <c r="R204" i="9"/>
  <c r="D16" i="19"/>
  <c r="D30" i="19" s="1"/>
  <c r="D40" i="19" s="1"/>
  <c r="D46" i="19" s="1"/>
  <c r="D142" i="19" s="1"/>
  <c r="D168" i="19" s="1"/>
  <c r="F39" i="19"/>
  <c r="F40" i="19" s="1"/>
  <c r="F46" i="19" s="1"/>
  <c r="F142" i="19" s="1"/>
  <c r="F168" i="19" s="1"/>
  <c r="E69" i="19"/>
  <c r="I132" i="19"/>
  <c r="I142" i="19" s="1"/>
  <c r="I168" i="19" s="1"/>
  <c r="E114" i="19"/>
  <c r="E123" i="19"/>
  <c r="E141" i="19"/>
  <c r="L7" i="23"/>
  <c r="H74" i="26"/>
  <c r="D74" i="26"/>
  <c r="DJ107" i="26"/>
  <c r="L21" i="23"/>
  <c r="D22" i="16"/>
  <c r="F65" i="26"/>
  <c r="B18" i="36"/>
  <c r="H106" i="27"/>
  <c r="I106" i="27" s="1"/>
  <c r="G103" i="27"/>
  <c r="H103" i="27" s="1"/>
  <c r="I103" i="27" s="1"/>
  <c r="J103" i="27" s="1"/>
  <c r="K103" i="27" s="1"/>
  <c r="G117" i="27"/>
  <c r="H117" i="27" s="1"/>
  <c r="I117" i="27" s="1"/>
  <c r="J117" i="27" s="1"/>
  <c r="J23" i="16"/>
  <c r="D23" i="16"/>
  <c r="F18" i="16"/>
  <c r="G161" i="4"/>
  <c r="G162" i="4" s="1"/>
  <c r="E141" i="4"/>
  <c r="E161" i="4" s="1"/>
  <c r="G178" i="9"/>
  <c r="G179" i="9" s="1"/>
  <c r="G130" i="6"/>
  <c r="K43" i="26"/>
  <c r="K44" i="26" s="1"/>
  <c r="K107" i="26" s="1"/>
  <c r="H105" i="27"/>
  <c r="G39" i="17"/>
  <c r="G66" i="26"/>
  <c r="G131" i="19"/>
  <c r="G132" i="19" s="1"/>
  <c r="G142" i="19" s="1"/>
  <c r="G168" i="19" s="1"/>
  <c r="E111" i="19"/>
  <c r="I26" i="17"/>
  <c r="E24" i="17"/>
  <c r="E26" i="17" s="1"/>
  <c r="E33" i="17" s="1"/>
  <c r="I34" i="17"/>
  <c r="K33" i="27"/>
  <c r="K5" i="27" s="1"/>
  <c r="J5" i="27"/>
  <c r="D25" i="16"/>
  <c r="D33" i="17"/>
  <c r="D39" i="17" s="1"/>
  <c r="O46" i="19"/>
  <c r="O142" i="19" s="1"/>
  <c r="O168" i="19" s="1"/>
  <c r="E74" i="9"/>
  <c r="G87" i="9"/>
  <c r="AF107" i="26"/>
  <c r="DH44" i="26"/>
  <c r="DH107" i="26" s="1"/>
  <c r="I112" i="6"/>
  <c r="I110" i="6" s="1"/>
  <c r="I130" i="6" s="1"/>
  <c r="I131" i="6" s="1"/>
  <c r="H66" i="26"/>
  <c r="I79" i="9"/>
  <c r="I86" i="9" s="1"/>
  <c r="I163" i="4"/>
  <c r="I189" i="4" s="1"/>
  <c r="D5" i="27"/>
  <c r="D119" i="27" s="1"/>
  <c r="D136" i="1"/>
  <c r="AR44" i="26"/>
  <c r="AR107" i="26" s="1"/>
  <c r="I152" i="15"/>
  <c r="E75" i="15"/>
  <c r="E85" i="15" s="1"/>
  <c r="E89" i="27"/>
  <c r="E80" i="27" s="1"/>
  <c r="DO107" i="26"/>
  <c r="BI38" i="26"/>
  <c r="I108" i="15"/>
  <c r="G5" i="28"/>
  <c r="G49" i="28" s="1"/>
  <c r="H21" i="28"/>
  <c r="H5" i="28" s="1"/>
  <c r="H49" i="28" s="1"/>
  <c r="H23" i="26"/>
  <c r="AK107" i="26"/>
  <c r="CF44" i="26"/>
  <c r="CF107" i="26" s="1"/>
  <c r="CJ38" i="26"/>
  <c r="CJ43" i="26" s="1"/>
  <c r="CJ44" i="26" s="1"/>
  <c r="CJ107" i="26" s="1"/>
  <c r="AP107" i="26"/>
  <c r="V107" i="26"/>
  <c r="M79" i="9"/>
  <c r="M86" i="9" s="1"/>
  <c r="M92" i="9" s="1"/>
  <c r="M180" i="9" s="1"/>
  <c r="M206" i="9" s="1"/>
  <c r="E33" i="26"/>
  <c r="F73" i="26"/>
  <c r="I5" i="27"/>
  <c r="BU107" i="26"/>
  <c r="G116" i="15"/>
  <c r="G114" i="15" s="1"/>
  <c r="H119" i="38"/>
  <c r="H123" i="38" s="1"/>
  <c r="D87" i="1"/>
  <c r="E99" i="15"/>
  <c r="E108" i="15" s="1"/>
  <c r="C6" i="27"/>
  <c r="C5" i="27" s="1"/>
  <c r="C119" i="27" s="1"/>
  <c r="C7" i="26"/>
  <c r="C13" i="26"/>
  <c r="D21" i="26"/>
  <c r="D22" i="26"/>
  <c r="X44" i="26"/>
  <c r="X107" i="26" s="1"/>
  <c r="X38" i="26"/>
  <c r="X43" i="26" s="1"/>
  <c r="AU107" i="26"/>
  <c r="CA107" i="26"/>
  <c r="CD107" i="26"/>
  <c r="CR44" i="26"/>
  <c r="CR107" i="26" s="1"/>
  <c r="T107" i="26"/>
  <c r="D65" i="38"/>
  <c r="D2" i="38" s="1"/>
  <c r="E31" i="1"/>
  <c r="E73" i="1"/>
  <c r="I110" i="1"/>
  <c r="F44" i="15"/>
  <c r="F45" i="15" s="1"/>
  <c r="F51" i="15" s="1"/>
  <c r="D40" i="15"/>
  <c r="D44" i="15" s="1"/>
  <c r="E57" i="15"/>
  <c r="E74" i="15" s="1"/>
  <c r="E42" i="27"/>
  <c r="E5" i="27" s="1"/>
  <c r="C93" i="27"/>
  <c r="C3" i="26"/>
  <c r="C16" i="26"/>
  <c r="AC38" i="26"/>
  <c r="AC43" i="26" s="1"/>
  <c r="AC44" i="26" s="1"/>
  <c r="AC107" i="26" s="1"/>
  <c r="AJ107" i="26"/>
  <c r="AM44" i="26"/>
  <c r="AM107" i="26" s="1"/>
  <c r="CE107" i="26"/>
  <c r="CH107" i="26"/>
  <c r="CW44" i="26"/>
  <c r="CW107" i="26" s="1"/>
  <c r="DC44" i="26"/>
  <c r="DC107" i="26" s="1"/>
  <c r="Z44" i="26"/>
  <c r="Z107" i="26" s="1"/>
  <c r="BP34" i="26"/>
  <c r="BP38" i="26" s="1"/>
  <c r="H33" i="26"/>
  <c r="D33" i="26" s="1"/>
  <c r="C41" i="26"/>
  <c r="D47" i="26"/>
  <c r="D57" i="26"/>
  <c r="D83" i="26"/>
  <c r="D88" i="26" s="1"/>
  <c r="AZ44" i="26"/>
  <c r="AZ107" i="26" s="1"/>
  <c r="BH44" i="26"/>
  <c r="BH107" i="26" s="1"/>
  <c r="DF44" i="26"/>
  <c r="DF107" i="26" s="1"/>
  <c r="H32" i="26"/>
  <c r="H34" i="26" s="1"/>
  <c r="F32" i="26"/>
  <c r="D40" i="26"/>
  <c r="D54" i="26"/>
  <c r="D58" i="26"/>
  <c r="C59" i="26"/>
  <c r="D62" i="26"/>
  <c r="F88" i="26"/>
  <c r="H69" i="4"/>
  <c r="H75" i="4" s="1"/>
  <c r="H163" i="4" s="1"/>
  <c r="H189" i="4" s="1"/>
  <c r="L33" i="17"/>
  <c r="L39" i="17" s="1"/>
  <c r="D109" i="15"/>
  <c r="D113" i="15" s="1"/>
  <c r="L77" i="27"/>
  <c r="L5" i="27" s="1"/>
  <c r="L119" i="27" s="1"/>
  <c r="BD44" i="26"/>
  <c r="BD107" i="26" s="1"/>
  <c r="BL44" i="26"/>
  <c r="BL107" i="26" s="1"/>
  <c r="BX44" i="26"/>
  <c r="BX107" i="26" s="1"/>
  <c r="CQ44" i="26"/>
  <c r="CQ107" i="26" s="1"/>
  <c r="DS44" i="26"/>
  <c r="DS107" i="26" s="1"/>
  <c r="E66" i="26"/>
  <c r="H88" i="26"/>
  <c r="H43" i="6"/>
  <c r="D39" i="6"/>
  <c r="D43" i="6" s="1"/>
  <c r="D81" i="6"/>
  <c r="I107" i="26"/>
  <c r="M39" i="19"/>
  <c r="M40" i="19" s="1"/>
  <c r="M46" i="19" s="1"/>
  <c r="M142" i="19" s="1"/>
  <c r="M168" i="19" s="1"/>
  <c r="C22" i="32"/>
  <c r="C31" i="32" s="1"/>
  <c r="I32" i="17"/>
  <c r="F96" i="17"/>
  <c r="G186" i="4"/>
  <c r="G187" i="4" s="1"/>
  <c r="I37" i="6"/>
  <c r="I38" i="6" s="1"/>
  <c r="I44" i="6" s="1"/>
  <c r="D153" i="9"/>
  <c r="D157" i="9" s="1"/>
  <c r="R192" i="19"/>
  <c r="H23" i="14"/>
  <c r="F22" i="14"/>
  <c r="E6" i="6"/>
  <c r="E31" i="6" s="1"/>
  <c r="E38" i="6" s="1"/>
  <c r="E44" i="6" s="1"/>
  <c r="D33" i="6"/>
  <c r="D37" i="6" s="1"/>
  <c r="D105" i="6"/>
  <c r="D109" i="6" s="1"/>
  <c r="Q42" i="19"/>
  <c r="Q45" i="19" s="1"/>
  <c r="Q46" i="19" s="1"/>
  <c r="Q142" i="19" s="1"/>
  <c r="Q168" i="19" s="1"/>
  <c r="J192" i="19"/>
  <c r="D180" i="19"/>
  <c r="D192" i="19" s="1"/>
  <c r="H37" i="6"/>
  <c r="H38" i="6" s="1"/>
  <c r="H44" i="6" s="1"/>
  <c r="H132" i="6" s="1"/>
  <c r="H158" i="6" s="1"/>
  <c r="F8" i="14"/>
  <c r="G22" i="14"/>
  <c r="G30" i="14" s="1"/>
  <c r="C68" i="26"/>
  <c r="C75" i="26"/>
  <c r="H80" i="27"/>
  <c r="H5" i="27" s="1"/>
  <c r="G5" i="27"/>
  <c r="L18" i="16"/>
  <c r="L17" i="16" s="1"/>
  <c r="H8" i="14"/>
  <c r="C73" i="26"/>
  <c r="C69" i="26"/>
  <c r="G79" i="26"/>
  <c r="DK79" i="26"/>
  <c r="DK107" i="26" s="1"/>
  <c r="C98" i="26"/>
  <c r="C106" i="26" s="1"/>
  <c r="AE74" i="26"/>
  <c r="DI74" i="26"/>
  <c r="DI107" i="26" s="1"/>
  <c r="E67" i="26"/>
  <c r="C65" i="26"/>
  <c r="E68" i="26"/>
  <c r="G68" i="26"/>
  <c r="G74" i="26" s="1"/>
  <c r="E75" i="26"/>
  <c r="E79" i="26" s="1"/>
  <c r="AE79" i="26"/>
  <c r="C70" i="26"/>
  <c r="AE66" i="26"/>
  <c r="C78" i="26"/>
  <c r="C25" i="16" l="1"/>
  <c r="B17" i="22" s="1"/>
  <c r="C22" i="16"/>
  <c r="B13" i="22" s="1"/>
  <c r="I19" i="16"/>
  <c r="I23" i="16"/>
  <c r="I5" i="16"/>
  <c r="B19" i="36"/>
  <c r="C74" i="26"/>
  <c r="K93" i="27"/>
  <c r="F30" i="14"/>
  <c r="C19" i="16"/>
  <c r="B12" i="22" s="1"/>
  <c r="D19" i="16"/>
  <c r="D18" i="16" s="1"/>
  <c r="I12" i="16"/>
  <c r="L30" i="23"/>
  <c r="L44" i="23" s="1"/>
  <c r="J93" i="27"/>
  <c r="J119" i="27" s="1"/>
  <c r="G111" i="27"/>
  <c r="H111" i="27" s="1"/>
  <c r="H93" i="27" s="1"/>
  <c r="H119" i="27" s="1"/>
  <c r="D123" i="17"/>
  <c r="E123" i="17"/>
  <c r="L4" i="24"/>
  <c r="L24" i="24" s="1"/>
  <c r="L35" i="24" s="1"/>
  <c r="D152" i="9"/>
  <c r="P179" i="9"/>
  <c r="E6" i="4"/>
  <c r="G58" i="4"/>
  <c r="G57" i="4" s="1"/>
  <c r="F135" i="15"/>
  <c r="H138" i="1"/>
  <c r="H164" i="1" s="1"/>
  <c r="D48" i="26"/>
  <c r="H53" i="26"/>
  <c r="E22" i="14"/>
  <c r="C30" i="14"/>
  <c r="D2" i="26"/>
  <c r="D18" i="26" s="1"/>
  <c r="F18" i="26"/>
  <c r="R206" i="9"/>
  <c r="E40" i="1"/>
  <c r="E47" i="1" s="1"/>
  <c r="G137" i="1"/>
  <c r="G124" i="17"/>
  <c r="G150" i="17" s="1"/>
  <c r="D26" i="16"/>
  <c r="D24" i="16" s="1"/>
  <c r="D135" i="15"/>
  <c r="F136" i="15"/>
  <c r="F162" i="15" s="1"/>
  <c r="O179" i="9"/>
  <c r="O180" i="9" s="1"/>
  <c r="O206" i="9" s="1"/>
  <c r="E96" i="17"/>
  <c r="H135" i="15"/>
  <c r="E162" i="1"/>
  <c r="H45" i="15"/>
  <c r="H51" i="15" s="1"/>
  <c r="G45" i="15"/>
  <c r="G51" i="15" s="1"/>
  <c r="G136" i="15" s="1"/>
  <c r="G162" i="15" s="1"/>
  <c r="D179" i="9"/>
  <c r="D180" i="9" s="1"/>
  <c r="D206" i="9" s="1"/>
  <c r="L124" i="17"/>
  <c r="L150" i="17" s="1"/>
  <c r="D53" i="26"/>
  <c r="D124" i="17"/>
  <c r="D150" i="17" s="1"/>
  <c r="E162" i="4"/>
  <c r="P180" i="9"/>
  <c r="P206" i="9" s="1"/>
  <c r="D45" i="15"/>
  <c r="D51" i="15" s="1"/>
  <c r="D23" i="26"/>
  <c r="E79" i="9"/>
  <c r="E86" i="9" s="1"/>
  <c r="C66" i="26"/>
  <c r="D38" i="6"/>
  <c r="D44" i="6" s="1"/>
  <c r="F123" i="17"/>
  <c r="F124" i="17" s="1"/>
  <c r="F150" i="17" s="1"/>
  <c r="E119" i="27"/>
  <c r="E131" i="19"/>
  <c r="E132" i="19" s="1"/>
  <c r="G131" i="6"/>
  <c r="G132" i="6" s="1"/>
  <c r="G158" i="6" s="1"/>
  <c r="E158" i="9"/>
  <c r="E178" i="9" s="1"/>
  <c r="E179" i="9" s="1"/>
  <c r="E88" i="9"/>
  <c r="I91" i="9"/>
  <c r="I92" i="9" s="1"/>
  <c r="I180" i="9" s="1"/>
  <c r="I206" i="9" s="1"/>
  <c r="L86" i="9"/>
  <c r="L92" i="9" s="1"/>
  <c r="L180" i="9" s="1"/>
  <c r="L206" i="9" s="1"/>
  <c r="N142" i="19"/>
  <c r="N168" i="19" s="1"/>
  <c r="L123" i="17"/>
  <c r="D69" i="4"/>
  <c r="D75" i="4" s="1"/>
  <c r="D163" i="4" s="1"/>
  <c r="D189" i="4" s="1"/>
  <c r="G48" i="1"/>
  <c r="G40" i="1"/>
  <c r="G47" i="1" s="1"/>
  <c r="E35" i="1"/>
  <c r="E8" i="14"/>
  <c r="G50" i="15"/>
  <c r="E47" i="15"/>
  <c r="E50" i="15" s="1"/>
  <c r="E51" i="15" s="1"/>
  <c r="J7" i="16"/>
  <c r="C24" i="16"/>
  <c r="K21" i="23"/>
  <c r="F3" i="16"/>
  <c r="F10" i="16"/>
  <c r="D65" i="26"/>
  <c r="D66" i="26" s="1"/>
  <c r="F66" i="26"/>
  <c r="G121" i="38"/>
  <c r="G123" i="38" s="1"/>
  <c r="K119" i="27"/>
  <c r="D7" i="16"/>
  <c r="D11" i="16"/>
  <c r="D5" i="16"/>
  <c r="D13" i="16"/>
  <c r="BP43" i="26"/>
  <c r="BP44" i="26" s="1"/>
  <c r="BP107" i="26" s="1"/>
  <c r="H38" i="26"/>
  <c r="H43" i="26" s="1"/>
  <c r="D136" i="15"/>
  <c r="D162" i="15" s="1"/>
  <c r="E152" i="15"/>
  <c r="E153" i="15" s="1"/>
  <c r="E160" i="15" s="1"/>
  <c r="I153" i="15"/>
  <c r="I160" i="15" s="1"/>
  <c r="D119" i="38"/>
  <c r="I132" i="6"/>
  <c r="I158" i="6" s="1"/>
  <c r="D131" i="6"/>
  <c r="D132" i="6" s="1"/>
  <c r="D158" i="6" s="1"/>
  <c r="D32" i="26"/>
  <c r="D34" i="26" s="1"/>
  <c r="F34" i="26"/>
  <c r="I118" i="1"/>
  <c r="I116" i="1" s="1"/>
  <c r="E42" i="19"/>
  <c r="E45" i="19" s="1"/>
  <c r="E46" i="19" s="1"/>
  <c r="E142" i="19" s="1"/>
  <c r="E168" i="19" s="1"/>
  <c r="I38" i="17"/>
  <c r="E34" i="17"/>
  <c r="E38" i="17" s="1"/>
  <c r="E39" i="17" s="1"/>
  <c r="D73" i="26"/>
  <c r="F74" i="26"/>
  <c r="H44" i="26"/>
  <c r="H107" i="26" s="1"/>
  <c r="I116" i="15"/>
  <c r="I114" i="15" s="1"/>
  <c r="I134" i="15" s="1"/>
  <c r="I135" i="15" s="1"/>
  <c r="I136" i="15" s="1"/>
  <c r="BI43" i="26"/>
  <c r="BI44" i="26" s="1"/>
  <c r="BI107" i="26" s="1"/>
  <c r="G38" i="26"/>
  <c r="G43" i="26" s="1"/>
  <c r="G44" i="26" s="1"/>
  <c r="G107" i="26" s="1"/>
  <c r="G91" i="9"/>
  <c r="G92" i="9" s="1"/>
  <c r="G180" i="9" s="1"/>
  <c r="G206" i="9" s="1"/>
  <c r="E87" i="9"/>
  <c r="I105" i="27"/>
  <c r="I93" i="27" s="1"/>
  <c r="I119" i="27" s="1"/>
  <c r="E38" i="26"/>
  <c r="E110" i="6"/>
  <c r="E130" i="6" s="1"/>
  <c r="E131" i="6" s="1"/>
  <c r="E132" i="6" s="1"/>
  <c r="E158" i="6" s="1"/>
  <c r="H22" i="14"/>
  <c r="C18" i="26"/>
  <c r="D137" i="1"/>
  <c r="D138" i="1" s="1"/>
  <c r="D164" i="1" s="1"/>
  <c r="G134" i="15"/>
  <c r="G135" i="15" s="1"/>
  <c r="C33" i="26"/>
  <c r="C34" i="26" s="1"/>
  <c r="E34" i="26"/>
  <c r="F24" i="16"/>
  <c r="F17" i="16" s="1"/>
  <c r="I33" i="17"/>
  <c r="I39" i="17" s="1"/>
  <c r="I124" i="17" s="1"/>
  <c r="I150" i="17" s="1"/>
  <c r="F38" i="26"/>
  <c r="C79" i="26"/>
  <c r="AE107" i="26"/>
  <c r="H30" i="14"/>
  <c r="E74" i="26"/>
  <c r="C11" i="16" l="1"/>
  <c r="B14" i="22"/>
  <c r="I13" i="16"/>
  <c r="J4" i="16"/>
  <c r="I18" i="16"/>
  <c r="I17" i="16" s="1"/>
  <c r="I107" i="39"/>
  <c r="F105" i="39"/>
  <c r="I108" i="39"/>
  <c r="K47" i="5"/>
  <c r="K47" i="2"/>
  <c r="K47" i="37"/>
  <c r="E30" i="14"/>
  <c r="I7" i="16"/>
  <c r="C18" i="16"/>
  <c r="C17" i="16" s="1"/>
  <c r="K11" i="16"/>
  <c r="F107" i="39"/>
  <c r="G93" i="27"/>
  <c r="G119" i="27" s="1"/>
  <c r="F15" i="16"/>
  <c r="F27" i="16" s="1"/>
  <c r="D17" i="16"/>
  <c r="K5" i="16"/>
  <c r="K6" i="16"/>
  <c r="K7" i="23"/>
  <c r="N7" i="23" s="1"/>
  <c r="E114" i="15"/>
  <c r="E134" i="15" s="1"/>
  <c r="E135" i="15" s="1"/>
  <c r="E136" i="15" s="1"/>
  <c r="E162" i="15" s="1"/>
  <c r="E91" i="9"/>
  <c r="E92" i="9" s="1"/>
  <c r="E180" i="9" s="1"/>
  <c r="E206" i="9" s="1"/>
  <c r="C11" i="32"/>
  <c r="C12" i="32" s="1"/>
  <c r="C32" i="32" s="1"/>
  <c r="H136" i="15"/>
  <c r="H162" i="15" s="1"/>
  <c r="E124" i="17"/>
  <c r="E150" i="17" s="1"/>
  <c r="G70" i="4"/>
  <c r="G62" i="4"/>
  <c r="G69" i="4" s="1"/>
  <c r="E57" i="4"/>
  <c r="E62" i="4" s="1"/>
  <c r="E69" i="4" s="1"/>
  <c r="G52" i="1"/>
  <c r="G53" i="1" s="1"/>
  <c r="G138" i="1" s="1"/>
  <c r="G164" i="1" s="1"/>
  <c r="E48" i="1"/>
  <c r="E52" i="1" s="1"/>
  <c r="E53" i="1" s="1"/>
  <c r="C12" i="16"/>
  <c r="N4" i="30"/>
  <c r="N21" i="23"/>
  <c r="M31" i="23"/>
  <c r="D121" i="38"/>
  <c r="D123" i="38" s="1"/>
  <c r="J19" i="16"/>
  <c r="J18" i="16" s="1"/>
  <c r="J17" i="16" s="1"/>
  <c r="J11" i="16"/>
  <c r="J13" i="16"/>
  <c r="D12" i="16"/>
  <c r="D10" i="16" s="1"/>
  <c r="J5" i="16"/>
  <c r="J8" i="16"/>
  <c r="I162" i="15"/>
  <c r="N46" i="23"/>
  <c r="F43" i="26"/>
  <c r="F44" i="26" s="1"/>
  <c r="F107" i="26" s="1"/>
  <c r="D38" i="26"/>
  <c r="D43" i="26" s="1"/>
  <c r="D44" i="26" s="1"/>
  <c r="D107" i="26" s="1"/>
  <c r="E43" i="26"/>
  <c r="E44" i="26" s="1"/>
  <c r="E107" i="26" s="1"/>
  <c r="C38" i="26"/>
  <c r="C43" i="26" s="1"/>
  <c r="C44" i="26" s="1"/>
  <c r="C107" i="26" s="1"/>
  <c r="I136" i="1"/>
  <c r="I137" i="1" s="1"/>
  <c r="I138" i="1" s="1"/>
  <c r="I164" i="1" s="1"/>
  <c r="E116" i="1"/>
  <c r="E136" i="1" s="1"/>
  <c r="E137" i="1" s="1"/>
  <c r="L10" i="16"/>
  <c r="C6" i="16" l="1"/>
  <c r="C4" i="16"/>
  <c r="C5" i="16"/>
  <c r="J6" i="16"/>
  <c r="J3" i="16" s="1"/>
  <c r="I105" i="39"/>
  <c r="I46" i="12"/>
  <c r="K46" i="12" s="1"/>
  <c r="N47" i="12" s="1"/>
  <c r="I6" i="16"/>
  <c r="K12" i="16"/>
  <c r="K10" i="16" s="1"/>
  <c r="E14" i="16" s="1"/>
  <c r="E6" i="16"/>
  <c r="E7" i="16"/>
  <c r="K30" i="23"/>
  <c r="N30" i="23" s="1"/>
  <c r="K7" i="16"/>
  <c r="K4" i="16"/>
  <c r="E138" i="1"/>
  <c r="E164" i="1" s="1"/>
  <c r="G75" i="4"/>
  <c r="G163" i="4" s="1"/>
  <c r="G189" i="4" s="1"/>
  <c r="G74" i="4"/>
  <c r="E70" i="4"/>
  <c r="E74" i="4" s="1"/>
  <c r="E75" i="4" s="1"/>
  <c r="E163" i="4" s="1"/>
  <c r="E189" i="4" s="1"/>
  <c r="K4" i="24"/>
  <c r="K24" i="24" s="1"/>
  <c r="K47" i="8"/>
  <c r="N50" i="20"/>
  <c r="M44" i="23"/>
  <c r="N31" i="23"/>
  <c r="J12" i="16"/>
  <c r="J10" i="16" s="1"/>
  <c r="D14" i="16" s="1"/>
  <c r="C13" i="16"/>
  <c r="C10" i="16" s="1"/>
  <c r="C7" i="16"/>
  <c r="D4" i="16"/>
  <c r="D6" i="16"/>
  <c r="L3" i="16"/>
  <c r="L15" i="16" s="1"/>
  <c r="L27" i="16" s="1"/>
  <c r="L28" i="16" s="1"/>
  <c r="L14" i="16"/>
  <c r="F14" i="16"/>
  <c r="C3" i="16" l="1"/>
  <c r="I11" i="16"/>
  <c r="I10" i="16" s="1"/>
  <c r="C14" i="16" s="1"/>
  <c r="B6" i="22" s="1"/>
  <c r="N24" i="24"/>
  <c r="K35" i="24"/>
  <c r="N35" i="24" s="1"/>
  <c r="I8" i="16"/>
  <c r="K14" i="16"/>
  <c r="F21" i="16" s="1"/>
  <c r="J14" i="16"/>
  <c r="E3" i="16"/>
  <c r="E15" i="16" s="1"/>
  <c r="E27" i="16" s="1"/>
  <c r="E30" i="16" s="1"/>
  <c r="K44" i="23"/>
  <c r="N44" i="23" s="1"/>
  <c r="R45" i="23" s="1"/>
  <c r="I14" i="16"/>
  <c r="B7" i="22" s="1"/>
  <c r="K8" i="16"/>
  <c r="K3" i="16" s="1"/>
  <c r="N112" i="10"/>
  <c r="N4" i="24"/>
  <c r="K47" i="12"/>
  <c r="C15" i="16"/>
  <c r="C27" i="16" s="1"/>
  <c r="D3" i="16"/>
  <c r="I4" i="16"/>
  <c r="J15" i="16"/>
  <c r="J27" i="16" s="1"/>
  <c r="L9" i="16"/>
  <c r="F9" i="16"/>
  <c r="I3" i="16" l="1"/>
  <c r="I15" i="16" s="1"/>
  <c r="I27" i="16" s="1"/>
  <c r="E9" i="16"/>
  <c r="R62" i="11"/>
  <c r="K15" i="16"/>
  <c r="K27" i="16" s="1"/>
  <c r="K30" i="16" s="1"/>
  <c r="K9" i="16"/>
  <c r="F20" i="16" s="1"/>
  <c r="N113" i="10"/>
  <c r="N47" i="23"/>
  <c r="D9" i="16"/>
  <c r="J9" i="16"/>
  <c r="D15" i="16"/>
  <c r="D27" i="16" s="1"/>
  <c r="D28" i="16" s="1"/>
  <c r="F16" i="16"/>
  <c r="L16" i="16"/>
  <c r="C9" i="16" l="1"/>
  <c r="B2" i="22" s="1"/>
  <c r="B3" i="22" s="1"/>
  <c r="B21" i="22"/>
  <c r="F23" i="22" s="1"/>
  <c r="B20" i="22"/>
  <c r="I9" i="16"/>
  <c r="B4" i="22" s="1"/>
  <c r="I28" i="16"/>
  <c r="E16" i="16"/>
  <c r="K28" i="16"/>
  <c r="R36" i="24"/>
  <c r="R38" i="24" s="1"/>
  <c r="K16" i="16"/>
  <c r="J28" i="16"/>
  <c r="J16" i="16"/>
  <c r="D16" i="16"/>
  <c r="C16" i="16" l="1"/>
  <c r="B9" i="22" s="1"/>
  <c r="I16" i="16"/>
  <c r="B10" i="22" s="1"/>
  <c r="K60" i="24" l="1"/>
  <c r="N45" i="23" l="1"/>
  <c r="R5" i="30" l="1"/>
  <c r="R4" i="30" s="1"/>
  <c r="D28" i="35"/>
  <c r="D23" i="35" s="1"/>
  <c r="D34" i="35" s="1"/>
  <c r="D3" i="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A20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Kiss Pisti kérésére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Volosin Katalin</author>
  </authors>
  <commentList>
    <comment ref="D21" authorId="0" shapeId="0" xr:uid="{36DFBF5C-A562-4F06-A113-A788DDF9BB98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ÉTV bérleti díj</t>
        </r>
      </text>
    </comment>
    <comment ref="P21" authorId="0" shapeId="0" xr:uid="{C6D71596-DDC6-471E-8752-A724FD1C57C9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ÉTV bérleti díj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tc={8DEFB137-9B42-40FD-9E3F-EC9500D38D04}</author>
  </authors>
  <commentList>
    <comment ref="O105" authorId="0" shapeId="0" xr:uid="{8DEFB137-9B42-40FD-9E3F-EC9500D38D04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Bölcsőde pályázati forrása 400 MFt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B32" authorId="0" shapeId="0" xr:uid="{00000000-0006-0000-0B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SOLVEX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G77" authorId="0" shapeId="0" xr:uid="{00000000-0006-0000-17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Ebből honlap projekt 100 E Ft.</t>
        </r>
      </text>
    </comment>
    <comment ref="G95" authorId="0" shapeId="0" xr:uid="{00000000-0006-0000-1700-00000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Human T. ép.üzemeltetés 762E Ft, lift karbantartás 114E Ft (rendelk állás), lift nagyjavítása, 200E egyéb javítási munkákra</t>
        </r>
      </text>
    </comment>
    <comment ref="G102" authorId="0" shapeId="0" xr:uid="{00000000-0006-0000-1700-00000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Ebből Rácz Judit tiszteletdíja 40000 Ft</t>
        </r>
      </text>
    </comment>
    <comment ref="G106" authorId="0" shapeId="0" xr:uid="{00000000-0006-0000-1700-00000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Volf György verseny buszktg</t>
        </r>
      </text>
    </comment>
    <comment ref="G147" authorId="0" shapeId="0" xr:uid="{00000000-0006-0000-1700-00000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Laptop nettó 200 ezer</t>
        </r>
      </text>
    </comment>
    <comment ref="G148" authorId="0" shapeId="0" xr:uid="{00000000-0006-0000-1700-00000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szünetmentes akkumlátor csere</t>
        </r>
      </text>
    </comment>
    <comment ref="I152" authorId="0" shapeId="0" xr:uid="{00000000-0006-0000-1700-00000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könyvbeszerzésekre tekintettel 12% áfát számol átlagosan a képlet. Ne másold!!!!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Volosin Katalin</author>
  </authors>
  <commentList>
    <comment ref="C7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15 mFt kertészetre, de még nincs szerződés
</t>
        </r>
      </text>
    </comment>
    <comment ref="C11" authorId="0" shapeId="0" xr:uid="{00000000-0006-0000-1A00-00000200000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forgalomtechnika felülvizsgálata városi szinten</t>
        </r>
      </text>
    </comment>
    <comment ref="C12" authorId="0" shapeId="0" xr:uid="{00000000-0006-0000-1A00-00000300000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szomor és tsa - a szerződés él, de nem fizetünk, egyezségre várunk</t>
        </r>
      </text>
    </comment>
    <comment ref="C14" authorId="0" shapeId="0" xr:uid="{00000000-0006-0000-1A00-00000400000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L.N.Éva szerint tervezésre kel 4.000 eFt
20 milliót áttettünk az útalapból</t>
        </r>
      </text>
    </comment>
    <comment ref="C41" authorId="0" shapeId="0" xr:uid="{00000000-0006-0000-1A00-00000500000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nincs szerződés</t>
        </r>
      </text>
    </comment>
    <comment ref="C45" authorId="0" shapeId="0" xr:uid="{00000000-0006-0000-1A00-00000600000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Walla óvi előtti parkoló</t>
        </r>
      </text>
    </comment>
    <comment ref="C51" authorId="0" shapeId="0" xr:uid="{00000000-0006-0000-1A00-00000700000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argon-geo tervezési díja
</t>
        </r>
      </text>
    </comment>
    <comment ref="C72" authorId="0" shapeId="0" xr:uid="{00000000-0006-0000-1A00-00000800000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Annahegy vízelvezetés tervezése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Volosin Katalin</author>
  </authors>
  <commentList>
    <comment ref="C41" authorId="0" shapeId="0" xr:uid="{00000000-0006-0000-1B00-00000100000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áthúzódódban 22.888 és plusz 35.000
</t>
        </r>
      </text>
    </comment>
    <comment ref="G41" authorId="0" shapeId="0" xr:uid="{00000000-0006-0000-1B00-00000200000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áthúzódódban 22.888 és plusz 35.000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R2" authorId="0" shapeId="0" xr:uid="{00000000-0006-0000-2000-000001000000}">
      <text>
        <r>
          <rPr>
            <b/>
            <sz val="8"/>
            <color indexed="81"/>
            <rFont val="Tahoma"/>
            <family val="2"/>
            <charset val="238"/>
          </rPr>
          <t>lantoso:
Klári táblája alapján + 1 000 e ft Ács Ildikó szabi plusz bér</t>
        </r>
      </text>
    </comment>
    <comment ref="Q8" authorId="0" shapeId="0" xr:uid="{00000000-0006-0000-2000-00000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Kajajegy</t>
        </r>
      </text>
    </comment>
    <comment ref="R8" authorId="0" shapeId="0" xr:uid="{00000000-0006-0000-2000-00000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7 fő * 8000 Ft/hó/fő * 12 hó</t>
        </r>
      </text>
    </comment>
    <comment ref="DT14" authorId="0" shapeId="0" xr:uid="{00000000-0006-0000-2000-00000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E/178/2014 szerződés, éves keret, ha megmarad (időarányosan szeptemberig 15543000 lenne.</t>
        </r>
      </text>
    </comment>
    <comment ref="AF15" authorId="0" shapeId="0" xr:uid="{00000000-0006-0000-2000-00000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Képviselők 23776
Bizottsági tagok 6660
Pm, apm ktgtér 1696
pm illetmény 6282
apm illetmény 5767</t>
        </r>
      </text>
    </comment>
    <comment ref="Q17" authorId="0" shapeId="0" xr:uid="{00000000-0006-0000-2000-00000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Csak repi</t>
        </r>
      </text>
    </comment>
    <comment ref="AT17" authorId="0" shapeId="0" xr:uid="{00000000-0006-0000-2000-00000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Szociális tanulmányi 2 millió, egyéb tanulmányi 1,2 millió</t>
        </r>
      </text>
    </comment>
    <comment ref="DH17" authorId="0" shapeId="0" xr:uid="{00000000-0006-0000-2000-00000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6 millió adóköteles juttatás keret + 2 millió szoc tanulmányi ösztöndíj</t>
        </r>
      </text>
    </comment>
    <comment ref="AT19" authorId="0" shapeId="0" xr:uid="{00000000-0006-0000-2000-00000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Járulékmentes volt 2015. évben</t>
        </r>
      </text>
    </comment>
    <comment ref="R20" authorId="0" shapeId="0" xr:uid="{00000000-0006-0000-2000-00000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 db Lang II sztereoteszt 53, 1 db színlátás vizsgáló teszt 41, 1 db mellvizsgálati modell 52 + 30 keret egyébre</t>
        </r>
      </text>
    </comment>
    <comment ref="AD21" authorId="0" shapeId="0" xr:uid="{00000000-0006-0000-2000-00000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Tavalyi keret</t>
        </r>
      </text>
    </comment>
    <comment ref="AF21" authorId="0" shapeId="0" xr:uid="{00000000-0006-0000-2000-00000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Sztahó Csaba fapótlás áthúzódó</t>
        </r>
      </text>
    </comment>
    <comment ref="DN21" authorId="0" shapeId="0" xr:uid="{00000000-0006-0000-2000-00000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Informális ülés döntése</t>
        </r>
      </text>
    </comment>
    <comment ref="L24" authorId="0" shapeId="0" xr:uid="{00000000-0006-0000-2000-00000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Digitális alaptérkép frissítése</t>
        </r>
      </text>
    </comment>
    <comment ref="Q24" authorId="0" shapeId="0" xr:uid="{00000000-0006-0000-2000-00000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Védőniői szoftver (Stefánia) 41 ezer/n. év *4 n.év = 164 ezer</t>
        </r>
      </text>
    </comment>
    <comment ref="R24" authorId="0" shapeId="0" xr:uid="{00000000-0006-0000-2000-000010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Stefánia védőnői szoftver</t>
        </r>
      </text>
    </comment>
    <comment ref="O27" authorId="0" shapeId="0" xr:uid="{00000000-0006-0000-2000-00001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Víg patika rezsi</t>
        </r>
      </text>
    </comment>
    <comment ref="P27" authorId="0" shapeId="0" xr:uid="{00000000-0006-0000-2000-00001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Víg patika rezsije</t>
        </r>
      </text>
    </comment>
    <comment ref="P29" authorId="0" shapeId="0" xr:uid="{00000000-0006-0000-2000-00001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Medicatus helyett Olajág bérleti díj 90000 Ft/hó, Víg patika nettó 73000 FT/hó</t>
        </r>
      </text>
    </comment>
    <comment ref="BK30" authorId="0" shapeId="0" xr:uid="{00000000-0006-0000-2000-00001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ERANDO: karbantartás 298 ezer/negyedév, üzemeltetés 37 ezer/hó + karbantartási keret 500 ezer forint.</t>
        </r>
      </text>
    </comment>
    <comment ref="BL30" authorId="0" shapeId="0" xr:uid="{00000000-0006-0000-2000-00001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ERANDO szerződések megszűntek, karbantartási keretet sem terveztünk jegyző asszonnyal egyeztetve</t>
        </r>
      </text>
    </comment>
    <comment ref="K32" authorId="0" shapeId="0" xr:uid="{00000000-0006-0000-2000-00001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Csenger Zalán 6600, Kálnoki 1350, egyéb 200 ezer</t>
        </r>
      </text>
    </comment>
    <comment ref="L32" authorId="0" shapeId="0" xr:uid="{00000000-0006-0000-2000-00001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Főépítészi feladatok nettó 550000 Ft/hó, egyéb szakértői díj 500000</t>
        </r>
      </text>
    </comment>
    <comment ref="P32" authorId="0" shapeId="0" xr:uid="{00000000-0006-0000-2000-00001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Iskolaeü 1480, Europmed 14300</t>
        </r>
      </text>
    </comment>
    <comment ref="Q32" authorId="0" shapeId="0" xr:uid="{00000000-0006-0000-2000-00001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Továbbképzésekre</t>
        </r>
      </text>
    </comment>
    <comment ref="R32" authorId="0" shapeId="0" xr:uid="{00000000-0006-0000-2000-00001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Továbbképzésekre</t>
        </r>
      </text>
    </comment>
    <comment ref="AX32" authorId="0" shapeId="0" xr:uid="{00000000-0006-0000-2000-00001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Sorsunk 8 fő *700 Ft/fő/nap * 365 nap és Lea 3 fő * 700 Ft/fő/nap *365 nap</t>
        </r>
      </text>
    </comment>
    <comment ref="AZ32" authorId="0" shapeId="0" xr:uid="{00000000-0006-0000-2000-00001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Fészek 500000 Ft készenléti díj/év + 1 fh * 3000 Ft/fh/nap*365 nap</t>
        </r>
      </text>
    </comment>
    <comment ref="BD32" authorId="0" shapeId="0" xr:uid="{00000000-0006-0000-2000-00001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Élő szerződés nincs!!!!</t>
        </r>
      </text>
    </comment>
    <comment ref="BF32" authorId="0" shapeId="0" xr:uid="{00000000-0006-0000-2000-00001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120000 Ft/hó*12 hó, élő szerződés csak 2016.04.30-ig</t>
        </r>
      </text>
    </comment>
    <comment ref="BM32" authorId="0" shapeId="0" xr:uid="{00000000-0006-0000-2000-00001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Szárszói ülés alapján megállapított keret</t>
        </r>
      </text>
    </comment>
    <comment ref="DD32" authorId="0" shapeId="0" xr:uid="{00000000-0006-0000-2000-000020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Újbudai Habilitációs Kp-tal szerződés E/170/2014. 2015.12.31-én lejár. 1 fő gondozása.</t>
        </r>
      </text>
    </comment>
    <comment ref="M33" authorId="0" shapeId="0" xr:uid="{00000000-0006-0000-2000-00002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2015 évben BUXUS, PQS két hóra, 2015 márciustól Városgondnokságnál</t>
        </r>
      </text>
    </comment>
    <comment ref="N33" authorId="0" shapeId="0" xr:uid="{00000000-0006-0000-2000-00002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Keretjellegű tétel, áthúzódók nincsenek mögötte!</t>
        </r>
      </text>
    </comment>
    <comment ref="Q33" authorId="0" shapeId="0" xr:uid="{00000000-0006-0000-2000-00002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biztosítás, postaktg, egyéb üzemeltetési szolgáltatás kerete</t>
        </r>
      </text>
    </comment>
    <comment ref="Y33" authorId="0" shapeId="0" xr:uid="{00000000-0006-0000-2000-00002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Parlagfű irtás nettó 788 (áfa nem képletes!)</t>
        </r>
      </text>
    </comment>
    <comment ref="Z33" authorId="0" shapeId="0" xr:uid="{00000000-0006-0000-2000-00002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Parlagfű irtásra induló keret bruttó 1 millió, (áfa nem képletes!)</t>
        </r>
      </text>
    </comment>
    <comment ref="AA33" authorId="0" shapeId="0" xr:uid="{00000000-0006-0000-2000-00002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250/2014 (VII.21) ÖK hat alapján Kerekdomb és környéke botanikus kert bruttó 3 millió = nettó 2362 e ft + veszélyes hulladék 1500 + áfa.</t>
        </r>
      </text>
    </comment>
    <comment ref="AB33" authorId="0" shapeId="0" xr:uid="{00000000-0006-0000-2000-00002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250/2014. (VII.21.) ÖK hat. Botanikus kert 3 millió/év, A veszélyes hulladék elszállítását Városgondnokság tervezte 1,5 millió forinttal)</t>
        </r>
      </text>
    </comment>
    <comment ref="AD33" authorId="0" shapeId="0" xr:uid="{00000000-0006-0000-2000-00002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Tavalyi keret</t>
        </r>
      </text>
    </comment>
    <comment ref="BH33" authorId="0" shapeId="0" xr:uid="{00000000-0006-0000-2000-00002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Boldog Gizella Alapítvány E/55/2013 tapasztalati adatok alapján becsült keret, 2008-ig visszamenőleg 2 millió volt a legnagyobb igénybevét (2010-ben)</t>
        </r>
      </text>
    </comment>
    <comment ref="BJ33" authorId="0" shapeId="0" xr:uid="{00000000-0006-0000-2000-00002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Leopart, a szerződés lejár 2015.12.31</t>
        </r>
      </text>
    </comment>
    <comment ref="BO33" authorId="0" shapeId="0" xr:uid="{00000000-0006-0000-2000-00002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Szárszói ülés alapján visszavett keret</t>
        </r>
      </text>
    </comment>
    <comment ref="BP33" authorId="0" shapeId="0" xr:uid="{00000000-0006-0000-2000-00002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nettó kiadások összetevői: 4724000 (bruttó 6m) helyi újság, havi 700000*12hó TV</t>
        </r>
      </text>
    </comment>
    <comment ref="CK38" authorId="0" shapeId="0" xr:uid="{00000000-0006-0000-2000-00002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27150*0,27 = 7331</t>
        </r>
      </text>
    </comment>
    <comment ref="L42" authorId="0" shapeId="0" xr:uid="{00000000-0006-0000-2000-00002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Főépítészi feladatok évközi tartaléka</t>
        </r>
      </text>
    </comment>
    <comment ref="X42" authorId="0" shapeId="0" xr:uid="{00000000-0006-0000-2000-00002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Karbantartásra, vagy kis értékű beruházásra keret</t>
        </r>
      </text>
    </comment>
    <comment ref="AA42" authorId="0" shapeId="0" xr:uid="{00000000-0006-0000-2000-000030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Duna-Vértes tagdíj</t>
        </r>
      </text>
    </comment>
    <comment ref="AD42" authorId="0" shapeId="0" xr:uid="{00000000-0006-0000-2000-00003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Tavalyi keret</t>
        </r>
      </text>
    </comment>
    <comment ref="AF42" authorId="0" shapeId="0" xr:uid="{00000000-0006-0000-2000-00003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16 milliós keret energetikai projektek előkészítésére (testületi határozat alapján), záportározó működtetésére 2 millió keret, a 318/2015 (XII.10. ) ÖK hat. Alapján.</t>
        </r>
      </text>
    </comment>
    <comment ref="BP42" authorId="0" shapeId="0" xr:uid="{00000000-0006-0000-2000-00003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Egyéb felmerülő kiadásokra keret</t>
        </r>
      </text>
    </comment>
    <comment ref="AI46" authorId="0" shapeId="0" xr:uid="{00000000-0006-0000-2000-00003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helyi megáll gyermekvédelmi tám 8500 e ft, egyéb (pl gyermekétk) 2500 e ft</t>
        </r>
      </text>
    </comment>
    <comment ref="DF46" authorId="0" shapeId="0" xr:uid="{00000000-0006-0000-2000-00003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Étkezési tám 2500000</t>
        </r>
      </text>
    </comment>
    <comment ref="DE48" authorId="0" shapeId="0" xr:uid="{00000000-0006-0000-2000-00003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Helyi megállapítású közgyógy, új néven gyógyszertám 5000</t>
        </r>
      </text>
    </comment>
    <comment ref="DF48" authorId="0" shapeId="0" xr:uid="{00000000-0006-0000-2000-00003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Ápolási díj 6000000, gyógszertám 1500000</t>
        </r>
      </text>
    </comment>
    <comment ref="DE50" authorId="0" shapeId="0" xr:uid="{00000000-0006-0000-2000-00003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Adósságkezelés 4004, tüzelőtám 5928, lakbértám 88</t>
        </r>
      </text>
    </comment>
    <comment ref="DF50" authorId="0" shapeId="0" xr:uid="{00000000-0006-0000-2000-00003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lakhatási tám 6840000 Adósságcsökk tám 2000000</t>
        </r>
      </text>
    </comment>
    <comment ref="AI52" authorId="0" shapeId="0" xr:uid="{00000000-0006-0000-2000-00003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Rendkívüli települési támogatás (korábbi r. gyerm.véd. Tám, átmeneti segély, temetési segély) 23000, köztemetés 1000</t>
        </r>
      </text>
    </comment>
    <comment ref="AJ52" authorId="0" shapeId="0" xr:uid="{00000000-0006-0000-2000-00003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Rendkívüli települési támogatás 21 millió, köztemetés 1,6 millió</t>
        </r>
      </text>
    </comment>
    <comment ref="DE52" authorId="0" shapeId="0" xr:uid="{00000000-0006-0000-2000-00003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Lakhatási támogatás 9000, adósságcsökkentési támogatás 4000, ápolási támogatás 12000 étkezési térítési támogatás 2000</t>
        </r>
      </text>
    </comment>
    <comment ref="BR59" authorId="0" shapeId="0" xr:uid="{00000000-0006-0000-2000-00003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Aljegyző által 2015.11.19-ei e-mail alapján tervezet:
Jelzőrendszeres: 2 559 000
Támogató szolg:  5 604 000
Összesen:            </t>
        </r>
      </text>
    </comment>
    <comment ref="BT59" authorId="0" shapeId="0" xr:uid="{00000000-0006-0000-2000-00003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303/2015. (XII.10.) ÖK hat. Alapján 1 830 ezer forint 1 fő státusz finanszírozásához. Azóta érkezett kérelem 2363000 Ft támogatásra</t>
        </r>
      </text>
    </comment>
    <comment ref="BU59" authorId="0" shapeId="0" xr:uid="{00000000-0006-0000-2000-00003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3 millió visszafogásával, nem végleges)</t>
        </r>
      </text>
    </comment>
    <comment ref="BV59" authorId="0" shapeId="0" xr:uid="{00000000-0006-0000-2000-000040000000}">
      <text>
        <r>
          <rPr>
            <b/>
            <sz val="8"/>
            <color indexed="81"/>
            <rFont val="Tahoma"/>
            <family val="2"/>
            <charset val="238"/>
          </rPr>
          <t xml:space="preserve">lantoso:
</t>
        </r>
        <r>
          <rPr>
            <sz val="8"/>
            <color indexed="81"/>
            <rFont val="Tahoma"/>
            <family val="2"/>
            <charset val="238"/>
          </rPr>
          <t>A 2014-es adatok (5 millió a német ÖK-nak, 14,12 millió az óvoda fenntartásához). Jövőre lehet, hogy több kell, a Csupaszívnek még nincs kész a terve</t>
        </r>
      </text>
    </comment>
    <comment ref="BW59" authorId="0" shapeId="0" xr:uid="{00000000-0006-0000-2000-00004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504 ezer forinttal visszafogott támogatás. Még nem végleges.</t>
        </r>
      </text>
    </comment>
    <comment ref="BX59" authorId="0" shapeId="0" xr:uid="{00000000-0006-0000-2000-00004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 szinttel egyező</t>
        </r>
      </text>
    </comment>
    <comment ref="BY59" authorId="0" shapeId="0" xr:uid="{00000000-0006-0000-2000-00004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státusz: 2766, személyi és tárgyi feltételek biztosítása 1000</t>
        </r>
      </text>
    </comment>
    <comment ref="BZ59" authorId="0" shapeId="0" xr:uid="{00000000-0006-0000-2000-00004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státusz finanszírozása nélküli tavalyi keret (P. Boros I. már nálunk van).</t>
        </r>
      </text>
    </comment>
    <comment ref="CA64" authorId="0" shapeId="0" xr:uid="{00000000-0006-0000-2000-00004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Areté 260*12= 3120, Haraszty 125*12 = 1500, lévay 60*12 = 720, SF 60*12=720, Urgent 125*12 = 1500, össz = 7560</t>
        </r>
      </text>
    </comment>
    <comment ref="CB64" authorId="0" shapeId="0" xr:uid="{00000000-0006-0000-2000-00004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SF 720000, Lévai 720000, Urgent 1500000 Haraszty 1500000 Areté 1560000 jelenleg.
Úgy tudom, az Areté (7 sz. körzet) jövőre már nem igényel támogatást.</t>
        </r>
      </text>
    </comment>
    <comment ref="CC64" authorId="0" shapeId="0" xr:uid="{00000000-0006-0000-2000-00004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Városőrség 5558  Hegyőrség 450 = 6008</t>
        </r>
      </text>
    </comment>
    <comment ref="CE64" authorId="0" shapeId="0" xr:uid="{00000000-0006-0000-2000-00004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Városőrség 5558  Hegyőrség 450 = 6008</t>
        </r>
      </text>
    </comment>
    <comment ref="CG64" authorId="0" shapeId="0" xr:uid="{00000000-0006-0000-2000-00004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Áthúzódó 2013. évről</t>
        </r>
      </text>
    </comment>
    <comment ref="CI64" authorId="0" shapeId="0" xr:uid="{00000000-0006-0000-2000-00004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2014. december 18-ai testületi ülés alapján</t>
        </r>
      </text>
    </comment>
    <comment ref="CJ64" authorId="0" shapeId="0" xr:uid="{00000000-0006-0000-2000-00004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tám szerződés szerint a KSH 2015. szeptemberi, előző évhez viszonyított fogy. Árindexe szerint növekszik. Ez 99,6%, vagyis marad a tám. + 2015. október-2015. december áthúzódó kifizetése </t>
        </r>
      </text>
    </comment>
    <comment ref="CK64" authorId="0" shapeId="0" xr:uid="{00000000-0006-0000-2000-00004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2014. évi 10%-os visszafogásával (ld. Tervezési anyagok)</t>
        </r>
      </text>
    </comment>
    <comment ref="CM64" authorId="0" shapeId="0" xr:uid="{00000000-0006-0000-2000-00004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Turay Ida színház 3 M a 217/2013 (Vi.27.) ÖK hat és az E/164/2013 szerz alapján</t>
        </r>
      </text>
    </comment>
    <comment ref="CN64" authorId="0" shapeId="0" xr:uid="{00000000-0006-0000-2000-00004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E/146/2013 Turay Ida színház szerződés alapján</t>
        </r>
      </text>
    </comment>
    <comment ref="CO64" authorId="0" shapeId="0" xr:uid="{00000000-0006-0000-2000-00004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civil 10 000 ft (Elite Basket a sportszervezeteknél)</t>
        </r>
      </text>
    </comment>
    <comment ref="CP64" authorId="0" shapeId="0" xr:uid="{00000000-0006-0000-2000-000050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 keret továbbvezetése</t>
        </r>
      </text>
    </comment>
    <comment ref="CQ64" authorId="0" shapeId="0" xr:uid="{00000000-0006-0000-2000-00005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 előirányzat 10%-kal csökkentett összege</t>
        </r>
      </text>
    </comment>
    <comment ref="CR64" authorId="0" shapeId="0" xr:uid="{00000000-0006-0000-2000-00005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 keret továbbvezetése</t>
        </r>
      </text>
    </comment>
    <comment ref="CS64" authorId="0" shapeId="0" xr:uid="{00000000-0006-0000-2000-00005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</t>
        </r>
      </text>
    </comment>
    <comment ref="CU64" authorId="0" shapeId="0" xr:uid="{00000000-0006-0000-2000-00005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Foci 12 000, Kosárlabda 6 000, Kenu 3 000, egyéb sportág 4500</t>
        </r>
      </text>
    </comment>
    <comment ref="CV64" authorId="0" shapeId="0" xr:uid="{00000000-0006-0000-2000-00005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Tavalyi keret továbbvezetése</t>
        </r>
      </text>
    </comment>
    <comment ref="CX64" authorId="0" shapeId="0" xr:uid="{00000000-0006-0000-2000-00005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Még nincs info, ha lesz, 100%-ban támogatás fogja fedezni. Előző évről áthúzódó 760 e Ft!!!!</t>
        </r>
      </text>
    </comment>
    <comment ref="CY64" authorId="0" shapeId="0" xr:uid="{00000000-0006-0000-2000-00005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</t>
        </r>
      </text>
    </comment>
    <comment ref="K67" authorId="0" shapeId="0" xr:uid="{00000000-0006-0000-2000-00005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TSZT/HÉSZ 2820 ezer áthúzódó</t>
        </r>
      </text>
    </comment>
    <comment ref="L67" authorId="0" shapeId="0" xr:uid="{00000000-0006-0000-2000-00005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HÉSZ módosítása (Mechanikai művek) nettó 4724000 (bruttó 6M) + Településfejlesztési koncepció, városmarketing stratégia bruttó 4 millió</t>
        </r>
      </text>
    </comment>
    <comment ref="Z67" authorId="0" shapeId="0" xr:uid="{00000000-0006-0000-2000-00005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Parkosítás</t>
        </r>
      </text>
    </comment>
    <comment ref="K68" authorId="0" shapeId="0" xr:uid="{00000000-0006-0000-2000-00005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Értékvédelmi keret (5millió) nettó összege</t>
        </r>
      </text>
    </comment>
    <comment ref="N68" authorId="0" shapeId="0" xr:uid="{00000000-0006-0000-2000-00005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Parkosítás bruttó 1 500</t>
        </r>
      </text>
    </comment>
    <comment ref="Z68" authorId="0" shapeId="0" xr:uid="{00000000-0006-0000-2000-00005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7801 hrsz-ú ingatlan rekultivációja bruttó 526</t>
        </r>
      </text>
    </comment>
    <comment ref="Z70" authorId="0" shapeId="0" xr:uid="{00000000-0006-0000-2000-00005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Zajvédelmi terv végrehajtása</t>
        </r>
      </text>
    </comment>
    <comment ref="L87" authorId="0" shapeId="0" xr:uid="{00000000-0006-0000-2000-00005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Dózsa Gy. U. 13. vápa 600 000
Hadik ház felújítása    1 200 000
</t>
        </r>
        <r>
          <rPr>
            <b/>
            <sz val="8"/>
            <color indexed="81"/>
            <rFont val="Tahoma"/>
            <family val="2"/>
            <charset val="238"/>
          </rPr>
          <t>Összesen                1 800 000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I6" authorId="0" shapeId="0" xr:uid="{00000000-0006-0000-21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Munkáltatói döntések visszapótlása (Takácsné, Kovácsné, Kökéy, Kusnyér, Strasszer)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I204" authorId="0" shapeId="0" xr:uid="{00000000-0006-0000-22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becsült, kb 400 e ft /hó * 11 hó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G75" authorId="0" shapeId="0" xr:uid="{00000000-0006-0000-23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Teljesítés alapján indokoltnak látszik.</t>
        </r>
      </text>
    </comment>
    <comment ref="I173" authorId="0" shapeId="0" xr:uid="{00000000-0006-0000-2300-00000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Becsült, kb 550e/hó * 11 hó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G6" authorId="0" shapeId="0" xr:uid="{00000000-0006-0000-24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helyettesítéseknél az beszámolt, aki többe kerül (Fridikné, Lászlóné Sebők kivéve)</t>
        </r>
      </text>
    </comment>
    <comment ref="M6" authorId="0" shapeId="0" xr:uid="{00000000-0006-0000-2400-00000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Madaras Helga kivéve, helyettese többet keres.</t>
        </r>
      </text>
    </comment>
    <comment ref="I26" authorId="0" shapeId="0" xr:uid="{00000000-0006-0000-2400-00000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7*12 = munkáltatói visszapótlása</t>
        </r>
      </text>
    </comment>
    <comment ref="M54" authorId="0" shapeId="0" xr:uid="{00000000-0006-0000-2400-00000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Keresztély, Illia, Megyaszai, fejenként havi 60 000 Ft/hó pluisz ktg.</t>
        </r>
      </text>
    </comment>
    <comment ref="O114" authorId="0" shapeId="0" xr:uid="{00000000-0006-0000-2400-00000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Konyhai felszerelések beszerzése</t>
        </r>
      </text>
    </comment>
    <comment ref="M139" authorId="0" shapeId="0" xr:uid="{00000000-0006-0000-2400-00000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1,5 millió épület, 1,0 millió udvari játszótér (pm engedélyétől függő)</t>
        </r>
      </text>
    </comment>
    <comment ref="M146" authorId="0" shapeId="0" xr:uid="{00000000-0006-0000-2400-00000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Dietetikus 30e/hó, gyermekorvos 70e/hó, egyéb 80e</t>
        </r>
      </text>
    </comment>
    <comment ref="O160" authorId="0" shapeId="0" xr:uid="{00000000-0006-0000-2400-00000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Csak 20% áfát terveztem, mert több élelmiszerféle alacsonyabb áfakulcsú!</t>
        </r>
      </text>
    </comment>
    <comment ref="Q160" authorId="0" shapeId="0" xr:uid="{00000000-0006-0000-2400-00000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korai fejlesztés számlája várhatóan áfamentes lesz</t>
        </r>
      </text>
    </comment>
    <comment ref="M222" authorId="0" shapeId="0" xr:uid="{00000000-0006-0000-2400-00000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gondozási díj áfamentes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G6" authorId="0" shapeId="0" xr:uid="{00000000-0006-0000-25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Eltérítéssel, pm, alpm nélkül</t>
        </r>
      </text>
    </comment>
    <comment ref="M6" authorId="0" shapeId="0" xr:uid="{00000000-0006-0000-2500-00000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Madaras Helga kivéve, helyettese többet keres.</t>
        </r>
      </text>
    </comment>
    <comment ref="G9" authorId="0" shapeId="0" xr:uid="{00000000-0006-0000-2500-00000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Nagy Adrienn célfeladat, Klári táblája alapján</t>
        </r>
      </text>
    </comment>
    <comment ref="G14" authorId="0" shapeId="0" xr:uid="{00000000-0006-0000-2500-00000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Klári táblája szerint</t>
        </r>
      </text>
    </comment>
    <comment ref="G31" authorId="0" shapeId="0" xr:uid="{00000000-0006-0000-2500-00000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Önkormányzaton van tervezve</t>
        </r>
      </text>
    </comment>
    <comment ref="G35" authorId="0" shapeId="0" xr:uid="{00000000-0006-0000-2500-00000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Niklasz 3 000 000, Szabó Adrienn 922 000, egyéb keret 2 000 000</t>
        </r>
      </text>
    </comment>
    <comment ref="U37" authorId="0" shapeId="0" xr:uid="{00000000-0006-0000-2500-00000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Honosítás repije</t>
        </r>
      </text>
    </comment>
    <comment ref="U67" authorId="0" shapeId="0" xr:uid="{00000000-0006-0000-2500-00000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Anyakönyv vezetők részére ruha, fodrász</t>
        </r>
      </text>
    </comment>
    <comment ref="O92" authorId="0" shapeId="0" xr:uid="{00000000-0006-0000-2500-00000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100 ezer általános keret + nettó 55 ezer nyári gumi csere + nettó 40 ezer a két robogó karbantartása</t>
        </r>
      </text>
    </comment>
    <comment ref="G99" authorId="0" shapeId="0" xr:uid="{00000000-0006-0000-2500-00000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Menczinger 550 000 Ft/hó * 12 hó = 6 600 000 Ft
Stylus Magister (Fáy Kisné) 250 000 Ft/hó * 12 hó = 3 000 000 Ft
Egyéb megrendelt szakértői tev. Re keret nettó = 3 400 000 Ft
</t>
        </r>
        <r>
          <rPr>
            <b/>
            <sz val="8"/>
            <color indexed="81"/>
            <rFont val="Tahoma"/>
            <family val="2"/>
            <charset val="238"/>
          </rPr>
          <t>Összesen 13 000 000 Ft</t>
        </r>
      </text>
    </comment>
    <comment ref="M99" authorId="0" shapeId="0" xr:uid="{00000000-0006-0000-2500-00000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Dietetikus 30e/hó, gyermekorvos 70e/hó, egyéb 80e</t>
        </r>
      </text>
    </comment>
    <comment ref="U99" authorId="0" shapeId="0" xr:uid="{00000000-0006-0000-2500-00000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Nem volt semmilyen teljesítés</t>
        </r>
      </text>
    </comment>
    <comment ref="O104" authorId="0" shapeId="0" xr:uid="{00000000-0006-0000-2500-00000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Ebből továbbképzés kerete 150 000 Ft</t>
        </r>
      </text>
    </comment>
    <comment ref="U104" authorId="0" shapeId="0" xr:uid="{00000000-0006-0000-2500-00000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NKE köztisztviselő továbbképzés 680 000 Ft * 3 alkalom</t>
        </r>
      </text>
    </comment>
    <comment ref="G127" authorId="0" shapeId="0" xr:uid="{00000000-0006-0000-2500-00000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Cégautóadó</t>
        </r>
      </text>
    </comment>
    <comment ref="G128" authorId="0" shapeId="0" xr:uid="{00000000-0006-0000-2500-000010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Eljárási díjak (pl. hitelezői nyilvántartásba vétel)</t>
        </r>
      </text>
    </comment>
    <comment ref="S141" authorId="0" shapeId="0" xr:uid="{00000000-0006-0000-2500-00001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2016-ban már nem lesz jegyzői hatáskörbe tartozó segély?</t>
        </r>
      </text>
    </comment>
    <comment ref="G153" authorId="0" shapeId="0" xr:uid="{00000000-0006-0000-2500-00001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Számítástechn eszköz besz. keret</t>
        </r>
      </text>
    </comment>
    <comment ref="G154" authorId="0" shapeId="0" xr:uid="{00000000-0006-0000-2500-00001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Keret (pl. bútorbeszerzés, kis értékű egyéb eszközök)</t>
        </r>
      </text>
    </comment>
    <comment ref="U154" authorId="0" shapeId="0" xr:uid="{00000000-0006-0000-2500-00001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CD lejátszó a házasságkötőbe</t>
        </r>
      </text>
    </comment>
    <comment ref="M186" authorId="0" shapeId="0" xr:uid="{00000000-0006-0000-2500-00001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gondozási díj áfamentes</t>
        </r>
      </text>
    </comment>
  </commentList>
</comments>
</file>

<file path=xl/sharedStrings.xml><?xml version="1.0" encoding="utf-8"?>
<sst xmlns="http://schemas.openxmlformats.org/spreadsheetml/2006/main" count="5989" uniqueCount="1821">
  <si>
    <t>rovat</t>
  </si>
  <si>
    <t>főkönyvi szám</t>
  </si>
  <si>
    <t>megnevezés</t>
  </si>
  <si>
    <t>SZEMÉLYI JUTTATÁSOK ÉS JÁRULÉKOK</t>
  </si>
  <si>
    <t>K1101</t>
  </si>
  <si>
    <t>0511011</t>
  </si>
  <si>
    <t>Törvény szerinti illetmények, munkabérek</t>
  </si>
  <si>
    <t>K1102</t>
  </si>
  <si>
    <t>0511021</t>
  </si>
  <si>
    <t>Normatív jutalmak</t>
  </si>
  <si>
    <t>K1103</t>
  </si>
  <si>
    <t>0511031</t>
  </si>
  <si>
    <t>Céljuttatás, projektprémium</t>
  </si>
  <si>
    <t>K1104</t>
  </si>
  <si>
    <t>0511041</t>
  </si>
  <si>
    <t>Készenlét, ügyelet, helyettesítés, túlóra</t>
  </si>
  <si>
    <t>Készenléti, ügyeleti, helyettesítési díj</t>
  </si>
  <si>
    <t>Túlóra, túlszolgálat</t>
  </si>
  <si>
    <t>K1105</t>
  </si>
  <si>
    <t>0511051</t>
  </si>
  <si>
    <t>Végkielégítés</t>
  </si>
  <si>
    <t>K1106</t>
  </si>
  <si>
    <t>0511061</t>
  </si>
  <si>
    <t>Jubileumi jutalom</t>
  </si>
  <si>
    <t>K1107</t>
  </si>
  <si>
    <t>0511071</t>
  </si>
  <si>
    <t>Béren kívüli juttatások</t>
  </si>
  <si>
    <t>K1108</t>
  </si>
  <si>
    <t>0511081</t>
  </si>
  <si>
    <t>Ruházati költségtérítés</t>
  </si>
  <si>
    <t>K1109</t>
  </si>
  <si>
    <t>0511091</t>
  </si>
  <si>
    <t>Közlekedési költségtérítés</t>
  </si>
  <si>
    <t>K1110</t>
  </si>
  <si>
    <t>0511101</t>
  </si>
  <si>
    <t>Egyéb költségtérítések</t>
  </si>
  <si>
    <t>K1111</t>
  </si>
  <si>
    <t>0511111</t>
  </si>
  <si>
    <t>Lakhatási támogatások</t>
  </si>
  <si>
    <t>K1112</t>
  </si>
  <si>
    <t>0511121</t>
  </si>
  <si>
    <t>Szociális támogatások</t>
  </si>
  <si>
    <t>K1113</t>
  </si>
  <si>
    <t>0511131</t>
  </si>
  <si>
    <t>Foglalkoztatottak egyéb személyi juttatásai</t>
  </si>
  <si>
    <t>K11</t>
  </si>
  <si>
    <t>0511</t>
  </si>
  <si>
    <t>Foglalkoztatottak személyi juttatásai</t>
  </si>
  <si>
    <t>K121</t>
  </si>
  <si>
    <t>051211</t>
  </si>
  <si>
    <t>Választott tisztviselők juttatásai</t>
  </si>
  <si>
    <t>K122</t>
  </si>
  <si>
    <t>051221</t>
  </si>
  <si>
    <t>Nem saját foglalkoztatottnak fizetett jutt</t>
  </si>
  <si>
    <t>K123</t>
  </si>
  <si>
    <t>051231</t>
  </si>
  <si>
    <t>K12</t>
  </si>
  <si>
    <t>0512</t>
  </si>
  <si>
    <t>Külső személyi juttatások</t>
  </si>
  <si>
    <t>K1</t>
  </si>
  <si>
    <t>051</t>
  </si>
  <si>
    <t>Egészségügyi hozzájárulás</t>
  </si>
  <si>
    <t>Rehabilitációs hozzájárulás</t>
  </si>
  <si>
    <t>Munkáltatót terhelő SZJA</t>
  </si>
  <si>
    <t>K2</t>
  </si>
  <si>
    <t>052</t>
  </si>
  <si>
    <t>SZEMÉLYI JUTTATÁSOK ÉS JÁRULÉKOK ÖSSZESEN:</t>
  </si>
  <si>
    <t>K311</t>
  </si>
  <si>
    <t>053111</t>
  </si>
  <si>
    <t>Szakmai anyagok beszerzése összesen</t>
  </si>
  <si>
    <t>Gyógyszerbeszerzés</t>
  </si>
  <si>
    <t>Vegyszerbeszerzés</t>
  </si>
  <si>
    <t>Könyvbeszerzés</t>
  </si>
  <si>
    <t>Folyóirat-beszerzés</t>
  </si>
  <si>
    <t>Egyéb információhordozó beszerzés</t>
  </si>
  <si>
    <t>Egyéb szakmai anyagbeszerzés</t>
  </si>
  <si>
    <t>K312</t>
  </si>
  <si>
    <t>053121</t>
  </si>
  <si>
    <t>Üzemeltetési anyagok beszerzése összesen</t>
  </si>
  <si>
    <t>Élelmiszer-beszerzés</t>
  </si>
  <si>
    <t>Irodaszer-nyomtatvány beszerzés</t>
  </si>
  <si>
    <t>Tüzelőanyag-beszerzés</t>
  </si>
  <si>
    <t>Hajtó- és kenőanyag beszerzés</t>
  </si>
  <si>
    <t>Munkaruha, védőruha, formaruha, egyenruha</t>
  </si>
  <si>
    <t>Egyéb üzemeltetési, fennt anyagbeszerzés</t>
  </si>
  <si>
    <t>K313</t>
  </si>
  <si>
    <t>053131</t>
  </si>
  <si>
    <t>Árubeszerzés összesen</t>
  </si>
  <si>
    <t>Árubeszerzés</t>
  </si>
  <si>
    <t>Göngyölegbeszerzés</t>
  </si>
  <si>
    <t>K31</t>
  </si>
  <si>
    <t>0531</t>
  </si>
  <si>
    <t>Készletbeszerzés összesen</t>
  </si>
  <si>
    <t>K321</t>
  </si>
  <si>
    <t>053211</t>
  </si>
  <si>
    <t>Informatikai szolgáltatások igénybevétele</t>
  </si>
  <si>
    <t>Informatikai tanácsadás, üzembehelyezés</t>
  </si>
  <si>
    <t>Informatikai szolgáltatások</t>
  </si>
  <si>
    <t>Informatikai eszköz, szolg bérlése, lízing</t>
  </si>
  <si>
    <t>Informatikai eszközök karbantartása</t>
  </si>
  <si>
    <t>Adatátviteli célú távközlési díjak</t>
  </si>
  <si>
    <t>Egyéb informatikai szolgáltatás</t>
  </si>
  <si>
    <t>K322</t>
  </si>
  <si>
    <t>053221</t>
  </si>
  <si>
    <t>Egyéb kommunikációs szolg összesen</t>
  </si>
  <si>
    <t>Nem adatátviteli célú távközlési díjak</t>
  </si>
  <si>
    <t>Egyéb kommunikációs szolgáltatások</t>
  </si>
  <si>
    <t>K32</t>
  </si>
  <si>
    <t>0532</t>
  </si>
  <si>
    <t>Kommunikációs szolgáltatások összesen</t>
  </si>
  <si>
    <t>K331</t>
  </si>
  <si>
    <t>053311</t>
  </si>
  <si>
    <t>Közüzemi díjak összesen</t>
  </si>
  <si>
    <t>Villamos energia szolgáltatási díjak</t>
  </si>
  <si>
    <t>Gázenergia szolgáltatási díjak</t>
  </si>
  <si>
    <t>Víz- és csatorna díjak</t>
  </si>
  <si>
    <t>K332</t>
  </si>
  <si>
    <t>053321</t>
  </si>
  <si>
    <t>Vásárolt élelmezés</t>
  </si>
  <si>
    <t>K333</t>
  </si>
  <si>
    <t>053331</t>
  </si>
  <si>
    <t>Bérleti és lízing-díjak összesen</t>
  </si>
  <si>
    <t>PPP konstrukcióhoz kapcsolódó szolg díjak</t>
  </si>
  <si>
    <t>Egyéb bérleti és lízing díjak</t>
  </si>
  <si>
    <t>K334</t>
  </si>
  <si>
    <t>053341</t>
  </si>
  <si>
    <t>Karbantartási, kisjavítási szolgáltatások</t>
  </si>
  <si>
    <t>K335</t>
  </si>
  <si>
    <t>053351</t>
  </si>
  <si>
    <t>Közvetített szolgáltatások összesen</t>
  </si>
  <si>
    <t>Államháztartások belüli közvetített szolg</t>
  </si>
  <si>
    <t>Államháztartások kívüli közvetített szolg</t>
  </si>
  <si>
    <t>K336</t>
  </si>
  <si>
    <t>053361</t>
  </si>
  <si>
    <t>Szakmai tevékenységet segítő szolgáltatások</t>
  </si>
  <si>
    <t>Vásárolt közszolgáltatások</t>
  </si>
  <si>
    <t>Számlázott szellemi tevékenységek</t>
  </si>
  <si>
    <t>Egyéb szakmai szolgáltatások</t>
  </si>
  <si>
    <t>K337</t>
  </si>
  <si>
    <t>053371</t>
  </si>
  <si>
    <t>Egyéb szolgáltatások összesen</t>
  </si>
  <si>
    <t>Biztosítási szolgáltatási díjak</t>
  </si>
  <si>
    <t>Pénzügyi szolgáltatási díjak</t>
  </si>
  <si>
    <t>Szállítási szolgáltatási díjak</t>
  </si>
  <si>
    <t>Egyéb üzemeltetési, fennt szolgáltatások</t>
  </si>
  <si>
    <t>K33</t>
  </si>
  <si>
    <t>0533</t>
  </si>
  <si>
    <t>Szolgáltatási kiadások összesen</t>
  </si>
  <si>
    <t>K341</t>
  </si>
  <si>
    <t>053411</t>
  </si>
  <si>
    <t>Kiküldetések kiadásai összesen</t>
  </si>
  <si>
    <t>Belföldi kiküldetések kiadásai</t>
  </si>
  <si>
    <t>Külföldi kiküldetések kiadásai</t>
  </si>
  <si>
    <t>K342</t>
  </si>
  <si>
    <t>053421</t>
  </si>
  <si>
    <t>Reklám- és propaganda kiadások</t>
  </si>
  <si>
    <t>K34</t>
  </si>
  <si>
    <t>0534</t>
  </si>
  <si>
    <t>Kiküldetés, reklám, propaganda összesen</t>
  </si>
  <si>
    <t>K351</t>
  </si>
  <si>
    <t>053511</t>
  </si>
  <si>
    <t>Működési célú ÁFA összesen</t>
  </si>
  <si>
    <t>Működési célú felszám, levonható ÁFA</t>
  </si>
  <si>
    <t>Működési célú felszám, le nem vonható ÁFA</t>
  </si>
  <si>
    <t>K352</t>
  </si>
  <si>
    <t>053521</t>
  </si>
  <si>
    <t>Fizetendő ÁFA összesen</t>
  </si>
  <si>
    <t>ÁFA befizetés</t>
  </si>
  <si>
    <t>Ért tárgyi eszk, imm javak egyenes ÁFA bef</t>
  </si>
  <si>
    <t>Fordított ÁFA befizetése</t>
  </si>
  <si>
    <t>K353</t>
  </si>
  <si>
    <t>053531</t>
  </si>
  <si>
    <t>Kamatkiadások</t>
  </si>
  <si>
    <t>Államháztartáson belüli egyéb kamat</t>
  </si>
  <si>
    <t>Hitelek kamatai</t>
  </si>
  <si>
    <t>Pénzügyi lízing kiadások</t>
  </si>
  <si>
    <t>Államháztartáson kívüli egyéb kamatok</t>
  </si>
  <si>
    <t>K354</t>
  </si>
  <si>
    <t>053541</t>
  </si>
  <si>
    <t>Egyéb pénzügyi műveletek kiadásai</t>
  </si>
  <si>
    <t>Árfolyamveszteség</t>
  </si>
  <si>
    <t>Egyéb, különféle pénzügyi műveletek kiad</t>
  </si>
  <si>
    <t>K355</t>
  </si>
  <si>
    <t>053551</t>
  </si>
  <si>
    <t>Egyéb dologi kiadások</t>
  </si>
  <si>
    <t>Adók, adójellegű befizetések</t>
  </si>
  <si>
    <t>Díjak, egyéb befizetések</t>
  </si>
  <si>
    <t>Késedelmi kamat, kötbér, egyéb kártérítés</t>
  </si>
  <si>
    <t>Egyéb különféle dologi kiadások</t>
  </si>
  <si>
    <t>K35</t>
  </si>
  <si>
    <t>0535</t>
  </si>
  <si>
    <t>Különféle befizetések, egyéb dologi kiadások</t>
  </si>
  <si>
    <t>K3</t>
  </si>
  <si>
    <t>053</t>
  </si>
  <si>
    <t>FELHALMOZÁSI KIADÁSOK</t>
  </si>
  <si>
    <t>K61</t>
  </si>
  <si>
    <t>056111</t>
  </si>
  <si>
    <t>Immateriális javak beszerzése, létesítése</t>
  </si>
  <si>
    <t>K62</t>
  </si>
  <si>
    <t>056211</t>
  </si>
  <si>
    <t>Ingatlanok beszerzése, létesítése</t>
  </si>
  <si>
    <t>K63</t>
  </si>
  <si>
    <t>056311</t>
  </si>
  <si>
    <t>Informatikai eszközök beszerzése, létesítése</t>
  </si>
  <si>
    <t>K64</t>
  </si>
  <si>
    <t>056411</t>
  </si>
  <si>
    <t>Egyéb tárgyi eszköz beszerzése, létesítése</t>
  </si>
  <si>
    <t>056415</t>
  </si>
  <si>
    <t>Jármű beszerzés</t>
  </si>
  <si>
    <t>K65</t>
  </si>
  <si>
    <t>056511</t>
  </si>
  <si>
    <t>Részesedések beszerzése</t>
  </si>
  <si>
    <t>K66</t>
  </si>
  <si>
    <t>056611</t>
  </si>
  <si>
    <t>Meglévő részesedések növeléséhez kapcs kiad</t>
  </si>
  <si>
    <t>K67</t>
  </si>
  <si>
    <t>05671</t>
  </si>
  <si>
    <t>Beruházási célú előzetesen felszámított ÁFA</t>
  </si>
  <si>
    <t>K6</t>
  </si>
  <si>
    <t>056</t>
  </si>
  <si>
    <t>Beruházások összesen</t>
  </si>
  <si>
    <t>K71</t>
  </si>
  <si>
    <t>057111</t>
  </si>
  <si>
    <t>Ingatlanok felújítása</t>
  </si>
  <si>
    <t>K72</t>
  </si>
  <si>
    <t>057211</t>
  </si>
  <si>
    <t>Informatikai eszköz felújítása</t>
  </si>
  <si>
    <t>K73</t>
  </si>
  <si>
    <t>057311</t>
  </si>
  <si>
    <t>Egyéb tárgyi eszköz felújítása</t>
  </si>
  <si>
    <t>057315</t>
  </si>
  <si>
    <t>Jármű felújítása</t>
  </si>
  <si>
    <t>K74</t>
  </si>
  <si>
    <t>05741</t>
  </si>
  <si>
    <t>Felújítási célú előzetesen felszámított ÁFA</t>
  </si>
  <si>
    <t>K7</t>
  </si>
  <si>
    <t>057</t>
  </si>
  <si>
    <t>Felújítások összesen</t>
  </si>
  <si>
    <t>Felhalmozási kiadások összesen</t>
  </si>
  <si>
    <t>BEVÉTELEK</t>
  </si>
  <si>
    <t>B4</t>
  </si>
  <si>
    <t>Működési Bevételek</t>
  </si>
  <si>
    <t>B401</t>
  </si>
  <si>
    <t>Készletértékesítés ellenértéke</t>
  </si>
  <si>
    <t>B402</t>
  </si>
  <si>
    <t>Szolgáltatások ellenértéke</t>
  </si>
  <si>
    <t>B403</t>
  </si>
  <si>
    <t>Közvetített szolgáltatások ellenértéke</t>
  </si>
  <si>
    <t>B404</t>
  </si>
  <si>
    <t>Tulajdonosi bevételek</t>
  </si>
  <si>
    <t>B406</t>
  </si>
  <si>
    <t>Kiszámlázott általános forgalmi adó</t>
  </si>
  <si>
    <t>B408</t>
  </si>
  <si>
    <t>Kamatbevételek</t>
  </si>
  <si>
    <t>B410</t>
  </si>
  <si>
    <t>Egyéb működési bevételek</t>
  </si>
  <si>
    <t>B5</t>
  </si>
  <si>
    <t>Felhalmozási bevételek</t>
  </si>
  <si>
    <t>WALLA JÓZSEF ÓVODA 2016. (az adatok ezer forintban)</t>
  </si>
  <si>
    <t>2016. évi előirányzat</t>
  </si>
  <si>
    <t>2015. évi előirányzat</t>
  </si>
  <si>
    <t>óvodai nevelés</t>
  </si>
  <si>
    <t>óvodai étkeztetés</t>
  </si>
  <si>
    <t xml:space="preserve">2015. évi előirányzat </t>
  </si>
  <si>
    <t>WALLA JÓZSEF ÓVODA (az adatok ezer forintban)</t>
  </si>
  <si>
    <t>9. Szász Irén (rész)</t>
  </si>
  <si>
    <t>1. Bató  istvánné (teljes)</t>
  </si>
  <si>
    <t>2. Bazsó Borbála (teljes)</t>
  </si>
  <si>
    <t>3. Beck Tiborné (teljes)</t>
  </si>
  <si>
    <t>4. Domokos Valéria (teljes)</t>
  </si>
  <si>
    <t>5. Gál Attiláné (teljes)</t>
  </si>
  <si>
    <t>6. Hummelné fehér Edina (teljes)</t>
  </si>
  <si>
    <t>7. Molnárné Tari Erzsébet (teljes)</t>
  </si>
  <si>
    <t>8. Németh Mária Erika (teljes)</t>
  </si>
  <si>
    <t>10. Szikora Ildikó (teljes)</t>
  </si>
  <si>
    <t>11. Botos Ilona (teljes)</t>
  </si>
  <si>
    <t>12. Tősér Éva (teljes)</t>
  </si>
  <si>
    <t>13. Üres óvodaped. álláshely (teljes)</t>
  </si>
  <si>
    <t>Erzsébet utalvány</t>
  </si>
  <si>
    <t>Szemüveg (eü költségtérítés, 2fő*60e/fő)</t>
  </si>
  <si>
    <t>A törv. szerinti illetmény 0,4%-ban 2016-ra</t>
  </si>
  <si>
    <t>Tandíj (tan. szerződés Bazsó Borbála)</t>
  </si>
  <si>
    <t>Megbízási díjakra keretösszeg</t>
  </si>
  <si>
    <t>Reprezentációs kiadások kerete</t>
  </si>
  <si>
    <t>Szociális hozzájárulási adó (27%)</t>
  </si>
  <si>
    <t>Egyéb külső személyi juttatások</t>
  </si>
  <si>
    <t>Személyi juttatások</t>
  </si>
  <si>
    <t>Munkaadókat terhelő járulékok</t>
  </si>
  <si>
    <t>DOLOGI ÉS EGYÉB MŰKÖDÉSI CÉLÚ KIADÁSOK</t>
  </si>
  <si>
    <t>Becsült összeg 2015.10.26-án</t>
  </si>
  <si>
    <t>WALLA JÓZSEF ÓVODA 2016 (az adatok ezer forintban)</t>
  </si>
  <si>
    <t>MŰKÖDÉSI KIADÁSOK ÖSSZESEN</t>
  </si>
  <si>
    <t>Dologi kiadások</t>
  </si>
  <si>
    <t>FELHALMOZÁSI KIADÁSOK ÖSSZESEN</t>
  </si>
  <si>
    <t>KIADÁSOK MINDÖSSSZESEN</t>
  </si>
  <si>
    <t>SAJÁT BEVÉTELEK ÖSSZESEN</t>
  </si>
  <si>
    <t>B405</t>
  </si>
  <si>
    <t>Ellátási díjak</t>
  </si>
  <si>
    <t>B407</t>
  </si>
  <si>
    <t>Általános forgalmi adó visszatérítés</t>
  </si>
  <si>
    <t>B409</t>
  </si>
  <si>
    <t>Egyéb pénzügyi műveletek bevételei</t>
  </si>
  <si>
    <t>Adatok ezer forintban</t>
  </si>
  <si>
    <t xml:space="preserve">Cím: </t>
  </si>
  <si>
    <t>Alcím:</t>
  </si>
  <si>
    <t>Sor-szám</t>
  </si>
  <si>
    <t>Megnevezés</t>
  </si>
  <si>
    <t>Engedélyezett létszámkeret</t>
  </si>
  <si>
    <t>Közfoglalkoztatottak engedélyezett létszáma</t>
  </si>
  <si>
    <t>I.</t>
  </si>
  <si>
    <t>MŰKÖDÉSI KÖLTSÉGVETÉSI BEVÉTELEK</t>
  </si>
  <si>
    <t>1.</t>
  </si>
  <si>
    <t>Működési célú támogatások államháztartáson belülről</t>
  </si>
  <si>
    <t>1.1. Egyéb működési célú támogatások bevételei államháztartáson belülről</t>
  </si>
  <si>
    <t>Működési bevételek</t>
  </si>
  <si>
    <t>3.</t>
  </si>
  <si>
    <t>Működési célú átvett pénzeszközök</t>
  </si>
  <si>
    <t>3.1. Egyéb működési célú átvett pénzeszközök</t>
  </si>
  <si>
    <t>II.</t>
  </si>
  <si>
    <t>FELHALMOZÁSI KÖLTSÉGVETÉSI BEVÉTELEK</t>
  </si>
  <si>
    <t>Felhalmozási célú támogatások államháztartáson belülről</t>
  </si>
  <si>
    <t>1.1. Egyéb felhalmozási célú támogatások bevételei államháztartáson belülről</t>
  </si>
  <si>
    <t>2.</t>
  </si>
  <si>
    <t>2.1. Immateriális javak értékesítése</t>
  </si>
  <si>
    <t>2.2. Egyéb tárgyi eszközök értékesítése</t>
  </si>
  <si>
    <t>Felhalmozási célú átvett pénzeszközök</t>
  </si>
  <si>
    <t>3.1. Egyéb felhalmozási célú átvett pénzeszközök</t>
  </si>
  <si>
    <t>KÖLTSÉGVETÉSI BEVÉTELEK ÖSSZESEN</t>
  </si>
  <si>
    <t>III.</t>
  </si>
  <si>
    <t>FINANSZÍROZÁSI BEVÉTELEK</t>
  </si>
  <si>
    <t>Belföldi finanszírozás bevételei</t>
  </si>
  <si>
    <t>1.1. Maradvány igénybevétele</t>
  </si>
  <si>
    <t>1.2. Irányító szervi támogatás</t>
  </si>
  <si>
    <t>TÁRGYÉVI BEVÉTELEK ÖSSZESEN</t>
  </si>
  <si>
    <t>MŰKÖDÉSI KÖLTSÉGVETÉSI KIADÁSOK</t>
  </si>
  <si>
    <t>Munkaadókat terhelő járulékok és szociális hozzájárulási adó</t>
  </si>
  <si>
    <t>4.</t>
  </si>
  <si>
    <t>Ellátottak pénzbeli juttatásai</t>
  </si>
  <si>
    <t>5.</t>
  </si>
  <si>
    <t>Egyéb működési célú kiadások</t>
  </si>
  <si>
    <t>FELHALMOZÁSI KÖLTSÉGVETÉSI KIADÁSOK</t>
  </si>
  <si>
    <t>Intézményi beruházások</t>
  </si>
  <si>
    <t>Felújítások</t>
  </si>
  <si>
    <t>Egyéb felhalmozási célú kiadások</t>
  </si>
  <si>
    <t>TÁRGYÉVI KIADÁSOK ÖSSZESEN</t>
  </si>
  <si>
    <t>Kiadási előirányzat</t>
  </si>
  <si>
    <t>GAZDASÁGI SZERVEZETTEL NEM RENDELKEZŐ KÖLTSÉGVETÉSI SZERVEK</t>
  </si>
  <si>
    <t>Walla József Óvoda</t>
  </si>
  <si>
    <t>KÖTELEZŐ FELADATOK</t>
  </si>
  <si>
    <t>Óvodai nevelés</t>
  </si>
  <si>
    <t>Munkaadót terhelő járulékok</t>
  </si>
  <si>
    <t>Beruházások</t>
  </si>
  <si>
    <t>Óvodai étkeztetés</t>
  </si>
  <si>
    <t>ÖNKÉNT VÁLLALT FELADATOK</t>
  </si>
  <si>
    <t>Törökbálinti Nyitnikék Óvoda</t>
  </si>
  <si>
    <t>Törökbálinti Bóbita Óvoda</t>
  </si>
  <si>
    <t>Munkácsy Mihály Művelődési Ház</t>
  </si>
  <si>
    <t>Közművelődési tevékenységek</t>
  </si>
  <si>
    <t>Közművelődési intézmény működtetése</t>
  </si>
  <si>
    <t>Volf György Könyvtár</t>
  </si>
  <si>
    <t>Könyvtári szolgáltatások</t>
  </si>
  <si>
    <t>Múzeumi kiállítási tevékenység</t>
  </si>
  <si>
    <t>Segítő Kéz Szolgálat</t>
  </si>
  <si>
    <t>Családsegítés</t>
  </si>
  <si>
    <t>Házi segítségnyújtás</t>
  </si>
  <si>
    <t>Szociális étkeztetés</t>
  </si>
  <si>
    <t>Bölcsődei ellátás</t>
  </si>
  <si>
    <t>Bölcsődei étkeztetés</t>
  </si>
  <si>
    <t>Maradvány igénybevétele</t>
  </si>
  <si>
    <t>TÖRÖKBÁLINTI NYITNIKÉK ÓVODA 2016. (az adatok ezer forintban)</t>
  </si>
  <si>
    <t>TÖRÖKBÁLINTI NYITNIKÉK ÓVODA (az adatok ezer forintban)</t>
  </si>
  <si>
    <t>TÖRÖKBÁLINTI NYITNIKÉK ÓVODA 2016 (az adatok ezer forintban)</t>
  </si>
  <si>
    <t>1. Balogné Szabó Margit</t>
  </si>
  <si>
    <t>2. Bodó Viktória</t>
  </si>
  <si>
    <t>3. Csiszár Andrea</t>
  </si>
  <si>
    <t>4. Fenyves Andrea</t>
  </si>
  <si>
    <t>5. Gergye Szilvia</t>
  </si>
  <si>
    <t>6. Horváthné Hamza Edit</t>
  </si>
  <si>
    <t>7. Kálmán Viktória</t>
  </si>
  <si>
    <t>8. Kálmánné Bari Erika</t>
  </si>
  <si>
    <t>9. Keresztes Hajnalka</t>
  </si>
  <si>
    <t>10. Kisné Szél Erzsébet</t>
  </si>
  <si>
    <t>11. Kiss Rozália</t>
  </si>
  <si>
    <t>12. Kogyiláné Székely Erika</t>
  </si>
  <si>
    <t>13. Kovács Erzsébet</t>
  </si>
  <si>
    <t>14. Kovács Gabriella</t>
  </si>
  <si>
    <t>15. Krajnyák Jenőné</t>
  </si>
  <si>
    <t>16. Nagyné Tóth Magdolna</t>
  </si>
  <si>
    <t>17. Pallér Edit</t>
  </si>
  <si>
    <t>18. Petermanné Papp Krisztina</t>
  </si>
  <si>
    <t>19. Rolyák Csabáné</t>
  </si>
  <si>
    <t>20. Scheirich Szilvia</t>
  </si>
  <si>
    <t>21. Sebestyén Krisztina</t>
  </si>
  <si>
    <t>22. Szabóné Fejes Zsuzsanna</t>
  </si>
  <si>
    <t>23. Szappanosné Csáki Regina</t>
  </si>
  <si>
    <t>24. Szentkuti Anita</t>
  </si>
  <si>
    <t>25. Szentkuti Ferencné</t>
  </si>
  <si>
    <t>26. Szunai Beáta</t>
  </si>
  <si>
    <t>27. Uri Éva</t>
  </si>
  <si>
    <t>28. Valkainé Huppauer Zsuzsanna</t>
  </si>
  <si>
    <t>29. Velősiné Hamper Eszter</t>
  </si>
  <si>
    <t>30. Virág Lászlóné</t>
  </si>
  <si>
    <t>31. Üres álláshely</t>
  </si>
  <si>
    <t>Erzsébet utalvány (31 fő * 8e/hó/fő * 12hó)</t>
  </si>
  <si>
    <t>TÖRÖKBÁLINTI BÓBITA ÓVODA 2016. (az adatok ezer forintban)</t>
  </si>
  <si>
    <t>TÖRÖKBÁLINTI BÓBITA ÓVODA (az adatok ezer forintban)</t>
  </si>
  <si>
    <t>TÖRÖKBÁLINTI BÓBITA ÓVODA 2016 (az adatok ezer forintban)</t>
  </si>
  <si>
    <t>Erzsébet utalvány (56 fő * 8e/hó/fő * 12hó)</t>
  </si>
  <si>
    <t>Keretjellegű tétel</t>
  </si>
  <si>
    <t>Egyéb bérleti díj</t>
  </si>
  <si>
    <t>SEGÍTŐ KÉZ SZOLGÁLAT 2016. (az adatok ezer forintban)</t>
  </si>
  <si>
    <t>családsegítés</t>
  </si>
  <si>
    <t>házi segítségnyújtás</t>
  </si>
  <si>
    <t>szociális étkeztetés</t>
  </si>
  <si>
    <t>bölcsődei ellátás</t>
  </si>
  <si>
    <t>bölcsődei étkeztetés</t>
  </si>
  <si>
    <t>korai fejlesztés</t>
  </si>
  <si>
    <t>KAB-ME-14-B-16852 2016.</t>
  </si>
  <si>
    <t>Keresztes Sándor (gondozók)</t>
  </si>
  <si>
    <t>Nagy Anikó (gondozók)</t>
  </si>
  <si>
    <t>Szemüveg (eü költségtérítés, 60e/fő)</t>
  </si>
  <si>
    <t>Cs2. Csernyánszki Andrea</t>
  </si>
  <si>
    <t>Cs3. Csokonáné Vízkeleti Ildikó</t>
  </si>
  <si>
    <t>Cs1. Ásó Bernadett</t>
  </si>
  <si>
    <t>Cs4.Takács Judit</t>
  </si>
  <si>
    <t>Cs8. Molnár Erika</t>
  </si>
  <si>
    <t>Cs5/1. Fridikné Király Eszter</t>
  </si>
  <si>
    <t>Cs5/1Földi Cristina Doris (Fridikné h.)</t>
  </si>
  <si>
    <t>Cs5/2. Hajduné Kálmán Margit</t>
  </si>
  <si>
    <t>Cs6. Kiss Bernadett</t>
  </si>
  <si>
    <t>Cs9. Putz Angelika</t>
  </si>
  <si>
    <t>Cs7/1. Dr. Lászlóné Sebők F (Réczey h.)</t>
  </si>
  <si>
    <t>Cs7/1. Réczey Kata</t>
  </si>
  <si>
    <t>Cs7/2. Orbán Dávid</t>
  </si>
  <si>
    <t>Cs10. Tordai Tünde Andrea</t>
  </si>
  <si>
    <t>Cs11. Pajor Andrea</t>
  </si>
  <si>
    <t>G1. Keresztes Sándor</t>
  </si>
  <si>
    <t>G2. Nagy Anikó</t>
  </si>
  <si>
    <t>G3. Nagy Lászlóné</t>
  </si>
  <si>
    <t>G4. Radnóti Krisztina</t>
  </si>
  <si>
    <t>G5. Scherer Henrikné</t>
  </si>
  <si>
    <t>G6. Török Sándor</t>
  </si>
  <si>
    <t>B1. Jenei Géza</t>
  </si>
  <si>
    <t>B2. Arnoldné Herczeg Edit</t>
  </si>
  <si>
    <t>B3. Csák Katalin</t>
  </si>
  <si>
    <t>B4. Dankos Mónika</t>
  </si>
  <si>
    <t>B5. Heffner Erika</t>
  </si>
  <si>
    <t>B6. Erdős Erika</t>
  </si>
  <si>
    <t>B7. Forroné Krizsek Márta</t>
  </si>
  <si>
    <t>B8. Takácsné Rácz Tímea</t>
  </si>
  <si>
    <t>B9. Ilia Mária Margit</t>
  </si>
  <si>
    <t>B10. Juhász Andrea</t>
  </si>
  <si>
    <t>B11. Dánné Molnár Jolán</t>
  </si>
  <si>
    <t>B12. Keresztély Anna</t>
  </si>
  <si>
    <t>B13. Koleszárné Varga Györgyi</t>
  </si>
  <si>
    <t>B14. Kozmáné Hégely Éva</t>
  </si>
  <si>
    <t>B15. Megyaszai Antalné</t>
  </si>
  <si>
    <t>B16. Németné Gábris Csilla</t>
  </si>
  <si>
    <t>38. Nyári Anita(elment)</t>
  </si>
  <si>
    <t>B17. Madaras Helga (Szabóné helyén)</t>
  </si>
  <si>
    <t>B17. Szabóné Balázs Krisztina</t>
  </si>
  <si>
    <t>B18. Rutkai Andrásné</t>
  </si>
  <si>
    <t>B19. Rutkai Norbertné</t>
  </si>
  <si>
    <t>B20. Szilágyiné Rádóczi Tímea</t>
  </si>
  <si>
    <t>B21. Tóth Enikő</t>
  </si>
  <si>
    <t>B22. Ujhelyi Tamara</t>
  </si>
  <si>
    <t>B23. Vereb Miklósné</t>
  </si>
  <si>
    <t>B24. Üres álláshely</t>
  </si>
  <si>
    <t>Cím:</t>
  </si>
  <si>
    <t>1. Önkormányzat</t>
  </si>
  <si>
    <t>Bevételek</t>
  </si>
  <si>
    <t>1.1. Önkormányzatok működési támogatásai</t>
  </si>
  <si>
    <t>A helyi önkormányzatok működésének általános támogatása</t>
  </si>
  <si>
    <t xml:space="preserve"> Egyes köznevelési feladatok támogatása</t>
  </si>
  <si>
    <t>Kulturális feladatok támogatása</t>
  </si>
  <si>
    <t>Működési célú központosított előirányzatok</t>
  </si>
  <si>
    <t>Egyéb működési célú központi támogatás</t>
  </si>
  <si>
    <t>Helyi önkormányzatok kiegészítő támogatásai</t>
  </si>
  <si>
    <t>1.2. Elvonások és befizetések bevételei</t>
  </si>
  <si>
    <t>1.3. Működési célú kölcsönök visszatérülése államháztartáson belülről</t>
  </si>
  <si>
    <t>1.4. Egyéb működési célú támogatások bevételei államháztartáson belülről</t>
  </si>
  <si>
    <t>Központi költségvetési szervtől</t>
  </si>
  <si>
    <t>- Mezőőri támogatás</t>
  </si>
  <si>
    <t>- Közfoglalkoztatás támogatása</t>
  </si>
  <si>
    <t>Közhatalmi bevételek</t>
  </si>
  <si>
    <t>2.1. Vagyoni típusú adók</t>
  </si>
  <si>
    <t>Építményadó</t>
  </si>
  <si>
    <t>Telekadó</t>
  </si>
  <si>
    <t>2.2. Termékek és szolgáltatások adói</t>
  </si>
  <si>
    <t>Helyi iparűzési adó</t>
  </si>
  <si>
    <t>Gépjárműadó</t>
  </si>
  <si>
    <t>2.3. Egyéb adók</t>
  </si>
  <si>
    <t>Talajterhelési díj</t>
  </si>
  <si>
    <t>Idegenforgalmi adó</t>
  </si>
  <si>
    <t>Egyéb adóbevételek</t>
  </si>
  <si>
    <t>2.4. Egyéb közhatalmi bevételek</t>
  </si>
  <si>
    <t>Igazgatási szolgáltatási díjak</t>
  </si>
  <si>
    <t>Környezetvédelmi bírság</t>
  </si>
  <si>
    <t>Adóbírság</t>
  </si>
  <si>
    <t>Pótlékok, közhatalmi tevékenység egyéb bevételei</t>
  </si>
  <si>
    <t>3.1. Készletértékesítés ellenértéke</t>
  </si>
  <si>
    <t>3.2. Szolgáltatások ellenértéke</t>
  </si>
  <si>
    <t>Továbbszámlázott szolgáltatások bevétele</t>
  </si>
  <si>
    <t>Egyéb szolgáltatások bevétele</t>
  </si>
  <si>
    <t>3.3. Tulajdonosi bevételek</t>
  </si>
  <si>
    <t>Közterület használat</t>
  </si>
  <si>
    <t>ÉTV bérleti díj</t>
  </si>
  <si>
    <t>3.4. Ellátási díjak</t>
  </si>
  <si>
    <t>3.5. Kiszámlázott általános forgalmi adó</t>
  </si>
  <si>
    <t>3.6. Általános forgalmi adó visszatérítése</t>
  </si>
  <si>
    <t>3.7. Kamatbevételek</t>
  </si>
  <si>
    <t>3.8. Egyéb működési bevételek</t>
  </si>
  <si>
    <t>4.1. Működési célú kölcsönök visszatérülése államháztartáson kívülről</t>
  </si>
  <si>
    <t>4.2. Egyéb működési célú átvett pénzeszközök</t>
  </si>
  <si>
    <t>1.1. Felhalmozási célú önkormányzati támogatások</t>
  </si>
  <si>
    <t>1.2. Felhalmozási célú kölcsönök visszatérülése államháztartáson belülről</t>
  </si>
  <si>
    <t>1.3. Egyéb felhalmozási célú támogatások bevételei államháztartáson belülről</t>
  </si>
  <si>
    <t xml:space="preserve">2.2. Ingatlanok értékesítése </t>
  </si>
  <si>
    <t>Önkormányzati lakás értékesítés</t>
  </si>
  <si>
    <t>Telekértékesítés</t>
  </si>
  <si>
    <t>Egyéb ingatlan értékesítés</t>
  </si>
  <si>
    <t>2.3. Egyéb tárgyi eszközök értékesítése</t>
  </si>
  <si>
    <t>2.4. Részesedések értékesítése</t>
  </si>
  <si>
    <t>3.1. Felhalmozási célú támogatások, kölcsönök visszatérülése EU-tól</t>
  </si>
  <si>
    <t>3.2. Felhalmozási célú támogatások, kölcsönök visszatérülése kormányoktól, más nemzetközi szervezetektől</t>
  </si>
  <si>
    <t>3.3. Felhalmozási célú kölcsönök visszatérülése államháztartáson kívülről</t>
  </si>
  <si>
    <t>Lakáscélú hitel visszafizetése</t>
  </si>
  <si>
    <t>Munkáltatói hitel visszafizetése</t>
  </si>
  <si>
    <t>Egyéb kölcsön visszafizetése (csatornabekötésre adott, egyéb)</t>
  </si>
  <si>
    <t>3.4. Egyéb felhalmozási célú átvett pénzeszközök</t>
  </si>
  <si>
    <t>Annahegyi közműberuházás I. ütem</t>
  </si>
  <si>
    <t>Annahegyi közműberuházás II. ütem</t>
  </si>
  <si>
    <t>Felsővölgyi úti szennyvízcsatorna csatlakozás</t>
  </si>
  <si>
    <t>Szőlő utcai szennyvízcsatorna csatlakozás</t>
  </si>
  <si>
    <t>1.1. Hitel-, kölcsönfelvétel államháztartáson kívülről</t>
  </si>
  <si>
    <t>Hosszú lejáratú hitel, kölcsön felvétele</t>
  </si>
  <si>
    <t>Likviditási hitel, kölcsön felvétele</t>
  </si>
  <si>
    <t>Rövid lejáratú hitel, kölcsön felvétele</t>
  </si>
  <si>
    <t>1.2. Belföldi értékpapírok bevételei</t>
  </si>
  <si>
    <t>1.3. Maradvány igénybevétele</t>
  </si>
  <si>
    <t>Működési célú maradvány igénybevétel</t>
  </si>
  <si>
    <t>Felhalmozási célú maradvány igénybevétel</t>
  </si>
  <si>
    <t>1.4. Irányító szervi támogatás</t>
  </si>
  <si>
    <t>1.5. Betétek megszüntetése</t>
  </si>
  <si>
    <t>Külföldi finanszírozás bevételei</t>
  </si>
  <si>
    <t>2.1. Külföldi értékpapírok bevételei</t>
  </si>
  <si>
    <t>2.2. Külföldi hitel, kölcsön felvétele</t>
  </si>
  <si>
    <t>3.2. Felhalmozási célú támogatások, kölcsönök visszatérülése kormányoktól, nemzetközi szervezetektől</t>
  </si>
  <si>
    <t>Cím/ alcím</t>
  </si>
  <si>
    <t>Összesen</t>
  </si>
  <si>
    <t>VÁROSGONDNOKSÁG</t>
  </si>
  <si>
    <t>Zöldterület kezelés</t>
  </si>
  <si>
    <t>Települési hulladék begyűjtése</t>
  </si>
  <si>
    <t>Közvilágítás</t>
  </si>
  <si>
    <t>Közutak, járdák üzemeltetése, fenntartása</t>
  </si>
  <si>
    <t>Temető-fenntartás</t>
  </si>
  <si>
    <t>6.</t>
  </si>
  <si>
    <t>Orvosi rendelők fenntartása</t>
  </si>
  <si>
    <t>7.</t>
  </si>
  <si>
    <t>Sportpálya működtetése</t>
  </si>
  <si>
    <t>8.</t>
  </si>
  <si>
    <t>9.</t>
  </si>
  <si>
    <t>Lakó és nem lakó ingatlan bérbeadása, üzemeltetése</t>
  </si>
  <si>
    <t>10.</t>
  </si>
  <si>
    <t>Egyéb működési célú kiadások (elvonások, befizetések)</t>
  </si>
  <si>
    <t>11.</t>
  </si>
  <si>
    <t>12.</t>
  </si>
  <si>
    <t>Intézmények karbantartása</t>
  </si>
  <si>
    <t>13.</t>
  </si>
  <si>
    <t>14.</t>
  </si>
  <si>
    <t>15.</t>
  </si>
  <si>
    <t>Iskolai étkeztetés</t>
  </si>
  <si>
    <t>VOLF GYÖRGY KÖNYVTÁR ÉS HELYTÖRTÉNETI GYŰJTEMÉNY 2016. (az adatok ezer forintban)</t>
  </si>
  <si>
    <t>VOLF GYÖRGY KÖNYVTÁR ÉS HELYTÖRTÉNETI GYŰJTEMÉNY (az adatok ezer forintban)</t>
  </si>
  <si>
    <t>VOLF GYÖRGY KÖNYVTÁR ÉS HELYTÖRTÉNETI GYŰJTEMÉNY 2016 (az adatok ezer forintban)</t>
  </si>
  <si>
    <t>Állománygyarapítás</t>
  </si>
  <si>
    <t>Kiadások</t>
  </si>
  <si>
    <t>MŰKÖDÉSI KÖLTSÉGVETÉSI KIADÁS</t>
  </si>
  <si>
    <t>MŰKÖDÉSI KÖLTSÉGVETÉSI HIÁNY</t>
  </si>
  <si>
    <t>MŰKÖDÉSI KÖLTSÉGVETÉSI TÖBBLET</t>
  </si>
  <si>
    <t>FELHALMOZÁSI KÖLTSÉGVETÉSI KIADÁS</t>
  </si>
  <si>
    <t>FELHALMOZÁSI KÖLTSÉGVETÉSI HIÁNY</t>
  </si>
  <si>
    <t>FELHALMOZÁSI KÖLTSÉGVETÉSI TÖBBLET</t>
  </si>
  <si>
    <t>KÖLTSÉGVETÉSI KIADÁSOK ÖSSZESEN</t>
  </si>
  <si>
    <t>KÖLTSÉGVETÉSI HIÁNY ÖSSZESEN</t>
  </si>
  <si>
    <t>KÖLTSÉGVETÉSI TÖBBLET ÖSSZESEN</t>
  </si>
  <si>
    <t>FINANSZÍROZÁSI KIADÁSOK</t>
  </si>
  <si>
    <t>MŰKÖDÉSI FINANSZÍROZÁSI BEVÉTELEK</t>
  </si>
  <si>
    <t>MŰKÖDÉSI FINANSZÍROZÁSI KIADÁSOK</t>
  </si>
  <si>
    <t>Belföldi finanszírozás kiadásai</t>
  </si>
  <si>
    <t>Külföldi finanszírozás kiadásai</t>
  </si>
  <si>
    <t>FELHALMOZÁSI FINANSZÍROZÁSI BEVÉTELEK</t>
  </si>
  <si>
    <t>FELHALMOZÁSI FINANSZÍROZÁSI KIADÁSOK</t>
  </si>
  <si>
    <t>Közművelődési tevékenység</t>
  </si>
  <si>
    <t>Intézmény működtetése</t>
  </si>
  <si>
    <t>Nemzeti ünnepek programjai</t>
  </si>
  <si>
    <t>MUNKÁCSY MIHÁLY MŰVELŐDÉSI HÁZ 2016. (az adatok ezer forintban)</t>
  </si>
  <si>
    <t>MUNKÁCSY MIHÁLY MŰVELŐDÉSI HÁZ  (az adatok ezer forintban)</t>
  </si>
  <si>
    <t>MUNKÁCSY MIHÁLY MŰVELŐDÉSI HÁZ 2016 (az adatok ezer forintban)</t>
  </si>
  <si>
    <t>TÖRÖKBÁLINTI POLGÁRMESTERI HIVATAL 2016. (az adatok ezer forintban)</t>
  </si>
  <si>
    <t>Önkormányzati igazgatás</t>
  </si>
  <si>
    <t>Közfoglalkoztatás</t>
  </si>
  <si>
    <t>Védőnők</t>
  </si>
  <si>
    <t>Közterület-felügyelet</t>
  </si>
  <si>
    <t>Mezei őrszolgálat</t>
  </si>
  <si>
    <t>Segélyek</t>
  </si>
  <si>
    <t>Egyéb államigazgatási feladatok</t>
  </si>
  <si>
    <t>Egyéb béren kívüli juttatások (cafeteria)</t>
  </si>
  <si>
    <t>Albérleti hozzájárulás</t>
  </si>
  <si>
    <t>Képviselők, polgármesterek juttatásai</t>
  </si>
  <si>
    <t>Egyéb választott tisztviselők juttatásai</t>
  </si>
  <si>
    <t>B3</t>
  </si>
  <si>
    <t>)</t>
  </si>
  <si>
    <t>K4</t>
  </si>
  <si>
    <t>054</t>
  </si>
  <si>
    <t>K41</t>
  </si>
  <si>
    <t>K42</t>
  </si>
  <si>
    <t>K43</t>
  </si>
  <si>
    <t>K44</t>
  </si>
  <si>
    <t>K45</t>
  </si>
  <si>
    <t>K46</t>
  </si>
  <si>
    <t>K47</t>
  </si>
  <si>
    <t>K48</t>
  </si>
  <si>
    <t>05411</t>
  </si>
  <si>
    <t>05421</t>
  </si>
  <si>
    <t>05431</t>
  </si>
  <si>
    <t>05441</t>
  </si>
  <si>
    <t>05451</t>
  </si>
  <si>
    <t>05461</t>
  </si>
  <si>
    <t>05471</t>
  </si>
  <si>
    <t>05481</t>
  </si>
  <si>
    <t>Társadalombiztosítási ellátások</t>
  </si>
  <si>
    <t>Családi támogatások</t>
  </si>
  <si>
    <t>Pénzbeli kárpótlások, kártérítések</t>
  </si>
  <si>
    <t>Betegséggel kapcsolatos (nem tb) ellátások</t>
  </si>
  <si>
    <t>Foglalkozt., munkanélk. kapcsolatos ellátások</t>
  </si>
  <si>
    <t>Lakhatással kapcsolatos ellátások</t>
  </si>
  <si>
    <t>Intézményi ellátottak pénzbeli juttatásai</t>
  </si>
  <si>
    <t>Egyéb nem intézményi ellátások</t>
  </si>
  <si>
    <t>Ped ösztöndíj, ÁROP 2015</t>
  </si>
  <si>
    <t>2. Polgármesteri Hivatal</t>
  </si>
  <si>
    <t>Ösztöndíjas foglalkoztatás engedélyezett létszáma</t>
  </si>
  <si>
    <t>1.1. Igazgatási szolgáltatási díjak</t>
  </si>
  <si>
    <t>1.2. Egyéb közhatalmi bevételek</t>
  </si>
  <si>
    <t>2.1. Készletértékesítés ellenértéke</t>
  </si>
  <si>
    <t>2.2. Szolgáltatások ellenértéke</t>
  </si>
  <si>
    <t>POLGÁRMESTERI HIVATAL</t>
  </si>
  <si>
    <t xml:space="preserve">Önkormányzati igazgatási feladatok </t>
  </si>
  <si>
    <t>Védőnői szolgálat</t>
  </si>
  <si>
    <t>Pedagógus ösztöndíj</t>
  </si>
  <si>
    <t>ÁLLAMIGAZGATÁSI FELADATOK</t>
  </si>
  <si>
    <t xml:space="preserve">Egyéb államigazgatási feladatok </t>
  </si>
  <si>
    <t>2.3. Tulajdonosi bevételek</t>
  </si>
  <si>
    <t>2.4. Ellátási díjak</t>
  </si>
  <si>
    <t>2.5. Kiszámlázott általános forgalmi adó</t>
  </si>
  <si>
    <t>2.6. Általános forgalmi adó visszatérítése</t>
  </si>
  <si>
    <t>2.7. Kamatbevételek</t>
  </si>
  <si>
    <t>2.8. Egyéb működési bevételek</t>
  </si>
  <si>
    <t>Más közhatalmi bevételek</t>
  </si>
  <si>
    <t>Betétek megszüntetése</t>
  </si>
  <si>
    <t>5.1. Elvonások és befizetések</t>
  </si>
  <si>
    <t>5.2. Működési célú kölcsön nyújtása államháztartáson belülre</t>
  </si>
  <si>
    <t>5.3. Egyéb működési célú támogatások államháztartáson belülre</t>
  </si>
  <si>
    <t>5.4.  Egyéb működési célú támogatások államháztartáson kívülre</t>
  </si>
  <si>
    <t>5.5. Tartalékok</t>
  </si>
  <si>
    <t>Általános tartalék</t>
  </si>
  <si>
    <t>Működési céltartalék</t>
  </si>
  <si>
    <t>3.1. Felhalmozási célú kölcsönök nyújtása államháztartáson belülre</t>
  </si>
  <si>
    <t>3.2.Felhalmozási célú kölcsönök nyújtása államháztartáson kívülre</t>
  </si>
  <si>
    <t>3.3. Lakástámogatás</t>
  </si>
  <si>
    <t>3.4. Felhalmozási célú támogatások államháztartáson belülre</t>
  </si>
  <si>
    <t>3.5. Felhalmozási célú támogatások államháztartáson kívülre</t>
  </si>
  <si>
    <t>1.1. Hitel-, kölcsöntörlesztés államháztartáson kívülre</t>
  </si>
  <si>
    <t>Hosszú lejáratú hitel, kölcsön törlesztése</t>
  </si>
  <si>
    <t>Rövid lejáratú hitel, kölcsön törlesztése</t>
  </si>
  <si>
    <t>1.2. Belföldi értékpapírok kiadásai</t>
  </si>
  <si>
    <t>1.3. Államháztartáson belüli megelőlegezések visszafizetése</t>
  </si>
  <si>
    <t>1.4. Irányító szervi támogatás folyósítása</t>
  </si>
  <si>
    <t>1.5. Pénzeszközök betétként elhelyezése</t>
  </si>
  <si>
    <t>1.6. Pénzügyi lízing kiadásai</t>
  </si>
  <si>
    <t>2.1. Külföldi értékpapírok kiadásai</t>
  </si>
  <si>
    <t>2.2. Külföldi hitel, kölcsön törlesztése</t>
  </si>
  <si>
    <t>1.3. Államháztartáson belüli megelőlegezés visszafizetése</t>
  </si>
  <si>
    <t>1.4. Pénzeszközök betétként elhelyezése</t>
  </si>
  <si>
    <t>1.5. Pénzügyi lízing kiadásai</t>
  </si>
  <si>
    <t>ÖNKOMÁNYZAT</t>
  </si>
  <si>
    <t>Településrendezés, településfejlesztés</t>
  </si>
  <si>
    <t>Közparkok fenntartása, kialakítása</t>
  </si>
  <si>
    <t>Egészségügyi alapellátás</t>
  </si>
  <si>
    <t>Választás, népszavazás</t>
  </si>
  <si>
    <t>Lakás- és helyiséggazdálkodás</t>
  </si>
  <si>
    <t>Környezetegészségügy</t>
  </si>
  <si>
    <t>Helyi környezet- és természetvédelem</t>
  </si>
  <si>
    <t>Egyéb településüzemeltetési feladatok</t>
  </si>
  <si>
    <t>Segélyek kötelező</t>
  </si>
  <si>
    <t>Járóbeteg szakellátás - nőgyógyászat</t>
  </si>
  <si>
    <t>Kerékpárutak tervezése, kivitelezése</t>
  </si>
  <si>
    <t xml:space="preserve">Ifjúsági Önkormányzat </t>
  </si>
  <si>
    <t xml:space="preserve">Elhelyezés családok átmeneti otthonában </t>
  </si>
  <si>
    <t xml:space="preserve">Gyermekek átmeneti otthona </t>
  </si>
  <si>
    <t>Duna Szimfonikus Zenekar hangversenysorozat</t>
  </si>
  <si>
    <t>Kábítószerellenes Egyeztető Fórum</t>
  </si>
  <si>
    <t>Korai fejlesztés, gondozás</t>
  </si>
  <si>
    <t>Könyvvizsgálat</t>
  </si>
  <si>
    <t>Lovas járőrszolgálat</t>
  </si>
  <si>
    <t>Betegszállítás</t>
  </si>
  <si>
    <t xml:space="preserve">Tervtanács </t>
  </si>
  <si>
    <t>Médiaszolgáltatások</t>
  </si>
  <si>
    <t>16.</t>
  </si>
  <si>
    <t>17.</t>
  </si>
  <si>
    <t>Rendőrség támogatása</t>
  </si>
  <si>
    <t>18.</t>
  </si>
  <si>
    <t>19.</t>
  </si>
  <si>
    <t>20.</t>
  </si>
  <si>
    <t xml:space="preserve">Cigány Nemzetiségi Önkorm. támogatása </t>
  </si>
  <si>
    <t>21.</t>
  </si>
  <si>
    <t>Román Nemzetiségi Önkorm. Támogatása</t>
  </si>
  <si>
    <t>22.</t>
  </si>
  <si>
    <t>23.</t>
  </si>
  <si>
    <t>Orvosok, fogorvosok támogatása</t>
  </si>
  <si>
    <t>24.</t>
  </si>
  <si>
    <t>Városőrség támogatása</t>
  </si>
  <si>
    <t>25.</t>
  </si>
  <si>
    <t>Hegyőrség támogatása</t>
  </si>
  <si>
    <t>26.</t>
  </si>
  <si>
    <t>27.</t>
  </si>
  <si>
    <t>OMI támogatása</t>
  </si>
  <si>
    <t>28.</t>
  </si>
  <si>
    <t>29.</t>
  </si>
  <si>
    <t>Civil szervezetek támogatása</t>
  </si>
  <si>
    <t>30.</t>
  </si>
  <si>
    <t xml:space="preserve">Egyházak támogatása </t>
  </si>
  <si>
    <t>31.</t>
  </si>
  <si>
    <t>Sportszervezetek támogatása</t>
  </si>
  <si>
    <t>32.</t>
  </si>
  <si>
    <t xml:space="preserve">PR-Evolution Dance Company támogatása </t>
  </si>
  <si>
    <t>Gyermekek egyéb napközbeni ellátása</t>
  </si>
  <si>
    <t>34.</t>
  </si>
  <si>
    <t>Segélyek - önként vállalt</t>
  </si>
  <si>
    <t>35.</t>
  </si>
  <si>
    <t xml:space="preserve">Egyéb önként vállalt feladatok </t>
  </si>
  <si>
    <t>36.</t>
  </si>
  <si>
    <t>Egyéb fejlesztési, felújítási feladatok</t>
  </si>
  <si>
    <t>37.</t>
  </si>
  <si>
    <t>Foglalkoztatottak részére csoportos egészségbiztosítás</t>
  </si>
  <si>
    <t>Intézményfinanszírozás</t>
  </si>
  <si>
    <t>Államháztartáson belüli megelőlegezések visszafizetése</t>
  </si>
  <si>
    <t>Hitel törlesztés</t>
  </si>
  <si>
    <t>Pénzeszközök betétként elhelyezése</t>
  </si>
  <si>
    <t>Rovatkód</t>
  </si>
  <si>
    <t>Kötelező összesen 2015</t>
  </si>
  <si>
    <t>Kötelező összesen 2016</t>
  </si>
  <si>
    <t>Önként vállalt össz 2015</t>
  </si>
  <si>
    <t>Önként vállalt össz 2016</t>
  </si>
  <si>
    <t>Finansz 2015</t>
  </si>
  <si>
    <t>Finansz 2016</t>
  </si>
  <si>
    <t>Településrendezés 121001 2015. év</t>
  </si>
  <si>
    <t>Településrendezés 121001 2016. év</t>
  </si>
  <si>
    <t>Közparkok 121002 2015. év</t>
  </si>
  <si>
    <t>Közparkok 121002 2016. év</t>
  </si>
  <si>
    <t>Eü alapellátás 121004 2015. év</t>
  </si>
  <si>
    <t>Eü alapellátás 121004 2016. év</t>
  </si>
  <si>
    <t>Védőnők 121005 2015. év</t>
  </si>
  <si>
    <t>Védőnők 121005 2016. év</t>
  </si>
  <si>
    <t>Fogy sz nappali ell 121006 2015. év</t>
  </si>
  <si>
    <t>Választás 121007 2015. év</t>
  </si>
  <si>
    <t>Választás 121007 2016. év</t>
  </si>
  <si>
    <t>Helyiséggazd 121008 2015. év</t>
  </si>
  <si>
    <t>Helyiséggazd 121008 2016. év</t>
  </si>
  <si>
    <t>Környezet-eü 121009 2015. év</t>
  </si>
  <si>
    <t>Környezet-eü 121009 2016. év</t>
  </si>
  <si>
    <t>H körny és term véd 121010 2015. év</t>
  </si>
  <si>
    <t>H körny és term véd 121010 2016. év</t>
  </si>
  <si>
    <t>Ünnepek 121028 2015. év</t>
  </si>
  <si>
    <t>Ünnepek 121028 2016. év</t>
  </si>
  <si>
    <t>Egyéb telep üz fel 121011 2015. év</t>
  </si>
  <si>
    <t>Egyéb telep üz fel 121011 2016. év</t>
  </si>
  <si>
    <t>Segélyek kötelező 121029 2015. év</t>
  </si>
  <si>
    <t>Segélyek kötelező 121029 2016. év</t>
  </si>
  <si>
    <t>Járóbeteg (nőgyógy) 122001 2015. év</t>
  </si>
  <si>
    <t>Járóbeteg (nőgyógy) 122001 2016. év</t>
  </si>
  <si>
    <t>ZED kártérítés 122002 2015. év</t>
  </si>
  <si>
    <t>ZED kártérítés 122002 2016. év</t>
  </si>
  <si>
    <t>Kerékpár koncepció 122004 2015. év</t>
  </si>
  <si>
    <t>Kerékpár koncepció 122004 2016. év</t>
  </si>
  <si>
    <t>Ifjúsági ÖK 122006 2015. év</t>
  </si>
  <si>
    <t>Ifjúsági ÖK 122006 2016. év</t>
  </si>
  <si>
    <t>Bursa ösztöndíj 122007 2015. év</t>
  </si>
  <si>
    <t>Civil koncepció 122008 2015. év</t>
  </si>
  <si>
    <t>Civil koncepció 122008 2016. év</t>
  </si>
  <si>
    <t>Családok átm otthona 122009 2015. év</t>
  </si>
  <si>
    <t>Családok átm otthona 122009 2016. év</t>
  </si>
  <si>
    <t>Gyermekek átm otthona 122010 2015. év</t>
  </si>
  <si>
    <t>Gyermekek átm otthona 122010 2016. év</t>
  </si>
  <si>
    <t>Duna Szimf 122011 2015. év</t>
  </si>
  <si>
    <t>Duna Szimf 122011 2016. év</t>
  </si>
  <si>
    <t>Korai fejlesztés 122013 2015. év</t>
  </si>
  <si>
    <t>Korai fejlesztés 122013 2016. év</t>
  </si>
  <si>
    <t>Könyvvizsgálat 122014 2015. év</t>
  </si>
  <si>
    <t>Könyvvizsgálat 122014 2016. év</t>
  </si>
  <si>
    <t>Betegszáll 122018 2015. év</t>
  </si>
  <si>
    <t>Betegszáll 122018 2016. év</t>
  </si>
  <si>
    <t>Lovas járőr 122017 2015. év</t>
  </si>
  <si>
    <t>Lovas járőr 122017 2016. év</t>
  </si>
  <si>
    <t>Közterület-felügyelet 122015 2015. év</t>
  </si>
  <si>
    <t>Közterület-felügyelet 122015 2016. év</t>
  </si>
  <si>
    <t>Tervtanács 122019 2015. év</t>
  </si>
  <si>
    <t>Tervtanács 122019 2016. év</t>
  </si>
  <si>
    <t>Médiaszolg 122020 2015. év</t>
  </si>
  <si>
    <t>Médiaszolg 122020 2016. év</t>
  </si>
  <si>
    <t>Jelzőrendszeres,, támog szolg 122021 2015. év</t>
  </si>
  <si>
    <t>Jelzőrendszeres,, támog szolg 122021 2016. év</t>
  </si>
  <si>
    <t>Rendőrség tám 122023 2015. év</t>
  </si>
  <si>
    <t>Rendőrség tám 122023 2016. év</t>
  </si>
  <si>
    <t>TNÖ tám 122025 2015. év</t>
  </si>
  <si>
    <t>TNÖ tám 122025 2016. év</t>
  </si>
  <si>
    <t>CNÖ tám 122026 2015. év</t>
  </si>
  <si>
    <t>CNÖ tám 122026 2016. év</t>
  </si>
  <si>
    <t>Kaposvári E tám 122027 2015. év</t>
  </si>
  <si>
    <t>Kaposvári E tám 122027 2016. év</t>
  </si>
  <si>
    <t>Orvosok tám 122028 2015. év</t>
  </si>
  <si>
    <t>Orvosok tám 122028 2016. év</t>
  </si>
  <si>
    <t>Városőrség tám 122029 2015. év</t>
  </si>
  <si>
    <t>Városőrség tám 122029 2016. év</t>
  </si>
  <si>
    <t>Hegyőrség 2015. év</t>
  </si>
  <si>
    <t>Hegyőrség 2016. év</t>
  </si>
  <si>
    <t>Volánbusz tám 122003 2015. év</t>
  </si>
  <si>
    <t>Volánbusz tám 122003 2016. év</t>
  </si>
  <si>
    <t>BKK tám 122030 2015. év</t>
  </si>
  <si>
    <t>BKK tám 122030 2016. év</t>
  </si>
  <si>
    <t>OMI tám 122031 2015. év</t>
  </si>
  <si>
    <t>OMI tám 122031 2016. év</t>
  </si>
  <si>
    <t>Kult szerv tám 122032 2015. év</t>
  </si>
  <si>
    <t>Kult szerv tám 122032 2016. év</t>
  </si>
  <si>
    <t>Civil tám 122033 2015. év</t>
  </si>
  <si>
    <t>Civil tám 122033 2016. év</t>
  </si>
  <si>
    <t>Egyházak tám 122034 2015. év</t>
  </si>
  <si>
    <t>Egyházak tám 122034 2016. év</t>
  </si>
  <si>
    <t>Sportszer-vezetek támogatása 2015. év</t>
  </si>
  <si>
    <t>Sportszer-vezetek támogatása 2016. év</t>
  </si>
  <si>
    <t>PR Evolution 122037 2015. év</t>
  </si>
  <si>
    <t>PR Evolution 122037 2016. év</t>
  </si>
  <si>
    <t>Shaolin Kung Fu 122038 2015. év</t>
  </si>
  <si>
    <t>Shaolin Kung Fu 122038 2016. év</t>
  </si>
  <si>
    <t>Háztartások tám 122040 2015. év</t>
  </si>
  <si>
    <t>Háztartások tám 122040 2016. év</t>
  </si>
  <si>
    <t>Gyerm e. napközbeni ellátása 122041 2015. év</t>
  </si>
  <si>
    <t>Gyerm e. napközbeni ellátása 122041 2016. év</t>
  </si>
  <si>
    <t>Segélyek önként 122042 2015. év</t>
  </si>
  <si>
    <t>Segélyek önként 122042 2016. év</t>
  </si>
  <si>
    <t>Egyéb önként vállalt 122050 2015. év</t>
  </si>
  <si>
    <t>Egyéb önként vállalt 122050 2016. év</t>
  </si>
  <si>
    <t>Beruházások 2015. év</t>
  </si>
  <si>
    <t>Beruházások 2016. év</t>
  </si>
  <si>
    <t>Felújítások 2015. év</t>
  </si>
  <si>
    <t>Felújítások 2016. év</t>
  </si>
  <si>
    <t>Kedvezményes HPV oltás 2015. év</t>
  </si>
  <si>
    <t>Kábszer Egyeztető F 122012 2015. év</t>
  </si>
  <si>
    <t>Kábszer Egyeztető F 122012 2016. év</t>
  </si>
  <si>
    <t>ÁROP Szervezetfejl. 122044 2015. év</t>
  </si>
  <si>
    <t>ÁROP Szervezetfejl. 122044 2016. év</t>
  </si>
  <si>
    <t>Foglalkoztatottak részére csop eg bizt 2015. év</t>
  </si>
  <si>
    <t>Foglalkoztatottak részére csop eg bizt 2016. év</t>
  </si>
  <si>
    <t>RNÖ támogatása 2015. év</t>
  </si>
  <si>
    <t>RNÖ támogatása 2016. év</t>
  </si>
  <si>
    <t>Törvény szerinti illetmények, munkbérek</t>
  </si>
  <si>
    <t>Foglalkoztatottak egyéb juttatásai</t>
  </si>
  <si>
    <t>Nem saját foglalkoztatottnak fizetett juttatás</t>
  </si>
  <si>
    <t>K1.</t>
  </si>
  <si>
    <t>K2.</t>
  </si>
  <si>
    <t>Szakmai anyagok beszerzése</t>
  </si>
  <si>
    <t>Üzemeltetési anyagok beszerzése</t>
  </si>
  <si>
    <t>Készletbeszerzés</t>
  </si>
  <si>
    <t>Kommunikációs szolgáltatások</t>
  </si>
  <si>
    <t>Közüzemi díjak</t>
  </si>
  <si>
    <t>Bérleti és lízing díjak</t>
  </si>
  <si>
    <t>Közvetített szolgáltatások</t>
  </si>
  <si>
    <t>Egyéb szolgáltatások</t>
  </si>
  <si>
    <t>Szolgáltatási kiadások</t>
  </si>
  <si>
    <t>Kiküldetések kiadásai</t>
  </si>
  <si>
    <t>Reklám- és propagandakiadások</t>
  </si>
  <si>
    <t>Kiküldetések, reklám-, propaganda kiadások</t>
  </si>
  <si>
    <t>Működési célú előzetesen felszámított általános forgalmi adó</t>
  </si>
  <si>
    <t>Fizetendő általános forgalmi adó</t>
  </si>
  <si>
    <t>Dologi kiadások összesen</t>
  </si>
  <si>
    <t>Betegséggel kapcsolatos (nem társadalombiztosítási) ellátások</t>
  </si>
  <si>
    <t>Foglalkoztatással, munkanélküliséggel kapcsolatos ellátások</t>
  </si>
  <si>
    <t>K501</t>
  </si>
  <si>
    <t>Nemzetközi kötelezettségek</t>
  </si>
  <si>
    <t>K502</t>
  </si>
  <si>
    <t>Elvonások és befizetések</t>
  </si>
  <si>
    <t>K503</t>
  </si>
  <si>
    <t>Működési célú garancia- és kezességvállalás áht belülre</t>
  </si>
  <si>
    <t>K504</t>
  </si>
  <si>
    <t>Működési célú visszatérítendő kölcsön nyújtás áht belülre</t>
  </si>
  <si>
    <t>K505</t>
  </si>
  <si>
    <t>Működési célú visszatérítendő kölcsöntörlesztés áht belülre</t>
  </si>
  <si>
    <t>K506</t>
  </si>
  <si>
    <t>Egyéb működési célú támogatások államháztartáson belülre</t>
  </si>
  <si>
    <t>K507</t>
  </si>
  <si>
    <t>Működési célú garancia- és kezességvállalás áht kívülre</t>
  </si>
  <si>
    <t>K508</t>
  </si>
  <si>
    <t>Működési célú visszatérítendő kölcsön nyújtás áht kívülre</t>
  </si>
  <si>
    <t>K509</t>
  </si>
  <si>
    <t>Árkiegészítések, ártámogatások</t>
  </si>
  <si>
    <t>K510</t>
  </si>
  <si>
    <t>Kamattámogatások</t>
  </si>
  <si>
    <t>K511</t>
  </si>
  <si>
    <t>Egyéb működési célú támogatások államháztartáson kívülre</t>
  </si>
  <si>
    <t>K512</t>
  </si>
  <si>
    <t>Tartalékok</t>
  </si>
  <si>
    <t>K5</t>
  </si>
  <si>
    <t>Egyéb tárgyi eszközök beszerzése, létesítése</t>
  </si>
  <si>
    <t>Meglévő részesedések növeléséhez kapcsolódó kiadások</t>
  </si>
  <si>
    <t>Beruházási célú előzetesen felszámított általános forgalmi adó</t>
  </si>
  <si>
    <t>Informatikai eszközök felújítása</t>
  </si>
  <si>
    <t>Egyéb tárgyi eszközök felújítása</t>
  </si>
  <si>
    <t>Felújítási célú előzetesen felszámított általános forgalmi adó</t>
  </si>
  <si>
    <t>K81</t>
  </si>
  <si>
    <t>Felhalmozási célú garancia- és kezességváll áht belül</t>
  </si>
  <si>
    <t>K82</t>
  </si>
  <si>
    <t>Felhalmozási célú kölcsön nyújtás áht belül</t>
  </si>
  <si>
    <t>K83</t>
  </si>
  <si>
    <t>Felhalmozási célú kölcsönök törlesztése áht belül</t>
  </si>
  <si>
    <t>K84</t>
  </si>
  <si>
    <t>Egyéb felhalmozási célú támogatások államháztartáson belülre</t>
  </si>
  <si>
    <t>K85</t>
  </si>
  <si>
    <t>Felhalmozási célú garancia- és kezességváll áht kívül</t>
  </si>
  <si>
    <t>K86</t>
  </si>
  <si>
    <t>Felhalmozási célú kölcsönök nyújtása államháztartáson kívülre</t>
  </si>
  <si>
    <t>K87</t>
  </si>
  <si>
    <t>Lakástámogatás</t>
  </si>
  <si>
    <t>K88</t>
  </si>
  <si>
    <t>Egyéb felhalmozási célú támogatások államháztartáson kívülre</t>
  </si>
  <si>
    <t>K8</t>
  </si>
  <si>
    <t>K9111</t>
  </si>
  <si>
    <t>Hosszú lejáratú hitelek, kölcsönök törlesztése</t>
  </si>
  <si>
    <t>K9112</t>
  </si>
  <si>
    <t>Likviditási célú hitelek, kölcsönök törlesztése p váll.nak</t>
  </si>
  <si>
    <t>K9113</t>
  </si>
  <si>
    <t>Rövid lejáratú hitelek, kölcsönök törlesztése</t>
  </si>
  <si>
    <t>K9121</t>
  </si>
  <si>
    <t>Forgatási célú belföldi értékpapírok vásárlása</t>
  </si>
  <si>
    <t>K9122</t>
  </si>
  <si>
    <t>Forgatási célú belföldi értékpapírok beváltása</t>
  </si>
  <si>
    <t>K9123</t>
  </si>
  <si>
    <t>Befektetési célú belföldi értékpapírok vásárlása</t>
  </si>
  <si>
    <t>K9124</t>
  </si>
  <si>
    <t>Befektetési célú belföldi értékpapírok beváltása</t>
  </si>
  <si>
    <t>K913</t>
  </si>
  <si>
    <t>Államháztartáson belüli megelőlegezések folyósítása</t>
  </si>
  <si>
    <t>K914</t>
  </si>
  <si>
    <t>K915</t>
  </si>
  <si>
    <t>Központi, irányító szervi támogatás folyósítása</t>
  </si>
  <si>
    <t>K916</t>
  </si>
  <si>
    <t>K917</t>
  </si>
  <si>
    <t>Pénzügyi lízing kiadásai</t>
  </si>
  <si>
    <t>K921</t>
  </si>
  <si>
    <t>Forgatási célú külföldi értékpapírok vásárlása</t>
  </si>
  <si>
    <t>K922</t>
  </si>
  <si>
    <t>Befektetési célú külföldi értékpapírok vásárlása</t>
  </si>
  <si>
    <t>K923</t>
  </si>
  <si>
    <t>Külföldi értékpapírok beváltása</t>
  </si>
  <si>
    <t>K924</t>
  </si>
  <si>
    <t>Külföldi hitelek, kölcsönök törlesztése</t>
  </si>
  <si>
    <t>K93</t>
  </si>
  <si>
    <t>Adóssághoz nem kapcsolódó származékos ügyletek kiadásai</t>
  </si>
  <si>
    <t>K9</t>
  </si>
  <si>
    <t>Finanszírozási kiadások</t>
  </si>
  <si>
    <t>KIADÁSOK MINDÖSSZESEN</t>
  </si>
  <si>
    <t>Beruházások  feladatonként</t>
  </si>
  <si>
    <t>Ssz.</t>
  </si>
  <si>
    <t>A nettó összeg rovata</t>
  </si>
  <si>
    <t>Nettó összeg</t>
  </si>
  <si>
    <t>Áfa</t>
  </si>
  <si>
    <t>Részletező</t>
  </si>
  <si>
    <t>Önkormányzati beruházások</t>
  </si>
  <si>
    <t>Ebédlőhelyiség kialakítása, bővítése (Zimándy I. Iskola)</t>
  </si>
  <si>
    <t>Polgármesteri Hivatal</t>
  </si>
  <si>
    <t>Informatikai eszköz beszerzés</t>
  </si>
  <si>
    <t>Egyéb eszköz beszerzés</t>
  </si>
  <si>
    <t>Városgondnokság</t>
  </si>
  <si>
    <t>Nyitnikék Óvoda</t>
  </si>
  <si>
    <t>Bóbita Óvoda</t>
  </si>
  <si>
    <t>Felújítások célonként</t>
  </si>
  <si>
    <t>Önkormányzati felújítások</t>
  </si>
  <si>
    <t>ÉTV közmű felújítás</t>
  </si>
  <si>
    <t>Szérűskert Bölcsőde felújítása</t>
  </si>
  <si>
    <t>Kazáncserék (Walla József Óvoda, Bóbita Óvoda régi épület)</t>
  </si>
  <si>
    <t>Bóbita Óvoda geotermikus gépészeti rendszerének javítása</t>
  </si>
  <si>
    <t>Belső kőburkolat megerősítése a Munkácsy M. Művelődési Házban és a Volf György Könyvtárban</t>
  </si>
  <si>
    <t>Bálint M. Iskola tanétterem elektromos rendszerének korszerűsítése, szabványosítása</t>
  </si>
  <si>
    <t>Bálint M. Iskola Köztársaság téri épületében riasztórendszer felújítása</t>
  </si>
  <si>
    <t>Tantermek felújítása a Zimándy I. Iskolában</t>
  </si>
  <si>
    <t>MMMH villamosenergiát biztosító rendszer felújítása</t>
  </si>
  <si>
    <t>Intézményi felújítások</t>
  </si>
  <si>
    <t>Lakóingatlanok (53 lakás) elektromos felújítása (Városgondnokság)</t>
  </si>
  <si>
    <t>1. Általános tartalék</t>
  </si>
  <si>
    <t>2. Működési céltartalék</t>
  </si>
  <si>
    <t>2.1. Környezetvédelmi alap</t>
  </si>
  <si>
    <t>2.2. Polgármesteri keret</t>
  </si>
  <si>
    <t>2.3. Alpolgármesteri keret</t>
  </si>
  <si>
    <t>2.5. Alpolgármesteri keret (beruh.)</t>
  </si>
  <si>
    <t>2.5. Foglalkoztatottak részére egészségbiztosítás</t>
  </si>
  <si>
    <t>2.8. TTC Labdarúgó Szakosztály támogatása</t>
  </si>
  <si>
    <t>3. Felhalmozási céltartalék</t>
  </si>
  <si>
    <t>3.1. ProgressB Zrt. elkülönített számla</t>
  </si>
  <si>
    <t xml:space="preserve">3.1. Lakásalap </t>
  </si>
  <si>
    <t>3.1. Vízügyi építési alap</t>
  </si>
  <si>
    <t>3.2. Víziközmű számla</t>
  </si>
  <si>
    <t>3.2. Pályázati önrészre elkülönített céltartalék</t>
  </si>
  <si>
    <t>Összesen:</t>
  </si>
  <si>
    <t>Közfoglal-koztatás 2015</t>
  </si>
  <si>
    <t>Közfoglal-köztatás 2016</t>
  </si>
  <si>
    <t>KÖLTSÉGVETÉSI HIÁNY</t>
  </si>
  <si>
    <t>KÖLTSÉGVETÉSI TÖBBLET</t>
  </si>
  <si>
    <t>MŰKÖDÉSI EGYENLEG</t>
  </si>
  <si>
    <t>FELHALMOZÁSI EGYENLEG</t>
  </si>
  <si>
    <t>KÖLTSÉGVETÉSI EGYENLEG</t>
  </si>
  <si>
    <t>BELSŐ FINANSZÍROZÁSI FORRÁS (maradvány, betét)</t>
  </si>
  <si>
    <t>VÁRHATÓ BETÉT</t>
  </si>
  <si>
    <t>ÖSSZESEN</t>
  </si>
  <si>
    <t>Erzsébet utalvány 4,5 státuszra</t>
  </si>
  <si>
    <t>Szemüveg térítés, egyéb térítés</t>
  </si>
  <si>
    <t>FELADATOK ÖSSZESEN</t>
  </si>
  <si>
    <t>I/1</t>
  </si>
  <si>
    <t>I/2</t>
  </si>
  <si>
    <t>I/3</t>
  </si>
  <si>
    <t>I/4</t>
  </si>
  <si>
    <t>I/5</t>
  </si>
  <si>
    <t>I/6</t>
  </si>
  <si>
    <t>I/7</t>
  </si>
  <si>
    <t>I/8</t>
  </si>
  <si>
    <t>I/9</t>
  </si>
  <si>
    <t>I/10</t>
  </si>
  <si>
    <t>I/11</t>
  </si>
  <si>
    <t>I/12</t>
  </si>
  <si>
    <t>I/13</t>
  </si>
  <si>
    <t>Önkormányzati igazgatási feladatok</t>
  </si>
  <si>
    <t>I/14</t>
  </si>
  <si>
    <t>I/15</t>
  </si>
  <si>
    <t>I/16</t>
  </si>
  <si>
    <t>I/17</t>
  </si>
  <si>
    <t>I/18</t>
  </si>
  <si>
    <t>I/19</t>
  </si>
  <si>
    <t>Temető fenntartás</t>
  </si>
  <si>
    <t>I/20</t>
  </si>
  <si>
    <t>I/21</t>
  </si>
  <si>
    <t>I/22</t>
  </si>
  <si>
    <t>I/23</t>
  </si>
  <si>
    <t>I/24</t>
  </si>
  <si>
    <t>I/25</t>
  </si>
  <si>
    <t>I/26</t>
  </si>
  <si>
    <t>I/27</t>
  </si>
  <si>
    <t>Közművelődési intézmények működtetése</t>
  </si>
  <si>
    <t>I/28</t>
  </si>
  <si>
    <t>I/29</t>
  </si>
  <si>
    <t>Könyvtári állomány gyarapítása</t>
  </si>
  <si>
    <t>Múzeumi kiállítási tevékenység (Falumúzeum)</t>
  </si>
  <si>
    <t>I/30</t>
  </si>
  <si>
    <t>I/31</t>
  </si>
  <si>
    <t>I/32</t>
  </si>
  <si>
    <t>I/33</t>
  </si>
  <si>
    <t>I/34</t>
  </si>
  <si>
    <t>II/1</t>
  </si>
  <si>
    <t>II/2</t>
  </si>
  <si>
    <t>II/3</t>
  </si>
  <si>
    <t>II/4</t>
  </si>
  <si>
    <t>II/5</t>
  </si>
  <si>
    <t>Ifjúsági Önkormányzat</t>
  </si>
  <si>
    <t>Bursa Hungarica felsőokt ösztöndíj</t>
  </si>
  <si>
    <t>II/6</t>
  </si>
  <si>
    <t>II/7</t>
  </si>
  <si>
    <t>Elhelyezés családok átmeneti otthonában</t>
  </si>
  <si>
    <t>II/8</t>
  </si>
  <si>
    <t>Gyermekek átmeneti otthona</t>
  </si>
  <si>
    <t>II/9</t>
  </si>
  <si>
    <t>Duna Szimfonikus Zenekar hangversenysor.</t>
  </si>
  <si>
    <t>II/10</t>
  </si>
  <si>
    <t>II/11</t>
  </si>
  <si>
    <t>II/12</t>
  </si>
  <si>
    <t>II/13</t>
  </si>
  <si>
    <t>II/14</t>
  </si>
  <si>
    <t>II/15</t>
  </si>
  <si>
    <t>Tervtanács</t>
  </si>
  <si>
    <t>II/16</t>
  </si>
  <si>
    <t>II/17</t>
  </si>
  <si>
    <t>II/18</t>
  </si>
  <si>
    <t xml:space="preserve">Rendőrség támogatása </t>
  </si>
  <si>
    <t>II/19</t>
  </si>
  <si>
    <t>II/20</t>
  </si>
  <si>
    <t>II/21</t>
  </si>
  <si>
    <t>CNÖ támogatása</t>
  </si>
  <si>
    <t>II/22</t>
  </si>
  <si>
    <t>RNÖ támogatása</t>
  </si>
  <si>
    <t>II/23</t>
  </si>
  <si>
    <t>II/24</t>
  </si>
  <si>
    <t>II/25</t>
  </si>
  <si>
    <t>II/26</t>
  </si>
  <si>
    <t>II/27</t>
  </si>
  <si>
    <t>II/28</t>
  </si>
  <si>
    <t>II/29</t>
  </si>
  <si>
    <t>II/30</t>
  </si>
  <si>
    <t>II/31</t>
  </si>
  <si>
    <t>Egyházak támogatása</t>
  </si>
  <si>
    <t>II/34</t>
  </si>
  <si>
    <t>II/32</t>
  </si>
  <si>
    <t>II/33</t>
  </si>
  <si>
    <t>PR-Evolution Dance Company támogatása</t>
  </si>
  <si>
    <t>II/35</t>
  </si>
  <si>
    <t>II/36</t>
  </si>
  <si>
    <t>Egyéb önként vállalt kiadások</t>
  </si>
  <si>
    <t>II/37</t>
  </si>
  <si>
    <t>II/38</t>
  </si>
  <si>
    <t>Városrendészet (közterület felügyelet, mezei őrszolgálat)</t>
  </si>
  <si>
    <t>II/39</t>
  </si>
  <si>
    <t>II/40</t>
  </si>
  <si>
    <t>II/41</t>
  </si>
  <si>
    <t>III/1</t>
  </si>
  <si>
    <t>Jegyzői hatáskörbe tartozó segélyek</t>
  </si>
  <si>
    <t>III/2</t>
  </si>
  <si>
    <t>IV.</t>
  </si>
  <si>
    <t>IV/1.</t>
  </si>
  <si>
    <t>Hiteltörlesztés</t>
  </si>
  <si>
    <t>IV/2.</t>
  </si>
  <si>
    <t>IV/3.</t>
  </si>
  <si>
    <t>Pedagógus ösztöndíj 2015.</t>
  </si>
  <si>
    <t>Pedagógus ösztöndíj 2016.</t>
  </si>
  <si>
    <t>Elfogyott</t>
  </si>
  <si>
    <t>Utak</t>
  </si>
  <si>
    <t>Épületek</t>
  </si>
  <si>
    <t>Járdák</t>
  </si>
  <si>
    <t>Gyalogosátkelőhelyek</t>
  </si>
  <si>
    <t>4.2. Kápolna-Diósdi utcai gyalogosátkelőhely</t>
  </si>
  <si>
    <t>Közterületek</t>
  </si>
  <si>
    <t>Főépítészi feladatok</t>
  </si>
  <si>
    <t>6.1. Helyi Épíítési Szabályzat módosítása</t>
  </si>
  <si>
    <t>Egyéb beruházások</t>
  </si>
  <si>
    <t>VÁRHATÓ MARADVÁNY</t>
  </si>
  <si>
    <t>A MÉG KÖLTHETŐ LÓVÉ</t>
  </si>
  <si>
    <t>Ingatlanvásárlások</t>
  </si>
  <si>
    <t>8.1. Építések</t>
  </si>
  <si>
    <t>Intézményi fejlesztések</t>
  </si>
  <si>
    <t>Járda felújítások</t>
  </si>
  <si>
    <t>Kedvezményes oltás 2016. év</t>
  </si>
  <si>
    <t>Kedvezményes  oltás biztosítása</t>
  </si>
  <si>
    <t>Környezetvédelemmel kapcsolatos fejlesztések</t>
  </si>
  <si>
    <t>32. Üres álláshely (takarító)</t>
  </si>
  <si>
    <t>Tandíj (tan. Szerz. Gergye Sz. 110e/félév*2)</t>
  </si>
  <si>
    <t>Részletes lista szerint</t>
  </si>
  <si>
    <t>Kovács Anna nyugdíjazás miatti felmentés</t>
  </si>
  <si>
    <t>Szolnoki Péterné (25 év, 2 hónap)</t>
  </si>
  <si>
    <t>Domokos Péterné (25 év, 2 hó)</t>
  </si>
  <si>
    <t>11.1. Működéshez szükséges eszközbeszerzések</t>
  </si>
  <si>
    <t>Intézményi működéshez kapcsolódó eszközbeszerzés</t>
  </si>
  <si>
    <t>Vízügyi Építési Alap tartaléka</t>
  </si>
  <si>
    <t>Tanulmányi ösztöndíjak</t>
  </si>
  <si>
    <t>Tanulmányi ösztöndíjak 122007 2016. év</t>
  </si>
  <si>
    <t>A)</t>
  </si>
  <si>
    <t>BEVÉTELEK FORRÁSONKÉNT</t>
  </si>
  <si>
    <t>1.1. Tulajdonosi bevételek</t>
  </si>
  <si>
    <t>ÉTV bérleti díj és alapdíj</t>
  </si>
  <si>
    <t>1.2. Kiszámlázott általános forgalmi adó</t>
  </si>
  <si>
    <t>FELHALMOZÁSI BEVÉTELEK</t>
  </si>
  <si>
    <t xml:space="preserve"> Belföldi finanszírozás bevételei</t>
  </si>
  <si>
    <t>B)</t>
  </si>
  <si>
    <t>KIADÁSOK JOGCÍMENKÉNT ÉS FELADATONKÉNT</t>
  </si>
  <si>
    <t>1.1. Vízügyi Építési Alap céltartaléka</t>
  </si>
  <si>
    <t>V.</t>
  </si>
  <si>
    <t>VI.</t>
  </si>
  <si>
    <t>Sorszám</t>
  </si>
  <si>
    <t>01</t>
  </si>
  <si>
    <t>Helyi adók</t>
  </si>
  <si>
    <t>02</t>
  </si>
  <si>
    <t>03</t>
  </si>
  <si>
    <t>04</t>
  </si>
  <si>
    <t>05</t>
  </si>
  <si>
    <t>06</t>
  </si>
  <si>
    <t>07</t>
  </si>
  <si>
    <t>08</t>
  </si>
  <si>
    <t>09</t>
  </si>
  <si>
    <t>Saját bevételek 50%-a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</si>
  <si>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</si>
  <si>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</si>
  <si>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</si>
  <si>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</si>
  <si>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</si>
  <si>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</si>
  <si>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</si>
  <si>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</si>
  <si>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</si>
  <si>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</si>
  <si>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</si>
  <si>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</si>
  <si>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</si>
  <si>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</si>
  <si>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</si>
  <si>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</si>
  <si>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</si>
  <si>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Adatok Ft-ban</t>
  </si>
  <si>
    <t>Program jelzőszáma, megnevezése</t>
  </si>
  <si>
    <t>Pályázati önerő</t>
  </si>
  <si>
    <t>Pályázaton felüli önerő</t>
  </si>
  <si>
    <t>Támogatás</t>
  </si>
  <si>
    <t>Korábbi években</t>
  </si>
  <si>
    <t>További években</t>
  </si>
  <si>
    <t>Összesen TSZ szerint</t>
  </si>
  <si>
    <t>Összesen tényleges</t>
  </si>
  <si>
    <t>ÁROP-3.A.2-2013-2013-044 Hivatal szervezetfejlesztése</t>
  </si>
  <si>
    <t>Cím</t>
  </si>
  <si>
    <t>Alcím</t>
  </si>
  <si>
    <t>Önkormányzat</t>
  </si>
  <si>
    <t>Gazdasági szervezettel nem rendelkező költségvetési szervek</t>
  </si>
  <si>
    <t>1</t>
  </si>
  <si>
    <t>2</t>
  </si>
  <si>
    <t>3</t>
  </si>
  <si>
    <t>4</t>
  </si>
  <si>
    <t>5</t>
  </si>
  <si>
    <t>Volf György Könyvtár és Helytörténeti Gyűjtemény</t>
  </si>
  <si>
    <t>6</t>
  </si>
  <si>
    <t>Cím/alcím</t>
  </si>
  <si>
    <t>VÍZÜGYI ÉPÍTÉSI ALAP</t>
  </si>
  <si>
    <t>1/1.</t>
  </si>
  <si>
    <t>Vízügyi Építési Alap</t>
  </si>
  <si>
    <t>Környezetvédelmi Alap</t>
  </si>
  <si>
    <t>5.3. Jótállási visszatartások</t>
  </si>
  <si>
    <t>2.4. Humánpolitikai Bizottság kerete</t>
  </si>
  <si>
    <t>2.5. Városfejlesztési és Környezetvédelmi Bizottság kerete</t>
  </si>
  <si>
    <t>2.6. Pénzügyi, Jogi és Ügyrendi Bizottság kerete</t>
  </si>
  <si>
    <t>2.7. Érdekeltségi alap</t>
  </si>
  <si>
    <t>2.8. Gyermekek táboroztatása</t>
  </si>
  <si>
    <t>2.9. Törökbálinton működő iskolák szakmai programjainak támogatása</t>
  </si>
  <si>
    <t>2.10. Egyetemi kutatásokkal támogatott oktatás</t>
  </si>
  <si>
    <t>Az Önkormányzat költségvetési szerveinek létszámkerete</t>
  </si>
  <si>
    <t>Intézmény megnevezése</t>
  </si>
  <si>
    <t>Közfoglal-koztatotti létszám</t>
  </si>
  <si>
    <t>Gazdasági szervezettel rendelkező költségvetési szervek</t>
  </si>
  <si>
    <t>Önkormányzat összesen:</t>
  </si>
  <si>
    <t>Ösztöndíjas foglalkoztatás</t>
  </si>
  <si>
    <t>33. Pedagógiai asszisztens státusz 2016-tól</t>
  </si>
  <si>
    <t>Ped I. besorolás miatti többletktg (3 főnél)</t>
  </si>
  <si>
    <t>Kovács Gabriella 40 éves 5 hó * 336500 Ft/hó</t>
  </si>
  <si>
    <t>K/ÖNV</t>
  </si>
  <si>
    <t>1/2.</t>
  </si>
  <si>
    <t>KÖRNYEZETVÉDELMI ALAP</t>
  </si>
  <si>
    <t>Természetvédelemmel kapcsolatos bírság</t>
  </si>
  <si>
    <t>1.1. Önkéntes befizetések</t>
  </si>
  <si>
    <t>1.1. Kamatbevételek</t>
  </si>
  <si>
    <t>1.2. Egyéb bevételek</t>
  </si>
  <si>
    <t>1.2. Pályázati források</t>
  </si>
  <si>
    <t>1.3. Az Önkormányzatot arányosan megillető megosztott bevétel [1995. évi LIII. Tv. 58. § (6) bek.]</t>
  </si>
  <si>
    <t>Környezetvédelmi Alap céltartaléka</t>
  </si>
  <si>
    <t>Géza  fejedelem  út  melletti  park  és  vízfelület kialakítása (áthúzódó kiadás)</t>
  </si>
  <si>
    <t>Idősek nappali ell 121006 2016. év</t>
  </si>
  <si>
    <t>Időskorúak nappali ellátása</t>
  </si>
  <si>
    <t>Majális (önként vállalt)</t>
  </si>
  <si>
    <t>Majális (önként válllalt)</t>
  </si>
  <si>
    <t>Bankszámla költségtérítés</t>
  </si>
  <si>
    <t>"Jutalomkeret" belső forrásként 3%</t>
  </si>
  <si>
    <t>Jutalomkeret (3%)</t>
  </si>
  <si>
    <t>Hajdúné Kálmán Margit (családsegítés)</t>
  </si>
  <si>
    <t>Vereb Miklósné (Bölcsőde)</t>
  </si>
  <si>
    <t>Jelzőrendszeres házi segítségnyújtás, támogató szolgáltatás</t>
  </si>
  <si>
    <t>Működési célú támogatások államháztartáson belülre</t>
  </si>
  <si>
    <t>Működési célú támogatások államháztartáson kívülre</t>
  </si>
  <si>
    <t>ÖNV</t>
  </si>
  <si>
    <t>121011503</t>
  </si>
  <si>
    <t>122514</t>
  </si>
  <si>
    <t>121011504</t>
  </si>
  <si>
    <t>121011506</t>
  </si>
  <si>
    <t>122533</t>
  </si>
  <si>
    <t>122504</t>
  </si>
  <si>
    <t>121011508</t>
  </si>
  <si>
    <t>121011507</t>
  </si>
  <si>
    <t>121001</t>
  </si>
  <si>
    <t>122503</t>
  </si>
  <si>
    <t>122518</t>
  </si>
  <si>
    <t>122558</t>
  </si>
  <si>
    <t>121002501</t>
  </si>
  <si>
    <t>122551</t>
  </si>
  <si>
    <t>7</t>
  </si>
  <si>
    <t>Szérűskert Bölcsőde</t>
  </si>
  <si>
    <t>Kiadások összesen</t>
  </si>
  <si>
    <t>Fogyatékos személyek nappali ellátása</t>
  </si>
  <si>
    <t>KÜLSŐ FINANSZÍROZÁSI FORRÁS (hitel)</t>
  </si>
  <si>
    <t>VÁROSHÁZA HITEL</t>
  </si>
  <si>
    <t>2.12. Egyházak támogatása</t>
  </si>
  <si>
    <t>MŰKÖDÉSI KÖLTSÉGVETÉSI HIÁNY TARTALÉKOK NÉLKÜL</t>
  </si>
  <si>
    <t>2.15. Sport Kft. működési támogatása</t>
  </si>
  <si>
    <t xml:space="preserve">Kötelező feladatok </t>
  </si>
  <si>
    <t xml:space="preserve">Önként vállalt feladatok </t>
  </si>
  <si>
    <t xml:space="preserve">Államigaz-gatási feladatok </t>
  </si>
  <si>
    <t xml:space="preserve">Közfoglal. Létszám </t>
  </si>
  <si>
    <t xml:space="preserve">Kiadási előirányzat </t>
  </si>
  <si>
    <t xml:space="preserve">Ösztöndíjas fogl. Létszám </t>
  </si>
  <si>
    <t xml:space="preserve">Közfogl. létszám </t>
  </si>
  <si>
    <t xml:space="preserve">Közfoglal. létszám </t>
  </si>
  <si>
    <t xml:space="preserve">9. </t>
  </si>
  <si>
    <t>Szoftver fejlesztés</t>
  </si>
  <si>
    <t>Járműbeszerzés (közterület felügyelet részére)</t>
  </si>
  <si>
    <t>1.1. Baross Gábor utca felújítása (Posta-Harangláb között)</t>
  </si>
  <si>
    <t>1.4. Szent István utca felújítása (Harangláb-M.M.u.között)</t>
  </si>
  <si>
    <t>1.5. Forgalomtechnika megvalósítása</t>
  </si>
  <si>
    <t>4.1. Raktárvárosi úton gyalogosátkelőhely (DEPO)</t>
  </si>
  <si>
    <t>10.1. Parkosítás</t>
  </si>
  <si>
    <t>11.2. Pályázati forrásból megvalósuló fejlesztések (önrész)</t>
  </si>
  <si>
    <t xml:space="preserve">4.1. Épület energetikai felújítások </t>
  </si>
  <si>
    <t>4.2. Szérűskert Bölcsőde felújítása</t>
  </si>
  <si>
    <t xml:space="preserve">Dologi kiadások </t>
  </si>
  <si>
    <t>1.6. Érdi út ívében biztonsági szalagkorlát</t>
  </si>
  <si>
    <t>8.2. ÉTV Kft. Fejlesztési feladatai</t>
  </si>
  <si>
    <t>8.3. Tervezések</t>
  </si>
  <si>
    <t>Rendőrség épületének felújítása</t>
  </si>
  <si>
    <t xml:space="preserve">Törökbálintért közalapítvány </t>
  </si>
  <si>
    <t xml:space="preserve">Útfelújítások </t>
  </si>
  <si>
    <t>5.7. Buszmegállók beszerzése és telepítése</t>
  </si>
  <si>
    <t>3.3. Flóra utca páratlan oldalán járda felújítása a Kazinczy utca és a Széchenyi tér között</t>
  </si>
  <si>
    <t>3.4. Széchenyi tér déli oldalán az 1-9. szám közötti szakaszon (Károlyi-Damjanich utca között) járdafelújítás</t>
  </si>
  <si>
    <t>1225271</t>
  </si>
  <si>
    <t>122</t>
  </si>
  <si>
    <t>122506</t>
  </si>
  <si>
    <t>122520</t>
  </si>
  <si>
    <t>122521</t>
  </si>
  <si>
    <t>121011502</t>
  </si>
  <si>
    <t>121</t>
  </si>
  <si>
    <t>122557</t>
  </si>
  <si>
    <t>122065</t>
  </si>
  <si>
    <t>KÖT</t>
  </si>
  <si>
    <t xml:space="preserve">Ebből: -Német Önkormányzat Törökbálint támogatása </t>
  </si>
  <si>
    <t xml:space="preserve">              - "Csupaszív" Kétnyelvű Óvoda támogatása </t>
  </si>
  <si>
    <t xml:space="preserve">Tartalékok </t>
  </si>
  <si>
    <t xml:space="preserve">Vízügyi Építési Alap céltartaléka </t>
  </si>
  <si>
    <t>33.</t>
  </si>
  <si>
    <t xml:space="preserve">Kedvezményes oltás biztosítása </t>
  </si>
  <si>
    <t>TNÖ  támogatása</t>
  </si>
  <si>
    <r>
      <t>Német Önkormányzat Törökbálint</t>
    </r>
    <r>
      <rPr>
        <b/>
        <strike/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 xml:space="preserve"> támogatása </t>
    </r>
  </si>
  <si>
    <t>GFT fejlesztési feladatai</t>
  </si>
  <si>
    <t>1.2. Munkácsy Mihály utca II.ütem (Alsóerdősor és a Szent István u. között)</t>
  </si>
  <si>
    <t>1.3. Dózsa György utca I. ütem tervezése (M.M.u.-Rácz tér)</t>
  </si>
  <si>
    <t>1.7. Felsővár utca fejlesztése (árokfedés, részleges árokfedés, parkolósáv kialakítás)</t>
  </si>
  <si>
    <t>5.4. József Attila utca parkoló kialakítása (Temető köz és Baross u.  között)</t>
  </si>
  <si>
    <t xml:space="preserve">Csapadékvíz elvezetési munkák és közművek </t>
  </si>
  <si>
    <t>3.1. Dózsa György utca  járdafelújítása (Rác tér és Tüskevár köz között)</t>
  </si>
  <si>
    <t>3.2. Széles utcai járda felújítása a Kerekdomb és a Határ utca között (páros oldalon)</t>
  </si>
  <si>
    <t xml:space="preserve">Engedélye-zett létszám </t>
  </si>
  <si>
    <t>Középületek energetikai körszerűsítése (KEHOP pályázat)</t>
  </si>
  <si>
    <t>4.3. Norvég Alap pályázat végrehajtása</t>
  </si>
  <si>
    <t>121011523</t>
  </si>
  <si>
    <t>122564</t>
  </si>
  <si>
    <t>1210115081-2</t>
  </si>
  <si>
    <t xml:space="preserve">Eng. létszám </t>
  </si>
  <si>
    <t xml:space="preserve">Közfogl. Létszám </t>
  </si>
  <si>
    <t xml:space="preserve">Ösztöndíjas fogl. létszám </t>
  </si>
  <si>
    <t>121011526</t>
  </si>
  <si>
    <t>4.4. Walla Óvoda tetőfedésének cseréje</t>
  </si>
  <si>
    <t xml:space="preserve">3.6. József Attila utca 158 fm járda javítás </t>
  </si>
  <si>
    <t xml:space="preserve">Engedélyezett létszám eredeti ei. </t>
  </si>
  <si>
    <t>Jelzőrendszeres házi segítségnyújtás, támogató szolgálat</t>
  </si>
  <si>
    <t>VOLÁN támogatása</t>
  </si>
  <si>
    <t xml:space="preserve">VOLÁN támogatása </t>
  </si>
  <si>
    <t>122512</t>
  </si>
  <si>
    <t>122509</t>
  </si>
  <si>
    <t>122523</t>
  </si>
  <si>
    <t>122/122528</t>
  </si>
  <si>
    <t>122554</t>
  </si>
  <si>
    <t>122561-611/122577</t>
  </si>
  <si>
    <t>122569</t>
  </si>
  <si>
    <t>122571</t>
  </si>
  <si>
    <t>122574</t>
  </si>
  <si>
    <t>1210115022</t>
  </si>
  <si>
    <t>1210115081</t>
  </si>
  <si>
    <t>121011518</t>
  </si>
  <si>
    <t>121011519</t>
  </si>
  <si>
    <t>121011522</t>
  </si>
  <si>
    <t>121011524</t>
  </si>
  <si>
    <t>121011701</t>
  </si>
  <si>
    <t>122720, 121011706</t>
  </si>
  <si>
    <t>122525</t>
  </si>
  <si>
    <t>Városrendészet (közterület-felügyelet)</t>
  </si>
  <si>
    <t>Városrendészet (mezei őrszolgálat)</t>
  </si>
  <si>
    <t>Hosszú lejáratú hitel, kölcsön felvétele 2018-as engedélyeztetéssel</t>
  </si>
  <si>
    <t xml:space="preserve">2.17. Pályázati forrásból megvalósuló beruházásokhoz önerő </t>
  </si>
  <si>
    <t>121011527</t>
  </si>
  <si>
    <t>Városgondnokság városgazdálkodási kiadásai</t>
  </si>
  <si>
    <r>
      <t>3.4. Gyalogos közlekedés céljára burkolat kialakítása Károlyi-Damjanich u. és a</t>
    </r>
    <r>
      <rPr>
        <strike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Dulácska u. között. (Auchan összekötő)</t>
    </r>
  </si>
  <si>
    <t>5.8 "Sziget rendezése"</t>
  </si>
  <si>
    <t>5.1. Átkötő út (Városi főtér) kialakítása</t>
  </si>
  <si>
    <t>Elöző évekről egyéb áthúzódó tételek</t>
  </si>
  <si>
    <t>köt</t>
  </si>
  <si>
    <t>Sport Kft. Működtetése</t>
  </si>
  <si>
    <t>3.7. Köztársaság tér-Blaha sarok 5,4 m2 járdaép.</t>
  </si>
  <si>
    <t>3.5. Járdaprogram II. műszaki ellenőrzése (Kossuth, Bartók, Dózsa) és KB eljárás</t>
  </si>
  <si>
    <t>3.8. Kisfaludy u járdafelújítás (Széles u.-Bajor G. u. között)</t>
  </si>
  <si>
    <t>3.9. Temető kerítés áthelyezési munkák; Auchan parkoló torkolati kanyarív átépítése</t>
  </si>
  <si>
    <t>1.9. Bartók Béla - Baross Gábor utcák csomópontjában kiskorrekció</t>
  </si>
  <si>
    <t>1.10. Bajcsy Zs. -M7 felhajtó, csomópont tervezése</t>
  </si>
  <si>
    <t>1.11. Őrház utca körforgalom, kétirányúsítás tervezés</t>
  </si>
  <si>
    <t>2.1. Városháza kialakítása</t>
  </si>
  <si>
    <t>2.2. Hulladékudvaron melegedő, (öltöző, fűtött műhely stb.) kialakítása</t>
  </si>
  <si>
    <t>3.1. Szív utca járdafelújítás</t>
  </si>
  <si>
    <t>3.2. Táncsics M. utca járdafelújítás</t>
  </si>
  <si>
    <t xml:space="preserve">5.1. Józsefhegy utca felújítása </t>
  </si>
  <si>
    <t xml:space="preserve">5.2. Madách utca felújítása </t>
  </si>
  <si>
    <t>5.3. Vasút utca felújítása</t>
  </si>
  <si>
    <t xml:space="preserve">5.5. Térfigyelő rendszer fejlesztése </t>
  </si>
  <si>
    <t xml:space="preserve">       8.1.1. Szent István utca 29-57 között vízelvezetése</t>
  </si>
  <si>
    <t>8.4. Tükörhegyi csapadékvíz levezetésének tervezése</t>
  </si>
  <si>
    <t>8.5. Dózsa György u. vízvezeték gerinchálózat kiváltás (Tüskevár köz és Rác tér között)</t>
  </si>
  <si>
    <t>11.1. Pistályfelső vízellátásának megvalósítása</t>
  </si>
  <si>
    <t>8</t>
  </si>
  <si>
    <t>3. Gazdasági szervezettel nem rendelkező költségvetési szervek</t>
  </si>
  <si>
    <t>3/1.</t>
  </si>
  <si>
    <t>3/2.</t>
  </si>
  <si>
    <t>3/3.</t>
  </si>
  <si>
    <t>3/4.</t>
  </si>
  <si>
    <t>3/5.</t>
  </si>
  <si>
    <t>3/6.</t>
  </si>
  <si>
    <t>3/7.</t>
  </si>
  <si>
    <t>3/8.</t>
  </si>
  <si>
    <t>Könyvtári állomány gyarapítása feladat kiadásai</t>
  </si>
  <si>
    <t>Könyvtári állomány gyarapítása, nyilvántartása feladat kiadásai</t>
  </si>
  <si>
    <t>5.2. Géza fejedelem Park ("Nádastó Park") kialakítása, kisajátítás, kivitelezés megkezdése /kisajátítás/</t>
  </si>
  <si>
    <t>2018. évi eredeti előirányzat</t>
  </si>
  <si>
    <t xml:space="preserve">11.2. Egyéb eszközbeszerzések </t>
  </si>
  <si>
    <t xml:space="preserve">11.3. Alsóerdősor utcai sportpálya beruházási kiadásai </t>
  </si>
  <si>
    <t xml:space="preserve">Választás </t>
  </si>
  <si>
    <t>II/42</t>
  </si>
  <si>
    <t xml:space="preserve">3.5.Felhalmozási c. garancia- és kezességváll-ból szárm. megtér.  Államháztartáson kivülről  </t>
  </si>
  <si>
    <t xml:space="preserve">BMI és Sportközpont garanciális munkáira </t>
  </si>
  <si>
    <t xml:space="preserve">2.4. Bálint Márton iskola épületének (Óvoda u.) garanciális javítása
</t>
  </si>
  <si>
    <t xml:space="preserve">Egyéb felhalmozási célú tám. ÁH belülre </t>
  </si>
  <si>
    <t>2018. 06.30-i teljesítés</t>
  </si>
  <si>
    <t>DOLOGI (ÁFA stb)</t>
  </si>
  <si>
    <t>DOLOGI</t>
  </si>
  <si>
    <t>Működési célú támogatáok államháztartáson kívülre</t>
  </si>
  <si>
    <t>1.4. Államháztartáson belüli megelőlegezés</t>
  </si>
  <si>
    <t>1.2. Államháztartáson belüli megelőlegezés</t>
  </si>
  <si>
    <t xml:space="preserve">Elszámolásból származó bevételek </t>
  </si>
  <si>
    <t xml:space="preserve">4.2. Zimándy Iskola mosdó felújítás </t>
  </si>
  <si>
    <t>1.12. Úthálózat fejlesztése Tb. Anna-hegyen (ZP-1-2017)</t>
  </si>
  <si>
    <t>ŐNV</t>
  </si>
  <si>
    <t>122583</t>
  </si>
  <si>
    <t>3.3. Járdafelújítás (BMÖFT/7-1/2018 pályázat)</t>
  </si>
  <si>
    <t xml:space="preserve">2.5. Új bölcsőde tervezése, építése
</t>
  </si>
  <si>
    <t>121011530</t>
  </si>
  <si>
    <t xml:space="preserve">Engedélyezett létszám módosított ei. </t>
  </si>
  <si>
    <t>2018. évi módosított előirányzat - 4.</t>
  </si>
  <si>
    <t xml:space="preserve">8.6. Kazinczy u. 62-64. előtti járda víztelenítése </t>
  </si>
  <si>
    <t>2.6. Köztársaság tér 8-9. átépítése</t>
  </si>
  <si>
    <t>5.9. Sportpark és futókör kialakítása</t>
  </si>
  <si>
    <t>2.3. Temető búcsúztatóház építési eng,terve+kerítés áthelyezés</t>
  </si>
  <si>
    <t>1.8. Virágos utca útépítése (tervezés, kártalanítás, útstabilizálás)</t>
  </si>
  <si>
    <t>2018. évi várható teljesítés</t>
  </si>
  <si>
    <t>2019. évi eredeti előirányzat</t>
  </si>
  <si>
    <t>2019. évi módosított előirányzat - 1.</t>
  </si>
  <si>
    <t xml:space="preserve">KAB-ME-18-KMR pályázat </t>
  </si>
  <si>
    <t>3/7. Szérűskert Bölcsőde</t>
  </si>
  <si>
    <t>2019. évi módosított előirányzat - 2.</t>
  </si>
  <si>
    <t>2019. évi módosított előirányzat - 3.</t>
  </si>
  <si>
    <t>2019. évi módosított előirányzat - 4.</t>
  </si>
  <si>
    <t>3/8. Törökbálinti Városgondnokság</t>
  </si>
  <si>
    <t>3/6. Segítő Kéz Szolgálat</t>
  </si>
  <si>
    <t>3/5. Volf György Könyvtár és Helytörténeti Gyűjtemény</t>
  </si>
  <si>
    <t>3/4. Munkácsy Mihály Művelődési Ház</t>
  </si>
  <si>
    <t>3/3. Törökbálinti Bóbita Óvoda</t>
  </si>
  <si>
    <t>3/2. Törökbálinti Nyitnikék Óvoda</t>
  </si>
  <si>
    <t>3/1. Walla József Óvoda</t>
  </si>
  <si>
    <t>2018. évi módosított előirányzat - 5.</t>
  </si>
  <si>
    <t>Államháztartáson belüli megelőlegezés</t>
  </si>
  <si>
    <t>Fejlesztési projekt feladatok</t>
  </si>
  <si>
    <t>I/35</t>
  </si>
  <si>
    <t>Egyéb fejlesztési projekt feladatok</t>
  </si>
  <si>
    <t>sorszám</t>
  </si>
  <si>
    <t>projekt kód</t>
  </si>
  <si>
    <t>Eredeti előirányzat</t>
  </si>
  <si>
    <t>Indokolás</t>
  </si>
  <si>
    <t>Őrház utca kétirányúsítás és körforgalom tervezése</t>
  </si>
  <si>
    <t>Tervezés</t>
  </si>
  <si>
    <t>közbeszerzési eljárás során kötendő szerződés 2019ben</t>
  </si>
  <si>
    <t>Közbeszerzés lebonyolítása</t>
  </si>
  <si>
    <t>Madách utca felújítása</t>
  </si>
  <si>
    <t>Útfelújítás</t>
  </si>
  <si>
    <t>Település forgalomtechnikai átalakítása</t>
  </si>
  <si>
    <t>Kivitelezés I.ütem</t>
  </si>
  <si>
    <t>Testületi határozat szerint</t>
  </si>
  <si>
    <t>Katona József utca</t>
  </si>
  <si>
    <t>További 5 db párna lerakása vagy virágládákkal, pollerekkel kell kiegészíteni a meglévő, 1 db párnákat. Az 1 db-ban meghatározott forgalomlassító párnákat a padka igénybevételével kikerülik, erősen erodálva a padkát.</t>
  </si>
  <si>
    <t>Ida majorba vezető út karbantartása</t>
  </si>
  <si>
    <t>Kivitelezés</t>
  </si>
  <si>
    <t>Teljes útfeleület 30 %-nak javítása kőzúzalékkal, hengerléssel</t>
  </si>
  <si>
    <t>Dózsa György utca felújítása (Rác tér - Tüskevár köz)</t>
  </si>
  <si>
    <t xml:space="preserve">460fm út Aszfalt kopóréteg készítése, szegélyépítéssel (10MFt), 4,5m szélességgel (30mFt), </t>
  </si>
  <si>
    <t>Belterületi és külterületi szilárd és nem szilárd burkolatú utak javítása</t>
  </si>
  <si>
    <t>Kv-ben nem a fejlesztési vagy felújítási előirányzatokhoz való</t>
  </si>
  <si>
    <t>Település teljes területén, alapvetően hengerelt aszfalttal történő útjavítás előreláthatólag legalább 150 hibahelyen különféle kiterjedésben
2018 évi közbeszerzés alapján évente 45.000.000.-Ft szükséges</t>
  </si>
  <si>
    <t>Lakossági forrás bevonásával megvalósuló utak fejlesztése üdülő/külterületeken</t>
  </si>
  <si>
    <t>A település teljes területén havaria munkák elvégzése (út/csapadék)</t>
  </si>
  <si>
    <t>Előre nem látható közterületen keletkezett hibák javítása</t>
  </si>
  <si>
    <t>270 m Kazinczy u. és Széles u. között</t>
  </si>
  <si>
    <t>Bölcsőde építése</t>
  </si>
  <si>
    <t>támogatás 400.000.000.-, (támogatás 50%-a előlegként igényelhető) saját forrás összesen 294.987.981.-, befejezés 2020.09.01.</t>
  </si>
  <si>
    <t>Műszaki ellenőrzés</t>
  </si>
  <si>
    <t>PM_BOLCSODEFEJLESZTES_2018 beadandó projekt összeállítása, beadása, koordinálása</t>
  </si>
  <si>
    <t>Bóbita óvoda (Árpád utca)</t>
  </si>
  <si>
    <t>Fűtés és hűtés kialakítása/megoldása</t>
  </si>
  <si>
    <t>Bóbita óvoda (Bajcsy-Zs.u.)</t>
  </si>
  <si>
    <t>Javítások, beszerzések vegyesen</t>
  </si>
  <si>
    <t>Walla József óvoda</t>
  </si>
  <si>
    <t>Nyitnikék óvoda</t>
  </si>
  <si>
    <t>Csupaszív óvoda</t>
  </si>
  <si>
    <t>Zimándy Iskola</t>
  </si>
  <si>
    <t>Mosdó-felújítások folytatása</t>
  </si>
  <si>
    <t>(I.em.lány vizesblokk 7,2mFt)</t>
  </si>
  <si>
    <t>Bálint Márton Iskola (Köztársaság tér)</t>
  </si>
  <si>
    <t>Bálint Márton Iskola játszótér eszközök és burkolat felújítása</t>
  </si>
  <si>
    <t>Érdi tankerületi Központtal együtt közösen, össz.10mFt-os munka</t>
  </si>
  <si>
    <t>Bálint Márton Iskola (Óvoda utca)</t>
  </si>
  <si>
    <t>Felét a tankerülettől igényelni</t>
  </si>
  <si>
    <t>bevételi oldalon is szerepeltetni</t>
  </si>
  <si>
    <t>Közterületek / területek</t>
  </si>
  <si>
    <t>Belső városi tó kialakítása (Géza f.u.mellett)</t>
  </si>
  <si>
    <t>Tervezői művezetés</t>
  </si>
  <si>
    <t>Géza fejedelem park</t>
  </si>
  <si>
    <t xml:space="preserve">2066/1 hrsz, kisajátítás kártalanítási összeg miatti perben jövőre várható ítéletre számítva, Az ítélet meghozataláig nem lehet pontos számot mondani, de a jelenleg ismert, a bíróság által kirendelt szakértő által készített értékbecslés 76.000.000Ft-ról szól. </t>
  </si>
  <si>
    <t>Temető</t>
  </si>
  <si>
    <t>Kivitelezés I. ütem</t>
  </si>
  <si>
    <t>Temető I. ütem kiv. Megkezdése, parcella kitűzés, hársfasor ültetése</t>
  </si>
  <si>
    <t>Temetőbővítés-urnafal építéshez kőfaragó munkák</t>
  </si>
  <si>
    <t>A már megkötött kerítésépítés szerződés mellé ez csak a kőfaragó munkákra vonatkozik.</t>
  </si>
  <si>
    <t>Térfigyelő rendszer fejlesztése</t>
  </si>
  <si>
    <t>Ida major fejlesztés, 2 db kamera</t>
  </si>
  <si>
    <t>Meglévő hálózat fejlesztése belterületen</t>
  </si>
  <si>
    <t>Piac kialakítás</t>
  </si>
  <si>
    <t>Pályázati önrész: 33.528.000.-</t>
  </si>
  <si>
    <t>Járda javítások a településen</t>
  </si>
  <si>
    <t>Klf. Szerkezetű járdák javítása cca. 300 m2 felületen</t>
  </si>
  <si>
    <t>Köztársaság tér járda pollerezés</t>
  </si>
  <si>
    <t>Báthori utca járda javítása</t>
  </si>
  <si>
    <t>435m</t>
  </si>
  <si>
    <t>Petőfi s.u.járda javítása</t>
  </si>
  <si>
    <t>előirányzatot emelni</t>
  </si>
  <si>
    <t>~500m</t>
  </si>
  <si>
    <t xml:space="preserve">310 m </t>
  </si>
  <si>
    <t>Csapadékvízelvezetések</t>
  </si>
  <si>
    <t>Patak zártszelvény felújítása, Munkácsy Mihály utca I-III. ütem alatt</t>
  </si>
  <si>
    <t>Meglévő hálózat hibáinak javítása</t>
  </si>
  <si>
    <t>Károlyi utca csapadékvízelvezetés felújítása</t>
  </si>
  <si>
    <t>Szakaszhatár: játszótér és a Kinizsi utca között (300 fm)</t>
  </si>
  <si>
    <t>Hunyadi utca árok felújítása</t>
  </si>
  <si>
    <t>Józsefhegyi utca csapadékvíz elvezetés tervezése</t>
  </si>
  <si>
    <t>30 m rácsos folyóka építése (500 mm)</t>
  </si>
  <si>
    <t>Rác tér csapadékvíz-elvezető rendszer felbővítése</t>
  </si>
  <si>
    <t>Kádár Komplexnek engedélyes terve volt rá. A Dózsa György utcai felújításhoz elengedhetetlen</t>
  </si>
  <si>
    <t>Kossuth Lajos utca I. ütem csapadékvíz elvezetés</t>
  </si>
  <si>
    <t>Közművek</t>
  </si>
  <si>
    <t>VII.</t>
  </si>
  <si>
    <t>Zöldterületi, környezetvédelmi fejlesztések</t>
  </si>
  <si>
    <t>Erdőterületek</t>
  </si>
  <si>
    <t>Karbantartások</t>
  </si>
  <si>
    <t>Utak tisztítása, csapadékvízelvezetők tisztítása, javítása, műtárgyak karbantartása. Eddig a Környezetvédelmi Alap terhére történtek ezek a munkálatok. Elsősorban a benőtt utak takarítása, a feltöltődött csapadékvízelvezetők tisztítása jelent rendszeres költséget, de a tornapálya elemek, a tanösvény táblák, a madármegfigyelő állomás és a pihenők bútorzata is igényel minden évben karbantartást.</t>
  </si>
  <si>
    <t>Jóléti fejlesztések</t>
  </si>
  <si>
    <t>Tornapálya bővítés, ismeretterjesztő műtárgyak elhelyezése, madáretetők cseréje, és további, a jóléti célokat elősegítő erdei fejlesztések. (Környezetvédelmi Alap)  Az erdőben a rekreációs célokat szolgáló területek fejlesztésével hozzájárulunk a lakosság pihenő-idejének hasznos eltöltéséhez, egészségéhez, valamint funkciókkal látva el egyes területeket elvonhatók az emberek azokról az erdei területekről, ahol az élővilág védelme érdekében kerülendő az emberi jelenlét.</t>
  </si>
  <si>
    <t>Tétényi fensík</t>
  </si>
  <si>
    <t>Oktatás-nevelési célú feladatok</t>
  </si>
  <si>
    <t xml:space="preserve">Tematikus nap lebonyolítása az összes törökbálinti 3. évfolyamos osztály részére. Helyszín előkészítése, busz szervezése, segédanyagok elkészítése, lebonyolító állatmenhely támogatása          </t>
  </si>
  <si>
    <t>Város egész területe</t>
  </si>
  <si>
    <t>Növénytelepítések</t>
  </si>
  <si>
    <t>Tavaszi-őszi fásítások, kivágott fák pótlása, kisebb zöldfelületi igények kiszolgálása</t>
  </si>
  <si>
    <t>Illegális szemétlerakatok felszámolása</t>
  </si>
  <si>
    <t>Konténerek rendelése, szemétszedési akciók szervezése, megelőzéshez szükséges munkák (sorompó telepítések, árkolások, sáncolások)</t>
  </si>
  <si>
    <t>Megkezdett kerékpárhálózat befejezése</t>
  </si>
  <si>
    <t xml:space="preserve">Kiviteli tervek, kivitelezés (burkolati jelek felfestése, táblázása). Évekig folyamatosan történt kerékpárhálózati fejlesztés utolsó szakasza elmaradt. Az eredeti koncepció megvalósítására Képviselő-testületi határozat van, ennek ellenére a 2018-as költségvetés nem biztosított forrást az utolsó szakasz megvalósítására. Ha az utolsó szakasz is felfestésre kerül, akkor teljessé válik az eredeti koncepció szerinti belterületi hálózat, mely a város igényeihez igazodva mérsékelt fejlesztési összegből biztosítja a kerékpáros közlekedés biztonságát a településen. </t>
  </si>
  <si>
    <t>Kényszerkaszálás</t>
  </si>
  <si>
    <t>Parlagfű- és allergén gyommentesítés, államigazgatási hatósági ügyekben keletkező költség.</t>
  </si>
  <si>
    <t>Gondozatlan közterület kaszálása (közterületi parlagfű is)</t>
  </si>
  <si>
    <t xml:space="preserve">2018-ban több közterületi parlagfüves eset miatt kapott az önkormányzat bírságot, mert a parlagfüves eljárásokban helyrajziszám alapján azonosítják be a tulajdonosokat. Igaz a helyi rendelet szerint szabályozva van, hogy a magánterület melletti közterületet hogyan kell karbantartani, de ha ennek nem tudunk érvényt szerezni, akkor a Járási hivatal az ellenőrzései alkalmával a tulajdonosra, vagyis az önkormányzatra ró ki bírságot jogosan, amit nem tudunk tovább terhelni. A helyi rendelet szerint nem a városgondnokság kaszálja ezeket a területeket, csak azt, ami nekik be van tervezve, de ezek az esetek nem tervezhetők. A kényszerkaszálás a fent írtak miatt nem lehetséges, de ugyanazzal a kényszerkaszálóval kötnénk egy másik szerződést az elhanyagolt közterületekre. A költségekre egy adott alapösszegre van szükség kezdetben, amelynek a folyamatos pótlását a bírságok bevétele biztosítaná.                </t>
  </si>
  <si>
    <t>Átkötő út</t>
  </si>
  <si>
    <t>Parkosítás</t>
  </si>
  <si>
    <t>Növénytelepítés és vízkivételi helyek kialakítása kézi öntözéshez. Talajcsere 100m3, faültetés (25db) talajjavítással, cserjeültetés 1290 db, vízkivételi helyek kialakítása 3 db)</t>
  </si>
  <si>
    <t>Munkácsy 79.</t>
  </si>
  <si>
    <t>VIII.</t>
  </si>
  <si>
    <t>Vagyongazdálkodás</t>
  </si>
  <si>
    <t>Munkácsy M. u. 44., 46., 50.</t>
  </si>
  <si>
    <t>15/1, 16/1, 18/1 hrsz tényleges kiürítése érdekében szükséges intézkedések.A városközpont fejleszthetősége érdekében szükséges mozgásteret biztosítani az érintett ingatlanok rendezése érdekében. A tavalyi keretből 2 „új” lakáshoz jutottunk. A Munkácsy 46-ból 5 bérlőt (és családtagjaikat) kell elhelyezni, a Munkácsy 44-ben 8-10 „potenciális hajléktalan” sorsa megoldatlan, mert nem jogosultjai a kisajátítási kártalanításnak vagy, ha örökösök (leendő jogosultak), a kártalanítás pénzösszege sokfelé oszlik, mértéke hosszú távú lakhatási lehetőség megoldására elégtelen.</t>
  </si>
  <si>
    <t>Árpád u. 21.</t>
  </si>
  <si>
    <t>2191/5 hrsz, ~50-60m2 lakóház használatra alkalmassá tétele, felújítása/átalakítása</t>
  </si>
  <si>
    <t>Hegyalja u., Lovarda és gombapince</t>
  </si>
  <si>
    <t>nagy értékű önkormányzati tulajdonok (9001, 9002, 90013 hrsz) és beékelődött magántulajdonú ingatlanok (0166/3, 0166/14 hrsz), teljes felmérés és vagyonértékelés a rendezetlen - önkormányzat számára előnytelen - bérleti és tulajdoni viszonyok tisztázása érdekében (~7 hektár területen föld feletti és alatti létesítmények tömegével!)</t>
  </si>
  <si>
    <t>Pistály, Hangár köz</t>
  </si>
  <si>
    <t>az épület kiürítése után műszaki szakvélemények alapján állagmegóvás / használatra alkalmassá tétel / bontás?</t>
  </si>
  <si>
    <t>Dulácska tó</t>
  </si>
  <si>
    <t>169/2014. (V.22.) ÖK határozattal 350.000 Ft-os vételi ajánlat tett az önkormányzat, de lehet, hogy ennél jóval magasabb összeget kér az NFA. Ma már 15 mFt-ig polgármesteri hatáskör a vétel, ill. kisajátítás is elképzelhető (testületi hatáskör).</t>
  </si>
  <si>
    <t>Kazinczy u. 1. kerítés építés</t>
  </si>
  <si>
    <t>Fogyatékos személyeK nappali ellátása</t>
  </si>
  <si>
    <t>Díjak, pótlékok, bírságok, települési adók</t>
  </si>
  <si>
    <t>Immateriális javak, ingatlanok és egyéb tárgyi eszközök értékesítése</t>
  </si>
  <si>
    <t>Részesedések értékesítése és részesedések megszüntetéséhez kapcsolódó bevételek</t>
  </si>
  <si>
    <t>Privatizációbol származó bevételek</t>
  </si>
  <si>
    <t>Garancia- és kezességvállalásból származó megtérülések</t>
  </si>
  <si>
    <t>Saját bevételek (01+…+07)</t>
  </si>
  <si>
    <t>Hitelből eredő fizetési kötelezettség</t>
  </si>
  <si>
    <t>Kölcsönből eredő fizetési kötelezettség</t>
  </si>
  <si>
    <t>Hitelviszonyt megtestesítő értékpapírból eredő fizetési kötelezettség</t>
  </si>
  <si>
    <t>Adott váltóból eredő fizetési kötelezettség</t>
  </si>
  <si>
    <t>Pénzügyi lízingből eredő fizetési kötelezettség</t>
  </si>
  <si>
    <t>Halasztott fizetés, részletfizetés fizetési kötelezettsége</t>
  </si>
  <si>
    <t>Szerződésben kikötött visszavásárlási kötelezettség</t>
  </si>
  <si>
    <t>Kezesség-, és garanciavállalásból eredő fizetési kötelezettség</t>
  </si>
  <si>
    <t>Előző év(ek)ben keletkezett fizetési kötelezettség (11+…+18)</t>
  </si>
  <si>
    <t>Tárgyévben keletkezett, illetve keletkező, tárgyévet terhelő fizetési kötelezettség (20+…+27)</t>
  </si>
  <si>
    <t>Fizetési kötelezettség összesen (10+19)</t>
  </si>
  <si>
    <t>Fizetési kötelezettséggel csökkentett saját bevétel (09-28)</t>
  </si>
  <si>
    <t>Határ utca felújítása</t>
  </si>
  <si>
    <t>Köztársaság téri 1. épület átalakítása</t>
  </si>
  <si>
    <t>Köztársaság téri 2. épület átalakítása</t>
  </si>
  <si>
    <t>Könyvtár átkötő rész javítása</t>
  </si>
  <si>
    <t>Játszótér felújítási program</t>
  </si>
  <si>
    <t>Járdák felújítása</t>
  </si>
  <si>
    <t>Csapadékvíz elvezetés kiépítésének pályázati önrésze Anna hegyen</t>
  </si>
  <si>
    <t>Vízkárelhárítási feladatok végrehajtása</t>
  </si>
  <si>
    <t>Tarttalékok</t>
  </si>
  <si>
    <t>Majális, nemzeti ünnepek szervezése, lebonyolítása</t>
  </si>
  <si>
    <t>,</t>
  </si>
  <si>
    <t>Projektfeladatok, fejlesztések</t>
  </si>
  <si>
    <t>Intézmények fejlesztései/felújításai</t>
  </si>
  <si>
    <t>Betétek lekötése</t>
  </si>
  <si>
    <t>Dologi kiadások K3</t>
  </si>
  <si>
    <t>Beruházások K6</t>
  </si>
  <si>
    <t>Felújítások K7</t>
  </si>
  <si>
    <t xml:space="preserve">Focipálya épület felújítása </t>
  </si>
  <si>
    <t>Balassy Bálint u – Jurasits u – Szondi utca, Rácsos folyóka</t>
  </si>
  <si>
    <t>egyéb feladatok</t>
  </si>
  <si>
    <t>IX.</t>
  </si>
  <si>
    <t>Intézmények beruházásai/fejlesztései</t>
  </si>
  <si>
    <t>ÖNKORMÁNYZATI FEJLESZTÉSEK ÖSSZESEN</t>
  </si>
  <si>
    <t>FEJLESZTÉSEK ÖSSZESEN</t>
  </si>
  <si>
    <t>3.1. Helyi értékvédelemmel kapcsolatos feladatok</t>
  </si>
  <si>
    <t>Vízügyi Építési Alap céltartaléka</t>
  </si>
  <si>
    <t>Adatok forintban</t>
  </si>
  <si>
    <t>Pályázatok</t>
  </si>
  <si>
    <t>180/2017.(IX.21.)ÖK</t>
  </si>
  <si>
    <t>Egyéb településüzemeltetési feladatok (projektek)</t>
  </si>
  <si>
    <t>38.</t>
  </si>
  <si>
    <t>Idősek tanácsa</t>
  </si>
  <si>
    <t>39.</t>
  </si>
  <si>
    <t>Önkormányzatiság 30 éves jubileuma</t>
  </si>
  <si>
    <t>40.</t>
  </si>
  <si>
    <t>nettó</t>
  </si>
  <si>
    <t>HÉSZ módosítása, egyéb szellemi termék főépítészi feladat keretében</t>
  </si>
  <si>
    <t>csapadékvíz gyűjtéshez edények</t>
  </si>
  <si>
    <t>Új bölcsőde építése</t>
  </si>
  <si>
    <t xml:space="preserve">Piac kialakítása </t>
  </si>
  <si>
    <t xml:space="preserve">Csupaszív óvoda bővítése (tornaterem) </t>
  </si>
  <si>
    <t xml:space="preserve">Városgondnokság telepén sótároló tervezése, kivitelezése </t>
  </si>
  <si>
    <t xml:space="preserve">Térfigyelő rendszer fejlesztése </t>
  </si>
  <si>
    <t>Bóbita óvoda (Bajcsy-Zs. u.)</t>
  </si>
  <si>
    <t>Lakossági forrás bevonásával megvalósuló útfejlesztések</t>
  </si>
  <si>
    <t>Beruházások összesen:</t>
  </si>
  <si>
    <t>Felújítások összesen:</t>
  </si>
  <si>
    <t>szelektív hulladék gyűjtő edények</t>
  </si>
  <si>
    <t>Közlekedési koncepció-1. Állapotfelmérés</t>
  </si>
  <si>
    <t>Közlekedési koncepció-2. Közúti biztonsági felülvizsgálat</t>
  </si>
  <si>
    <t>Útjavítások (keret)</t>
  </si>
  <si>
    <t>Gépjárművek beszerzése (Unimog, teherautó, gépkocsi) lízing keretében. Elektromos autó közterületen  lévő növények  locsolásához</t>
  </si>
  <si>
    <t>Fejlesztési céltartalék</t>
  </si>
  <si>
    <t>Anna hegy</t>
  </si>
  <si>
    <t>Mesél a múlt - Törökbálinti pórtrék című kötet megjelenítése</t>
  </si>
  <si>
    <t>II/43</t>
  </si>
  <si>
    <t>Idősek Tanácsa</t>
  </si>
  <si>
    <t>II/44</t>
  </si>
  <si>
    <t>41.</t>
  </si>
  <si>
    <t>Kötet megjelenítése (Mesél a múlt)</t>
  </si>
  <si>
    <t xml:space="preserve">Egyéb felhalmozási célú kiadások </t>
  </si>
  <si>
    <t>Egyéb felhalmozási kiadások</t>
  </si>
  <si>
    <t>Önkormányzat fejlesztései összesen:</t>
  </si>
  <si>
    <t xml:space="preserve">7. </t>
  </si>
  <si>
    <t>2.18. Helyi esélyegyenlőségi program 8/2019.(I.21.) ÖK</t>
  </si>
  <si>
    <t>Felhalmozási célú támogatások államháztartáson kívülre</t>
  </si>
  <si>
    <t>Társadalombiztosítás pénzügyi alapjaiból (NEAK támogatás)</t>
  </si>
  <si>
    <t>Walla óvoda felújítási keret</t>
  </si>
  <si>
    <t>Nyitnikék óvoda felújítási keret</t>
  </si>
  <si>
    <t>Walla óvoda udvari gumiburkolat és eszközök felújítása</t>
  </si>
  <si>
    <t>Könyvtár ívóvíz vízvezeték hálózatának részleges cseréje</t>
  </si>
  <si>
    <t>Intézményi beruházások összesen:</t>
  </si>
  <si>
    <t>111/2017. (V. 25.) ÖK határozat - Szabadság tér - Liba kompozíció</t>
  </si>
  <si>
    <t>Egyéb közmű felújítás</t>
  </si>
  <si>
    <t>Vízügyi Építési Alap céltartalék terhére végzett felújítások</t>
  </si>
  <si>
    <t xml:space="preserve"> Magyarország gazdasági stabilitásáról szóló 2011. évi CXCIV törvény 8. § (2) bekezdése szerinti adósságot keletkeztető ügyletek és a kezességvállalásokból fennálló kötelezettségek </t>
  </si>
  <si>
    <t>2020. évben</t>
  </si>
  <si>
    <r>
      <t>Sportközpont területén strandmedence</t>
    </r>
    <r>
      <rPr>
        <strike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tervezése, előkészítése</t>
    </r>
  </si>
  <si>
    <t>42.</t>
  </si>
  <si>
    <t>43.</t>
  </si>
  <si>
    <t>Majális rendezvény</t>
  </si>
  <si>
    <t>Rét fesztivál 1 napos rendezvény</t>
  </si>
  <si>
    <t>Félmaraton rendezvény</t>
  </si>
  <si>
    <t>44.</t>
  </si>
  <si>
    <t>45.</t>
  </si>
  <si>
    <t>Rendezvények</t>
  </si>
  <si>
    <t>Egyéb rendezvények</t>
  </si>
  <si>
    <t>46.</t>
  </si>
  <si>
    <t>Trianóni békediktátum 100. évfordulója</t>
  </si>
  <si>
    <t>Törökbálint Város Önkormányzatának beruházásai</t>
  </si>
  <si>
    <t>Törökbálint Város Önkormányzatának felújításai</t>
  </si>
  <si>
    <t>Önkormányzati intézmények beruházásai</t>
  </si>
  <si>
    <t xml:space="preserve">Polgármesteri Hivatal kisértékű tárgyieszköz beszerzési kerete </t>
  </si>
  <si>
    <t xml:space="preserve">Walla óvoda  kisértékű tárgyieszköz beszerzési kerete </t>
  </si>
  <si>
    <t>Könyvtár könyvtári állomány gyarapítása</t>
  </si>
  <si>
    <t>Nyitníkék óvoda kisértékű tárgyieszközök beszerzési kerete</t>
  </si>
  <si>
    <t>Bóbita óvoda kisértékű tárgyieszközök beszserzési kerete</t>
  </si>
  <si>
    <t>Művelődési Ház kisértékű tárgyieszköz beszerzési kerete</t>
  </si>
  <si>
    <t>Segítő kéz Szolgálat kisértékű tárgyieszközök beszerzési kerete</t>
  </si>
  <si>
    <t>Bölcsőde kisértékű tárgyieszközök beszerzési kerete</t>
  </si>
  <si>
    <t>Városgondnokság kisértékű tárgyieszköz beszerzési kerete</t>
  </si>
  <si>
    <t>ebből:</t>
  </si>
  <si>
    <t>Törökbálint Város Önkormányzata és intézmények fejlesztései összesen:</t>
  </si>
  <si>
    <t>Közlekedési koncepció-3. Fenntartható Városi Mobilitási terv (SUMP)</t>
  </si>
  <si>
    <t>Walla óvoda: teraszok árnéykolása, videókamera és állvány beszerzése</t>
  </si>
  <si>
    <t>Nyitnikék óvoda: öltöző szekrények és informatiaki eszközök beszerzése</t>
  </si>
  <si>
    <t>Bóbita óvoda: informatikai eszközök beszerzése</t>
  </si>
  <si>
    <t>Művelődési Ház: hang- és fénytechnika beszerzése</t>
  </si>
  <si>
    <t>Könyvtár: informatikai eszközök beszerzése</t>
  </si>
  <si>
    <t>Városgondnokság: feladatok ellátásáhot tartozó bezserzési keret</t>
  </si>
  <si>
    <t>részletező</t>
  </si>
  <si>
    <t>ÉTV közműfelújítások</t>
  </si>
  <si>
    <t>Gyalogós átkelőhely tervezése Érdi út - Meredek utca csomópontban</t>
  </si>
  <si>
    <t>"Közösségi Költségvetés Tervezés" program előkészítése</t>
  </si>
  <si>
    <t>Riczu Imre emlékverseny</t>
  </si>
  <si>
    <t>sor szám</t>
  </si>
  <si>
    <t>47.</t>
  </si>
  <si>
    <t>COVID-19 védekezéssel kapcsolatos kiadások</t>
  </si>
  <si>
    <t>Ellátottak pénzbeli juttatásai COVID-19</t>
  </si>
  <si>
    <t>II/45</t>
  </si>
  <si>
    <t>Önkormányzati intézmények felújításai</t>
  </si>
  <si>
    <t>Intézményi felújítások összesen:</t>
  </si>
  <si>
    <t>Adat forintban</t>
  </si>
  <si>
    <t>Józsefhegyi u. ivóvíz- szennyvízvezeték, csapadékvíz elvezetésének tervezése</t>
  </si>
  <si>
    <t>Határ utca részleges felújítása (csapadékvíz elvezetési rendszerrel)</t>
  </si>
  <si>
    <t>Hegyalja u. Lovarda környékének csapadékvíz elvezetés I.ütem</t>
  </si>
  <si>
    <t>Járda térköves helyreállítása Alsóerdősor u.</t>
  </si>
  <si>
    <t>Őrház u. közművei fejlesztése, körforgalom építésénektervezése</t>
  </si>
  <si>
    <t>Erdészeti fejlesztések (2/c melléklet I./9. feladat)</t>
  </si>
  <si>
    <t>Kékes u.-Rozmaring u. felső szakasz vízvezeték tervezése</t>
  </si>
  <si>
    <t>Alsóerdősor u. sportpálya hálózatbővítés bekötése</t>
  </si>
  <si>
    <t>üres sor</t>
  </si>
  <si>
    <t>Csapadékvíz elvezetési feladatok</t>
  </si>
  <si>
    <t>Jövedelemadók</t>
  </si>
  <si>
    <t>27.1</t>
  </si>
  <si>
    <t>T-Bálint Labdarugó Akadémia Sportegyesület támogatása</t>
  </si>
  <si>
    <t>II/27.1</t>
  </si>
  <si>
    <t>Futókör</t>
  </si>
  <si>
    <t>4/2020 polgármesteri döntés (állami tulajdonú ingatlanok vétele)</t>
  </si>
  <si>
    <t>2.16. T-Bálint Labdarugó Akadémia Sportegyesület</t>
  </si>
  <si>
    <t>Művelődési Ház térburkolat és elektromos sorompó felújítása</t>
  </si>
  <si>
    <t xml:space="preserve">Forgalom technika </t>
  </si>
  <si>
    <t>Önkormányzati lakás (Prikoll)</t>
  </si>
  <si>
    <t xml:space="preserve">COVID-19 informatikai (digitális oktatáshoz) és egyéb eszközök beszerzése </t>
  </si>
  <si>
    <t>2.7. Kamatbevételek, kártérítések</t>
  </si>
  <si>
    <t>Mobilházak elhelyezése (közműbekötések tervdokumentáció)</t>
  </si>
  <si>
    <t>Nyár u. 30 ingatlan átalakítása szolgálati lakásnak</t>
  </si>
  <si>
    <t>2.14. Egyes közszolgáltatásokat éríntő bérintézkedések kiadásainak támogatására</t>
  </si>
  <si>
    <t xml:space="preserve">Államigazgatási feladatok </t>
  </si>
  <si>
    <t xml:space="preserve">3. </t>
  </si>
  <si>
    <t>I/36.</t>
  </si>
  <si>
    <t xml:space="preserve">2. </t>
  </si>
  <si>
    <t xml:space="preserve">MH zajvédőfal építése </t>
  </si>
  <si>
    <t>Helyi önkormányzattól</t>
  </si>
  <si>
    <t>Társulűstól és költs.szervétől működési célú támogatás</t>
  </si>
  <si>
    <t>Járda építés Bajcsy Petőfi-Jókai u. között páros oldalon</t>
  </si>
  <si>
    <t>P+R parkoló DEPO területén</t>
  </si>
  <si>
    <t>Egyéb fejezeto kezelésű előirányzatok</t>
  </si>
  <si>
    <t>Munkácsy Mihály Művelődési Ház felújításai</t>
  </si>
  <si>
    <t>2021. évi tervezett előirányzat</t>
  </si>
  <si>
    <t>1.3. Szolgáltatás bevétele</t>
  </si>
  <si>
    <t>Egyéb kiadás</t>
  </si>
  <si>
    <t>2.11. Minimálbér és garantált bérminimum 2021. évi emelésének rendezése</t>
  </si>
  <si>
    <t>2.13.  Humán Alap</t>
  </si>
  <si>
    <t>2021. évi bevételi előirányzat</t>
  </si>
  <si>
    <t>2021. évi kiadási előirányzat</t>
  </si>
  <si>
    <t>1.4. Rácz Zug vízbekötés lakossági befizetések</t>
  </si>
  <si>
    <t>Pistály-Szabadházihegy ivóvíz tanulmányterv</t>
  </si>
  <si>
    <t xml:space="preserve">Rácz Zug vízbekötés </t>
  </si>
  <si>
    <t>ebből 144/2019.(VIII.21.)ÖK alapján</t>
  </si>
  <si>
    <t>Önkormányzat által biztosított forrás</t>
  </si>
  <si>
    <t>Beruházások és felújítások</t>
  </si>
  <si>
    <t>I. Városfejelsztési feladatok</t>
  </si>
  <si>
    <t>Extrém sportpálya</t>
  </si>
  <si>
    <t>Auchan mögötti útszakasz kivitelezése</t>
  </si>
  <si>
    <t>Városgondnokság felújítási feladatok</t>
  </si>
  <si>
    <t>működési maradvány 
(2020. évi működési költségvetési többlet)</t>
  </si>
  <si>
    <t>felhalmozási maradvány 
(2020. évi felhalmozási költségvetési többlet)</t>
  </si>
  <si>
    <t>Felhalmozási céltartalék</t>
  </si>
  <si>
    <t>Törökbálint Város Önkormányzata 2021. évi címrendje</t>
  </si>
  <si>
    <t>2021. év</t>
  </si>
  <si>
    <t xml:space="preserve">2021. évi eredeti előirányzat </t>
  </si>
  <si>
    <t>2021. évi eredeti előirányzat</t>
  </si>
  <si>
    <t>2021. év módosított előirányzat 
I.</t>
  </si>
  <si>
    <t>2021. évi módosított előirányzat I.</t>
  </si>
  <si>
    <t>2021. évi teljesítés 2021.03.31</t>
  </si>
  <si>
    <t>2021. évi teljesítés 2021.05.31</t>
  </si>
  <si>
    <t>2021. évi teljesítés
2021.05.31</t>
  </si>
  <si>
    <t>2021. évi teljesítés 
2021.05.31</t>
  </si>
  <si>
    <t>Ortofotó</t>
  </si>
  <si>
    <t>K3 Dologi</t>
  </si>
  <si>
    <t>K6 Beruházások</t>
  </si>
  <si>
    <t>K7 Felújítások</t>
  </si>
  <si>
    <t>Egyéb működési célú támogatások</t>
  </si>
  <si>
    <t>Egyéb beruházások, fejlesztések</t>
  </si>
  <si>
    <t>Munkácsy Mihály u. csapadék zárszelvény kiviteli terve</t>
  </si>
  <si>
    <t>Törökbálint új főterének tervezése</t>
  </si>
  <si>
    <t>0205/3 hrsz felépítményének megvétele</t>
  </si>
  <si>
    <t>Trianoni békediktátum 100. évfordulója</t>
  </si>
  <si>
    <t>Egyes szociális és gyermek jóléti feladatok támogatása</t>
  </si>
  <si>
    <t>Gyermekétkeztetési feladatok támogatása</t>
  </si>
  <si>
    <t xml:space="preserve">2021. évi módosított előirányzat </t>
  </si>
  <si>
    <t>2021.05.31.-i várható teljesítés</t>
  </si>
  <si>
    <t>Árpád utca felújítása (önerő pályázati forráshoz)</t>
  </si>
  <si>
    <t>2020. évi kötelezettségek</t>
  </si>
  <si>
    <t>Zártkert Program pályázati forrás</t>
  </si>
  <si>
    <t>Vízkárelhárítás gördülő fejlesztési terve (33/2021.(III.31.) ÖK_PM)</t>
  </si>
  <si>
    <t xml:space="preserve">Engedélyezett létszám módosított előirányzat </t>
  </si>
  <si>
    <t>Egészségügyi alapellátás fejlesztése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</si>
</sst>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F_t_-;\-* #,##0.00\ _F_t_-;_-* &quot;-&quot;??\ _F_t_-;_-@_-"/>
    <numFmt numFmtId="165" formatCode="#,##0.0"/>
    <numFmt numFmtId="166" formatCode="0.0"/>
    <numFmt numFmtId="167" formatCode="#,##0\ _F_t"/>
    <numFmt numFmtId="168" formatCode="#,###"/>
    <numFmt numFmtId="169" formatCode="#,##0_ ;[Red]\-#,##0\ "/>
    <numFmt numFmtId="170" formatCode="_-* #,##0\ _F_t_-;\-* #,##0\ _F_t_-;_-* &quot;-&quot;??\ _F_t_-;_-@_-"/>
    <numFmt numFmtId="171" formatCode="_-* #,##0.0\ _F_t_-;\-* #,##0.0\ _F_t_-;_-* &quot;-&quot;??\ _F_t_-;_-@_-"/>
    <numFmt numFmtId="172" formatCode="#,##0_ ;\-#,##0\ "/>
    <numFmt numFmtId="173" formatCode="0.00000%"/>
  </numFmts>
  <fonts count="7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i/>
      <sz val="8"/>
      <name val="Times New Roman"/>
      <family val="1"/>
      <charset val="1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Arial"/>
      <family val="2"/>
      <charset val="238"/>
    </font>
    <font>
      <b/>
      <sz val="16"/>
      <name val="Times New Roman"/>
      <family val="1"/>
      <charset val="238"/>
    </font>
    <font>
      <sz val="8"/>
      <name val="Arial"/>
      <family val="2"/>
      <charset val="238"/>
    </font>
    <font>
      <b/>
      <strike/>
      <sz val="11"/>
      <name val="Calibri"/>
      <family val="2"/>
      <charset val="238"/>
    </font>
    <font>
      <strike/>
      <sz val="11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charset val="238"/>
    </font>
    <font>
      <sz val="11"/>
      <name val="Times New Roman"/>
      <family val="1"/>
      <charset val="238"/>
    </font>
    <font>
      <strike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0"/>
      <name val="Times New Roman"/>
      <family val="1"/>
      <charset val="1"/>
    </font>
    <font>
      <sz val="11"/>
      <name val="Calibri"/>
      <family val="2"/>
      <charset val="238"/>
      <scheme val="minor"/>
    </font>
    <font>
      <b/>
      <sz val="24"/>
      <color theme="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36"/>
      <color theme="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24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11"/>
        <bgColor indexed="49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22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C00000"/>
        <b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22"/>
      </patternFill>
    </fill>
    <fill>
      <patternFill patternType="solid">
        <fgColor theme="1"/>
        <bgColor indexed="64"/>
      </patternFill>
    </fill>
    <fill>
      <patternFill patternType="solid">
        <fgColor rgb="FF009900"/>
        <bgColor indexed="64"/>
      </patternFill>
    </fill>
    <fill>
      <patternFill patternType="gray0625">
        <bgColor rgb="FFFFFF00"/>
      </patternFill>
    </fill>
    <fill>
      <patternFill patternType="gray0625">
        <bgColor theme="4" tint="0.59999389629810485"/>
      </patternFill>
    </fill>
    <fill>
      <patternFill patternType="solid">
        <fgColor theme="4" tint="0.59999389629810485"/>
        <bgColor indexed="64"/>
      </patternFill>
    </fill>
    <fill>
      <patternFill patternType="gray0625">
        <bgColor theme="6" tint="0.3999755851924192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23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7">
    <xf numFmtId="0" fontId="0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5" fillId="0" borderId="0" applyFill="0" applyBorder="0" applyAlignment="0" applyProtection="0"/>
    <xf numFmtId="164" fontId="6" fillId="0" borderId="0" applyFill="0" applyBorder="0" applyAlignment="0" applyProtection="0"/>
    <xf numFmtId="0" fontId="36" fillId="0" borderId="0"/>
    <xf numFmtId="0" fontId="6" fillId="0" borderId="0"/>
    <xf numFmtId="0" fontId="7" fillId="0" borderId="0"/>
    <xf numFmtId="0" fontId="2" fillId="0" borderId="0"/>
    <xf numFmtId="9" fontId="8" fillId="0" borderId="0" applyFont="0" applyFill="0" applyBorder="0" applyAlignment="0" applyProtection="0"/>
    <xf numFmtId="9" fontId="7" fillId="0" borderId="0" applyFill="0" applyAlignment="0" applyProtection="0"/>
    <xf numFmtId="0" fontId="6" fillId="0" borderId="0"/>
    <xf numFmtId="164" fontId="6" fillId="0" borderId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1179">
    <xf numFmtId="0" fontId="0" fillId="0" borderId="0" xfId="0"/>
    <xf numFmtId="49" fontId="3" fillId="0" borderId="0" xfId="10" applyNumberFormat="1" applyFont="1" applyAlignment="1">
      <alignment horizontal="center" vertical="center"/>
    </xf>
    <xf numFmtId="3" fontId="3" fillId="2" borderId="1" xfId="10" applyNumberFormat="1" applyFont="1" applyFill="1" applyBorder="1" applyAlignment="1">
      <alignment horizontal="center" vertical="center" wrapText="1"/>
    </xf>
    <xf numFmtId="49" fontId="3" fillId="0" borderId="0" xfId="10" applyNumberFormat="1" applyFont="1" applyAlignment="1">
      <alignment vertical="center"/>
    </xf>
    <xf numFmtId="49" fontId="4" fillId="0" borderId="0" xfId="10" applyNumberFormat="1" applyFont="1" applyAlignment="1">
      <alignment horizontal="left" vertical="center"/>
    </xf>
    <xf numFmtId="49" fontId="4" fillId="0" borderId="0" xfId="10" applyNumberFormat="1" applyFont="1" applyAlignment="1">
      <alignment vertical="center"/>
    </xf>
    <xf numFmtId="3" fontId="4" fillId="0" borderId="0" xfId="10" applyNumberFormat="1" applyFont="1" applyAlignment="1">
      <alignment vertical="center"/>
    </xf>
    <xf numFmtId="49" fontId="3" fillId="3" borderId="1" xfId="10" applyNumberFormat="1" applyFont="1" applyFill="1" applyBorder="1" applyAlignment="1">
      <alignment horizontal="left" vertical="center"/>
    </xf>
    <xf numFmtId="49" fontId="3" fillId="3" borderId="1" xfId="10" applyNumberFormat="1" applyFont="1" applyFill="1" applyBorder="1" applyAlignment="1">
      <alignment vertical="center"/>
    </xf>
    <xf numFmtId="38" fontId="3" fillId="3" borderId="1" xfId="10" applyNumberFormat="1" applyFont="1" applyFill="1" applyBorder="1" applyAlignment="1">
      <alignment vertical="center"/>
    </xf>
    <xf numFmtId="3" fontId="3" fillId="3" borderId="1" xfId="10" applyNumberFormat="1" applyFont="1" applyFill="1" applyBorder="1" applyAlignment="1">
      <alignment vertical="center"/>
    </xf>
    <xf numFmtId="49" fontId="5" fillId="0" borderId="1" xfId="10" applyNumberFormat="1" applyFont="1" applyBorder="1" applyAlignment="1">
      <alignment horizontal="left" vertical="center"/>
    </xf>
    <xf numFmtId="49" fontId="5" fillId="0" borderId="1" xfId="10" applyNumberFormat="1" applyFont="1" applyBorder="1" applyAlignment="1">
      <alignment vertical="center"/>
    </xf>
    <xf numFmtId="38" fontId="5" fillId="0" borderId="1" xfId="10" applyNumberFormat="1" applyFont="1" applyBorder="1" applyAlignment="1">
      <alignment vertical="center"/>
    </xf>
    <xf numFmtId="3" fontId="5" fillId="0" borderId="1" xfId="10" applyNumberFormat="1" applyFont="1" applyBorder="1" applyAlignment="1">
      <alignment vertical="center"/>
    </xf>
    <xf numFmtId="49" fontId="5" fillId="0" borderId="0" xfId="10" applyNumberFormat="1" applyFont="1" applyAlignment="1">
      <alignment vertical="center"/>
    </xf>
    <xf numFmtId="49" fontId="3" fillId="4" borderId="1" xfId="10" applyNumberFormat="1" applyFont="1" applyFill="1" applyBorder="1" applyAlignment="1">
      <alignment horizontal="left" vertical="center"/>
    </xf>
    <xf numFmtId="49" fontId="3" fillId="4" borderId="1" xfId="10" applyNumberFormat="1" applyFont="1" applyFill="1" applyBorder="1" applyAlignment="1">
      <alignment vertical="center"/>
    </xf>
    <xf numFmtId="38" fontId="3" fillId="4" borderId="1" xfId="10" applyNumberFormat="1" applyFont="1" applyFill="1" applyBorder="1" applyAlignment="1">
      <alignment vertical="center"/>
    </xf>
    <xf numFmtId="3" fontId="3" fillId="4" borderId="1" xfId="10" applyNumberFormat="1" applyFont="1" applyFill="1" applyBorder="1" applyAlignment="1">
      <alignment vertical="center"/>
    </xf>
    <xf numFmtId="49" fontId="3" fillId="5" borderId="1" xfId="10" applyNumberFormat="1" applyFont="1" applyFill="1" applyBorder="1" applyAlignment="1">
      <alignment horizontal="left" vertical="center"/>
    </xf>
    <xf numFmtId="49" fontId="3" fillId="5" borderId="1" xfId="10" applyNumberFormat="1" applyFont="1" applyFill="1" applyBorder="1" applyAlignment="1">
      <alignment vertical="center"/>
    </xf>
    <xf numFmtId="38" fontId="3" fillId="5" borderId="1" xfId="10" applyNumberFormat="1" applyFont="1" applyFill="1" applyBorder="1" applyAlignment="1">
      <alignment vertical="center"/>
    </xf>
    <xf numFmtId="3" fontId="3" fillId="5" borderId="1" xfId="10" applyNumberFormat="1" applyFont="1" applyFill="1" applyBorder="1" applyAlignment="1">
      <alignment vertical="center"/>
    </xf>
    <xf numFmtId="49" fontId="4" fillId="0" borderId="1" xfId="10" applyNumberFormat="1" applyFont="1" applyBorder="1" applyAlignment="1">
      <alignment horizontal="left" vertical="center"/>
    </xf>
    <xf numFmtId="49" fontId="4" fillId="0" borderId="1" xfId="10" applyNumberFormat="1" applyFont="1" applyBorder="1" applyAlignment="1">
      <alignment vertical="center"/>
    </xf>
    <xf numFmtId="3" fontId="4" fillId="0" borderId="1" xfId="10" applyNumberFormat="1" applyFont="1" applyBorder="1" applyAlignment="1">
      <alignment vertical="center"/>
    </xf>
    <xf numFmtId="0" fontId="2" fillId="0" borderId="0" xfId="10"/>
    <xf numFmtId="3" fontId="3" fillId="6" borderId="1" xfId="10" applyNumberFormat="1" applyFont="1" applyFill="1" applyBorder="1" applyAlignment="1">
      <alignment vertical="center"/>
    </xf>
    <xf numFmtId="38" fontId="40" fillId="11" borderId="1" xfId="1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right"/>
    </xf>
    <xf numFmtId="0" fontId="39" fillId="12" borderId="36" xfId="0" applyFont="1" applyFill="1" applyBorder="1" applyAlignment="1">
      <alignment horizontal="center" vertical="center"/>
    </xf>
    <xf numFmtId="0" fontId="39" fillId="12" borderId="36" xfId="0" applyFont="1" applyFill="1" applyBorder="1"/>
    <xf numFmtId="3" fontId="39" fillId="12" borderId="36" xfId="0" applyNumberFormat="1" applyFont="1" applyFill="1" applyBorder="1"/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3" fontId="0" fillId="0" borderId="36" xfId="0" applyNumberFormat="1" applyBorder="1"/>
    <xf numFmtId="0" fontId="0" fillId="0" borderId="36" xfId="0" applyBorder="1"/>
    <xf numFmtId="3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37" fillId="13" borderId="3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3" fontId="0" fillId="0" borderId="36" xfId="0" applyNumberFormat="1" applyBorder="1" applyAlignment="1">
      <alignment horizontal="right" vertical="center" wrapText="1"/>
    </xf>
    <xf numFmtId="0" fontId="39" fillId="0" borderId="0" xfId="0" applyFont="1"/>
    <xf numFmtId="3" fontId="3" fillId="2" borderId="3" xfId="10" applyNumberFormat="1" applyFont="1" applyFill="1" applyBorder="1" applyAlignment="1">
      <alignment horizontal="center" vertical="center" wrapText="1"/>
    </xf>
    <xf numFmtId="3" fontId="3" fillId="2" borderId="4" xfId="10" applyNumberFormat="1" applyFont="1" applyFill="1" applyBorder="1" applyAlignment="1">
      <alignment horizontal="center" vertical="center" wrapText="1"/>
    </xf>
    <xf numFmtId="3" fontId="4" fillId="0" borderId="0" xfId="10" applyNumberFormat="1" applyFont="1" applyBorder="1" applyAlignment="1">
      <alignment vertical="center"/>
    </xf>
    <xf numFmtId="3" fontId="3" fillId="3" borderId="4" xfId="10" applyNumberFormat="1" applyFont="1" applyFill="1" applyBorder="1" applyAlignment="1">
      <alignment vertical="center"/>
    </xf>
    <xf numFmtId="3" fontId="5" fillId="0" borderId="4" xfId="10" applyNumberFormat="1" applyFont="1" applyBorder="1" applyAlignment="1">
      <alignment vertical="center"/>
    </xf>
    <xf numFmtId="38" fontId="3" fillId="4" borderId="4" xfId="10" applyNumberFormat="1" applyFont="1" applyFill="1" applyBorder="1" applyAlignment="1">
      <alignment vertical="center"/>
    </xf>
    <xf numFmtId="38" fontId="3" fillId="5" borderId="4" xfId="10" applyNumberFormat="1" applyFont="1" applyFill="1" applyBorder="1" applyAlignment="1">
      <alignment vertical="center"/>
    </xf>
    <xf numFmtId="38" fontId="5" fillId="0" borderId="4" xfId="10" applyNumberFormat="1" applyFont="1" applyBorder="1" applyAlignment="1">
      <alignment vertical="center"/>
    </xf>
    <xf numFmtId="38" fontId="40" fillId="11" borderId="4" xfId="10" applyNumberFormat="1" applyFont="1" applyFill="1" applyBorder="1" applyAlignment="1">
      <alignment vertical="center"/>
    </xf>
    <xf numFmtId="3" fontId="4" fillId="0" borderId="4" xfId="10" applyNumberFormat="1" applyFont="1" applyBorder="1" applyAlignment="1">
      <alignment vertical="center"/>
    </xf>
    <xf numFmtId="3" fontId="3" fillId="4" borderId="4" xfId="10" applyNumberFormat="1" applyFont="1" applyFill="1" applyBorder="1" applyAlignment="1">
      <alignment vertical="center"/>
    </xf>
    <xf numFmtId="3" fontId="3" fillId="5" borderId="4" xfId="10" applyNumberFormat="1" applyFont="1" applyFill="1" applyBorder="1" applyAlignment="1">
      <alignment vertical="center"/>
    </xf>
    <xf numFmtId="3" fontId="3" fillId="6" borderId="4" xfId="10" applyNumberFormat="1" applyFont="1" applyFill="1" applyBorder="1" applyAlignment="1">
      <alignment vertical="center"/>
    </xf>
    <xf numFmtId="3" fontId="3" fillId="2" borderId="5" xfId="10" applyNumberFormat="1" applyFont="1" applyFill="1" applyBorder="1" applyAlignment="1">
      <alignment horizontal="center" vertical="center" wrapText="1"/>
    </xf>
    <xf numFmtId="3" fontId="4" fillId="0" borderId="5" xfId="10" applyNumberFormat="1" applyFont="1" applyBorder="1" applyAlignment="1">
      <alignment vertical="center"/>
    </xf>
    <xf numFmtId="49" fontId="3" fillId="7" borderId="5" xfId="10" applyNumberFormat="1" applyFont="1" applyFill="1" applyBorder="1" applyAlignment="1">
      <alignment horizontal="center" vertical="center"/>
    </xf>
    <xf numFmtId="3" fontId="3" fillId="3" borderId="5" xfId="10" applyNumberFormat="1" applyFont="1" applyFill="1" applyBorder="1" applyAlignment="1">
      <alignment vertical="center"/>
    </xf>
    <xf numFmtId="3" fontId="5" fillId="0" borderId="5" xfId="10" applyNumberFormat="1" applyFont="1" applyBorder="1" applyAlignment="1">
      <alignment vertical="center"/>
    </xf>
    <xf numFmtId="38" fontId="3" fillId="4" borderId="5" xfId="10" applyNumberFormat="1" applyFont="1" applyFill="1" applyBorder="1" applyAlignment="1">
      <alignment vertical="center"/>
    </xf>
    <xf numFmtId="38" fontId="3" fillId="5" borderId="5" xfId="10" applyNumberFormat="1" applyFont="1" applyFill="1" applyBorder="1" applyAlignment="1">
      <alignment vertical="center"/>
    </xf>
    <xf numFmtId="38" fontId="5" fillId="0" borderId="5" xfId="10" applyNumberFormat="1" applyFont="1" applyBorder="1" applyAlignment="1">
      <alignment vertical="center"/>
    </xf>
    <xf numFmtId="38" fontId="40" fillId="11" borderId="5" xfId="10" applyNumberFormat="1" applyFont="1" applyFill="1" applyBorder="1" applyAlignment="1">
      <alignment vertical="center"/>
    </xf>
    <xf numFmtId="3" fontId="3" fillId="4" borderId="5" xfId="10" applyNumberFormat="1" applyFont="1" applyFill="1" applyBorder="1" applyAlignment="1">
      <alignment vertical="center"/>
    </xf>
    <xf numFmtId="3" fontId="3" fillId="5" borderId="5" xfId="10" applyNumberFormat="1" applyFont="1" applyFill="1" applyBorder="1" applyAlignment="1">
      <alignment vertical="center"/>
    </xf>
    <xf numFmtId="3" fontId="3" fillId="6" borderId="5" xfId="10" applyNumberFormat="1" applyFont="1" applyFill="1" applyBorder="1" applyAlignment="1">
      <alignment vertical="center"/>
    </xf>
    <xf numFmtId="0" fontId="2" fillId="0" borderId="6" xfId="10" applyBorder="1"/>
    <xf numFmtId="0" fontId="2" fillId="0" borderId="0" xfId="10" applyBorder="1"/>
    <xf numFmtId="3" fontId="4" fillId="0" borderId="6" xfId="10" applyNumberFormat="1" applyFont="1" applyBorder="1" applyAlignment="1">
      <alignment vertical="center"/>
    </xf>
    <xf numFmtId="3" fontId="3" fillId="2" borderId="7" xfId="10" applyNumberFormat="1" applyFont="1" applyFill="1" applyBorder="1" applyAlignment="1">
      <alignment horizontal="center" vertical="center" wrapText="1"/>
    </xf>
    <xf numFmtId="3" fontId="4" fillId="0" borderId="7" xfId="10" applyNumberFormat="1" applyFont="1" applyBorder="1" applyAlignment="1">
      <alignment vertical="center"/>
    </xf>
    <xf numFmtId="49" fontId="3" fillId="7" borderId="7" xfId="10" applyNumberFormat="1" applyFont="1" applyFill="1" applyBorder="1" applyAlignment="1">
      <alignment horizontal="center" vertical="center"/>
    </xf>
    <xf numFmtId="3" fontId="3" fillId="3" borderId="7" xfId="10" applyNumberFormat="1" applyFont="1" applyFill="1" applyBorder="1" applyAlignment="1">
      <alignment vertical="center"/>
    </xf>
    <xf numFmtId="3" fontId="5" fillId="0" borderId="7" xfId="10" applyNumberFormat="1" applyFont="1" applyBorder="1" applyAlignment="1">
      <alignment vertical="center"/>
    </xf>
    <xf numFmtId="3" fontId="3" fillId="5" borderId="7" xfId="10" applyNumberFormat="1" applyFont="1" applyFill="1" applyBorder="1" applyAlignment="1">
      <alignment vertical="center"/>
    </xf>
    <xf numFmtId="3" fontId="3" fillId="2" borderId="8" xfId="10" applyNumberFormat="1" applyFont="1" applyFill="1" applyBorder="1" applyAlignment="1">
      <alignment horizontal="center" vertical="center" wrapText="1"/>
    </xf>
    <xf numFmtId="3" fontId="3" fillId="14" borderId="8" xfId="10" applyNumberFormat="1" applyFont="1" applyFill="1" applyBorder="1" applyAlignment="1">
      <alignment horizontal="center" vertical="center" wrapText="1"/>
    </xf>
    <xf numFmtId="3" fontId="3" fillId="14" borderId="3" xfId="10" applyNumberFormat="1" applyFont="1" applyFill="1" applyBorder="1" applyAlignment="1">
      <alignment horizontal="center" vertical="center" wrapText="1"/>
    </xf>
    <xf numFmtId="38" fontId="40" fillId="11" borderId="9" xfId="10" applyNumberFormat="1" applyFont="1" applyFill="1" applyBorder="1" applyAlignment="1">
      <alignment vertical="center"/>
    </xf>
    <xf numFmtId="38" fontId="40" fillId="11" borderId="10" xfId="10" applyNumberFormat="1" applyFont="1" applyFill="1" applyBorder="1" applyAlignment="1">
      <alignment vertical="center"/>
    </xf>
    <xf numFmtId="38" fontId="40" fillId="11" borderId="11" xfId="10" applyNumberFormat="1" applyFont="1" applyFill="1" applyBorder="1" applyAlignment="1">
      <alignment vertical="center"/>
    </xf>
    <xf numFmtId="0" fontId="2" fillId="0" borderId="12" xfId="10" applyBorder="1"/>
    <xf numFmtId="3" fontId="5" fillId="0" borderId="0" xfId="1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39" fillId="0" borderId="36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6" fontId="0" fillId="0" borderId="36" xfId="0" applyNumberFormat="1" applyBorder="1" applyAlignment="1">
      <alignment horizontal="left" vertical="center" wrapText="1" indent="3"/>
    </xf>
    <xf numFmtId="0" fontId="0" fillId="0" borderId="0" xfId="0" applyAlignment="1">
      <alignment vertical="center" wrapText="1"/>
    </xf>
    <xf numFmtId="3" fontId="0" fillId="0" borderId="37" xfId="0" applyNumberFormat="1" applyBorder="1"/>
    <xf numFmtId="3" fontId="0" fillId="0" borderId="37" xfId="0" applyNumberFormat="1" applyBorder="1" applyAlignment="1">
      <alignment vertical="center"/>
    </xf>
    <xf numFmtId="3" fontId="0" fillId="0" borderId="37" xfId="0" applyNumberFormat="1" applyFont="1" applyBorder="1"/>
    <xf numFmtId="49" fontId="3" fillId="7" borderId="0" xfId="10" applyNumberFormat="1" applyFont="1" applyFill="1" applyBorder="1" applyAlignment="1">
      <alignment horizontal="center" vertical="center"/>
    </xf>
    <xf numFmtId="16" fontId="0" fillId="0" borderId="36" xfId="0" applyNumberFormat="1" applyBorder="1" applyAlignment="1">
      <alignment horizontal="left" vertical="center" wrapText="1"/>
    </xf>
    <xf numFmtId="49" fontId="0" fillId="0" borderId="36" xfId="0" applyNumberFormat="1" applyBorder="1" applyAlignment="1">
      <alignment horizontal="left" vertical="center" wrapText="1"/>
    </xf>
    <xf numFmtId="0" fontId="39" fillId="0" borderId="36" xfId="0" applyFont="1" applyBorder="1" applyAlignment="1">
      <alignment vertical="center"/>
    </xf>
    <xf numFmtId="3" fontId="0" fillId="0" borderId="0" xfId="0" applyNumberFormat="1" applyBorder="1"/>
    <xf numFmtId="3" fontId="0" fillId="0" borderId="0" xfId="0" applyNumberFormat="1" applyBorder="1" applyAlignment="1">
      <alignment vertical="center"/>
    </xf>
    <xf numFmtId="3" fontId="39" fillId="0" borderId="0" xfId="0" applyNumberFormat="1" applyFont="1" applyBorder="1" applyAlignment="1">
      <alignment horizontal="right" vertical="center" wrapText="1"/>
    </xf>
    <xf numFmtId="3" fontId="39" fillId="0" borderId="0" xfId="0" applyNumberFormat="1" applyFont="1" applyBorder="1" applyAlignment="1">
      <alignment vertical="center"/>
    </xf>
    <xf numFmtId="3" fontId="39" fillId="0" borderId="0" xfId="0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left" vertical="center" wrapText="1"/>
    </xf>
    <xf numFmtId="3" fontId="0" fillId="0" borderId="38" xfId="0" applyNumberFormat="1" applyBorder="1" applyAlignment="1">
      <alignment horizontal="right" vertical="center" wrapText="1"/>
    </xf>
    <xf numFmtId="16" fontId="0" fillId="0" borderId="38" xfId="0" applyNumberFormat="1" applyBorder="1" applyAlignment="1">
      <alignment horizontal="left" vertical="center" wrapText="1"/>
    </xf>
    <xf numFmtId="0" fontId="39" fillId="15" borderId="5" xfId="0" applyFont="1" applyFill="1" applyBorder="1" applyAlignment="1">
      <alignment horizontal="center" vertical="center" wrapText="1"/>
    </xf>
    <xf numFmtId="0" fontId="39" fillId="15" borderId="5" xfId="0" applyFont="1" applyFill="1" applyBorder="1" applyAlignment="1">
      <alignment horizontal="center" vertical="center"/>
    </xf>
    <xf numFmtId="0" fontId="39" fillId="16" borderId="5" xfId="0" applyFont="1" applyFill="1" applyBorder="1" applyAlignment="1">
      <alignment horizontal="center" vertical="center"/>
    </xf>
    <xf numFmtId="0" fontId="39" fillId="16" borderId="5" xfId="0" applyFont="1" applyFill="1" applyBorder="1"/>
    <xf numFmtId="3" fontId="39" fillId="16" borderId="5" xfId="0" applyNumberFormat="1" applyFont="1" applyFill="1" applyBorder="1"/>
    <xf numFmtId="0" fontId="39" fillId="16" borderId="5" xfId="0" applyFont="1" applyFill="1" applyBorder="1" applyAlignment="1">
      <alignment vertical="center"/>
    </xf>
    <xf numFmtId="3" fontId="39" fillId="16" borderId="5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/>
    <xf numFmtId="3" fontId="0" fillId="0" borderId="5" xfId="0" applyNumberFormat="1" applyFont="1" applyFill="1" applyBorder="1"/>
    <xf numFmtId="0" fontId="0" fillId="0" borderId="5" xfId="0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0" fontId="0" fillId="0" borderId="5" xfId="0" applyFill="1" applyBorder="1"/>
    <xf numFmtId="0" fontId="39" fillId="17" borderId="5" xfId="0" applyFont="1" applyFill="1" applyBorder="1"/>
    <xf numFmtId="3" fontId="39" fillId="17" borderId="5" xfId="0" applyNumberFormat="1" applyFont="1" applyFill="1" applyBorder="1"/>
    <xf numFmtId="0" fontId="39" fillId="17" borderId="5" xfId="0" applyFont="1" applyFill="1" applyBorder="1" applyAlignment="1">
      <alignment vertical="center"/>
    </xf>
    <xf numFmtId="3" fontId="39" fillId="17" borderId="5" xfId="0" applyNumberFormat="1" applyFont="1" applyFill="1" applyBorder="1" applyAlignment="1">
      <alignment vertical="center"/>
    </xf>
    <xf numFmtId="0" fontId="39" fillId="17" borderId="5" xfId="0" applyFont="1" applyFill="1" applyBorder="1" applyAlignment="1">
      <alignment horizontal="center" vertical="center"/>
    </xf>
    <xf numFmtId="0" fontId="39" fillId="15" borderId="5" xfId="0" applyFont="1" applyFill="1" applyBorder="1" applyAlignment="1">
      <alignment horizontal="left" vertical="center"/>
    </xf>
    <xf numFmtId="3" fontId="39" fillId="15" borderId="5" xfId="0" applyNumberFormat="1" applyFont="1" applyFill="1" applyBorder="1" applyAlignment="1">
      <alignment horizontal="right" vertical="center"/>
    </xf>
    <xf numFmtId="3" fontId="39" fillId="15" borderId="5" xfId="0" applyNumberFormat="1" applyFont="1" applyFill="1" applyBorder="1" applyAlignment="1">
      <alignment horizontal="right" vertical="center" wrapText="1"/>
    </xf>
    <xf numFmtId="0" fontId="37" fillId="18" borderId="5" xfId="0" applyFont="1" applyFill="1" applyBorder="1"/>
    <xf numFmtId="3" fontId="37" fillId="18" borderId="5" xfId="0" applyNumberFormat="1" applyFont="1" applyFill="1" applyBorder="1"/>
    <xf numFmtId="0" fontId="37" fillId="18" borderId="5" xfId="0" applyFont="1" applyFill="1" applyBorder="1" applyAlignment="1">
      <alignment vertical="center"/>
    </xf>
    <xf numFmtId="3" fontId="37" fillId="18" borderId="5" xfId="0" applyNumberFormat="1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3" fontId="0" fillId="0" borderId="5" xfId="0" applyNumberFormat="1" applyFont="1" applyFill="1" applyBorder="1" applyAlignment="1">
      <alignment horizontal="right" vertical="center"/>
    </xf>
    <xf numFmtId="0" fontId="37" fillId="13" borderId="5" xfId="0" applyFont="1" applyFill="1" applyBorder="1" applyAlignment="1">
      <alignment horizontal="center" vertical="center"/>
    </xf>
    <xf numFmtId="0" fontId="37" fillId="13" borderId="5" xfId="0" applyFont="1" applyFill="1" applyBorder="1" applyAlignment="1">
      <alignment horizontal="left" vertical="center"/>
    </xf>
    <xf numFmtId="3" fontId="37" fillId="13" borderId="5" xfId="0" applyNumberFormat="1" applyFont="1" applyFill="1" applyBorder="1" applyAlignment="1">
      <alignment horizontal="right" vertical="center"/>
    </xf>
    <xf numFmtId="3" fontId="37" fillId="13" borderId="5" xfId="0" applyNumberFormat="1" applyFont="1" applyFill="1" applyBorder="1" applyAlignment="1">
      <alignment horizontal="right" vertical="center" wrapText="1"/>
    </xf>
    <xf numFmtId="3" fontId="3" fillId="19" borderId="8" xfId="10" applyNumberFormat="1" applyFont="1" applyFill="1" applyBorder="1" applyAlignment="1">
      <alignment horizontal="center" vertical="center" wrapText="1"/>
    </xf>
    <xf numFmtId="3" fontId="3" fillId="19" borderId="3" xfId="10" applyNumberFormat="1" applyFont="1" applyFill="1" applyBorder="1" applyAlignment="1">
      <alignment horizontal="center" vertical="center" wrapText="1"/>
    </xf>
    <xf numFmtId="49" fontId="3" fillId="5" borderId="4" xfId="10" applyNumberFormat="1" applyFont="1" applyFill="1" applyBorder="1" applyAlignment="1">
      <alignment horizontal="left" vertical="center"/>
    </xf>
    <xf numFmtId="49" fontId="3" fillId="5" borderId="13" xfId="10" applyNumberFormat="1" applyFont="1" applyFill="1" applyBorder="1" applyAlignment="1">
      <alignment horizontal="left" vertical="center"/>
    </xf>
    <xf numFmtId="49" fontId="3" fillId="5" borderId="14" xfId="10" applyNumberFormat="1" applyFont="1" applyFill="1" applyBorder="1" applyAlignment="1">
      <alignment vertical="center"/>
    </xf>
    <xf numFmtId="3" fontId="4" fillId="0" borderId="15" xfId="10" applyNumberFormat="1" applyFont="1" applyBorder="1" applyAlignment="1">
      <alignment vertical="center"/>
    </xf>
    <xf numFmtId="3" fontId="3" fillId="14" borderId="1" xfId="10" applyNumberFormat="1" applyFont="1" applyFill="1" applyBorder="1" applyAlignment="1">
      <alignment horizontal="center" vertical="center" wrapText="1"/>
    </xf>
    <xf numFmtId="0" fontId="0" fillId="0" borderId="0" xfId="0" applyFont="1"/>
    <xf numFmtId="0" fontId="42" fillId="20" borderId="16" xfId="0" applyFont="1" applyFill="1" applyBorder="1"/>
    <xf numFmtId="3" fontId="42" fillId="20" borderId="16" xfId="0" applyNumberFormat="1" applyFont="1" applyFill="1" applyBorder="1"/>
    <xf numFmtId="0" fontId="42" fillId="21" borderId="16" xfId="0" applyFont="1" applyFill="1" applyBorder="1"/>
    <xf numFmtId="3" fontId="42" fillId="21" borderId="16" xfId="0" applyNumberFormat="1" applyFont="1" applyFill="1" applyBorder="1"/>
    <xf numFmtId="0" fontId="42" fillId="20" borderId="0" xfId="0" applyFont="1" applyFill="1"/>
    <xf numFmtId="3" fontId="42" fillId="20" borderId="0" xfId="0" applyNumberFormat="1" applyFont="1" applyFill="1"/>
    <xf numFmtId="0" fontId="42" fillId="21" borderId="0" xfId="0" applyFont="1" applyFill="1"/>
    <xf numFmtId="3" fontId="42" fillId="21" borderId="0" xfId="0" applyNumberFormat="1" applyFont="1" applyFill="1"/>
    <xf numFmtId="0" fontId="39" fillId="0" borderId="0" xfId="0" applyFont="1" applyAlignment="1">
      <alignment vertical="center"/>
    </xf>
    <xf numFmtId="0" fontId="12" fillId="16" borderId="5" xfId="8" applyFont="1" applyFill="1" applyBorder="1" applyAlignment="1">
      <alignment horizontal="center" vertical="center" wrapText="1"/>
    </xf>
    <xf numFmtId="3" fontId="12" fillId="22" borderId="5" xfId="8" applyNumberFormat="1" applyFont="1" applyFill="1" applyBorder="1" applyAlignment="1">
      <alignment horizontal="center" vertical="center" wrapText="1"/>
    </xf>
    <xf numFmtId="3" fontId="12" fillId="16" borderId="5" xfId="8" applyNumberFormat="1" applyFont="1" applyFill="1" applyBorder="1" applyAlignment="1">
      <alignment horizontal="center" vertical="center" wrapText="1"/>
    </xf>
    <xf numFmtId="3" fontId="12" fillId="22" borderId="17" xfId="8" applyNumberFormat="1" applyFont="1" applyFill="1" applyBorder="1" applyAlignment="1">
      <alignment horizontal="center" vertical="center" wrapText="1"/>
    </xf>
    <xf numFmtId="3" fontId="12" fillId="16" borderId="17" xfId="8" applyNumberFormat="1" applyFont="1" applyFill="1" applyBorder="1" applyAlignment="1">
      <alignment horizontal="center" vertical="center" wrapText="1"/>
    </xf>
    <xf numFmtId="0" fontId="12" fillId="22" borderId="17" xfId="8" applyFont="1" applyFill="1" applyBorder="1" applyAlignment="1">
      <alignment horizontal="center" vertical="center" wrapText="1"/>
    </xf>
    <xf numFmtId="0" fontId="12" fillId="16" borderId="17" xfId="8" applyFont="1" applyFill="1" applyBorder="1" applyAlignment="1">
      <alignment horizontal="center" vertical="center" wrapText="1"/>
    </xf>
    <xf numFmtId="0" fontId="12" fillId="23" borderId="17" xfId="8" applyFont="1" applyFill="1" applyBorder="1" applyAlignment="1">
      <alignment horizontal="center" vertical="center" wrapText="1"/>
    </xf>
    <xf numFmtId="0" fontId="12" fillId="24" borderId="17" xfId="8" applyFont="1" applyFill="1" applyBorder="1" applyAlignment="1">
      <alignment horizontal="center" vertical="center" wrapText="1"/>
    </xf>
    <xf numFmtId="0" fontId="12" fillId="23" borderId="0" xfId="8" applyFont="1" applyFill="1" applyBorder="1" applyAlignment="1">
      <alignment horizontal="center" vertical="center" wrapText="1"/>
    </xf>
    <xf numFmtId="0" fontId="12" fillId="24" borderId="0" xfId="8" applyFont="1" applyFill="1" applyBorder="1" applyAlignment="1">
      <alignment horizontal="center" vertical="center" wrapText="1"/>
    </xf>
    <xf numFmtId="0" fontId="6" fillId="0" borderId="0" xfId="8" applyFont="1"/>
    <xf numFmtId="0" fontId="6" fillId="0" borderId="5" xfId="8" applyFont="1" applyBorder="1"/>
    <xf numFmtId="3" fontId="6" fillId="8" borderId="5" xfId="8" applyNumberFormat="1" applyFont="1" applyFill="1" applyBorder="1"/>
    <xf numFmtId="3" fontId="6" fillId="0" borderId="5" xfId="8" applyNumberFormat="1" applyFont="1" applyBorder="1"/>
    <xf numFmtId="0" fontId="12" fillId="16" borderId="5" xfId="8" applyFont="1" applyFill="1" applyBorder="1"/>
    <xf numFmtId="3" fontId="12" fillId="22" borderId="5" xfId="8" applyNumberFormat="1" applyFont="1" applyFill="1" applyBorder="1"/>
    <xf numFmtId="3" fontId="12" fillId="16" borderId="5" xfId="8" applyNumberFormat="1" applyFont="1" applyFill="1" applyBorder="1"/>
    <xf numFmtId="0" fontId="12" fillId="0" borderId="0" xfId="8" applyFont="1"/>
    <xf numFmtId="0" fontId="12" fillId="0" borderId="5" xfId="8" applyFont="1" applyBorder="1"/>
    <xf numFmtId="3" fontId="12" fillId="8" borderId="5" xfId="8" applyNumberFormat="1" applyFont="1" applyFill="1" applyBorder="1"/>
    <xf numFmtId="3" fontId="12" fillId="0" borderId="5" xfId="8" applyNumberFormat="1" applyFont="1" applyBorder="1"/>
    <xf numFmtId="0" fontId="6" fillId="0" borderId="5" xfId="8" applyBorder="1"/>
    <xf numFmtId="3" fontId="12" fillId="25" borderId="5" xfId="8" applyNumberFormat="1" applyFont="1" applyFill="1" applyBorder="1"/>
    <xf numFmtId="3" fontId="12" fillId="15" borderId="5" xfId="8" applyNumberFormat="1" applyFont="1" applyFill="1" applyBorder="1"/>
    <xf numFmtId="3" fontId="6" fillId="8" borderId="0" xfId="8" applyNumberFormat="1" applyFont="1" applyFill="1"/>
    <xf numFmtId="3" fontId="6" fillId="0" borderId="0" xfId="8" applyNumberFormat="1" applyFont="1"/>
    <xf numFmtId="0" fontId="6" fillId="8" borderId="0" xfId="8" applyFont="1" applyFill="1"/>
    <xf numFmtId="0" fontId="43" fillId="0" borderId="0" xfId="7" applyFont="1" applyAlignment="1">
      <alignment vertical="center"/>
    </xf>
    <xf numFmtId="0" fontId="43" fillId="0" borderId="0" xfId="7" applyFont="1" applyFill="1" applyAlignment="1">
      <alignment vertical="center"/>
    </xf>
    <xf numFmtId="49" fontId="43" fillId="0" borderId="0" xfId="7" applyNumberFormat="1" applyFont="1" applyFill="1" applyAlignment="1">
      <alignment horizontal="center" vertical="center"/>
    </xf>
    <xf numFmtId="3" fontId="13" fillId="24" borderId="5" xfId="9" applyNumberFormat="1" applyFont="1" applyFill="1" applyBorder="1" applyAlignment="1">
      <alignment horizontal="right" vertical="center" wrapText="1"/>
    </xf>
    <xf numFmtId="49" fontId="43" fillId="0" borderId="0" xfId="7" applyNumberFormat="1" applyFont="1" applyAlignment="1">
      <alignment horizontal="center" vertical="center"/>
    </xf>
    <xf numFmtId="0" fontId="44" fillId="0" borderId="0" xfId="7" applyFont="1" applyAlignment="1">
      <alignment vertical="center"/>
    </xf>
    <xf numFmtId="0" fontId="43" fillId="26" borderId="0" xfId="7" applyFont="1" applyFill="1" applyAlignment="1">
      <alignment vertical="center"/>
    </xf>
    <xf numFmtId="0" fontId="45" fillId="0" borderId="0" xfId="7" applyFont="1" applyAlignment="1">
      <alignment vertical="center"/>
    </xf>
    <xf numFmtId="0" fontId="7" fillId="0" borderId="0" xfId="9" applyFont="1" applyAlignment="1">
      <alignment horizontal="left" vertical="center"/>
    </xf>
    <xf numFmtId="0" fontId="41" fillId="9" borderId="0" xfId="9" applyFont="1" applyFill="1" applyAlignment="1">
      <alignment horizontal="right" vertical="center"/>
    </xf>
    <xf numFmtId="0" fontId="37" fillId="13" borderId="0" xfId="0" applyFont="1" applyFill="1" applyBorder="1" applyAlignment="1">
      <alignment horizontal="center" vertical="center" wrapText="1"/>
    </xf>
    <xf numFmtId="0" fontId="15" fillId="0" borderId="0" xfId="9" applyFont="1" applyBorder="1" applyAlignment="1">
      <alignment horizontal="left" vertical="center"/>
    </xf>
    <xf numFmtId="0" fontId="15" fillId="0" borderId="0" xfId="9" applyFont="1" applyAlignment="1">
      <alignment horizontal="left" vertical="center"/>
    </xf>
    <xf numFmtId="0" fontId="12" fillId="16" borderId="5" xfId="9" applyFont="1" applyFill="1" applyBorder="1" applyAlignment="1">
      <alignment horizontal="left" vertical="center" wrapText="1"/>
    </xf>
    <xf numFmtId="3" fontId="12" fillId="16" borderId="5" xfId="9" applyNumberFormat="1" applyFont="1" applyFill="1" applyBorder="1" applyAlignment="1">
      <alignment horizontal="right" vertical="center"/>
    </xf>
    <xf numFmtId="0" fontId="16" fillId="0" borderId="0" xfId="9" applyFont="1" applyBorder="1" applyAlignment="1">
      <alignment horizontal="left" vertical="center"/>
    </xf>
    <xf numFmtId="0" fontId="16" fillId="0" borderId="0" xfId="9" applyFont="1" applyAlignment="1">
      <alignment horizontal="left" vertical="center"/>
    </xf>
    <xf numFmtId="0" fontId="17" fillId="0" borderId="0" xfId="9" applyFont="1" applyAlignment="1">
      <alignment horizontal="left" vertical="center"/>
    </xf>
    <xf numFmtId="0" fontId="6" fillId="0" borderId="5" xfId="9" applyFont="1" applyBorder="1" applyAlignment="1">
      <alignment horizontal="left" vertical="center" wrapText="1"/>
    </xf>
    <xf numFmtId="3" fontId="6" fillId="9" borderId="5" xfId="9" applyNumberFormat="1" applyFont="1" applyFill="1" applyBorder="1" applyAlignment="1">
      <alignment horizontal="right" vertical="center"/>
    </xf>
    <xf numFmtId="0" fontId="14" fillId="0" borderId="0" xfId="9" applyFont="1" applyBorder="1" applyAlignment="1">
      <alignment horizontal="left" vertical="center"/>
    </xf>
    <xf numFmtId="0" fontId="7" fillId="0" borderId="0" xfId="9" applyFont="1" applyBorder="1" applyAlignment="1">
      <alignment horizontal="left" vertical="center"/>
    </xf>
    <xf numFmtId="16" fontId="6" fillId="0" borderId="5" xfId="9" applyNumberFormat="1" applyFont="1" applyBorder="1" applyAlignment="1">
      <alignment horizontal="left" vertical="center" wrapText="1"/>
    </xf>
    <xf numFmtId="49" fontId="6" fillId="0" borderId="5" xfId="9" applyNumberFormat="1" applyFont="1" applyBorder="1" applyAlignment="1">
      <alignment horizontal="left" vertical="center" wrapText="1"/>
    </xf>
    <xf numFmtId="0" fontId="13" fillId="0" borderId="0" xfId="9" applyFont="1" applyBorder="1" applyAlignment="1">
      <alignment horizontal="left" vertical="center"/>
    </xf>
    <xf numFmtId="0" fontId="17" fillId="0" borderId="0" xfId="9" applyFont="1" applyBorder="1" applyAlignment="1">
      <alignment horizontal="left" vertical="center"/>
    </xf>
    <xf numFmtId="0" fontId="46" fillId="27" borderId="5" xfId="0" applyFont="1" applyFill="1" applyBorder="1"/>
    <xf numFmtId="0" fontId="13" fillId="10" borderId="0" xfId="9" applyFont="1" applyFill="1" applyBorder="1" applyAlignment="1">
      <alignment horizontal="left" vertical="center"/>
    </xf>
    <xf numFmtId="0" fontId="17" fillId="10" borderId="0" xfId="9" applyFont="1" applyFill="1" applyBorder="1" applyAlignment="1">
      <alignment horizontal="left" vertical="center"/>
    </xf>
    <xf numFmtId="0" fontId="17" fillId="10" borderId="0" xfId="9" applyFont="1" applyFill="1" applyAlignment="1">
      <alignment horizontal="left" vertical="center"/>
    </xf>
    <xf numFmtId="0" fontId="7" fillId="10" borderId="0" xfId="9" applyFont="1" applyFill="1" applyAlignment="1">
      <alignment horizontal="left" vertical="center"/>
    </xf>
    <xf numFmtId="0" fontId="14" fillId="0" borderId="0" xfId="9" applyFont="1" applyBorder="1" applyAlignment="1">
      <alignment horizontal="left" vertical="center" wrapText="1"/>
    </xf>
    <xf numFmtId="168" fontId="6" fillId="0" borderId="0" xfId="9" applyNumberFormat="1" applyFont="1" applyFill="1" applyBorder="1" applyAlignment="1">
      <alignment horizontal="left" vertical="center"/>
    </xf>
    <xf numFmtId="168" fontId="6" fillId="0" borderId="2" xfId="9" applyNumberFormat="1" applyFont="1" applyFill="1" applyBorder="1" applyAlignment="1">
      <alignment horizontal="left" vertical="center"/>
    </xf>
    <xf numFmtId="0" fontId="47" fillId="17" borderId="0" xfId="0" applyFont="1" applyFill="1"/>
    <xf numFmtId="0" fontId="48" fillId="17" borderId="0" xfId="0" applyFont="1" applyFill="1"/>
    <xf numFmtId="0" fontId="48" fillId="28" borderId="0" xfId="0" applyFont="1" applyFill="1"/>
    <xf numFmtId="3" fontId="48" fillId="17" borderId="0" xfId="0" applyNumberFormat="1" applyFont="1" applyFill="1"/>
    <xf numFmtId="3" fontId="48" fillId="28" borderId="0" xfId="0" applyNumberFormat="1" applyFont="1" applyFill="1"/>
    <xf numFmtId="3" fontId="47" fillId="17" borderId="0" xfId="0" applyNumberFormat="1" applyFont="1" applyFill="1"/>
    <xf numFmtId="3" fontId="13" fillId="24" borderId="0" xfId="9" applyNumberFormat="1" applyFont="1" applyFill="1" applyBorder="1" applyAlignment="1">
      <alignment horizontal="right" vertical="center" wrapText="1"/>
    </xf>
    <xf numFmtId="0" fontId="49" fillId="29" borderId="16" xfId="0" applyFont="1" applyFill="1" applyBorder="1" applyAlignment="1">
      <alignment horizontal="center" vertical="center"/>
    </xf>
    <xf numFmtId="3" fontId="49" fillId="29" borderId="16" xfId="0" applyNumberFormat="1" applyFont="1" applyFill="1" applyBorder="1" applyAlignment="1">
      <alignment horizontal="center" vertical="center"/>
    </xf>
    <xf numFmtId="169" fontId="50" fillId="0" borderId="0" xfId="0" applyNumberFormat="1" applyFont="1"/>
    <xf numFmtId="0" fontId="39" fillId="15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7" fillId="13" borderId="37" xfId="0" applyFont="1" applyFill="1" applyBorder="1"/>
    <xf numFmtId="3" fontId="37" fillId="13" borderId="37" xfId="0" applyNumberFormat="1" applyFont="1" applyFill="1" applyBorder="1"/>
    <xf numFmtId="0" fontId="51" fillId="0" borderId="37" xfId="0" applyFont="1" applyFill="1" applyBorder="1" applyAlignment="1">
      <alignment horizontal="center" vertical="center"/>
    </xf>
    <xf numFmtId="0" fontId="52" fillId="0" borderId="37" xfId="0" applyFont="1" applyFill="1" applyBorder="1" applyAlignment="1">
      <alignment vertical="center"/>
    </xf>
    <xf numFmtId="3" fontId="51" fillId="0" borderId="37" xfId="0" applyNumberFormat="1" applyFont="1" applyFill="1" applyBorder="1" applyAlignment="1">
      <alignment vertical="center"/>
    </xf>
    <xf numFmtId="0" fontId="39" fillId="16" borderId="37" xfId="0" applyFont="1" applyFill="1" applyBorder="1" applyAlignment="1">
      <alignment horizontal="center"/>
    </xf>
    <xf numFmtId="0" fontId="39" fillId="16" borderId="37" xfId="0" applyFont="1" applyFill="1" applyBorder="1"/>
    <xf numFmtId="3" fontId="39" fillId="16" borderId="37" xfId="0" applyNumberFormat="1" applyFont="1" applyFill="1" applyBorder="1"/>
    <xf numFmtId="0" fontId="39" fillId="12" borderId="37" xfId="0" applyFont="1" applyFill="1" applyBorder="1" applyAlignment="1">
      <alignment horizontal="center"/>
    </xf>
    <xf numFmtId="0" fontId="39" fillId="12" borderId="37" xfId="0" applyFont="1" applyFill="1" applyBorder="1"/>
    <xf numFmtId="3" fontId="39" fillId="12" borderId="37" xfId="0" applyNumberFormat="1" applyFont="1" applyFill="1" applyBorder="1"/>
    <xf numFmtId="0" fontId="0" fillId="0" borderId="37" xfId="0" applyFont="1" applyBorder="1" applyAlignment="1">
      <alignment horizontal="center"/>
    </xf>
    <xf numFmtId="0" fontId="0" fillId="0" borderId="37" xfId="0" applyFont="1" applyBorder="1"/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left"/>
    </xf>
    <xf numFmtId="0" fontId="39" fillId="15" borderId="37" xfId="0" applyFont="1" applyFill="1" applyBorder="1" applyAlignment="1">
      <alignment horizontal="center"/>
    </xf>
    <xf numFmtId="0" fontId="39" fillId="15" borderId="37" xfId="0" applyFont="1" applyFill="1" applyBorder="1"/>
    <xf numFmtId="3" fontId="39" fillId="15" borderId="37" xfId="0" applyNumberFormat="1" applyFont="1" applyFill="1" applyBorder="1"/>
    <xf numFmtId="0" fontId="0" fillId="0" borderId="37" xfId="0" applyBorder="1"/>
    <xf numFmtId="0" fontId="0" fillId="0" borderId="0" xfId="0" applyAlignment="1">
      <alignment horizontal="center"/>
    </xf>
    <xf numFmtId="0" fontId="53" fillId="0" borderId="0" xfId="0" applyFont="1" applyBorder="1" applyAlignment="1">
      <alignment horizontal="center" vertical="top" wrapText="1"/>
    </xf>
    <xf numFmtId="0" fontId="54" fillId="0" borderId="0" xfId="0" applyFont="1" applyBorder="1" applyAlignment="1">
      <alignment horizontal="center" vertical="top" wrapText="1"/>
    </xf>
    <xf numFmtId="0" fontId="55" fillId="0" borderId="5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/>
    </xf>
    <xf numFmtId="0" fontId="0" fillId="0" borderId="5" xfId="0" applyBorder="1" applyAlignment="1">
      <alignment wrapText="1"/>
    </xf>
    <xf numFmtId="3" fontId="0" fillId="0" borderId="5" xfId="0" applyNumberFormat="1" applyBorder="1"/>
    <xf numFmtId="0" fontId="55" fillId="12" borderId="5" xfId="0" applyFont="1" applyFill="1" applyBorder="1" applyAlignment="1">
      <alignment horizontal="center" vertical="center"/>
    </xf>
    <xf numFmtId="0" fontId="55" fillId="12" borderId="5" xfId="0" applyFont="1" applyFill="1" applyBorder="1" applyAlignment="1">
      <alignment vertical="center" wrapText="1"/>
    </xf>
    <xf numFmtId="3" fontId="55" fillId="12" borderId="5" xfId="0" applyNumberFormat="1" applyFont="1" applyFill="1" applyBorder="1" applyAlignment="1">
      <alignment vertical="center"/>
    </xf>
    <xf numFmtId="0" fontId="55" fillId="16" borderId="5" xfId="0" applyFont="1" applyFill="1" applyBorder="1" applyAlignment="1">
      <alignment horizontal="center" vertical="center"/>
    </xf>
    <xf numFmtId="0" fontId="55" fillId="16" borderId="5" xfId="0" applyFont="1" applyFill="1" applyBorder="1" applyAlignment="1">
      <alignment vertical="center" wrapText="1"/>
    </xf>
    <xf numFmtId="3" fontId="55" fillId="16" borderId="5" xfId="0" applyNumberFormat="1" applyFont="1" applyFill="1" applyBorder="1" applyAlignment="1">
      <alignment vertical="center"/>
    </xf>
    <xf numFmtId="0" fontId="56" fillId="27" borderId="5" xfId="0" applyFont="1" applyFill="1" applyBorder="1" applyAlignment="1">
      <alignment horizontal="center" vertical="center"/>
    </xf>
    <xf numFmtId="0" fontId="56" fillId="27" borderId="5" xfId="0" applyFont="1" applyFill="1" applyBorder="1" applyAlignment="1">
      <alignment vertical="center"/>
    </xf>
    <xf numFmtId="3" fontId="56" fillId="27" borderId="5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170" fontId="36" fillId="0" borderId="0" xfId="1" applyNumberFormat="1" applyFont="1"/>
    <xf numFmtId="170" fontId="36" fillId="0" borderId="0" xfId="1" applyNumberFormat="1" applyFont="1" applyAlignment="1">
      <alignment horizontal="center"/>
    </xf>
    <xf numFmtId="170" fontId="39" fillId="24" borderId="16" xfId="1" applyNumberFormat="1" applyFont="1" applyFill="1" applyBorder="1" applyAlignment="1">
      <alignment horizontal="center" vertical="center" wrapText="1"/>
    </xf>
    <xf numFmtId="170" fontId="39" fillId="24" borderId="16" xfId="1" applyNumberFormat="1" applyFont="1" applyFill="1" applyBorder="1" applyAlignment="1">
      <alignment vertical="center"/>
    </xf>
    <xf numFmtId="0" fontId="0" fillId="0" borderId="16" xfId="0" applyBorder="1" applyAlignment="1">
      <alignment vertical="center" wrapText="1"/>
    </xf>
    <xf numFmtId="170" fontId="36" fillId="0" borderId="16" xfId="1" applyNumberFormat="1" applyFont="1" applyBorder="1" applyAlignment="1">
      <alignment vertical="center"/>
    </xf>
    <xf numFmtId="170" fontId="36" fillId="0" borderId="16" xfId="1" applyNumberFormat="1" applyFont="1" applyBorder="1" applyAlignment="1">
      <alignment horizontal="right" vertical="center"/>
    </xf>
    <xf numFmtId="170" fontId="36" fillId="0" borderId="16" xfId="1" applyNumberFormat="1" applyFont="1" applyBorder="1" applyAlignment="1">
      <alignment horizontal="center" vertical="center"/>
    </xf>
    <xf numFmtId="0" fontId="39" fillId="16" borderId="16" xfId="0" applyFont="1" applyFill="1" applyBorder="1" applyAlignment="1">
      <alignment horizontal="center"/>
    </xf>
    <xf numFmtId="170" fontId="39" fillId="16" borderId="16" xfId="1" applyNumberFormat="1" applyFont="1" applyFill="1" applyBorder="1"/>
    <xf numFmtId="170" fontId="39" fillId="16" borderId="16" xfId="1" applyNumberFormat="1" applyFont="1" applyFill="1" applyBorder="1" applyAlignment="1">
      <alignment horizontal="center"/>
    </xf>
    <xf numFmtId="0" fontId="13" fillId="0" borderId="0" xfId="9" applyFont="1"/>
    <xf numFmtId="0" fontId="17" fillId="0" borderId="0" xfId="9" applyFont="1"/>
    <xf numFmtId="0" fontId="19" fillId="0" borderId="0" xfId="9" applyFont="1" applyAlignment="1">
      <alignment horizontal="center"/>
    </xf>
    <xf numFmtId="49" fontId="14" fillId="0" borderId="0" xfId="9" applyNumberFormat="1" applyFont="1" applyAlignment="1">
      <alignment horizontal="center"/>
    </xf>
    <xf numFmtId="0" fontId="14" fillId="0" borderId="0" xfId="9" applyFont="1"/>
    <xf numFmtId="0" fontId="7" fillId="0" borderId="0" xfId="9"/>
    <xf numFmtId="0" fontId="14" fillId="0" borderId="0" xfId="9" applyFont="1" applyAlignment="1">
      <alignment horizontal="center"/>
    </xf>
    <xf numFmtId="49" fontId="37" fillId="13" borderId="37" xfId="0" applyNumberFormat="1" applyFont="1" applyFill="1" applyBorder="1" applyAlignment="1">
      <alignment horizontal="center"/>
    </xf>
    <xf numFmtId="3" fontId="39" fillId="15" borderId="37" xfId="0" applyNumberFormat="1" applyFont="1" applyFill="1" applyBorder="1" applyAlignment="1">
      <alignment horizontal="center" vertical="center" wrapText="1"/>
    </xf>
    <xf numFmtId="0" fontId="6" fillId="0" borderId="0" xfId="9" applyFont="1" applyAlignment="1">
      <alignment vertical="center"/>
    </xf>
    <xf numFmtId="0" fontId="6" fillId="0" borderId="0" xfId="9" applyFont="1"/>
    <xf numFmtId="0" fontId="6" fillId="0" borderId="0" xfId="9" applyFont="1" applyAlignment="1">
      <alignment horizontal="center" vertical="center"/>
    </xf>
    <xf numFmtId="0" fontId="6" fillId="0" borderId="2" xfId="9" applyFont="1" applyBorder="1" applyAlignment="1">
      <alignment horizontal="center" vertical="center"/>
    </xf>
    <xf numFmtId="0" fontId="22" fillId="0" borderId="2" xfId="9" applyFont="1" applyBorder="1" applyAlignment="1">
      <alignment horizontal="center" vertical="center"/>
    </xf>
    <xf numFmtId="0" fontId="12" fillId="0" borderId="2" xfId="9" applyFont="1" applyBorder="1" applyAlignment="1">
      <alignment horizontal="left" vertical="center"/>
    </xf>
    <xf numFmtId="0" fontId="12" fillId="0" borderId="0" xfId="9" applyFont="1" applyAlignment="1">
      <alignment horizontal="center" vertical="center"/>
    </xf>
    <xf numFmtId="0" fontId="6" fillId="0" borderId="2" xfId="9" applyFont="1" applyBorder="1" applyAlignment="1">
      <alignment horizontal="left" vertical="center" wrapText="1"/>
    </xf>
    <xf numFmtId="165" fontId="6" fillId="30" borderId="2" xfId="9" applyNumberFormat="1" applyFont="1" applyFill="1" applyBorder="1" applyAlignment="1">
      <alignment horizontal="center" vertical="center"/>
    </xf>
    <xf numFmtId="0" fontId="6" fillId="0" borderId="2" xfId="9" applyFont="1" applyBorder="1" applyAlignment="1">
      <alignment horizontal="left" vertical="center"/>
    </xf>
    <xf numFmtId="0" fontId="12" fillId="31" borderId="2" xfId="9" applyFont="1" applyFill="1" applyBorder="1" applyAlignment="1">
      <alignment horizontal="left" vertical="center"/>
    </xf>
    <xf numFmtId="165" fontId="12" fillId="31" borderId="2" xfId="9" applyNumberFormat="1" applyFont="1" applyFill="1" applyBorder="1" applyAlignment="1">
      <alignment horizontal="center" vertical="center" wrapText="1"/>
    </xf>
    <xf numFmtId="0" fontId="12" fillId="31" borderId="0" xfId="9" applyFont="1" applyFill="1" applyAlignment="1">
      <alignment horizontal="center" vertical="center"/>
    </xf>
    <xf numFmtId="166" fontId="6" fillId="30" borderId="2" xfId="9" applyNumberFormat="1" applyFont="1" applyFill="1" applyBorder="1" applyAlignment="1">
      <alignment horizontal="center" vertical="center"/>
    </xf>
    <xf numFmtId="0" fontId="6" fillId="30" borderId="2" xfId="9" applyFont="1" applyFill="1" applyBorder="1" applyAlignment="1">
      <alignment horizontal="center" vertical="center"/>
    </xf>
    <xf numFmtId="166" fontId="12" fillId="31" borderId="2" xfId="9" applyNumberFormat="1" applyFont="1" applyFill="1" applyBorder="1" applyAlignment="1">
      <alignment horizontal="center" vertical="center" wrapText="1"/>
    </xf>
    <xf numFmtId="0" fontId="56" fillId="13" borderId="2" xfId="9" applyFont="1" applyFill="1" applyBorder="1" applyAlignment="1">
      <alignment horizontal="left" vertical="center"/>
    </xf>
    <xf numFmtId="165" fontId="56" fillId="13" borderId="2" xfId="9" applyNumberFormat="1" applyFont="1" applyFill="1" applyBorder="1" applyAlignment="1">
      <alignment horizontal="center" vertical="center"/>
    </xf>
    <xf numFmtId="0" fontId="12" fillId="13" borderId="0" xfId="9" applyFont="1" applyFill="1" applyAlignment="1">
      <alignment vertical="center"/>
    </xf>
    <xf numFmtId="3" fontId="3" fillId="14" borderId="1" xfId="1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16" fontId="0" fillId="0" borderId="37" xfId="0" applyNumberFormat="1" applyBorder="1" applyAlignment="1">
      <alignment horizontal="left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3" fontId="0" fillId="0" borderId="37" xfId="0" applyNumberFormat="1" applyFont="1" applyBorder="1" applyAlignment="1">
      <alignment vertical="center" wrapText="1"/>
    </xf>
    <xf numFmtId="49" fontId="37" fillId="13" borderId="5" xfId="0" applyNumberFormat="1" applyFont="1" applyFill="1" applyBorder="1" applyAlignment="1">
      <alignment horizontal="center" vertical="center"/>
    </xf>
    <xf numFmtId="0" fontId="37" fillId="13" borderId="5" xfId="0" applyFont="1" applyFill="1" applyBorder="1" applyAlignment="1">
      <alignment vertical="center"/>
    </xf>
    <xf numFmtId="3" fontId="37" fillId="13" borderId="5" xfId="0" applyNumberFormat="1" applyFont="1" applyFill="1" applyBorder="1" applyAlignment="1">
      <alignment horizontal="right" vertical="center"/>
    </xf>
    <xf numFmtId="49" fontId="39" fillId="16" borderId="5" xfId="0" applyNumberFormat="1" applyFont="1" applyFill="1" applyBorder="1" applyAlignment="1">
      <alignment horizontal="center" vertical="center"/>
    </xf>
    <xf numFmtId="0" fontId="39" fillId="16" borderId="5" xfId="0" applyFont="1" applyFill="1" applyBorder="1" applyAlignment="1">
      <alignment vertical="center"/>
    </xf>
    <xf numFmtId="49" fontId="39" fillId="0" borderId="5" xfId="0" applyNumberFormat="1" applyFont="1" applyBorder="1" applyAlignment="1">
      <alignment horizontal="center" vertical="center"/>
    </xf>
    <xf numFmtId="49" fontId="39" fillId="0" borderId="5" xfId="0" applyNumberFormat="1" applyFont="1" applyBorder="1"/>
    <xf numFmtId="3" fontId="39" fillId="0" borderId="5" xfId="0" applyNumberFormat="1" applyFont="1" applyBorder="1"/>
    <xf numFmtId="49" fontId="0" fillId="0" borderId="5" xfId="0" applyNumberFormat="1" applyBorder="1" applyAlignment="1">
      <alignment horizontal="center" vertical="center"/>
    </xf>
    <xf numFmtId="49" fontId="0" fillId="0" borderId="5" xfId="0" applyNumberFormat="1" applyBorder="1"/>
    <xf numFmtId="49" fontId="0" fillId="0" borderId="5" xfId="0" applyNumberFormat="1" applyBorder="1" applyAlignment="1">
      <alignment vertical="center" wrapText="1"/>
    </xf>
    <xf numFmtId="3" fontId="0" fillId="0" borderId="5" xfId="0" applyNumberFormat="1" applyBorder="1" applyAlignment="1">
      <alignment vertical="center"/>
    </xf>
    <xf numFmtId="3" fontId="41" fillId="0" borderId="5" xfId="0" applyNumberFormat="1" applyFont="1" applyBorder="1" applyAlignment="1">
      <alignment vertical="center"/>
    </xf>
    <xf numFmtId="3" fontId="0" fillId="0" borderId="5" xfId="0" applyNumberFormat="1" applyFont="1" applyBorder="1"/>
    <xf numFmtId="0" fontId="37" fillId="32" borderId="5" xfId="0" applyFont="1" applyFill="1" applyBorder="1" applyAlignment="1">
      <alignment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left" vertical="center"/>
    </xf>
    <xf numFmtId="165" fontId="39" fillId="0" borderId="5" xfId="0" applyNumberFormat="1" applyFont="1" applyFill="1" applyBorder="1" applyAlignment="1">
      <alignment horizontal="right" vertical="center" wrapText="1"/>
    </xf>
    <xf numFmtId="0" fontId="39" fillId="16" borderId="5" xfId="0" applyFont="1" applyFill="1" applyBorder="1" applyAlignment="1">
      <alignment horizontal="center" vertical="center"/>
    </xf>
    <xf numFmtId="0" fontId="39" fillId="16" borderId="5" xfId="0" applyFont="1" applyFill="1" applyBorder="1"/>
    <xf numFmtId="3" fontId="39" fillId="16" borderId="5" xfId="0" applyNumberFormat="1" applyFont="1" applyFill="1" applyBorder="1"/>
    <xf numFmtId="0" fontId="39" fillId="12" borderId="5" xfId="0" applyFont="1" applyFill="1" applyBorder="1" applyAlignment="1">
      <alignment horizontal="center" vertical="center"/>
    </xf>
    <xf numFmtId="0" fontId="39" fillId="12" borderId="5" xfId="0" applyFont="1" applyFill="1" applyBorder="1"/>
    <xf numFmtId="3" fontId="39" fillId="12" borderId="5" xfId="0" applyNumberFormat="1" applyFont="1" applyFill="1" applyBorder="1"/>
    <xf numFmtId="0" fontId="0" fillId="0" borderId="5" xfId="0" applyBorder="1" applyAlignment="1">
      <alignment horizontal="left" vertical="center" wrapText="1"/>
    </xf>
    <xf numFmtId="3" fontId="0" fillId="0" borderId="5" xfId="0" applyNumberFormat="1" applyBorder="1" applyAlignment="1">
      <alignment horizontal="right" vertical="center" wrapText="1"/>
    </xf>
    <xf numFmtId="0" fontId="0" fillId="0" borderId="5" xfId="0" applyBorder="1"/>
    <xf numFmtId="0" fontId="39" fillId="15" borderId="5" xfId="0" applyFont="1" applyFill="1" applyBorder="1" applyAlignment="1">
      <alignment horizontal="left" vertical="center"/>
    </xf>
    <xf numFmtId="3" fontId="39" fillId="15" borderId="5" xfId="0" applyNumberFormat="1" applyFont="1" applyFill="1" applyBorder="1" applyAlignment="1">
      <alignment horizontal="right" vertical="center" wrapText="1"/>
    </xf>
    <xf numFmtId="0" fontId="37" fillId="13" borderId="5" xfId="0" applyFont="1" applyFill="1" applyBorder="1" applyAlignment="1">
      <alignment horizontal="center" vertical="center"/>
    </xf>
    <xf numFmtId="0" fontId="37" fillId="13" borderId="5" xfId="0" applyFont="1" applyFill="1" applyBorder="1" applyAlignment="1">
      <alignment horizontal="left" vertical="center"/>
    </xf>
    <xf numFmtId="0" fontId="37" fillId="13" borderId="5" xfId="0" applyFont="1" applyFill="1" applyBorder="1" applyAlignment="1">
      <alignment vertical="center" wrapText="1"/>
    </xf>
    <xf numFmtId="49" fontId="51" fillId="16" borderId="5" xfId="0" applyNumberFormat="1" applyFont="1" applyFill="1" applyBorder="1" applyAlignment="1">
      <alignment horizontal="center" vertical="center"/>
    </xf>
    <xf numFmtId="0" fontId="51" fillId="16" borderId="5" xfId="0" applyFont="1" applyFill="1" applyBorder="1" applyAlignment="1">
      <alignment vertical="center" wrapText="1"/>
    </xf>
    <xf numFmtId="3" fontId="51" fillId="16" borderId="5" xfId="0" applyNumberFormat="1" applyFont="1" applyFill="1" applyBorder="1" applyAlignment="1">
      <alignment horizontal="right" vertical="center"/>
    </xf>
    <xf numFmtId="49" fontId="39" fillId="0" borderId="5" xfId="0" applyNumberFormat="1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vertical="center"/>
    </xf>
    <xf numFmtId="3" fontId="39" fillId="0" borderId="5" xfId="0" applyNumberFormat="1" applyFont="1" applyFill="1" applyBorder="1" applyAlignment="1">
      <alignment vertical="center"/>
    </xf>
    <xf numFmtId="49" fontId="0" fillId="0" borderId="5" xfId="0" applyNumberFormat="1" applyFont="1" applyBorder="1"/>
    <xf numFmtId="3" fontId="0" fillId="0" borderId="5" xfId="0" applyNumberFormat="1" applyFont="1" applyFill="1" applyBorder="1" applyAlignment="1">
      <alignment vertical="center"/>
    </xf>
    <xf numFmtId="3" fontId="37" fillId="13" borderId="5" xfId="0" applyNumberFormat="1" applyFont="1" applyFill="1" applyBorder="1" applyAlignment="1">
      <alignment horizontal="right" vertical="center" wrapText="1"/>
    </xf>
    <xf numFmtId="165" fontId="39" fillId="16" borderId="5" xfId="0" applyNumberFormat="1" applyFont="1" applyFill="1" applyBorder="1" applyAlignment="1">
      <alignment vertical="center"/>
    </xf>
    <xf numFmtId="165" fontId="0" fillId="0" borderId="5" xfId="0" applyNumberFormat="1" applyFont="1" applyBorder="1"/>
    <xf numFmtId="165" fontId="0" fillId="0" borderId="5" xfId="0" applyNumberFormat="1" applyFont="1" applyBorder="1" applyAlignment="1">
      <alignment vertical="center"/>
    </xf>
    <xf numFmtId="165" fontId="0" fillId="0" borderId="5" xfId="0" applyNumberFormat="1" applyBorder="1"/>
    <xf numFmtId="3" fontId="39" fillId="0" borderId="5" xfId="0" applyNumberFormat="1" applyFont="1" applyBorder="1" applyAlignment="1">
      <alignment horizontal="right" vertical="center" wrapText="1"/>
    </xf>
    <xf numFmtId="16" fontId="0" fillId="0" borderId="5" xfId="0" applyNumberForma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3" fontId="0" fillId="0" borderId="5" xfId="0" applyNumberFormat="1" applyBorder="1" applyAlignment="1">
      <alignment vertical="center" wrapText="1"/>
    </xf>
    <xf numFmtId="49" fontId="12" fillId="0" borderId="0" xfId="9" applyNumberFormat="1" applyFont="1" applyBorder="1" applyAlignment="1">
      <alignment horizontal="center" vertical="center" wrapText="1"/>
    </xf>
    <xf numFmtId="49" fontId="13" fillId="0" borderId="0" xfId="7" applyNumberFormat="1" applyFont="1" applyBorder="1" applyAlignment="1">
      <alignment horizontal="center" vertical="center"/>
    </xf>
    <xf numFmtId="49" fontId="14" fillId="0" borderId="0" xfId="7" applyNumberFormat="1" applyFont="1" applyBorder="1" applyAlignment="1">
      <alignment horizontal="center" vertical="center"/>
    </xf>
    <xf numFmtId="49" fontId="13" fillId="0" borderId="0" xfId="7" applyNumberFormat="1" applyFont="1" applyFill="1" applyBorder="1" applyAlignment="1">
      <alignment horizontal="center" vertical="center"/>
    </xf>
    <xf numFmtId="0" fontId="57" fillId="0" borderId="0" xfId="7" applyFont="1" applyAlignment="1">
      <alignment horizontal="center" vertical="center"/>
    </xf>
    <xf numFmtId="0" fontId="39" fillId="15" borderId="5" xfId="0" applyFont="1" applyFill="1" applyBorder="1" applyAlignment="1">
      <alignment horizontal="center" vertical="center"/>
    </xf>
    <xf numFmtId="0" fontId="39" fillId="15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5" fontId="39" fillId="15" borderId="5" xfId="0" applyNumberFormat="1" applyFont="1" applyFill="1" applyBorder="1" applyAlignment="1">
      <alignment horizontal="center" vertical="center" wrapText="1"/>
    </xf>
    <xf numFmtId="3" fontId="58" fillId="0" borderId="0" xfId="0" applyNumberFormat="1" applyFont="1" applyBorder="1" applyAlignment="1">
      <alignment vertical="center"/>
    </xf>
    <xf numFmtId="0" fontId="42" fillId="20" borderId="16" xfId="0" applyFont="1" applyFill="1" applyBorder="1" applyAlignment="1">
      <alignment vertical="center" wrapText="1"/>
    </xf>
    <xf numFmtId="3" fontId="42" fillId="20" borderId="16" xfId="0" applyNumberFormat="1" applyFont="1" applyFill="1" applyBorder="1" applyAlignment="1">
      <alignment horizontal="right" vertical="center"/>
    </xf>
    <xf numFmtId="3" fontId="37" fillId="13" borderId="15" xfId="0" applyNumberFormat="1" applyFont="1" applyFill="1" applyBorder="1" applyAlignment="1">
      <alignment horizontal="right" vertical="center"/>
    </xf>
    <xf numFmtId="171" fontId="36" fillId="0" borderId="0" xfId="1" applyNumberFormat="1" applyFont="1"/>
    <xf numFmtId="171" fontId="51" fillId="16" borderId="5" xfId="1" applyNumberFormat="1" applyFont="1" applyFill="1" applyBorder="1" applyAlignment="1">
      <alignment horizontal="right" vertical="center"/>
    </xf>
    <xf numFmtId="171" fontId="39" fillId="0" borderId="5" xfId="1" applyNumberFormat="1" applyFont="1" applyFill="1" applyBorder="1" applyAlignment="1">
      <alignment vertical="center"/>
    </xf>
    <xf numFmtId="171" fontId="39" fillId="0" borderId="5" xfId="1" applyNumberFormat="1" applyFont="1" applyBorder="1"/>
    <xf numFmtId="171" fontId="36" fillId="0" borderId="5" xfId="1" applyNumberFormat="1" applyFont="1" applyBorder="1"/>
    <xf numFmtId="171" fontId="36" fillId="0" borderId="5" xfId="1" applyNumberFormat="1" applyFont="1" applyBorder="1" applyAlignment="1">
      <alignment vertical="center"/>
    </xf>
    <xf numFmtId="171" fontId="36" fillId="0" borderId="5" xfId="1" applyNumberFormat="1" applyFont="1" applyFill="1" applyBorder="1" applyAlignment="1">
      <alignment vertical="center"/>
    </xf>
    <xf numFmtId="3" fontId="14" fillId="24" borderId="0" xfId="9" applyNumberFormat="1" applyFont="1" applyFill="1" applyBorder="1" applyAlignment="1">
      <alignment horizontal="right" vertical="center" wrapText="1"/>
    </xf>
    <xf numFmtId="170" fontId="6" fillId="9" borderId="0" xfId="1" applyNumberFormat="1" applyFont="1" applyFill="1" applyBorder="1" applyAlignment="1">
      <alignment horizontal="right" vertical="center"/>
    </xf>
    <xf numFmtId="170" fontId="14" fillId="0" borderId="0" xfId="1" applyNumberFormat="1" applyFont="1" applyFill="1" applyBorder="1" applyAlignment="1">
      <alignment horizontal="right" vertical="center"/>
    </xf>
    <xf numFmtId="170" fontId="59" fillId="26" borderId="0" xfId="1" applyNumberFormat="1" applyFont="1" applyFill="1" applyBorder="1" applyAlignment="1">
      <alignment vertical="center"/>
    </xf>
    <xf numFmtId="170" fontId="43" fillId="0" borderId="0" xfId="1" applyNumberFormat="1" applyFont="1" applyAlignment="1">
      <alignment vertical="center"/>
    </xf>
    <xf numFmtId="165" fontId="37" fillId="13" borderId="15" xfId="0" applyNumberFormat="1" applyFont="1" applyFill="1" applyBorder="1" applyAlignment="1">
      <alignment horizontal="right" vertical="center"/>
    </xf>
    <xf numFmtId="3" fontId="41" fillId="28" borderId="5" xfId="0" applyNumberFormat="1" applyFont="1" applyFill="1" applyBorder="1"/>
    <xf numFmtId="49" fontId="41" fillId="0" borderId="5" xfId="0" applyNumberFormat="1" applyFont="1" applyBorder="1"/>
    <xf numFmtId="49" fontId="41" fillId="0" borderId="0" xfId="0" applyNumberFormat="1" applyFont="1" applyAlignment="1">
      <alignment horizontal="center" vertical="center"/>
    </xf>
    <xf numFmtId="49" fontId="41" fillId="0" borderId="0" xfId="0" applyNumberFormat="1" applyFont="1"/>
    <xf numFmtId="3" fontId="41" fillId="0" borderId="0" xfId="0" applyNumberFormat="1" applyFont="1"/>
    <xf numFmtId="3" fontId="41" fillId="0" borderId="0" xfId="0" applyNumberFormat="1" applyFont="1" applyAlignment="1">
      <alignment horizontal="right"/>
    </xf>
    <xf numFmtId="0" fontId="41" fillId="0" borderId="0" xfId="0" applyFont="1"/>
    <xf numFmtId="49" fontId="51" fillId="13" borderId="5" xfId="0" applyNumberFormat="1" applyFont="1" applyFill="1" applyBorder="1" applyAlignment="1">
      <alignment horizontal="center" vertical="center"/>
    </xf>
    <xf numFmtId="0" fontId="51" fillId="13" borderId="5" xfId="0" applyFont="1" applyFill="1" applyBorder="1" applyAlignment="1">
      <alignment vertical="center"/>
    </xf>
    <xf numFmtId="0" fontId="51" fillId="16" borderId="5" xfId="0" applyFont="1" applyFill="1" applyBorder="1" applyAlignment="1">
      <alignment vertical="center"/>
    </xf>
    <xf numFmtId="171" fontId="51" fillId="16" borderId="5" xfId="1" applyNumberFormat="1" applyFont="1" applyFill="1" applyBorder="1" applyAlignment="1">
      <alignment vertical="center"/>
    </xf>
    <xf numFmtId="49" fontId="51" fillId="0" borderId="5" xfId="0" applyNumberFormat="1" applyFont="1" applyBorder="1" applyAlignment="1">
      <alignment horizontal="center" vertical="center"/>
    </xf>
    <xf numFmtId="49" fontId="51" fillId="0" borderId="5" xfId="0" applyNumberFormat="1" applyFont="1" applyBorder="1"/>
    <xf numFmtId="3" fontId="51" fillId="0" borderId="5" xfId="0" applyNumberFormat="1" applyFont="1" applyBorder="1"/>
    <xf numFmtId="49" fontId="41" fillId="0" borderId="5" xfId="0" applyNumberFormat="1" applyFont="1" applyBorder="1" applyAlignment="1">
      <alignment horizontal="center" vertical="center"/>
    </xf>
    <xf numFmtId="3" fontId="41" fillId="0" borderId="5" xfId="0" applyNumberFormat="1" applyFont="1" applyBorder="1"/>
    <xf numFmtId="49" fontId="41" fillId="0" borderId="5" xfId="0" applyNumberFormat="1" applyFont="1" applyBorder="1" applyAlignment="1">
      <alignment vertical="center" wrapText="1"/>
    </xf>
    <xf numFmtId="0" fontId="51" fillId="0" borderId="0" xfId="0" applyFont="1"/>
    <xf numFmtId="0" fontId="41" fillId="0" borderId="0" xfId="0" applyFont="1" applyAlignment="1">
      <alignment vertical="center"/>
    </xf>
    <xf numFmtId="49" fontId="41" fillId="0" borderId="18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51" fillId="15" borderId="37" xfId="0" applyFont="1" applyFill="1" applyBorder="1" applyAlignment="1">
      <alignment horizontal="center" vertical="center" wrapText="1"/>
    </xf>
    <xf numFmtId="3" fontId="51" fillId="15" borderId="37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49" fontId="51" fillId="13" borderId="37" xfId="0" applyNumberFormat="1" applyFont="1" applyFill="1" applyBorder="1" applyAlignment="1">
      <alignment horizontal="center"/>
    </xf>
    <xf numFmtId="0" fontId="51" fillId="13" borderId="37" xfId="0" applyFont="1" applyFill="1" applyBorder="1"/>
    <xf numFmtId="3" fontId="51" fillId="13" borderId="37" xfId="0" applyNumberFormat="1" applyFont="1" applyFill="1" applyBorder="1"/>
    <xf numFmtId="0" fontId="51" fillId="16" borderId="37" xfId="0" applyFont="1" applyFill="1" applyBorder="1" applyAlignment="1">
      <alignment horizontal="center"/>
    </xf>
    <xf numFmtId="0" fontId="51" fillId="16" borderId="37" xfId="0" applyFont="1" applyFill="1" applyBorder="1"/>
    <xf numFmtId="3" fontId="51" fillId="16" borderId="37" xfId="0" applyNumberFormat="1" applyFont="1" applyFill="1" applyBorder="1"/>
    <xf numFmtId="0" fontId="51" fillId="12" borderId="37" xfId="0" applyFont="1" applyFill="1" applyBorder="1" applyAlignment="1">
      <alignment horizontal="center"/>
    </xf>
    <xf numFmtId="0" fontId="51" fillId="12" borderId="37" xfId="0" applyFont="1" applyFill="1" applyBorder="1"/>
    <xf numFmtId="3" fontId="51" fillId="12" borderId="37" xfId="0" applyNumberFormat="1" applyFont="1" applyFill="1" applyBorder="1" applyAlignment="1"/>
    <xf numFmtId="3" fontId="51" fillId="12" borderId="37" xfId="0" applyNumberFormat="1" applyFont="1" applyFill="1" applyBorder="1"/>
    <xf numFmtId="0" fontId="41" fillId="0" borderId="37" xfId="0" applyFont="1" applyBorder="1" applyAlignment="1">
      <alignment horizontal="center"/>
    </xf>
    <xf numFmtId="0" fontId="41" fillId="0" borderId="37" xfId="0" applyFont="1" applyBorder="1"/>
    <xf numFmtId="3" fontId="41" fillId="0" borderId="37" xfId="0" applyNumberFormat="1" applyFont="1" applyBorder="1"/>
    <xf numFmtId="0" fontId="41" fillId="0" borderId="37" xfId="0" applyFont="1" applyBorder="1" applyAlignment="1">
      <alignment horizontal="left" indent="3"/>
    </xf>
    <xf numFmtId="0" fontId="41" fillId="0" borderId="37" xfId="0" applyFont="1" applyBorder="1" applyAlignment="1">
      <alignment horizontal="left"/>
    </xf>
    <xf numFmtId="0" fontId="51" fillId="15" borderId="37" xfId="0" applyFont="1" applyFill="1" applyBorder="1" applyAlignment="1">
      <alignment horizontal="center"/>
    </xf>
    <xf numFmtId="0" fontId="51" fillId="15" borderId="37" xfId="0" applyFont="1" applyFill="1" applyBorder="1"/>
    <xf numFmtId="3" fontId="51" fillId="15" borderId="37" xfId="0" applyNumberFormat="1" applyFont="1" applyFill="1" applyBorder="1"/>
    <xf numFmtId="165" fontId="51" fillId="0" borderId="5" xfId="0" applyNumberFormat="1" applyFont="1" applyFill="1" applyBorder="1" applyAlignment="1">
      <alignment horizontal="right" vertical="center" wrapText="1"/>
    </xf>
    <xf numFmtId="49" fontId="60" fillId="0" borderId="0" xfId="7" applyNumberFormat="1" applyFont="1" applyAlignment="1">
      <alignment horizontal="center"/>
    </xf>
    <xf numFmtId="0" fontId="17" fillId="0" borderId="0" xfId="7" applyFont="1" applyAlignment="1">
      <alignment horizontal="center"/>
    </xf>
    <xf numFmtId="0" fontId="17" fillId="0" borderId="0" xfId="7" applyFont="1"/>
    <xf numFmtId="0" fontId="7" fillId="0" borderId="0" xfId="7" applyFont="1" applyAlignment="1">
      <alignment vertical="center"/>
    </xf>
    <xf numFmtId="0" fontId="7" fillId="0" borderId="0" xfId="7" applyFont="1"/>
    <xf numFmtId="0" fontId="6" fillId="0" borderId="0" xfId="7" applyFont="1" applyAlignment="1">
      <alignment horizontal="right"/>
    </xf>
    <xf numFmtId="49" fontId="6" fillId="0" borderId="0" xfId="7" applyNumberFormat="1" applyFont="1" applyAlignment="1">
      <alignment horizontal="center"/>
    </xf>
    <xf numFmtId="0" fontId="7" fillId="0" borderId="0" xfId="7" applyFont="1" applyAlignment="1">
      <alignment horizontal="center"/>
    </xf>
    <xf numFmtId="0" fontId="7" fillId="0" borderId="0" xfId="7" applyFont="1" applyFill="1" applyAlignment="1">
      <alignment horizontal="center" vertical="center"/>
    </xf>
    <xf numFmtId="0" fontId="7" fillId="0" borderId="0" xfId="7" applyFont="1" applyFill="1" applyAlignment="1">
      <alignment vertical="center"/>
    </xf>
    <xf numFmtId="0" fontId="17" fillId="0" borderId="0" xfId="7" applyFont="1" applyFill="1" applyAlignment="1">
      <alignment vertical="center"/>
    </xf>
    <xf numFmtId="0" fontId="13" fillId="0" borderId="0" xfId="7" applyFont="1" applyFill="1" applyAlignment="1">
      <alignment vertical="center"/>
    </xf>
    <xf numFmtId="0" fontId="7" fillId="0" borderId="0" xfId="7" applyFont="1" applyAlignment="1">
      <alignment horizontal="center" vertical="center"/>
    </xf>
    <xf numFmtId="0" fontId="17" fillId="0" borderId="0" xfId="7" applyFont="1" applyAlignment="1">
      <alignment vertical="center"/>
    </xf>
    <xf numFmtId="49" fontId="13" fillId="26" borderId="0" xfId="7" applyNumberFormat="1" applyFont="1" applyFill="1" applyBorder="1" applyAlignment="1">
      <alignment horizontal="center"/>
    </xf>
    <xf numFmtId="0" fontId="7" fillId="26" borderId="0" xfId="7" applyFont="1" applyFill="1" applyAlignment="1">
      <alignment horizontal="center"/>
    </xf>
    <xf numFmtId="0" fontId="7" fillId="26" borderId="0" xfId="7" applyFont="1" applyFill="1"/>
    <xf numFmtId="49" fontId="7" fillId="0" borderId="0" xfId="7" applyNumberFormat="1" applyFont="1" applyAlignment="1">
      <alignment horizontal="center"/>
    </xf>
    <xf numFmtId="3" fontId="41" fillId="0" borderId="5" xfId="0" applyNumberFormat="1" applyFont="1" applyBorder="1" applyAlignment="1">
      <alignment horizontal="right" vertical="center" wrapText="1"/>
    </xf>
    <xf numFmtId="3" fontId="51" fillId="0" borderId="5" xfId="0" applyNumberFormat="1" applyFont="1" applyBorder="1" applyAlignment="1">
      <alignment horizontal="right" vertical="center" wrapText="1"/>
    </xf>
    <xf numFmtId="0" fontId="60" fillId="0" borderId="0" xfId="7" applyFont="1" applyAlignment="1">
      <alignment horizontal="center"/>
    </xf>
    <xf numFmtId="49" fontId="20" fillId="0" borderId="5" xfId="9" applyNumberFormat="1" applyFont="1" applyBorder="1" applyAlignment="1">
      <alignment horizontal="center"/>
    </xf>
    <xf numFmtId="0" fontId="20" fillId="0" borderId="5" xfId="9" applyFont="1" applyBorder="1" applyAlignment="1">
      <alignment horizontal="center"/>
    </xf>
    <xf numFmtId="49" fontId="14" fillId="0" borderId="5" xfId="9" applyNumberFormat="1" applyFont="1" applyBorder="1" applyAlignment="1">
      <alignment horizontal="center"/>
    </xf>
    <xf numFmtId="0" fontId="14" fillId="0" borderId="5" xfId="9" applyFont="1" applyBorder="1" applyAlignment="1">
      <alignment horizontal="left" indent="1"/>
    </xf>
    <xf numFmtId="0" fontId="14" fillId="0" borderId="5" xfId="9" applyFont="1" applyBorder="1" applyAlignment="1">
      <alignment horizontal="center"/>
    </xf>
    <xf numFmtId="167" fontId="7" fillId="0" borderId="0" xfId="7" applyNumberFormat="1" applyFont="1"/>
    <xf numFmtId="3" fontId="17" fillId="0" borderId="0" xfId="7" applyNumberFormat="1" applyFont="1"/>
    <xf numFmtId="3" fontId="51" fillId="13" borderId="5" xfId="0" applyNumberFormat="1" applyFont="1" applyFill="1" applyBorder="1" applyAlignment="1">
      <alignment horizontal="right" vertical="center" wrapText="1"/>
    </xf>
    <xf numFmtId="171" fontId="51" fillId="13" borderId="5" xfId="1" applyNumberFormat="1" applyFont="1" applyFill="1" applyBorder="1" applyAlignment="1">
      <alignment horizontal="right" vertical="center" wrapText="1"/>
    </xf>
    <xf numFmtId="3" fontId="51" fillId="16" borderId="5" xfId="0" applyNumberFormat="1" applyFont="1" applyFill="1" applyBorder="1" applyAlignment="1">
      <alignment vertical="center" wrapText="1"/>
    </xf>
    <xf numFmtId="171" fontId="51" fillId="16" borderId="5" xfId="1" applyNumberFormat="1" applyFont="1" applyFill="1" applyBorder="1" applyAlignment="1">
      <alignment vertical="center" wrapText="1"/>
    </xf>
    <xf numFmtId="3" fontId="51" fillId="0" borderId="5" xfId="0" applyNumberFormat="1" applyFont="1" applyBorder="1" applyAlignment="1">
      <alignment wrapText="1"/>
    </xf>
    <xf numFmtId="171" fontId="51" fillId="0" borderId="5" xfId="1" applyNumberFormat="1" applyFont="1" applyBorder="1" applyAlignment="1">
      <alignment wrapText="1"/>
    </xf>
    <xf numFmtId="3" fontId="41" fillId="0" borderId="5" xfId="0" applyNumberFormat="1" applyFont="1" applyBorder="1" applyAlignment="1">
      <alignment wrapText="1"/>
    </xf>
    <xf numFmtId="171" fontId="41" fillId="0" borderId="5" xfId="1" applyNumberFormat="1" applyFont="1" applyBorder="1" applyAlignment="1">
      <alignment wrapText="1"/>
    </xf>
    <xf numFmtId="3" fontId="41" fillId="0" borderId="5" xfId="0" applyNumberFormat="1" applyFont="1" applyBorder="1" applyAlignment="1">
      <alignment vertical="center" wrapText="1"/>
    </xf>
    <xf numFmtId="171" fontId="41" fillId="0" borderId="5" xfId="1" applyNumberFormat="1" applyFont="1" applyBorder="1" applyAlignment="1">
      <alignment vertical="center" wrapText="1"/>
    </xf>
    <xf numFmtId="3" fontId="51" fillId="0" borderId="5" xfId="0" applyNumberFormat="1" applyFont="1" applyBorder="1" applyAlignment="1">
      <alignment vertical="center" wrapText="1"/>
    </xf>
    <xf numFmtId="0" fontId="41" fillId="0" borderId="0" xfId="0" applyFont="1" applyAlignment="1">
      <alignment wrapText="1"/>
    </xf>
    <xf numFmtId="49" fontId="14" fillId="0" borderId="0" xfId="7" applyNumberFormat="1" applyFont="1" applyFill="1" applyBorder="1" applyAlignment="1">
      <alignment horizontal="center" vertical="center"/>
    </xf>
    <xf numFmtId="0" fontId="39" fillId="15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0" fillId="0" borderId="0" xfId="7" applyFont="1" applyAlignment="1">
      <alignment horizontal="center"/>
    </xf>
    <xf numFmtId="3" fontId="51" fillId="15" borderId="5" xfId="0" applyNumberFormat="1" applyFont="1" applyFill="1" applyBorder="1" applyAlignment="1">
      <alignment horizontal="center" vertical="center" wrapText="1"/>
    </xf>
    <xf numFmtId="49" fontId="39" fillId="0" borderId="5" xfId="0" applyNumberFormat="1" applyFont="1" applyBorder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49" fontId="37" fillId="13" borderId="5" xfId="0" applyNumberFormat="1" applyFont="1" applyFill="1" applyBorder="1" applyAlignment="1">
      <alignment horizontal="center" vertical="center" wrapText="1"/>
    </xf>
    <xf numFmtId="171" fontId="37" fillId="13" borderId="5" xfId="1" applyNumberFormat="1" applyFont="1" applyFill="1" applyBorder="1" applyAlignment="1">
      <alignment horizontal="right" vertical="center" wrapText="1"/>
    </xf>
    <xf numFmtId="49" fontId="39" fillId="16" borderId="5" xfId="0" applyNumberFormat="1" applyFont="1" applyFill="1" applyBorder="1" applyAlignment="1">
      <alignment horizontal="center" vertical="center" wrapText="1"/>
    </xf>
    <xf numFmtId="0" fontId="39" fillId="16" borderId="5" xfId="0" applyFont="1" applyFill="1" applyBorder="1" applyAlignment="1">
      <alignment vertical="center" wrapText="1"/>
    </xf>
    <xf numFmtId="3" fontId="39" fillId="16" borderId="5" xfId="0" applyNumberFormat="1" applyFont="1" applyFill="1" applyBorder="1" applyAlignment="1">
      <alignment vertical="center" wrapText="1"/>
    </xf>
    <xf numFmtId="171" fontId="39" fillId="16" borderId="5" xfId="1" applyNumberFormat="1" applyFont="1" applyFill="1" applyBorder="1" applyAlignment="1">
      <alignment vertical="center" wrapText="1"/>
    </xf>
    <xf numFmtId="49" fontId="39" fillId="0" borderId="5" xfId="0" applyNumberFormat="1" applyFont="1" applyBorder="1" applyAlignment="1">
      <alignment horizontal="center" vertical="center" wrapText="1"/>
    </xf>
    <xf numFmtId="3" fontId="39" fillId="0" borderId="5" xfId="0" applyNumberFormat="1" applyFont="1" applyBorder="1" applyAlignment="1">
      <alignment wrapText="1"/>
    </xf>
    <xf numFmtId="171" fontId="39" fillId="0" borderId="5" xfId="1" applyNumberFormat="1" applyFont="1" applyBorder="1" applyAlignment="1">
      <alignment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wrapText="1"/>
    </xf>
    <xf numFmtId="3" fontId="0" fillId="0" borderId="5" xfId="0" applyNumberFormat="1" applyBorder="1" applyAlignment="1">
      <alignment wrapText="1"/>
    </xf>
    <xf numFmtId="171" fontId="36" fillId="0" borderId="5" xfId="1" applyNumberFormat="1" applyFont="1" applyBorder="1" applyAlignment="1">
      <alignment wrapText="1"/>
    </xf>
    <xf numFmtId="0" fontId="39" fillId="0" borderId="0" xfId="0" applyFont="1" applyAlignment="1">
      <alignment wrapText="1"/>
    </xf>
    <xf numFmtId="49" fontId="0" fillId="0" borderId="5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49" fontId="0" fillId="0" borderId="5" xfId="0" applyNumberFormat="1" applyFont="1" applyBorder="1" applyAlignment="1">
      <alignment wrapText="1"/>
    </xf>
    <xf numFmtId="49" fontId="39" fillId="0" borderId="0" xfId="0" applyNumberFormat="1" applyFont="1" applyAlignment="1">
      <alignment wrapText="1"/>
    </xf>
    <xf numFmtId="171" fontId="39" fillId="15" borderId="5" xfId="1" applyNumberFormat="1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left" vertical="center" wrapText="1"/>
    </xf>
    <xf numFmtId="0" fontId="39" fillId="16" borderId="5" xfId="0" applyFont="1" applyFill="1" applyBorder="1" applyAlignment="1">
      <alignment horizontal="center" vertical="center" wrapText="1"/>
    </xf>
    <xf numFmtId="0" fontId="39" fillId="16" borderId="5" xfId="0" applyFont="1" applyFill="1" applyBorder="1" applyAlignment="1">
      <alignment wrapText="1"/>
    </xf>
    <xf numFmtId="3" fontId="39" fillId="16" borderId="5" xfId="0" applyNumberFormat="1" applyFont="1" applyFill="1" applyBorder="1" applyAlignment="1">
      <alignment wrapText="1"/>
    </xf>
    <xf numFmtId="0" fontId="39" fillId="12" borderId="5" xfId="0" applyFont="1" applyFill="1" applyBorder="1" applyAlignment="1">
      <alignment horizontal="center" vertical="center" wrapText="1"/>
    </xf>
    <xf numFmtId="0" fontId="39" fillId="12" borderId="5" xfId="0" applyFont="1" applyFill="1" applyBorder="1" applyAlignment="1">
      <alignment wrapText="1"/>
    </xf>
    <xf numFmtId="3" fontId="39" fillId="12" borderId="5" xfId="0" applyNumberFormat="1" applyFont="1" applyFill="1" applyBorder="1" applyAlignment="1">
      <alignment wrapText="1"/>
    </xf>
    <xf numFmtId="0" fontId="39" fillId="15" borderId="5" xfId="0" applyFont="1" applyFill="1" applyBorder="1" applyAlignment="1">
      <alignment horizontal="left" vertical="center" wrapText="1"/>
    </xf>
    <xf numFmtId="0" fontId="37" fillId="13" borderId="5" xfId="0" applyFont="1" applyFill="1" applyBorder="1" applyAlignment="1">
      <alignment horizontal="center" vertical="center" wrapText="1"/>
    </xf>
    <xf numFmtId="0" fontId="37" fillId="13" borderId="5" xfId="0" applyFont="1" applyFill="1" applyBorder="1" applyAlignment="1">
      <alignment horizontal="left" vertical="center" wrapText="1"/>
    </xf>
    <xf numFmtId="3" fontId="39" fillId="12" borderId="5" xfId="0" applyNumberFormat="1" applyFont="1" applyFill="1" applyBorder="1" applyAlignment="1">
      <alignment vertical="center" wrapText="1"/>
    </xf>
    <xf numFmtId="3" fontId="51" fillId="12" borderId="5" xfId="0" applyNumberFormat="1" applyFont="1" applyFill="1" applyBorder="1" applyAlignment="1">
      <alignment vertical="center" wrapText="1"/>
    </xf>
    <xf numFmtId="3" fontId="39" fillId="0" borderId="5" xfId="0" applyNumberFormat="1" applyFont="1" applyBorder="1" applyAlignment="1">
      <alignment vertical="center" wrapText="1"/>
    </xf>
    <xf numFmtId="3" fontId="39" fillId="12" borderId="5" xfId="0" applyNumberFormat="1" applyFont="1" applyFill="1" applyBorder="1" applyAlignment="1">
      <alignment horizontal="right" vertical="center" wrapText="1"/>
    </xf>
    <xf numFmtId="3" fontId="51" fillId="16" borderId="5" xfId="0" applyNumberFormat="1" applyFont="1" applyFill="1" applyBorder="1" applyAlignment="1">
      <alignment wrapText="1"/>
    </xf>
    <xf numFmtId="3" fontId="51" fillId="12" borderId="5" xfId="0" applyNumberFormat="1" applyFont="1" applyFill="1" applyBorder="1" applyAlignment="1">
      <alignment wrapText="1"/>
    </xf>
    <xf numFmtId="3" fontId="51" fillId="15" borderId="5" xfId="0" applyNumberFormat="1" applyFont="1" applyFill="1" applyBorder="1" applyAlignment="1">
      <alignment horizontal="right" vertical="center" wrapText="1"/>
    </xf>
    <xf numFmtId="3" fontId="41" fillId="0" borderId="5" xfId="0" applyNumberFormat="1" applyFont="1" applyFill="1" applyBorder="1" applyAlignment="1">
      <alignment wrapText="1"/>
    </xf>
    <xf numFmtId="171" fontId="41" fillId="0" borderId="5" xfId="1" applyNumberFormat="1" applyFont="1" applyFill="1" applyBorder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37" fillId="32" borderId="5" xfId="0" applyFont="1" applyFill="1" applyBorder="1" applyAlignment="1">
      <alignment vertical="center" wrapText="1"/>
    </xf>
    <xf numFmtId="0" fontId="39" fillId="16" borderId="5" xfId="0" applyFont="1" applyFill="1" applyBorder="1" applyAlignment="1">
      <alignment horizontal="center" vertical="center"/>
    </xf>
    <xf numFmtId="3" fontId="39" fillId="16" borderId="5" xfId="0" applyNumberFormat="1" applyFont="1" applyFill="1" applyBorder="1"/>
    <xf numFmtId="0" fontId="39" fillId="12" borderId="5" xfId="0" applyFont="1" applyFill="1" applyBorder="1" applyAlignment="1">
      <alignment horizontal="center" vertical="center"/>
    </xf>
    <xf numFmtId="3" fontId="39" fillId="12" borderId="5" xfId="0" applyNumberFormat="1" applyFont="1" applyFill="1" applyBorder="1"/>
    <xf numFmtId="0" fontId="0" fillId="0" borderId="5" xfId="0" applyFont="1" applyBorder="1" applyAlignment="1">
      <alignment horizontal="center" vertical="center"/>
    </xf>
    <xf numFmtId="3" fontId="39" fillId="0" borderId="5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3" fontId="39" fillId="0" borderId="5" xfId="0" applyNumberFormat="1" applyFont="1" applyBorder="1"/>
    <xf numFmtId="0" fontId="39" fillId="0" borderId="5" xfId="0" applyFont="1" applyBorder="1" applyAlignment="1">
      <alignment horizontal="center" vertical="center"/>
    </xf>
    <xf numFmtId="3" fontId="51" fillId="0" borderId="5" xfId="0" applyNumberFormat="1" applyFont="1" applyBorder="1"/>
    <xf numFmtId="0" fontId="39" fillId="15" borderId="5" xfId="0" applyFont="1" applyFill="1" applyBorder="1" applyAlignment="1">
      <alignment horizontal="center" vertical="center"/>
    </xf>
    <xf numFmtId="3" fontId="39" fillId="15" borderId="5" xfId="0" applyNumberFormat="1" applyFont="1" applyFill="1" applyBorder="1" applyAlignment="1">
      <alignment horizontal="right" vertical="center" wrapText="1"/>
    </xf>
    <xf numFmtId="3" fontId="41" fillId="0" borderId="5" xfId="0" applyNumberFormat="1" applyFont="1" applyBorder="1"/>
    <xf numFmtId="0" fontId="37" fillId="13" borderId="5" xfId="0" applyFont="1" applyFill="1" applyBorder="1" applyAlignment="1">
      <alignment horizontal="center" vertical="center"/>
    </xf>
    <xf numFmtId="3" fontId="37" fillId="13" borderId="5" xfId="0" applyNumberFormat="1" applyFont="1" applyFill="1" applyBorder="1" applyAlignment="1">
      <alignment horizontal="right" vertical="center" wrapText="1"/>
    </xf>
    <xf numFmtId="3" fontId="0" fillId="0" borderId="0" xfId="0" applyNumberFormat="1" applyFont="1"/>
    <xf numFmtId="3" fontId="39" fillId="15" borderId="5" xfId="0" applyNumberFormat="1" applyFont="1" applyFill="1" applyBorder="1" applyAlignment="1">
      <alignment horizontal="center" vertical="center" wrapText="1"/>
    </xf>
    <xf numFmtId="3" fontId="37" fillId="32" borderId="5" xfId="0" applyNumberFormat="1" applyFont="1" applyFill="1" applyBorder="1" applyAlignment="1">
      <alignment horizontal="center" vertical="center" wrapText="1"/>
    </xf>
    <xf numFmtId="49" fontId="37" fillId="32" borderId="5" xfId="0" applyNumberFormat="1" applyFont="1" applyFill="1" applyBorder="1" applyAlignment="1">
      <alignment horizontal="center" vertical="center" wrapText="1"/>
    </xf>
    <xf numFmtId="3" fontId="39" fillId="15" borderId="5" xfId="0" applyNumberFormat="1" applyFont="1" applyFill="1" applyBorder="1" applyAlignment="1">
      <alignment horizontal="center" vertical="center" wrapText="1"/>
    </xf>
    <xf numFmtId="0" fontId="60" fillId="0" borderId="0" xfId="7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173" fontId="0" fillId="0" borderId="0" xfId="0" applyNumberFormat="1"/>
    <xf numFmtId="170" fontId="0" fillId="0" borderId="0" xfId="0" applyNumberFormat="1"/>
    <xf numFmtId="16" fontId="0" fillId="0" borderId="5" xfId="0" applyNumberFormat="1" applyFont="1" applyBorder="1" applyAlignment="1">
      <alignment horizontal="left" vertical="center" wrapText="1" indent="3"/>
    </xf>
    <xf numFmtId="49" fontId="14" fillId="16" borderId="0" xfId="7" applyNumberFormat="1" applyFont="1" applyFill="1" applyBorder="1" applyAlignment="1">
      <alignment horizontal="center" vertical="center"/>
    </xf>
    <xf numFmtId="3" fontId="13" fillId="16" borderId="0" xfId="9" applyNumberFormat="1" applyFont="1" applyFill="1" applyBorder="1" applyAlignment="1">
      <alignment horizontal="right" vertical="center" wrapText="1"/>
    </xf>
    <xf numFmtId="0" fontId="7" fillId="16" borderId="0" xfId="7" applyFont="1" applyFill="1" applyAlignment="1">
      <alignment vertical="center"/>
    </xf>
    <xf numFmtId="49" fontId="61" fillId="0" borderId="0" xfId="7" applyNumberFormat="1" applyFont="1" applyBorder="1" applyAlignment="1">
      <alignment horizontal="center" vertical="center"/>
    </xf>
    <xf numFmtId="3" fontId="62" fillId="24" borderId="0" xfId="9" applyNumberFormat="1" applyFont="1" applyFill="1" applyBorder="1" applyAlignment="1">
      <alignment horizontal="right" vertical="center" wrapText="1"/>
    </xf>
    <xf numFmtId="0" fontId="63" fillId="0" borderId="0" xfId="7" applyFont="1" applyFill="1" applyAlignment="1">
      <alignment vertical="center"/>
    </xf>
    <xf numFmtId="3" fontId="14" fillId="16" borderId="0" xfId="9" applyNumberFormat="1" applyFont="1" applyFill="1" applyBorder="1" applyAlignment="1">
      <alignment horizontal="right" vertical="center" wrapText="1"/>
    </xf>
    <xf numFmtId="0" fontId="65" fillId="0" borderId="0" xfId="0" applyFont="1"/>
    <xf numFmtId="49" fontId="65" fillId="0" borderId="5" xfId="0" applyNumberFormat="1" applyFont="1" applyBorder="1" applyAlignment="1">
      <alignment horizontal="center" vertical="center"/>
    </xf>
    <xf numFmtId="0" fontId="38" fillId="0" borderId="0" xfId="0" applyFont="1"/>
    <xf numFmtId="3" fontId="51" fillId="0" borderId="5" xfId="0" applyNumberFormat="1" applyFont="1" applyFill="1" applyBorder="1" applyAlignment="1">
      <alignment wrapText="1"/>
    </xf>
    <xf numFmtId="49" fontId="51" fillId="0" borderId="5" xfId="0" applyNumberFormat="1" applyFont="1" applyFill="1" applyBorder="1" applyAlignment="1">
      <alignment horizontal="center" vertical="center"/>
    </xf>
    <xf numFmtId="49" fontId="51" fillId="0" borderId="5" xfId="0" applyNumberFormat="1" applyFont="1" applyFill="1" applyBorder="1"/>
    <xf numFmtId="171" fontId="51" fillId="0" borderId="5" xfId="1" applyNumberFormat="1" applyFont="1" applyFill="1" applyBorder="1" applyAlignment="1">
      <alignment wrapText="1"/>
    </xf>
    <xf numFmtId="49" fontId="41" fillId="0" borderId="5" xfId="0" applyNumberFormat="1" applyFont="1" applyFill="1" applyBorder="1"/>
    <xf numFmtId="0" fontId="0" fillId="0" borderId="5" xfId="0" applyFont="1" applyFill="1" applyBorder="1" applyAlignment="1">
      <alignment horizontal="center" vertical="center"/>
    </xf>
    <xf numFmtId="49" fontId="14" fillId="0" borderId="0" xfId="7" applyNumberFormat="1" applyFont="1" applyBorder="1" applyAlignment="1">
      <alignment horizontal="left" vertical="center"/>
    </xf>
    <xf numFmtId="3" fontId="0" fillId="0" borderId="5" xfId="0" applyNumberFormat="1" applyFill="1" applyBorder="1" applyAlignment="1">
      <alignment vertical="center"/>
    </xf>
    <xf numFmtId="0" fontId="60" fillId="0" borderId="0" xfId="7" applyFont="1" applyAlignment="1">
      <alignment horizontal="center"/>
    </xf>
    <xf numFmtId="0" fontId="60" fillId="0" borderId="0" xfId="7" applyFont="1" applyAlignment="1">
      <alignment horizontal="center"/>
    </xf>
    <xf numFmtId="3" fontId="39" fillId="15" borderId="5" xfId="0" applyNumberFormat="1" applyFont="1" applyFill="1" applyBorder="1" applyAlignment="1">
      <alignment horizontal="center" vertical="center" wrapText="1"/>
    </xf>
    <xf numFmtId="0" fontId="13" fillId="0" borderId="16" xfId="7" applyFont="1" applyFill="1" applyBorder="1" applyAlignment="1">
      <alignment horizontal="center" vertical="center"/>
    </xf>
    <xf numFmtId="0" fontId="13" fillId="0" borderId="16" xfId="7" applyFont="1" applyFill="1" applyBorder="1" applyAlignment="1">
      <alignment horizontal="center" vertical="center" wrapText="1"/>
    </xf>
    <xf numFmtId="3" fontId="12" fillId="0" borderId="16" xfId="9" applyNumberFormat="1" applyFont="1" applyBorder="1" applyAlignment="1">
      <alignment horizontal="center" vertical="center" wrapText="1"/>
    </xf>
    <xf numFmtId="0" fontId="13" fillId="24" borderId="16" xfId="7" applyFont="1" applyFill="1" applyBorder="1" applyAlignment="1">
      <alignment horizontal="center" vertical="center"/>
    </xf>
    <xf numFmtId="0" fontId="13" fillId="24" borderId="16" xfId="7" applyFont="1" applyFill="1" applyBorder="1" applyAlignment="1">
      <alignment vertical="center" wrapText="1"/>
    </xf>
    <xf numFmtId="3" fontId="13" fillId="24" borderId="16" xfId="9" applyNumberFormat="1" applyFont="1" applyFill="1" applyBorder="1" applyAlignment="1">
      <alignment horizontal="right" vertical="center" wrapText="1" indent="2"/>
    </xf>
    <xf numFmtId="0" fontId="13" fillId="28" borderId="16" xfId="7" applyFont="1" applyFill="1" applyBorder="1" applyAlignment="1">
      <alignment horizontal="center" vertical="center"/>
    </xf>
    <xf numFmtId="0" fontId="13" fillId="28" borderId="16" xfId="7" applyFont="1" applyFill="1" applyBorder="1" applyAlignment="1">
      <alignment vertical="center" wrapText="1"/>
    </xf>
    <xf numFmtId="167" fontId="13" fillId="0" borderId="16" xfId="7" applyNumberFormat="1" applyFont="1" applyBorder="1" applyAlignment="1">
      <alignment horizontal="right" vertical="center"/>
    </xf>
    <xf numFmtId="0" fontId="14" fillId="28" borderId="16" xfId="7" applyFont="1" applyFill="1" applyBorder="1" applyAlignment="1">
      <alignment horizontal="center" vertical="center"/>
    </xf>
    <xf numFmtId="0" fontId="14" fillId="28" borderId="16" xfId="0" applyFont="1" applyFill="1" applyBorder="1" applyAlignment="1">
      <alignment vertical="top" wrapText="1"/>
    </xf>
    <xf numFmtId="167" fontId="14" fillId="0" borderId="16" xfId="7" applyNumberFormat="1" applyFont="1" applyBorder="1" applyAlignment="1">
      <alignment horizontal="right" vertical="center"/>
    </xf>
    <xf numFmtId="167" fontId="14" fillId="0" borderId="16" xfId="7" applyNumberFormat="1" applyFont="1" applyFill="1" applyBorder="1" applyAlignment="1">
      <alignment horizontal="right" vertical="center"/>
    </xf>
    <xf numFmtId="167" fontId="14" fillId="28" borderId="16" xfId="7" applyNumberFormat="1" applyFont="1" applyFill="1" applyBorder="1" applyAlignment="1">
      <alignment horizontal="right" vertical="center"/>
    </xf>
    <xf numFmtId="0" fontId="14" fillId="28" borderId="16" xfId="7" applyFont="1" applyFill="1" applyBorder="1" applyAlignment="1">
      <alignment vertical="center" wrapText="1"/>
    </xf>
    <xf numFmtId="0" fontId="14" fillId="0" borderId="16" xfId="7" applyFont="1" applyFill="1" applyBorder="1" applyAlignment="1">
      <alignment vertical="center" wrapText="1"/>
    </xf>
    <xf numFmtId="0" fontId="62" fillId="28" borderId="16" xfId="7" applyFont="1" applyFill="1" applyBorder="1" applyAlignment="1">
      <alignment horizontal="center" vertical="center"/>
    </xf>
    <xf numFmtId="167" fontId="13" fillId="0" borderId="16" xfId="7" applyNumberFormat="1" applyFont="1" applyFill="1" applyBorder="1" applyAlignment="1">
      <alignment horizontal="right" vertical="center"/>
    </xf>
    <xf numFmtId="167" fontId="13" fillId="28" borderId="16" xfId="7" applyNumberFormat="1" applyFont="1" applyFill="1" applyBorder="1" applyAlignment="1">
      <alignment horizontal="right" vertical="center"/>
    </xf>
    <xf numFmtId="0" fontId="14" fillId="0" borderId="16" xfId="7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vertical="top" wrapText="1"/>
    </xf>
    <xf numFmtId="0" fontId="14" fillId="28" borderId="16" xfId="0" applyFont="1" applyFill="1" applyBorder="1" applyAlignment="1">
      <alignment horizontal="left" vertical="top" wrapText="1"/>
    </xf>
    <xf numFmtId="0" fontId="14" fillId="28" borderId="16" xfId="0" applyNumberFormat="1" applyFont="1" applyFill="1" applyBorder="1" applyAlignment="1">
      <alignment horizontal="left" vertical="top" wrapText="1"/>
    </xf>
    <xf numFmtId="16" fontId="14" fillId="28" borderId="16" xfId="7" applyNumberFormat="1" applyFont="1" applyFill="1" applyBorder="1" applyAlignment="1">
      <alignment vertical="center" wrapText="1"/>
    </xf>
    <xf numFmtId="0" fontId="14" fillId="28" borderId="16" xfId="7" applyFont="1" applyFill="1" applyBorder="1" applyAlignment="1">
      <alignment vertical="center"/>
    </xf>
    <xf numFmtId="49" fontId="13" fillId="0" borderId="16" xfId="7" applyNumberFormat="1" applyFont="1" applyFill="1" applyBorder="1" applyAlignment="1">
      <alignment vertical="center" wrapText="1"/>
    </xf>
    <xf numFmtId="0" fontId="13" fillId="0" borderId="16" xfId="7" quotePrefix="1" applyFont="1" applyBorder="1" applyAlignment="1">
      <alignment horizontal="center" vertical="center"/>
    </xf>
    <xf numFmtId="49" fontId="14" fillId="0" borderId="16" xfId="7" applyNumberFormat="1" applyFont="1" applyFill="1" applyBorder="1" applyAlignment="1">
      <alignment vertical="center" wrapText="1"/>
    </xf>
    <xf numFmtId="0" fontId="13" fillId="0" borderId="16" xfId="7" applyFont="1" applyBorder="1" applyAlignment="1">
      <alignment horizontal="center" vertical="center"/>
    </xf>
    <xf numFmtId="0" fontId="13" fillId="26" borderId="16" xfId="7" applyFont="1" applyFill="1" applyBorder="1" applyAlignment="1">
      <alignment horizontal="center" vertical="center"/>
    </xf>
    <xf numFmtId="0" fontId="13" fillId="26" borderId="16" xfId="7" applyFont="1" applyFill="1" applyBorder="1" applyAlignment="1">
      <alignment horizontal="left" wrapText="1"/>
    </xf>
    <xf numFmtId="167" fontId="13" fillId="26" borderId="16" xfId="7" applyNumberFormat="1" applyFont="1" applyFill="1" applyBorder="1"/>
    <xf numFmtId="0" fontId="60" fillId="0" borderId="0" xfId="7" applyFont="1" applyAlignment="1">
      <alignment horizontal="center"/>
    </xf>
    <xf numFmtId="0" fontId="41" fillId="0" borderId="5" xfId="0" applyFont="1" applyBorder="1" applyAlignment="1">
      <alignment wrapText="1"/>
    </xf>
    <xf numFmtId="0" fontId="12" fillId="12" borderId="5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/>
    </xf>
    <xf numFmtId="171" fontId="36" fillId="0" borderId="5" xfId="1" applyNumberFormat="1" applyFont="1" applyBorder="1"/>
    <xf numFmtId="0" fontId="0" fillId="0" borderId="5" xfId="0" applyFont="1" applyBorder="1" applyAlignment="1">
      <alignment wrapText="1"/>
    </xf>
    <xf numFmtId="0" fontId="39" fillId="0" borderId="5" xfId="0" applyFont="1" applyBorder="1" applyAlignment="1">
      <alignment horizontal="center" vertical="center"/>
    </xf>
    <xf numFmtId="16" fontId="14" fillId="28" borderId="16" xfId="0" applyNumberFormat="1" applyFont="1" applyFill="1" applyBorder="1" applyAlignment="1">
      <alignment vertical="top" wrapText="1"/>
    </xf>
    <xf numFmtId="49" fontId="41" fillId="0" borderId="5" xfId="0" applyNumberFormat="1" applyFont="1" applyBorder="1" applyAlignment="1">
      <alignment wrapText="1"/>
    </xf>
    <xf numFmtId="3" fontId="13" fillId="24" borderId="17" xfId="9" applyNumberFormat="1" applyFont="1" applyFill="1" applyBorder="1" applyAlignment="1">
      <alignment horizontal="right" vertical="center" wrapText="1"/>
    </xf>
    <xf numFmtId="0" fontId="59" fillId="0" borderId="16" xfId="7" applyFont="1" applyFill="1" applyBorder="1" applyAlignment="1">
      <alignment horizontal="center" vertical="center"/>
    </xf>
    <xf numFmtId="172" fontId="13" fillId="24" borderId="16" xfId="1" applyNumberFormat="1" applyFont="1" applyFill="1" applyBorder="1" applyAlignment="1">
      <alignment vertical="center"/>
    </xf>
    <xf numFmtId="170" fontId="13" fillId="0" borderId="16" xfId="1" applyNumberFormat="1" applyFont="1" applyFill="1" applyBorder="1" applyAlignment="1">
      <alignment horizontal="right" vertical="center"/>
    </xf>
    <xf numFmtId="0" fontId="14" fillId="0" borderId="16" xfId="7" applyFont="1" applyBorder="1" applyAlignment="1">
      <alignment horizontal="center" vertical="center"/>
    </xf>
    <xf numFmtId="170" fontId="14" fillId="0" borderId="16" xfId="1" applyNumberFormat="1" applyFont="1" applyFill="1" applyBorder="1" applyAlignment="1">
      <alignment horizontal="right" vertical="center"/>
    </xf>
    <xf numFmtId="0" fontId="14" fillId="0" borderId="16" xfId="0" applyFont="1" applyBorder="1" applyAlignment="1">
      <alignment wrapText="1"/>
    </xf>
    <xf numFmtId="0" fontId="14" fillId="0" borderId="16" xfId="8" applyFont="1" applyFill="1" applyBorder="1" applyAlignment="1">
      <alignment horizontal="left" vertical="center" wrapText="1"/>
    </xf>
    <xf numFmtId="170" fontId="13" fillId="24" borderId="16" xfId="1" applyNumberFormat="1" applyFont="1" applyFill="1" applyBorder="1" applyAlignment="1">
      <alignment horizontal="right" vertical="center" wrapText="1" indent="2"/>
    </xf>
    <xf numFmtId="0" fontId="14" fillId="26" borderId="16" xfId="7" applyFont="1" applyFill="1" applyBorder="1" applyAlignment="1">
      <alignment vertical="center"/>
    </xf>
    <xf numFmtId="0" fontId="13" fillId="26" borderId="16" xfId="7" applyFont="1" applyFill="1" applyBorder="1" applyAlignment="1">
      <alignment horizontal="left" vertical="center"/>
    </xf>
    <xf numFmtId="170" fontId="13" fillId="26" borderId="16" xfId="1" applyNumberFormat="1" applyFont="1" applyFill="1" applyBorder="1" applyAlignment="1">
      <alignment vertical="center"/>
    </xf>
    <xf numFmtId="0" fontId="60" fillId="0" borderId="0" xfId="7" applyFont="1" applyAlignment="1">
      <alignment horizontal="center"/>
    </xf>
    <xf numFmtId="49" fontId="60" fillId="0" borderId="0" xfId="7" applyNumberFormat="1" applyFont="1" applyAlignment="1">
      <alignment horizontal="right"/>
    </xf>
    <xf numFmtId="49" fontId="7" fillId="0" borderId="0" xfId="7" applyNumberFormat="1" applyFont="1" applyAlignment="1">
      <alignment horizontal="right"/>
    </xf>
    <xf numFmtId="49" fontId="6" fillId="0" borderId="0" xfId="7" applyNumberFormat="1" applyFont="1" applyAlignment="1">
      <alignment horizontal="right"/>
    </xf>
    <xf numFmtId="49" fontId="12" fillId="0" borderId="0" xfId="9" applyNumberFormat="1" applyFont="1" applyBorder="1" applyAlignment="1">
      <alignment horizontal="right" vertical="center" wrapText="1"/>
    </xf>
    <xf numFmtId="49" fontId="13" fillId="0" borderId="0" xfId="7" applyNumberFormat="1" applyFont="1" applyBorder="1" applyAlignment="1">
      <alignment horizontal="right" vertical="center"/>
    </xf>
    <xf numFmtId="49" fontId="14" fillId="0" borderId="0" xfId="7" applyNumberFormat="1" applyFont="1" applyBorder="1" applyAlignment="1">
      <alignment horizontal="right" vertical="center"/>
    </xf>
    <xf numFmtId="49" fontId="14" fillId="16" borderId="0" xfId="7" applyNumberFormat="1" applyFont="1" applyFill="1" applyBorder="1" applyAlignment="1">
      <alignment horizontal="right" vertical="center"/>
    </xf>
    <xf numFmtId="49" fontId="61" fillId="0" borderId="0" xfId="7" applyNumberFormat="1" applyFont="1" applyBorder="1" applyAlignment="1">
      <alignment horizontal="right" vertical="center"/>
    </xf>
    <xf numFmtId="49" fontId="13" fillId="0" borderId="0" xfId="7" applyNumberFormat="1" applyFont="1" applyFill="1" applyBorder="1" applyAlignment="1">
      <alignment horizontal="right" vertical="center"/>
    </xf>
    <xf numFmtId="49" fontId="14" fillId="0" borderId="0" xfId="7" applyNumberFormat="1" applyFont="1" applyFill="1" applyBorder="1" applyAlignment="1">
      <alignment horizontal="right" vertical="center"/>
    </xf>
    <xf numFmtId="49" fontId="13" fillId="26" borderId="0" xfId="7" applyNumberFormat="1" applyFont="1" applyFill="1" applyBorder="1" applyAlignment="1">
      <alignment horizontal="right"/>
    </xf>
    <xf numFmtId="0" fontId="7" fillId="0" borderId="16" xfId="7" applyFont="1" applyFill="1" applyBorder="1" applyAlignment="1">
      <alignment horizontal="center" vertical="center"/>
    </xf>
    <xf numFmtId="0" fontId="7" fillId="16" borderId="16" xfId="7" applyFont="1" applyFill="1" applyBorder="1" applyAlignment="1">
      <alignment horizontal="center" vertical="center"/>
    </xf>
    <xf numFmtId="0" fontId="63" fillId="0" borderId="16" xfId="7" applyFont="1" applyFill="1" applyBorder="1" applyAlignment="1">
      <alignment horizontal="center" vertical="center"/>
    </xf>
    <xf numFmtId="0" fontId="17" fillId="0" borderId="16" xfId="7" applyFont="1" applyFill="1" applyBorder="1" applyAlignment="1">
      <alignment horizontal="center" vertical="center"/>
    </xf>
    <xf numFmtId="0" fontId="7" fillId="0" borderId="16" xfId="7" applyFont="1" applyBorder="1" applyAlignment="1">
      <alignment horizontal="center" vertical="center"/>
    </xf>
    <xf numFmtId="0" fontId="17" fillId="0" borderId="16" xfId="7" applyFont="1" applyBorder="1" applyAlignment="1">
      <alignment horizontal="center" vertical="center"/>
    </xf>
    <xf numFmtId="0" fontId="43" fillId="0" borderId="16" xfId="7" applyFont="1" applyFill="1" applyBorder="1" applyAlignment="1">
      <alignment vertical="center"/>
    </xf>
    <xf numFmtId="0" fontId="43" fillId="0" borderId="16" xfId="7" applyFont="1" applyBorder="1" applyAlignment="1">
      <alignment vertical="center"/>
    </xf>
    <xf numFmtId="0" fontId="43" fillId="26" borderId="16" xfId="7" applyFont="1" applyFill="1" applyBorder="1" applyAlignment="1">
      <alignment vertical="center"/>
    </xf>
    <xf numFmtId="3" fontId="7" fillId="0" borderId="0" xfId="7" applyNumberFormat="1" applyFont="1" applyFill="1" applyAlignment="1">
      <alignment vertical="center"/>
    </xf>
    <xf numFmtId="0" fontId="60" fillId="0" borderId="0" xfId="7" applyFont="1" applyAlignment="1">
      <alignment horizontal="center"/>
    </xf>
    <xf numFmtId="0" fontId="41" fillId="0" borderId="0" xfId="0" applyFont="1" applyAlignment="1">
      <alignment horizontal="right"/>
    </xf>
    <xf numFmtId="3" fontId="51" fillId="12" borderId="5" xfId="0" applyNumberFormat="1" applyFont="1" applyFill="1" applyBorder="1"/>
    <xf numFmtId="0" fontId="41" fillId="0" borderId="16" xfId="0" applyFont="1" applyBorder="1"/>
    <xf numFmtId="0" fontId="51" fillId="0" borderId="5" xfId="0" applyFont="1" applyFill="1" applyBorder="1" applyAlignment="1">
      <alignment vertical="center"/>
    </xf>
    <xf numFmtId="0" fontId="37" fillId="32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/>
    <xf numFmtId="3" fontId="0" fillId="0" borderId="5" xfId="0" applyNumberFormat="1" applyFont="1" applyFill="1" applyBorder="1"/>
    <xf numFmtId="0" fontId="0" fillId="0" borderId="5" xfId="0" applyFill="1" applyBorder="1" applyAlignment="1">
      <alignment vertical="center"/>
    </xf>
    <xf numFmtId="0" fontId="66" fillId="0" borderId="16" xfId="0" applyFont="1" applyBorder="1" applyAlignment="1">
      <alignment vertical="center"/>
    </xf>
    <xf numFmtId="0" fontId="67" fillId="0" borderId="16" xfId="0" applyFont="1" applyBorder="1" applyAlignment="1">
      <alignment horizontal="center" vertical="center"/>
    </xf>
    <xf numFmtId="0" fontId="67" fillId="0" borderId="16" xfId="0" applyFont="1" applyBorder="1" applyAlignment="1">
      <alignment vertical="center" wrapText="1"/>
    </xf>
    <xf numFmtId="167" fontId="67" fillId="0" borderId="16" xfId="0" applyNumberFormat="1" applyFont="1" applyBorder="1" applyAlignment="1">
      <alignment vertical="center"/>
    </xf>
    <xf numFmtId="0" fontId="67" fillId="0" borderId="16" xfId="0" applyFont="1" applyBorder="1" applyAlignment="1">
      <alignment vertical="center"/>
    </xf>
    <xf numFmtId="0" fontId="67" fillId="16" borderId="16" xfId="0" applyFont="1" applyFill="1" applyBorder="1" applyAlignment="1">
      <alignment horizontal="center" vertical="center"/>
    </xf>
    <xf numFmtId="0" fontId="67" fillId="16" borderId="16" xfId="0" applyFont="1" applyFill="1" applyBorder="1" applyAlignment="1">
      <alignment horizontal="center" vertical="center" wrapText="1"/>
    </xf>
    <xf numFmtId="0" fontId="67" fillId="33" borderId="16" xfId="0" applyFont="1" applyFill="1" applyBorder="1" applyAlignment="1">
      <alignment horizontal="center" vertical="center"/>
    </xf>
    <xf numFmtId="0" fontId="67" fillId="33" borderId="16" xfId="0" applyFont="1" applyFill="1" applyBorder="1" applyAlignment="1">
      <alignment vertical="center" wrapText="1"/>
    </xf>
    <xf numFmtId="167" fontId="67" fillId="33" borderId="16" xfId="0" applyNumberFormat="1" applyFont="1" applyFill="1" applyBorder="1" applyAlignment="1">
      <alignment vertical="center"/>
    </xf>
    <xf numFmtId="0" fontId="67" fillId="33" borderId="16" xfId="0" applyFont="1" applyFill="1" applyBorder="1" applyAlignment="1">
      <alignment wrapText="1"/>
    </xf>
    <xf numFmtId="0" fontId="68" fillId="0" borderId="16" xfId="0" applyFont="1" applyFill="1" applyBorder="1" applyAlignment="1">
      <alignment horizontal="center" vertical="center"/>
    </xf>
    <xf numFmtId="0" fontId="68" fillId="0" borderId="16" xfId="0" applyFont="1" applyFill="1" applyBorder="1" applyAlignment="1">
      <alignment vertical="center" wrapText="1"/>
    </xf>
    <xf numFmtId="167" fontId="68" fillId="0" borderId="16" xfId="0" applyNumberFormat="1" applyFont="1" applyFill="1" applyBorder="1" applyAlignment="1">
      <alignment vertical="center"/>
    </xf>
    <xf numFmtId="0" fontId="67" fillId="34" borderId="16" xfId="0" applyFont="1" applyFill="1" applyBorder="1" applyAlignment="1">
      <alignment wrapText="1"/>
    </xf>
    <xf numFmtId="0" fontId="68" fillId="0" borderId="16" xfId="0" applyFont="1" applyBorder="1" applyAlignment="1">
      <alignment wrapText="1"/>
    </xf>
    <xf numFmtId="0" fontId="68" fillId="0" borderId="16" xfId="0" applyFont="1" applyBorder="1" applyAlignment="1">
      <alignment vertical="center"/>
    </xf>
    <xf numFmtId="0" fontId="68" fillId="0" borderId="16" xfId="0" applyFont="1" applyBorder="1" applyAlignment="1">
      <alignment horizontal="left" wrapText="1"/>
    </xf>
    <xf numFmtId="0" fontId="68" fillId="34" borderId="16" xfId="0" applyFont="1" applyFill="1" applyBorder="1" applyAlignment="1">
      <alignment horizontal="left" wrapText="1"/>
    </xf>
    <xf numFmtId="0" fontId="69" fillId="34" borderId="16" xfId="0" applyFont="1" applyFill="1" applyBorder="1" applyAlignment="1">
      <alignment vertical="center" wrapText="1"/>
    </xf>
    <xf numFmtId="0" fontId="69" fillId="0" borderId="16" xfId="0" applyFont="1" applyBorder="1" applyAlignment="1">
      <alignment vertical="center"/>
    </xf>
    <xf numFmtId="0" fontId="68" fillId="0" borderId="16" xfId="0" applyFont="1" applyBorder="1" applyAlignment="1">
      <alignment vertical="center" wrapText="1"/>
    </xf>
    <xf numFmtId="167" fontId="68" fillId="0" borderId="16" xfId="0" applyNumberFormat="1" applyFont="1" applyBorder="1" applyAlignment="1">
      <alignment vertical="center"/>
    </xf>
    <xf numFmtId="0" fontId="68" fillId="0" borderId="16" xfId="0" applyFont="1" applyFill="1" applyBorder="1" applyAlignment="1">
      <alignment wrapText="1"/>
    </xf>
    <xf numFmtId="0" fontId="66" fillId="0" borderId="16" xfId="0" applyFont="1" applyBorder="1" applyAlignment="1">
      <alignment horizontal="center" vertical="center"/>
    </xf>
    <xf numFmtId="0" fontId="70" fillId="0" borderId="16" xfId="0" applyFont="1" applyBorder="1" applyAlignment="1">
      <alignment vertical="center" wrapText="1"/>
    </xf>
    <xf numFmtId="167" fontId="70" fillId="0" borderId="16" xfId="0" applyNumberFormat="1" applyFont="1" applyBorder="1" applyAlignment="1">
      <alignment vertical="center"/>
    </xf>
    <xf numFmtId="0" fontId="70" fillId="0" borderId="16" xfId="0" applyFont="1" applyFill="1" applyBorder="1" applyAlignment="1">
      <alignment wrapText="1"/>
    </xf>
    <xf numFmtId="0" fontId="68" fillId="0" borderId="16" xfId="0" applyFont="1" applyFill="1" applyBorder="1" applyAlignment="1">
      <alignment vertical="center"/>
    </xf>
    <xf numFmtId="0" fontId="67" fillId="0" borderId="16" xfId="0" applyFont="1" applyFill="1" applyBorder="1" applyAlignment="1">
      <alignment wrapText="1"/>
    </xf>
    <xf numFmtId="0" fontId="67" fillId="0" borderId="16" xfId="0" applyFont="1" applyFill="1" applyBorder="1" applyAlignment="1">
      <alignment vertical="center"/>
    </xf>
    <xf numFmtId="0" fontId="68" fillId="0" borderId="16" xfId="0" applyFont="1" applyBorder="1" applyAlignment="1">
      <alignment horizontal="center" vertical="center"/>
    </xf>
    <xf numFmtId="0" fontId="70" fillId="0" borderId="16" xfId="0" applyFont="1" applyBorder="1" applyAlignment="1">
      <alignment wrapText="1"/>
    </xf>
    <xf numFmtId="0" fontId="70" fillId="0" borderId="16" xfId="0" applyFont="1" applyBorder="1" applyAlignment="1">
      <alignment vertical="center"/>
    </xf>
    <xf numFmtId="0" fontId="67" fillId="34" borderId="16" xfId="0" applyFont="1" applyFill="1" applyBorder="1" applyAlignment="1">
      <alignment horizontal="center" vertical="center" wrapText="1"/>
    </xf>
    <xf numFmtId="0" fontId="68" fillId="34" borderId="16" xfId="0" applyFont="1" applyFill="1" applyBorder="1" applyAlignment="1">
      <alignment wrapText="1"/>
    </xf>
    <xf numFmtId="0" fontId="70" fillId="34" borderId="16" xfId="0" applyFont="1" applyFill="1" applyBorder="1" applyAlignment="1">
      <alignment wrapText="1"/>
    </xf>
    <xf numFmtId="0" fontId="67" fillId="0" borderId="16" xfId="0" applyFont="1" applyFill="1" applyBorder="1" applyAlignment="1">
      <alignment horizontal="center" vertical="center"/>
    </xf>
    <xf numFmtId="0" fontId="68" fillId="0" borderId="16" xfId="0" applyFont="1" applyBorder="1" applyAlignment="1">
      <alignment vertical="top" wrapText="1"/>
    </xf>
    <xf numFmtId="0" fontId="68" fillId="0" borderId="16" xfId="0" applyFont="1" applyFill="1" applyBorder="1"/>
    <xf numFmtId="0" fontId="68" fillId="0" borderId="16" xfId="0" applyFont="1" applyBorder="1" applyAlignment="1">
      <alignment horizontal="left" vertical="center" wrapText="1"/>
    </xf>
    <xf numFmtId="0" fontId="67" fillId="34" borderId="16" xfId="0" applyFont="1" applyFill="1" applyBorder="1" applyAlignment="1">
      <alignment horizontal="left" vertical="center" wrapText="1"/>
    </xf>
    <xf numFmtId="0" fontId="61" fillId="0" borderId="16" xfId="7" applyFont="1" applyBorder="1" applyAlignment="1">
      <alignment horizontal="center" vertical="center"/>
    </xf>
    <xf numFmtId="0" fontId="61" fillId="28" borderId="16" xfId="7" applyFont="1" applyFill="1" applyBorder="1" applyAlignment="1">
      <alignment horizontal="center" vertical="center"/>
    </xf>
    <xf numFmtId="166" fontId="6" fillId="30" borderId="2" xfId="9" applyNumberFormat="1" applyFont="1" applyFill="1" applyBorder="1" applyAlignment="1">
      <alignment horizontal="center" vertical="center"/>
    </xf>
    <xf numFmtId="169" fontId="0" fillId="0" borderId="0" xfId="0" applyNumberFormat="1"/>
    <xf numFmtId="0" fontId="69" fillId="0" borderId="16" xfId="0" applyFont="1" applyFill="1" applyBorder="1" applyAlignment="1">
      <alignment vertical="center"/>
    </xf>
    <xf numFmtId="167" fontId="67" fillId="16" borderId="16" xfId="0" applyNumberFormat="1" applyFont="1" applyFill="1" applyBorder="1" applyAlignment="1">
      <alignment horizontal="center" vertical="center" wrapText="1"/>
    </xf>
    <xf numFmtId="167" fontId="67" fillId="16" borderId="16" xfId="0" applyNumberFormat="1" applyFont="1" applyFill="1" applyBorder="1" applyAlignment="1">
      <alignment vertical="center"/>
    </xf>
    <xf numFmtId="0" fontId="67" fillId="16" borderId="16" xfId="0" applyFont="1" applyFill="1" applyBorder="1" applyAlignment="1">
      <alignment wrapText="1"/>
    </xf>
    <xf numFmtId="167" fontId="71" fillId="16" borderId="16" xfId="0" applyNumberFormat="1" applyFont="1" applyFill="1" applyBorder="1" applyAlignment="1">
      <alignment vertical="center"/>
    </xf>
    <xf numFmtId="167" fontId="71" fillId="16" borderId="16" xfId="0" applyNumberFormat="1" applyFont="1" applyFill="1" applyBorder="1" applyAlignment="1">
      <alignment horizontal="center" vertical="center" wrapText="1"/>
    </xf>
    <xf numFmtId="167" fontId="71" fillId="33" borderId="16" xfId="0" applyNumberFormat="1" applyFont="1" applyFill="1" applyBorder="1" applyAlignment="1">
      <alignment vertical="center"/>
    </xf>
    <xf numFmtId="0" fontId="72" fillId="0" borderId="16" xfId="0" applyFont="1" applyFill="1" applyBorder="1" applyAlignment="1">
      <alignment vertical="center"/>
    </xf>
    <xf numFmtId="0" fontId="72" fillId="0" borderId="16" xfId="0" applyFont="1" applyBorder="1" applyAlignment="1">
      <alignment vertical="center"/>
    </xf>
    <xf numFmtId="167" fontId="71" fillId="0" borderId="16" xfId="0" applyNumberFormat="1" applyFont="1" applyBorder="1" applyAlignment="1">
      <alignment vertical="center"/>
    </xf>
    <xf numFmtId="0" fontId="71" fillId="0" borderId="16" xfId="0" applyFont="1" applyFill="1" applyBorder="1" applyAlignment="1">
      <alignment vertical="center"/>
    </xf>
    <xf numFmtId="167" fontId="69" fillId="0" borderId="16" xfId="0" applyNumberFormat="1" applyFont="1" applyFill="1" applyBorder="1" applyAlignment="1">
      <alignment vertical="center"/>
    </xf>
    <xf numFmtId="0" fontId="71" fillId="0" borderId="16" xfId="0" applyFont="1" applyBorder="1" applyAlignment="1">
      <alignment vertical="center"/>
    </xf>
    <xf numFmtId="0" fontId="73" fillId="0" borderId="16" xfId="0" applyFont="1" applyFill="1" applyBorder="1" applyAlignment="1">
      <alignment vertical="center"/>
    </xf>
    <xf numFmtId="167" fontId="69" fillId="0" borderId="16" xfId="0" applyNumberFormat="1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3" fontId="39" fillId="15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3" fontId="0" fillId="0" borderId="5" xfId="0" applyNumberFormat="1" applyFont="1" applyBorder="1" applyAlignment="1">
      <alignment vertical="center"/>
    </xf>
    <xf numFmtId="3" fontId="0" fillId="0" borderId="5" xfId="0" applyNumberFormat="1" applyFont="1" applyBorder="1"/>
    <xf numFmtId="164" fontId="36" fillId="0" borderId="0" xfId="1" applyFont="1"/>
    <xf numFmtId="164" fontId="51" fillId="0" borderId="5" xfId="1" applyNumberFormat="1" applyFont="1" applyBorder="1"/>
    <xf numFmtId="164" fontId="51" fillId="16" borderId="5" xfId="1" applyNumberFormat="1" applyFont="1" applyFill="1" applyBorder="1" applyAlignment="1">
      <alignment horizontal="right" vertical="center"/>
    </xf>
    <xf numFmtId="4" fontId="37" fillId="13" borderId="5" xfId="0" applyNumberFormat="1" applyFont="1" applyFill="1" applyBorder="1" applyAlignment="1">
      <alignment horizontal="right" vertical="center"/>
    </xf>
    <xf numFmtId="4" fontId="51" fillId="0" borderId="5" xfId="0" applyNumberFormat="1" applyFont="1" applyFill="1" applyBorder="1" applyAlignment="1">
      <alignment horizontal="right" vertical="center" wrapText="1"/>
    </xf>
    <xf numFmtId="167" fontId="18" fillId="28" borderId="16" xfId="0" applyNumberFormat="1" applyFont="1" applyFill="1" applyBorder="1" applyAlignment="1">
      <alignment horizontal="center" vertical="center" wrapText="1"/>
    </xf>
    <xf numFmtId="0" fontId="38" fillId="0" borderId="0" xfId="0" applyFont="1" applyFill="1"/>
    <xf numFmtId="0" fontId="58" fillId="0" borderId="0" xfId="0" applyFont="1" applyFill="1"/>
    <xf numFmtId="49" fontId="41" fillId="0" borderId="5" xfId="0" applyNumberFormat="1" applyFont="1" applyFill="1" applyBorder="1" applyAlignment="1">
      <alignment horizontal="center" vertical="center"/>
    </xf>
    <xf numFmtId="49" fontId="41" fillId="0" borderId="5" xfId="0" applyNumberFormat="1" applyFont="1" applyFill="1" applyBorder="1" applyAlignment="1">
      <alignment vertical="center" wrapText="1"/>
    </xf>
    <xf numFmtId="3" fontId="41" fillId="0" borderId="5" xfId="0" applyNumberFormat="1" applyFont="1" applyFill="1" applyBorder="1" applyAlignment="1">
      <alignment vertical="center" wrapText="1"/>
    </xf>
    <xf numFmtId="171" fontId="41" fillId="0" borderId="5" xfId="1" applyNumberFormat="1" applyFont="1" applyFill="1" applyBorder="1" applyAlignment="1">
      <alignment vertical="center" wrapText="1"/>
    </xf>
    <xf numFmtId="164" fontId="51" fillId="0" borderId="5" xfId="1" applyFont="1" applyFill="1" applyBorder="1" applyAlignment="1">
      <alignment horizontal="right" vertical="center" wrapText="1"/>
    </xf>
    <xf numFmtId="164" fontId="39" fillId="15" borderId="5" xfId="1" applyFont="1" applyFill="1" applyBorder="1" applyAlignment="1">
      <alignment horizontal="center" vertical="center" wrapText="1"/>
    </xf>
    <xf numFmtId="164" fontId="39" fillId="16" borderId="5" xfId="1" applyFont="1" applyFill="1" applyBorder="1" applyAlignment="1">
      <alignment vertical="center"/>
    </xf>
    <xf numFmtId="164" fontId="36" fillId="0" borderId="5" xfId="1" applyFont="1" applyBorder="1"/>
    <xf numFmtId="164" fontId="36" fillId="0" borderId="5" xfId="1" applyFont="1" applyBorder="1" applyAlignment="1">
      <alignment vertical="center"/>
    </xf>
    <xf numFmtId="164" fontId="22" fillId="0" borderId="2" xfId="1" applyFont="1" applyBorder="1" applyAlignment="1">
      <alignment horizontal="center" vertical="center"/>
    </xf>
    <xf numFmtId="164" fontId="12" fillId="0" borderId="2" xfId="1" applyFont="1" applyBorder="1" applyAlignment="1">
      <alignment horizontal="left" vertical="center"/>
    </xf>
    <xf numFmtId="164" fontId="6" fillId="30" borderId="2" xfId="1" applyFont="1" applyFill="1" applyBorder="1" applyAlignment="1">
      <alignment horizontal="center" vertical="center"/>
    </xf>
    <xf numFmtId="164" fontId="12" fillId="31" borderId="2" xfId="1" applyFont="1" applyFill="1" applyBorder="1" applyAlignment="1">
      <alignment horizontal="center" vertical="center" wrapText="1"/>
    </xf>
    <xf numFmtId="164" fontId="6" fillId="30" borderId="2" xfId="1" applyFont="1" applyFill="1" applyBorder="1" applyAlignment="1">
      <alignment horizontal="center" vertical="center"/>
    </xf>
    <xf numFmtId="164" fontId="56" fillId="13" borderId="2" xfId="1" applyFont="1" applyFill="1" applyBorder="1" applyAlignment="1">
      <alignment horizontal="center" vertical="center"/>
    </xf>
    <xf numFmtId="164" fontId="6" fillId="0" borderId="0" xfId="1" applyFont="1"/>
    <xf numFmtId="0" fontId="41" fillId="0" borderId="5" xfId="0" applyFont="1" applyBorder="1" applyAlignment="1">
      <alignment horizontal="center" vertical="center" wrapText="1"/>
    </xf>
    <xf numFmtId="0" fontId="29" fillId="0" borderId="0" xfId="0" applyFont="1"/>
    <xf numFmtId="0" fontId="19" fillId="0" borderId="16" xfId="0" applyFont="1" applyBorder="1" applyAlignment="1">
      <alignment horizontal="center"/>
    </xf>
    <xf numFmtId="0" fontId="19" fillId="0" borderId="16" xfId="0" applyFont="1" applyBorder="1"/>
    <xf numFmtId="170" fontId="29" fillId="0" borderId="16" xfId="1" applyNumberFormat="1" applyFont="1" applyBorder="1"/>
    <xf numFmtId="170" fontId="29" fillId="0" borderId="0" xfId="0" applyNumberFormat="1" applyFont="1"/>
    <xf numFmtId="0" fontId="19" fillId="0" borderId="16" xfId="0" applyFont="1" applyBorder="1" applyAlignment="1">
      <alignment wrapText="1"/>
    </xf>
    <xf numFmtId="0" fontId="19" fillId="0" borderId="16" xfId="0" applyFont="1" applyBorder="1" applyAlignment="1">
      <alignment horizontal="justify" vertical="center"/>
    </xf>
    <xf numFmtId="0" fontId="19" fillId="0" borderId="0" xfId="0" applyFont="1"/>
    <xf numFmtId="0" fontId="18" fillId="0" borderId="0" xfId="0" applyFont="1" applyAlignment="1">
      <alignment horizontal="right"/>
    </xf>
    <xf numFmtId="170" fontId="31" fillId="0" borderId="0" xfId="1" applyNumberFormat="1" applyFont="1"/>
    <xf numFmtId="170" fontId="29" fillId="0" borderId="0" xfId="1" applyNumberFormat="1" applyFont="1"/>
    <xf numFmtId="170" fontId="29" fillId="0" borderId="16" xfId="1" applyNumberFormat="1" applyFont="1" applyFill="1" applyBorder="1"/>
    <xf numFmtId="0" fontId="18" fillId="0" borderId="19" xfId="0" applyFont="1" applyFill="1" applyBorder="1" applyAlignment="1">
      <alignment horizontal="right" vertical="center"/>
    </xf>
    <xf numFmtId="170" fontId="18" fillId="0" borderId="0" xfId="1" applyNumberFormat="1" applyFont="1"/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right" vertical="center"/>
    </xf>
    <xf numFmtId="0" fontId="51" fillId="16" borderId="5" xfId="0" applyFont="1" applyFill="1" applyBorder="1" applyAlignment="1">
      <alignment horizontal="center" vertical="center" wrapText="1"/>
    </xf>
    <xf numFmtId="0" fontId="51" fillId="12" borderId="5" xfId="0" applyFont="1" applyFill="1" applyBorder="1" applyAlignment="1">
      <alignment horizontal="center" vertical="center" wrapText="1"/>
    </xf>
    <xf numFmtId="0" fontId="51" fillId="12" borderId="5" xfId="0" applyFont="1" applyFill="1" applyBorder="1" applyAlignment="1">
      <alignment vertical="center" wrapText="1"/>
    </xf>
    <xf numFmtId="3" fontId="41" fillId="0" borderId="0" xfId="0" applyNumberFormat="1" applyFont="1" applyAlignment="1">
      <alignment wrapText="1"/>
    </xf>
    <xf numFmtId="0" fontId="41" fillId="0" borderId="5" xfId="0" applyFont="1" applyBorder="1" applyAlignment="1">
      <alignment horizontal="left" vertical="center" wrapText="1"/>
    </xf>
    <xf numFmtId="0" fontId="51" fillId="15" borderId="5" xfId="0" applyFont="1" applyFill="1" applyBorder="1" applyAlignment="1">
      <alignment horizontal="center" vertical="center" wrapText="1"/>
    </xf>
    <xf numFmtId="0" fontId="51" fillId="15" borderId="5" xfId="0" applyFont="1" applyFill="1" applyBorder="1" applyAlignment="1">
      <alignment horizontal="left" vertical="center" wrapText="1"/>
    </xf>
    <xf numFmtId="3" fontId="51" fillId="12" borderId="5" xfId="0" applyNumberFormat="1" applyFont="1" applyFill="1" applyBorder="1" applyAlignment="1">
      <alignment horizontal="right" vertical="center" wrapText="1"/>
    </xf>
    <xf numFmtId="0" fontId="41" fillId="0" borderId="5" xfId="0" applyFont="1" applyBorder="1" applyAlignment="1">
      <alignment vertical="center" wrapText="1"/>
    </xf>
    <xf numFmtId="0" fontId="51" fillId="13" borderId="5" xfId="0" applyFont="1" applyFill="1" applyBorder="1" applyAlignment="1">
      <alignment horizontal="center" vertical="center" wrapText="1"/>
    </xf>
    <xf numFmtId="0" fontId="51" fillId="13" borderId="5" xfId="0" applyFont="1" applyFill="1" applyBorder="1" applyAlignment="1">
      <alignment horizontal="left" vertical="center" wrapText="1"/>
    </xf>
    <xf numFmtId="3" fontId="51" fillId="16" borderId="5" xfId="0" applyNumberFormat="1" applyFont="1" applyFill="1" applyBorder="1" applyAlignment="1">
      <alignment vertical="center"/>
    </xf>
    <xf numFmtId="3" fontId="17" fillId="27" borderId="5" xfId="0" applyNumberFormat="1" applyFont="1" applyFill="1" applyBorder="1"/>
    <xf numFmtId="3" fontId="51" fillId="16" borderId="5" xfId="0" applyNumberFormat="1" applyFont="1" applyFill="1" applyBorder="1"/>
    <xf numFmtId="3" fontId="51" fillId="0" borderId="5" xfId="0" applyNumberFormat="1" applyFont="1" applyFill="1" applyBorder="1" applyAlignment="1">
      <alignment vertical="center"/>
    </xf>
    <xf numFmtId="3" fontId="41" fillId="0" borderId="5" xfId="0" applyNumberFormat="1" applyFont="1" applyFill="1" applyBorder="1"/>
    <xf numFmtId="3" fontId="41" fillId="0" borderId="5" xfId="0" applyNumberFormat="1" applyFont="1" applyFill="1" applyBorder="1" applyAlignment="1">
      <alignment vertical="center"/>
    </xf>
    <xf numFmtId="3" fontId="41" fillId="0" borderId="5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18" fillId="0" borderId="0" xfId="0" applyFont="1" applyFill="1" applyBorder="1" applyAlignment="1">
      <alignment horizontal="right" vertical="center"/>
    </xf>
    <xf numFmtId="170" fontId="31" fillId="0" borderId="16" xfId="1" applyNumberFormat="1" applyFont="1" applyBorder="1"/>
    <xf numFmtId="170" fontId="32" fillId="0" borderId="0" xfId="1" applyNumberFormat="1" applyFont="1"/>
    <xf numFmtId="170" fontId="32" fillId="0" borderId="0" xfId="0" applyNumberFormat="1" applyFont="1"/>
    <xf numFmtId="0" fontId="33" fillId="0" borderId="0" xfId="0" applyFont="1"/>
    <xf numFmtId="0" fontId="35" fillId="0" borderId="16" xfId="0" applyFont="1" applyBorder="1" applyAlignment="1">
      <alignment horizontal="center"/>
    </xf>
    <xf numFmtId="0" fontId="35" fillId="0" borderId="0" xfId="0" applyFont="1"/>
    <xf numFmtId="0" fontId="34" fillId="0" borderId="0" xfId="0" applyFont="1" applyAlignment="1">
      <alignment horizontal="center"/>
    </xf>
    <xf numFmtId="4" fontId="0" fillId="0" borderId="5" xfId="0" applyNumberFormat="1" applyFont="1" applyBorder="1"/>
    <xf numFmtId="164" fontId="36" fillId="0" borderId="5" xfId="1" applyFont="1" applyBorder="1" applyAlignment="1">
      <alignment horizontal="right"/>
    </xf>
    <xf numFmtId="4" fontId="39" fillId="16" borderId="5" xfId="0" applyNumberFormat="1" applyFont="1" applyFill="1" applyBorder="1" applyAlignment="1">
      <alignment vertical="center"/>
    </xf>
    <xf numFmtId="3" fontId="39" fillId="15" borderId="21" xfId="0" applyNumberFormat="1" applyFont="1" applyFill="1" applyBorder="1" applyAlignment="1">
      <alignment horizontal="center" vertical="center" wrapText="1"/>
    </xf>
    <xf numFmtId="3" fontId="39" fillId="12" borderId="18" xfId="0" applyNumberFormat="1" applyFont="1" applyFill="1" applyBorder="1"/>
    <xf numFmtId="170" fontId="31" fillId="0" borderId="23" xfId="1" applyNumberFormat="1" applyFont="1" applyBorder="1"/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3" fontId="39" fillId="12" borderId="0" xfId="0" applyNumberFormat="1" applyFont="1" applyFill="1" applyBorder="1"/>
    <xf numFmtId="3" fontId="41" fillId="0" borderId="0" xfId="0" applyNumberFormat="1" applyFont="1"/>
    <xf numFmtId="3" fontId="0" fillId="0" borderId="0" xfId="0" applyNumberFormat="1" applyAlignment="1">
      <alignment wrapText="1"/>
    </xf>
    <xf numFmtId="170" fontId="29" fillId="0" borderId="16" xfId="1" applyNumberFormat="1" applyFont="1" applyBorder="1"/>
    <xf numFmtId="0" fontId="19" fillId="0" borderId="16" xfId="0" applyFont="1" applyBorder="1" applyAlignment="1">
      <alignment horizontal="justify" vertical="center"/>
    </xf>
    <xf numFmtId="170" fontId="31" fillId="0" borderId="16" xfId="1" applyNumberFormat="1" applyFont="1" applyBorder="1"/>
    <xf numFmtId="170" fontId="32" fillId="0" borderId="0" xfId="1" applyNumberFormat="1" applyFont="1"/>
    <xf numFmtId="170" fontId="32" fillId="0" borderId="0" xfId="0" applyNumberFormat="1" applyFont="1"/>
    <xf numFmtId="0" fontId="35" fillId="0" borderId="16" xfId="0" applyFont="1" applyBorder="1" applyAlignment="1">
      <alignment horizontal="center"/>
    </xf>
    <xf numFmtId="0" fontId="37" fillId="32" borderId="7" xfId="0" applyFont="1" applyFill="1" applyBorder="1" applyAlignment="1">
      <alignment vertical="center" wrapText="1"/>
    </xf>
    <xf numFmtId="0" fontId="39" fillId="0" borderId="7" xfId="0" applyFont="1" applyFill="1" applyBorder="1" applyAlignment="1">
      <alignment horizontal="left" vertical="center" wrapText="1"/>
    </xf>
    <xf numFmtId="0" fontId="39" fillId="16" borderId="7" xfId="0" applyFont="1" applyFill="1" applyBorder="1" applyAlignment="1">
      <alignment vertical="center" wrapText="1"/>
    </xf>
    <xf numFmtId="0" fontId="39" fillId="12" borderId="7" xfId="0" applyFont="1" applyFill="1" applyBorder="1" applyAlignment="1">
      <alignment vertical="center" wrapText="1"/>
    </xf>
    <xf numFmtId="0" fontId="39" fillId="0" borderId="7" xfId="0" applyFont="1" applyBorder="1" applyAlignment="1">
      <alignment horizontal="left" vertical="center" wrapText="1"/>
    </xf>
    <xf numFmtId="16" fontId="0" fillId="0" borderId="7" xfId="0" applyNumberFormat="1" applyBorder="1" applyAlignment="1">
      <alignment horizontal="left" vertical="center" wrapText="1"/>
    </xf>
    <xf numFmtId="0" fontId="39" fillId="15" borderId="7" xfId="0" applyFont="1" applyFill="1" applyBorder="1" applyAlignment="1">
      <alignment horizontal="left" vertical="center" wrapText="1"/>
    </xf>
    <xf numFmtId="0" fontId="39" fillId="0" borderId="7" xfId="0" applyFont="1" applyBorder="1" applyAlignment="1">
      <alignment vertical="center" wrapText="1"/>
    </xf>
    <xf numFmtId="0" fontId="37" fillId="13" borderId="7" xfId="0" applyFont="1" applyFill="1" applyBorder="1" applyAlignment="1">
      <alignment horizontal="left" vertical="center" wrapText="1"/>
    </xf>
    <xf numFmtId="3" fontId="37" fillId="32" borderId="39" xfId="0" applyNumberFormat="1" applyFont="1" applyFill="1" applyBorder="1" applyAlignment="1">
      <alignment horizontal="center" vertical="center" wrapText="1"/>
    </xf>
    <xf numFmtId="3" fontId="37" fillId="32" borderId="40" xfId="0" applyNumberFormat="1" applyFont="1" applyFill="1" applyBorder="1" applyAlignment="1">
      <alignment horizontal="center" vertical="center" wrapText="1"/>
    </xf>
    <xf numFmtId="3" fontId="51" fillId="32" borderId="41" xfId="0" applyNumberFormat="1" applyFont="1" applyFill="1" applyBorder="1" applyAlignment="1">
      <alignment horizontal="center" vertical="center" wrapText="1"/>
    </xf>
    <xf numFmtId="3" fontId="39" fillId="15" borderId="44" xfId="0" applyNumberFormat="1" applyFont="1" applyFill="1" applyBorder="1" applyAlignment="1">
      <alignment horizontal="center" vertical="center" wrapText="1"/>
    </xf>
    <xf numFmtId="3" fontId="51" fillId="15" borderId="45" xfId="0" applyNumberFormat="1" applyFont="1" applyFill="1" applyBorder="1" applyAlignment="1">
      <alignment horizontal="center" vertical="center" wrapText="1"/>
    </xf>
    <xf numFmtId="165" fontId="39" fillId="0" borderId="44" xfId="0" applyNumberFormat="1" applyFont="1" applyFill="1" applyBorder="1" applyAlignment="1">
      <alignment horizontal="right" vertical="center" wrapText="1"/>
    </xf>
    <xf numFmtId="165" fontId="51" fillId="0" borderId="45" xfId="0" applyNumberFormat="1" applyFont="1" applyFill="1" applyBorder="1" applyAlignment="1">
      <alignment horizontal="right" vertical="center" wrapText="1"/>
    </xf>
    <xf numFmtId="3" fontId="39" fillId="16" borderId="44" xfId="0" applyNumberFormat="1" applyFont="1" applyFill="1" applyBorder="1" applyAlignment="1">
      <alignment vertical="center" wrapText="1"/>
    </xf>
    <xf numFmtId="3" fontId="51" fillId="16" borderId="45" xfId="0" applyNumberFormat="1" applyFont="1" applyFill="1" applyBorder="1" applyAlignment="1">
      <alignment vertical="center" wrapText="1"/>
    </xf>
    <xf numFmtId="3" fontId="39" fillId="12" borderId="44" xfId="0" applyNumberFormat="1" applyFont="1" applyFill="1" applyBorder="1" applyAlignment="1">
      <alignment vertical="center" wrapText="1"/>
    </xf>
    <xf numFmtId="3" fontId="51" fillId="12" borderId="45" xfId="0" applyNumberFormat="1" applyFont="1" applyFill="1" applyBorder="1" applyAlignment="1">
      <alignment vertical="center" wrapText="1"/>
    </xf>
    <xf numFmtId="3" fontId="51" fillId="12" borderId="44" xfId="0" applyNumberFormat="1" applyFont="1" applyFill="1" applyBorder="1" applyAlignment="1">
      <alignment vertical="center" wrapText="1"/>
    </xf>
    <xf numFmtId="3" fontId="51" fillId="0" borderId="44" xfId="0" applyNumberFormat="1" applyFont="1" applyBorder="1" applyAlignment="1">
      <alignment vertical="center" wrapText="1"/>
    </xf>
    <xf numFmtId="3" fontId="51" fillId="0" borderId="45" xfId="0" applyNumberFormat="1" applyFont="1" applyBorder="1" applyAlignment="1">
      <alignment vertical="center" wrapText="1"/>
    </xf>
    <xf numFmtId="3" fontId="51" fillId="0" borderId="45" xfId="0" applyNumberFormat="1" applyFont="1" applyBorder="1" applyAlignment="1">
      <alignment horizontal="right" vertical="center" wrapText="1"/>
    </xf>
    <xf numFmtId="3" fontId="41" fillId="0" borderId="44" xfId="0" applyNumberFormat="1" applyFont="1" applyBorder="1" applyAlignment="1">
      <alignment vertical="center" wrapText="1"/>
    </xf>
    <xf numFmtId="3" fontId="41" fillId="0" borderId="45" xfId="0" applyNumberFormat="1" applyFont="1" applyBorder="1" applyAlignment="1">
      <alignment vertical="center" wrapText="1"/>
    </xf>
    <xf numFmtId="3" fontId="0" fillId="0" borderId="44" xfId="0" applyNumberFormat="1" applyBorder="1" applyAlignment="1">
      <alignment vertical="center" wrapText="1"/>
    </xf>
    <xf numFmtId="3" fontId="39" fillId="0" borderId="44" xfId="0" applyNumberFormat="1" applyFont="1" applyBorder="1" applyAlignment="1">
      <alignment vertical="center" wrapText="1"/>
    </xf>
    <xf numFmtId="3" fontId="39" fillId="15" borderId="44" xfId="0" applyNumberFormat="1" applyFont="1" applyFill="1" applyBorder="1" applyAlignment="1">
      <alignment horizontal="right" vertical="center" wrapText="1"/>
    </xf>
    <xf numFmtId="3" fontId="51" fillId="15" borderId="45" xfId="0" applyNumberFormat="1" applyFont="1" applyFill="1" applyBorder="1" applyAlignment="1">
      <alignment horizontal="right" vertical="center" wrapText="1"/>
    </xf>
    <xf numFmtId="3" fontId="39" fillId="12" borderId="44" xfId="0" applyNumberFormat="1" applyFont="1" applyFill="1" applyBorder="1" applyAlignment="1">
      <alignment horizontal="right" vertical="center" wrapText="1"/>
    </xf>
    <xf numFmtId="3" fontId="51" fillId="12" borderId="45" xfId="0" applyNumberFormat="1" applyFont="1" applyFill="1" applyBorder="1" applyAlignment="1">
      <alignment horizontal="right" vertical="center" wrapText="1"/>
    </xf>
    <xf numFmtId="3" fontId="39" fillId="0" borderId="44" xfId="0" applyNumberFormat="1" applyFont="1" applyBorder="1" applyAlignment="1">
      <alignment horizontal="right" vertical="center" wrapText="1"/>
    </xf>
    <xf numFmtId="3" fontId="0" fillId="0" borderId="44" xfId="0" applyNumberFormat="1" applyBorder="1" applyAlignment="1">
      <alignment horizontal="right" vertical="center" wrapText="1"/>
    </xf>
    <xf numFmtId="3" fontId="41" fillId="0" borderId="45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wrapText="1"/>
    </xf>
    <xf numFmtId="3" fontId="37" fillId="13" borderId="46" xfId="0" applyNumberFormat="1" applyFont="1" applyFill="1" applyBorder="1" applyAlignment="1">
      <alignment horizontal="right" vertical="center" wrapText="1"/>
    </xf>
    <xf numFmtId="3" fontId="37" fillId="13" borderId="47" xfId="0" applyNumberFormat="1" applyFont="1" applyFill="1" applyBorder="1" applyAlignment="1">
      <alignment horizontal="right" vertical="center" wrapText="1"/>
    </xf>
    <xf numFmtId="3" fontId="37" fillId="13" borderId="48" xfId="0" applyNumberFormat="1" applyFont="1" applyFill="1" applyBorder="1" applyAlignment="1">
      <alignment horizontal="right" vertical="center" wrapText="1"/>
    </xf>
    <xf numFmtId="0" fontId="39" fillId="16" borderId="7" xfId="0" applyFont="1" applyFill="1" applyBorder="1"/>
    <xf numFmtId="0" fontId="39" fillId="12" borderId="7" xfId="0" applyFont="1" applyFill="1" applyBorder="1"/>
    <xf numFmtId="16" fontId="0" fillId="0" borderId="7" xfId="0" applyNumberFormat="1" applyFont="1" applyBorder="1" applyAlignment="1">
      <alignment horizontal="left" vertical="center" wrapText="1" indent="3"/>
    </xf>
    <xf numFmtId="49" fontId="0" fillId="0" borderId="7" xfId="0" applyNumberFormat="1" applyFont="1" applyBorder="1" applyAlignment="1">
      <alignment horizontal="left" vertical="center" wrapText="1" indent="5"/>
    </xf>
    <xf numFmtId="0" fontId="39" fillId="0" borderId="7" xfId="0" applyFont="1" applyBorder="1"/>
    <xf numFmtId="16" fontId="0" fillId="0" borderId="7" xfId="0" applyNumberFormat="1" applyFont="1" applyFill="1" applyBorder="1" applyAlignment="1">
      <alignment horizontal="left" vertical="center" wrapText="1" indent="3"/>
    </xf>
    <xf numFmtId="0" fontId="39" fillId="0" borderId="7" xfId="0" applyFont="1" applyBorder="1" applyAlignment="1">
      <alignment wrapText="1"/>
    </xf>
    <xf numFmtId="0" fontId="39" fillId="15" borderId="7" xfId="0" applyFont="1" applyFill="1" applyBorder="1" applyAlignment="1">
      <alignment horizontal="left" vertical="center"/>
    </xf>
    <xf numFmtId="0" fontId="37" fillId="13" borderId="7" xfId="0" applyFont="1" applyFill="1" applyBorder="1" applyAlignment="1">
      <alignment horizontal="left" vertical="center"/>
    </xf>
    <xf numFmtId="3" fontId="37" fillId="32" borderId="41" xfId="0" applyNumberFormat="1" applyFont="1" applyFill="1" applyBorder="1" applyAlignment="1">
      <alignment horizontal="center" vertical="center" wrapText="1"/>
    </xf>
    <xf numFmtId="3" fontId="39" fillId="15" borderId="45" xfId="0" applyNumberFormat="1" applyFont="1" applyFill="1" applyBorder="1" applyAlignment="1">
      <alignment horizontal="center" vertical="center" wrapText="1"/>
    </xf>
    <xf numFmtId="3" fontId="39" fillId="16" borderId="44" xfId="0" applyNumberFormat="1" applyFont="1" applyFill="1" applyBorder="1"/>
    <xf numFmtId="3" fontId="39" fillId="16" borderId="45" xfId="0" applyNumberFormat="1" applyFont="1" applyFill="1" applyBorder="1"/>
    <xf numFmtId="3" fontId="39" fillId="12" borderId="44" xfId="0" applyNumberFormat="1" applyFont="1" applyFill="1" applyBorder="1"/>
    <xf numFmtId="3" fontId="39" fillId="12" borderId="45" xfId="0" applyNumberFormat="1" applyFont="1" applyFill="1" applyBorder="1"/>
    <xf numFmtId="3" fontId="39" fillId="0" borderId="44" xfId="0" applyNumberFormat="1" applyFont="1" applyBorder="1" applyAlignment="1">
      <alignment vertical="center"/>
    </xf>
    <xf numFmtId="3" fontId="39" fillId="0" borderId="45" xfId="0" applyNumberFormat="1" applyFont="1" applyBorder="1" applyAlignment="1">
      <alignment vertical="center"/>
    </xf>
    <xf numFmtId="3" fontId="0" fillId="0" borderId="44" xfId="0" applyNumberFormat="1" applyFont="1" applyBorder="1" applyAlignment="1">
      <alignment vertical="center"/>
    </xf>
    <xf numFmtId="3" fontId="0" fillId="0" borderId="45" xfId="0" applyNumberFormat="1" applyFont="1" applyBorder="1" applyAlignment="1">
      <alignment vertical="center"/>
    </xf>
    <xf numFmtId="3" fontId="41" fillId="0" borderId="44" xfId="0" applyNumberFormat="1" applyFont="1" applyBorder="1" applyAlignment="1">
      <alignment vertical="center"/>
    </xf>
    <xf numFmtId="3" fontId="0" fillId="0" borderId="44" xfId="0" applyNumberFormat="1" applyFont="1" applyBorder="1"/>
    <xf numFmtId="3" fontId="0" fillId="0" borderId="45" xfId="0" applyNumberFormat="1" applyFont="1" applyBorder="1"/>
    <xf numFmtId="3" fontId="39" fillId="0" borderId="44" xfId="0" applyNumberFormat="1" applyFont="1" applyBorder="1"/>
    <xf numFmtId="3" fontId="39" fillId="0" borderId="45" xfId="0" applyNumberFormat="1" applyFont="1" applyBorder="1"/>
    <xf numFmtId="3" fontId="51" fillId="12" borderId="45" xfId="0" applyNumberFormat="1" applyFont="1" applyFill="1" applyBorder="1"/>
    <xf numFmtId="3" fontId="51" fillId="0" borderId="45" xfId="0" applyNumberFormat="1" applyFont="1" applyBorder="1"/>
    <xf numFmtId="3" fontId="0" fillId="0" borderId="44" xfId="0" applyNumberFormat="1" applyFont="1" applyFill="1" applyBorder="1"/>
    <xf numFmtId="3" fontId="0" fillId="0" borderId="45" xfId="0" applyNumberFormat="1" applyFont="1" applyFill="1" applyBorder="1"/>
    <xf numFmtId="3" fontId="39" fillId="15" borderId="45" xfId="0" applyNumberFormat="1" applyFont="1" applyFill="1" applyBorder="1" applyAlignment="1">
      <alignment horizontal="right" vertical="center" wrapText="1"/>
    </xf>
    <xf numFmtId="3" fontId="51" fillId="0" borderId="44" xfId="0" applyNumberFormat="1" applyFont="1" applyBorder="1"/>
    <xf numFmtId="3" fontId="41" fillId="0" borderId="44" xfId="0" applyNumberFormat="1" applyFont="1" applyBorder="1"/>
    <xf numFmtId="3" fontId="41" fillId="0" borderId="45" xfId="0" applyNumberFormat="1" applyFont="1" applyBorder="1"/>
    <xf numFmtId="0" fontId="18" fillId="0" borderId="0" xfId="0" applyFont="1" applyAlignment="1">
      <alignment horizontal="center"/>
    </xf>
    <xf numFmtId="49" fontId="51" fillId="28" borderId="5" xfId="0" applyNumberFormat="1" applyFont="1" applyFill="1" applyBorder="1" applyAlignment="1">
      <alignment horizontal="center" vertical="center"/>
    </xf>
    <xf numFmtId="49" fontId="51" fillId="28" borderId="5" xfId="0" applyNumberFormat="1" applyFont="1" applyFill="1" applyBorder="1"/>
    <xf numFmtId="171" fontId="51" fillId="28" borderId="5" xfId="1" applyNumberFormat="1" applyFont="1" applyFill="1" applyBorder="1"/>
    <xf numFmtId="3" fontId="39" fillId="28" borderId="5" xfId="0" applyNumberFormat="1" applyFont="1" applyFill="1" applyBorder="1"/>
    <xf numFmtId="3" fontId="51" fillId="28" borderId="5" xfId="0" applyNumberFormat="1" applyFont="1" applyFill="1" applyBorder="1"/>
    <xf numFmtId="0" fontId="0" fillId="28" borderId="0" xfId="0" applyFill="1"/>
    <xf numFmtId="49" fontId="41" fillId="28" borderId="5" xfId="0" applyNumberFormat="1" applyFont="1" applyFill="1" applyBorder="1" applyAlignment="1">
      <alignment horizontal="center" vertical="center"/>
    </xf>
    <xf numFmtId="49" fontId="41" fillId="28" borderId="5" xfId="0" applyNumberFormat="1" applyFont="1" applyFill="1" applyBorder="1"/>
    <xf numFmtId="171" fontId="36" fillId="28" borderId="5" xfId="1" applyNumberFormat="1" applyFont="1" applyFill="1" applyBorder="1"/>
    <xf numFmtId="3" fontId="0" fillId="28" borderId="5" xfId="0" applyNumberFormat="1" applyFill="1" applyBorder="1"/>
    <xf numFmtId="3" fontId="0" fillId="28" borderId="5" xfId="0" applyNumberFormat="1" applyFont="1" applyFill="1" applyBorder="1"/>
    <xf numFmtId="171" fontId="41" fillId="28" borderId="5" xfId="1" applyNumberFormat="1" applyFont="1" applyFill="1" applyBorder="1"/>
    <xf numFmtId="3" fontId="0" fillId="28" borderId="5" xfId="0" applyNumberFormat="1" applyFont="1" applyFill="1" applyBorder="1" applyAlignment="1">
      <alignment vertical="center"/>
    </xf>
    <xf numFmtId="49" fontId="41" fillId="28" borderId="5" xfId="0" applyNumberFormat="1" applyFont="1" applyFill="1" applyBorder="1" applyAlignment="1">
      <alignment vertical="center" wrapText="1"/>
    </xf>
    <xf numFmtId="171" fontId="41" fillId="28" borderId="5" xfId="1" applyNumberFormat="1" applyFont="1" applyFill="1" applyBorder="1" applyAlignment="1">
      <alignment vertical="center"/>
    </xf>
    <xf numFmtId="3" fontId="41" fillId="28" borderId="5" xfId="0" applyNumberFormat="1" applyFont="1" applyFill="1" applyBorder="1" applyAlignment="1">
      <alignment vertical="center"/>
    </xf>
    <xf numFmtId="164" fontId="51" fillId="28" borderId="5" xfId="1" applyNumberFormat="1" applyFont="1" applyFill="1" applyBorder="1"/>
    <xf numFmtId="49" fontId="39" fillId="28" borderId="5" xfId="0" applyNumberFormat="1" applyFont="1" applyFill="1" applyBorder="1" applyAlignment="1">
      <alignment horizontal="center" vertical="center"/>
    </xf>
    <xf numFmtId="171" fontId="39" fillId="28" borderId="5" xfId="1" applyNumberFormat="1" applyFont="1" applyFill="1" applyBorder="1"/>
    <xf numFmtId="49" fontId="0" fillId="28" borderId="5" xfId="0" applyNumberFormat="1" applyFont="1" applyFill="1" applyBorder="1" applyAlignment="1">
      <alignment horizontal="center" vertical="center"/>
    </xf>
    <xf numFmtId="49" fontId="0" fillId="28" borderId="5" xfId="0" applyNumberFormat="1" applyFont="1" applyFill="1" applyBorder="1"/>
    <xf numFmtId="0" fontId="0" fillId="28" borderId="0" xfId="0" applyFont="1" applyFill="1"/>
    <xf numFmtId="49" fontId="0" fillId="28" borderId="0" xfId="0" applyNumberFormat="1" applyFont="1" applyFill="1"/>
    <xf numFmtId="0" fontId="38" fillId="35" borderId="0" xfId="0" applyFont="1" applyFill="1"/>
    <xf numFmtId="0" fontId="29" fillId="35" borderId="0" xfId="0" applyFont="1" applyFill="1"/>
    <xf numFmtId="0" fontId="41" fillId="35" borderId="0" xfId="0" applyFont="1" applyFill="1"/>
    <xf numFmtId="0" fontId="38" fillId="36" borderId="0" xfId="0" applyFont="1" applyFill="1"/>
    <xf numFmtId="0" fontId="51" fillId="36" borderId="0" xfId="0" applyFont="1" applyFill="1"/>
    <xf numFmtId="0" fontId="64" fillId="36" borderId="0" xfId="0" applyFont="1" applyFill="1"/>
    <xf numFmtId="0" fontId="51" fillId="36" borderId="0" xfId="0" applyFont="1" applyFill="1" applyAlignment="1">
      <alignment vertical="center"/>
    </xf>
    <xf numFmtId="0" fontId="58" fillId="36" borderId="0" xfId="0" applyFont="1" applyFill="1"/>
    <xf numFmtId="0" fontId="65" fillId="36" borderId="0" xfId="0" applyFont="1" applyFill="1"/>
    <xf numFmtId="0" fontId="41" fillId="36" borderId="0" xfId="0" applyFont="1" applyFill="1"/>
    <xf numFmtId="0" fontId="29" fillId="36" borderId="0" xfId="0" applyFont="1" applyFill="1"/>
    <xf numFmtId="0" fontId="35" fillId="0" borderId="16" xfId="0" applyFont="1" applyBorder="1" applyAlignment="1">
      <alignment horizontal="center" wrapText="1"/>
    </xf>
    <xf numFmtId="49" fontId="51" fillId="0" borderId="5" xfId="0" applyNumberFormat="1" applyFont="1" applyFill="1" applyBorder="1" applyAlignment="1">
      <alignment vertical="center" wrapText="1"/>
    </xf>
    <xf numFmtId="171" fontId="51" fillId="0" borderId="5" xfId="1" applyNumberFormat="1" applyFont="1" applyFill="1" applyBorder="1" applyAlignment="1">
      <alignment vertical="center" wrapText="1"/>
    </xf>
    <xf numFmtId="3" fontId="51" fillId="0" borderId="5" xfId="0" applyNumberFormat="1" applyFont="1" applyFill="1" applyBorder="1" applyAlignment="1">
      <alignment vertical="center" wrapText="1"/>
    </xf>
    <xf numFmtId="0" fontId="19" fillId="0" borderId="16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19" fillId="0" borderId="16" xfId="0" applyFont="1" applyFill="1" applyBorder="1"/>
    <xf numFmtId="170" fontId="31" fillId="0" borderId="16" xfId="1" applyNumberFormat="1" applyFont="1" applyFill="1" applyBorder="1"/>
    <xf numFmtId="0" fontId="29" fillId="0" borderId="0" xfId="0" applyFont="1" applyFill="1"/>
    <xf numFmtId="0" fontId="19" fillId="0" borderId="16" xfId="0" applyFont="1" applyFill="1" applyBorder="1" applyAlignment="1">
      <alignment wrapText="1"/>
    </xf>
    <xf numFmtId="0" fontId="19" fillId="0" borderId="16" xfId="0" applyFont="1" applyFill="1" applyBorder="1" applyAlignment="1">
      <alignment horizontal="justify" vertical="center"/>
    </xf>
    <xf numFmtId="0" fontId="51" fillId="0" borderId="0" xfId="0" applyFont="1" applyFill="1" applyAlignment="1">
      <alignment vertical="center"/>
    </xf>
    <xf numFmtId="3" fontId="41" fillId="12" borderId="5" xfId="0" applyNumberFormat="1" applyFont="1" applyFill="1" applyBorder="1" applyAlignment="1">
      <alignment wrapText="1"/>
    </xf>
    <xf numFmtId="170" fontId="29" fillId="36" borderId="0" xfId="0" applyNumberFormat="1" applyFont="1" applyFill="1"/>
    <xf numFmtId="3" fontId="38" fillId="0" borderId="5" xfId="0" applyNumberFormat="1" applyFont="1" applyFill="1" applyBorder="1" applyAlignment="1">
      <alignment wrapText="1"/>
    </xf>
    <xf numFmtId="3" fontId="0" fillId="0" borderId="0" xfId="0" applyNumberFormat="1" applyAlignment="1">
      <alignment horizontal="center" vertical="center"/>
    </xf>
    <xf numFmtId="170" fontId="29" fillId="0" borderId="0" xfId="1" applyNumberFormat="1" applyFont="1" applyFill="1"/>
    <xf numFmtId="3" fontId="39" fillId="15" borderId="7" xfId="0" applyNumberFormat="1" applyFont="1" applyFill="1" applyBorder="1" applyAlignment="1">
      <alignment horizontal="center" vertical="center" wrapText="1"/>
    </xf>
    <xf numFmtId="16" fontId="41" fillId="0" borderId="37" xfId="0" applyNumberFormat="1" applyFont="1" applyBorder="1" applyAlignment="1">
      <alignment horizontal="left"/>
    </xf>
    <xf numFmtId="0" fontId="51" fillId="0" borderId="37" xfId="0" applyFont="1" applyFill="1" applyBorder="1" applyAlignment="1">
      <alignment horizontal="center"/>
    </xf>
    <xf numFmtId="3" fontId="51" fillId="0" borderId="37" xfId="0" applyNumberFormat="1" applyFont="1" applyFill="1" applyBorder="1"/>
    <xf numFmtId="0" fontId="41" fillId="0" borderId="37" xfId="0" applyFont="1" applyFill="1" applyBorder="1"/>
    <xf numFmtId="3" fontId="41" fillId="0" borderId="37" xfId="0" applyNumberFormat="1" applyFont="1" applyFill="1" applyBorder="1"/>
    <xf numFmtId="0" fontId="18" fillId="35" borderId="0" xfId="0" applyFont="1" applyFill="1" applyBorder="1" applyAlignment="1">
      <alignment horizontal="center" vertical="center"/>
    </xf>
    <xf numFmtId="3" fontId="75" fillId="0" borderId="5" xfId="0" applyNumberFormat="1" applyFont="1" applyFill="1" applyBorder="1"/>
    <xf numFmtId="170" fontId="0" fillId="0" borderId="0" xfId="1" applyNumberFormat="1" applyFont="1"/>
    <xf numFmtId="170" fontId="29" fillId="35" borderId="0" xfId="1" applyNumberFormat="1" applyFont="1" applyFill="1"/>
    <xf numFmtId="170" fontId="29" fillId="36" borderId="0" xfId="1" applyNumberFormat="1" applyFont="1" applyFill="1"/>
    <xf numFmtId="0" fontId="0" fillId="0" borderId="5" xfId="0" applyFill="1" applyBorder="1" applyAlignment="1">
      <alignment vertical="center" wrapText="1"/>
    </xf>
    <xf numFmtId="3" fontId="37" fillId="32" borderId="50" xfId="0" applyNumberFormat="1" applyFont="1" applyFill="1" applyBorder="1" applyAlignment="1">
      <alignment horizontal="center" vertical="center" wrapText="1"/>
    </xf>
    <xf numFmtId="3" fontId="0" fillId="0" borderId="7" xfId="0" applyNumberFormat="1" applyFont="1" applyBorder="1"/>
    <xf numFmtId="3" fontId="39" fillId="0" borderId="7" xfId="0" applyNumberFormat="1" applyFont="1" applyBorder="1"/>
    <xf numFmtId="3" fontId="51" fillId="0" borderId="7" xfId="0" applyNumberFormat="1" applyFont="1" applyBorder="1"/>
    <xf numFmtId="3" fontId="41" fillId="0" borderId="7" xfId="0" applyNumberFormat="1" applyFont="1" applyBorder="1"/>
    <xf numFmtId="3" fontId="37" fillId="32" borderId="51" xfId="0" applyNumberFormat="1" applyFont="1" applyFill="1" applyBorder="1" applyAlignment="1">
      <alignment horizontal="center" vertical="center" wrapText="1"/>
    </xf>
    <xf numFmtId="3" fontId="37" fillId="32" borderId="52" xfId="0" applyNumberFormat="1" applyFont="1" applyFill="1" applyBorder="1" applyAlignment="1">
      <alignment horizontal="center" vertical="center" wrapText="1"/>
    </xf>
    <xf numFmtId="3" fontId="37" fillId="32" borderId="53" xfId="0" applyNumberFormat="1" applyFont="1" applyFill="1" applyBorder="1" applyAlignment="1">
      <alignment horizontal="center" vertical="center" wrapText="1"/>
    </xf>
    <xf numFmtId="3" fontId="39" fillId="15" borderId="56" xfId="0" applyNumberFormat="1" applyFont="1" applyFill="1" applyBorder="1" applyAlignment="1">
      <alignment horizontal="center" vertical="center" wrapText="1"/>
    </xf>
    <xf numFmtId="3" fontId="39" fillId="15" borderId="57" xfId="0" applyNumberFormat="1" applyFont="1" applyFill="1" applyBorder="1" applyAlignment="1">
      <alignment horizontal="center" vertical="center" wrapText="1"/>
    </xf>
    <xf numFmtId="3" fontId="39" fillId="16" borderId="56" xfId="0" applyNumberFormat="1" applyFont="1" applyFill="1" applyBorder="1"/>
    <xf numFmtId="3" fontId="39" fillId="16" borderId="57" xfId="0" applyNumberFormat="1" applyFont="1" applyFill="1" applyBorder="1"/>
    <xf numFmtId="3" fontId="39" fillId="12" borderId="56" xfId="0" applyNumberFormat="1" applyFont="1" applyFill="1" applyBorder="1"/>
    <xf numFmtId="3" fontId="39" fillId="12" borderId="57" xfId="0" applyNumberFormat="1" applyFont="1" applyFill="1" applyBorder="1"/>
    <xf numFmtId="3" fontId="39" fillId="0" borderId="56" xfId="0" applyNumberFormat="1" applyFont="1" applyBorder="1" applyAlignment="1">
      <alignment vertical="center"/>
    </xf>
    <xf numFmtId="3" fontId="39" fillId="0" borderId="57" xfId="0" applyNumberFormat="1" applyFont="1" applyBorder="1" applyAlignment="1">
      <alignment vertical="center"/>
    </xf>
    <xf numFmtId="3" fontId="41" fillId="0" borderId="56" xfId="0" applyNumberFormat="1" applyFont="1" applyBorder="1" applyAlignment="1">
      <alignment vertical="center"/>
    </xf>
    <xf numFmtId="3" fontId="0" fillId="0" borderId="57" xfId="0" applyNumberFormat="1" applyFont="1" applyBorder="1" applyAlignment="1">
      <alignment vertical="center"/>
    </xf>
    <xf numFmtId="3" fontId="0" fillId="0" borderId="56" xfId="0" applyNumberFormat="1" applyFont="1" applyBorder="1"/>
    <xf numFmtId="3" fontId="0" fillId="0" borderId="57" xfId="0" applyNumberFormat="1" applyFont="1" applyBorder="1"/>
    <xf numFmtId="3" fontId="39" fillId="0" borderId="56" xfId="0" applyNumberFormat="1" applyFont="1" applyBorder="1"/>
    <xf numFmtId="3" fontId="39" fillId="0" borderId="57" xfId="0" applyNumberFormat="1" applyFont="1" applyBorder="1"/>
    <xf numFmtId="3" fontId="0" fillId="0" borderId="56" xfId="0" applyNumberFormat="1" applyBorder="1"/>
    <xf numFmtId="3" fontId="51" fillId="12" borderId="57" xfId="0" applyNumberFormat="1" applyFont="1" applyFill="1" applyBorder="1"/>
    <xf numFmtId="3" fontId="51" fillId="0" borderId="57" xfId="0" applyNumberFormat="1" applyFont="1" applyBorder="1"/>
    <xf numFmtId="3" fontId="51" fillId="0" borderId="56" xfId="0" applyNumberFormat="1" applyFont="1" applyBorder="1"/>
    <xf numFmtId="3" fontId="0" fillId="0" borderId="56" xfId="0" applyNumberFormat="1" applyFont="1" applyFill="1" applyBorder="1"/>
    <xf numFmtId="3" fontId="0" fillId="0" borderId="57" xfId="0" applyNumberFormat="1" applyFont="1" applyFill="1" applyBorder="1"/>
    <xf numFmtId="3" fontId="39" fillId="15" borderId="56" xfId="0" applyNumberFormat="1" applyFont="1" applyFill="1" applyBorder="1" applyAlignment="1">
      <alignment horizontal="right" vertical="center" wrapText="1"/>
    </xf>
    <xf numFmtId="3" fontId="39" fillId="15" borderId="57" xfId="0" applyNumberFormat="1" applyFont="1" applyFill="1" applyBorder="1" applyAlignment="1">
      <alignment horizontal="right" vertical="center" wrapText="1"/>
    </xf>
    <xf numFmtId="3" fontId="41" fillId="0" borderId="56" xfId="0" applyNumberFormat="1" applyFont="1" applyBorder="1"/>
    <xf numFmtId="3" fontId="41" fillId="0" borderId="57" xfId="0" applyNumberFormat="1" applyFont="1" applyBorder="1"/>
    <xf numFmtId="3" fontId="37" fillId="13" borderId="58" xfId="0" applyNumberFormat="1" applyFont="1" applyFill="1" applyBorder="1" applyAlignment="1">
      <alignment horizontal="right" vertical="center" wrapText="1"/>
    </xf>
    <xf numFmtId="3" fontId="37" fillId="13" borderId="59" xfId="0" applyNumberFormat="1" applyFont="1" applyFill="1" applyBorder="1" applyAlignment="1">
      <alignment horizontal="right" vertical="center" wrapText="1"/>
    </xf>
    <xf numFmtId="3" fontId="37" fillId="13" borderId="60" xfId="0" applyNumberFormat="1" applyFont="1" applyFill="1" applyBorder="1" applyAlignment="1">
      <alignment horizontal="right" vertical="center" wrapText="1"/>
    </xf>
    <xf numFmtId="3" fontId="37" fillId="13" borderId="7" xfId="0" applyNumberFormat="1" applyFont="1" applyFill="1" applyBorder="1" applyAlignment="1">
      <alignment horizontal="right" vertical="center"/>
    </xf>
    <xf numFmtId="3" fontId="51" fillId="16" borderId="7" xfId="0" applyNumberFormat="1" applyFont="1" applyFill="1" applyBorder="1" applyAlignment="1">
      <alignment horizontal="right" vertical="center"/>
    </xf>
    <xf numFmtId="3" fontId="51" fillId="0" borderId="7" xfId="0" applyNumberFormat="1" applyFont="1" applyFill="1" applyBorder="1" applyAlignment="1">
      <alignment vertical="center"/>
    </xf>
    <xf numFmtId="3" fontId="0" fillId="0" borderId="7" xfId="0" applyNumberFormat="1" applyBorder="1"/>
    <xf numFmtId="3" fontId="39" fillId="0" borderId="7" xfId="0" applyNumberFormat="1" applyFont="1" applyFill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7" xfId="0" applyNumberFormat="1" applyFont="1" applyFill="1" applyBorder="1" applyAlignment="1">
      <alignment vertical="center"/>
    </xf>
    <xf numFmtId="3" fontId="41" fillId="0" borderId="7" xfId="0" applyNumberFormat="1" applyFont="1" applyFill="1" applyBorder="1"/>
    <xf numFmtId="3" fontId="51" fillId="28" borderId="7" xfId="0" applyNumberFormat="1" applyFont="1" applyFill="1" applyBorder="1"/>
    <xf numFmtId="3" fontId="41" fillId="28" borderId="7" xfId="0" applyNumberFormat="1" applyFont="1" applyFill="1" applyBorder="1"/>
    <xf numFmtId="3" fontId="41" fillId="28" borderId="7" xfId="0" applyNumberFormat="1" applyFont="1" applyFill="1" applyBorder="1" applyAlignment="1">
      <alignment vertical="center"/>
    </xf>
    <xf numFmtId="3" fontId="39" fillId="28" borderId="7" xfId="0" applyNumberFormat="1" applyFont="1" applyFill="1" applyBorder="1"/>
    <xf numFmtId="3" fontId="0" fillId="28" borderId="7" xfId="0" applyNumberFormat="1" applyFont="1" applyFill="1" applyBorder="1"/>
    <xf numFmtId="4" fontId="37" fillId="13" borderId="56" xfId="0" applyNumberFormat="1" applyFont="1" applyFill="1" applyBorder="1" applyAlignment="1">
      <alignment horizontal="right" vertical="center"/>
    </xf>
    <xf numFmtId="3" fontId="37" fillId="13" borderId="57" xfId="0" applyNumberFormat="1" applyFont="1" applyFill="1" applyBorder="1" applyAlignment="1">
      <alignment horizontal="right" vertical="center"/>
    </xf>
    <xf numFmtId="171" fontId="51" fillId="16" borderId="56" xfId="1" applyNumberFormat="1" applyFont="1" applyFill="1" applyBorder="1" applyAlignment="1">
      <alignment horizontal="right" vertical="center"/>
    </xf>
    <xf numFmtId="3" fontId="51" fillId="16" borderId="57" xfId="0" applyNumberFormat="1" applyFont="1" applyFill="1" applyBorder="1" applyAlignment="1">
      <alignment horizontal="right" vertical="center"/>
    </xf>
    <xf numFmtId="171" fontId="39" fillId="0" borderId="56" xfId="1" applyNumberFormat="1" applyFont="1" applyFill="1" applyBorder="1" applyAlignment="1">
      <alignment vertical="center"/>
    </xf>
    <xf numFmtId="3" fontId="51" fillId="0" borderId="57" xfId="0" applyNumberFormat="1" applyFont="1" applyFill="1" applyBorder="1" applyAlignment="1">
      <alignment vertical="center"/>
    </xf>
    <xf numFmtId="171" fontId="39" fillId="0" borderId="56" xfId="1" applyNumberFormat="1" applyFont="1" applyBorder="1"/>
    <xf numFmtId="171" fontId="36" fillId="0" borderId="56" xfId="1" applyNumberFormat="1" applyFont="1" applyBorder="1"/>
    <xf numFmtId="3" fontId="0" fillId="0" borderId="57" xfId="0" applyNumberFormat="1" applyBorder="1"/>
    <xf numFmtId="3" fontId="39" fillId="0" borderId="57" xfId="0" applyNumberFormat="1" applyFont="1" applyFill="1" applyBorder="1" applyAlignment="1">
      <alignment vertical="center"/>
    </xf>
    <xf numFmtId="171" fontId="36" fillId="0" borderId="56" xfId="1" applyNumberFormat="1" applyFont="1" applyBorder="1" applyAlignment="1">
      <alignment vertical="center"/>
    </xf>
    <xf numFmtId="3" fontId="0" fillId="0" borderId="57" xfId="0" applyNumberFormat="1" applyFill="1" applyBorder="1" applyAlignment="1">
      <alignment vertical="center"/>
    </xf>
    <xf numFmtId="3" fontId="0" fillId="0" borderId="57" xfId="0" applyNumberFormat="1" applyBorder="1" applyAlignment="1">
      <alignment vertical="center"/>
    </xf>
    <xf numFmtId="171" fontId="36" fillId="0" borderId="56" xfId="1" applyNumberFormat="1" applyFont="1" applyFill="1" applyBorder="1" applyAlignment="1">
      <alignment vertical="center"/>
    </xf>
    <xf numFmtId="3" fontId="0" fillId="0" borderId="57" xfId="0" applyNumberFormat="1" applyFont="1" applyFill="1" applyBorder="1" applyAlignment="1">
      <alignment vertical="center"/>
    </xf>
    <xf numFmtId="3" fontId="41" fillId="0" borderId="57" xfId="0" applyNumberFormat="1" applyFont="1" applyFill="1" applyBorder="1"/>
    <xf numFmtId="164" fontId="51" fillId="16" borderId="56" xfId="1" applyNumberFormat="1" applyFont="1" applyFill="1" applyBorder="1" applyAlignment="1">
      <alignment horizontal="right" vertical="center"/>
    </xf>
    <xf numFmtId="164" fontId="51" fillId="0" borderId="56" xfId="1" applyNumberFormat="1" applyFont="1" applyBorder="1"/>
    <xf numFmtId="171" fontId="51" fillId="28" borderId="56" xfId="1" applyNumberFormat="1" applyFont="1" applyFill="1" applyBorder="1"/>
    <xf numFmtId="3" fontId="51" fillId="28" borderId="57" xfId="0" applyNumberFormat="1" applyFont="1" applyFill="1" applyBorder="1"/>
    <xf numFmtId="171" fontId="36" fillId="28" borderId="56" xfId="1" applyNumberFormat="1" applyFont="1" applyFill="1" applyBorder="1"/>
    <xf numFmtId="3" fontId="41" fillId="28" borderId="57" xfId="0" applyNumberFormat="1" applyFont="1" applyFill="1" applyBorder="1"/>
    <xf numFmtId="171" fontId="41" fillId="28" borderId="56" xfId="1" applyNumberFormat="1" applyFont="1" applyFill="1" applyBorder="1"/>
    <xf numFmtId="0" fontId="0" fillId="28" borderId="0" xfId="0" applyFill="1" applyBorder="1"/>
    <xf numFmtId="171" fontId="41" fillId="28" borderId="56" xfId="1" applyNumberFormat="1" applyFont="1" applyFill="1" applyBorder="1" applyAlignment="1">
      <alignment vertical="center"/>
    </xf>
    <xf numFmtId="3" fontId="41" fillId="28" borderId="57" xfId="0" applyNumberFormat="1" applyFont="1" applyFill="1" applyBorder="1" applyAlignment="1">
      <alignment vertical="center"/>
    </xf>
    <xf numFmtId="164" fontId="51" fillId="28" borderId="56" xfId="1" applyNumberFormat="1" applyFont="1" applyFill="1" applyBorder="1"/>
    <xf numFmtId="171" fontId="39" fillId="28" borderId="56" xfId="1" applyNumberFormat="1" applyFont="1" applyFill="1" applyBorder="1"/>
    <xf numFmtId="3" fontId="39" fillId="28" borderId="57" xfId="0" applyNumberFormat="1" applyFont="1" applyFill="1" applyBorder="1"/>
    <xf numFmtId="3" fontId="0" fillId="28" borderId="57" xfId="0" applyNumberFormat="1" applyFont="1" applyFill="1" applyBorder="1"/>
    <xf numFmtId="171" fontId="39" fillId="0" borderId="58" xfId="1" applyNumberFormat="1" applyFont="1" applyFill="1" applyBorder="1" applyAlignment="1">
      <alignment vertical="center"/>
    </xf>
    <xf numFmtId="3" fontId="39" fillId="0" borderId="59" xfId="0" applyNumberFormat="1" applyFont="1" applyFill="1" applyBorder="1" applyAlignment="1">
      <alignment vertical="center"/>
    </xf>
    <xf numFmtId="3" fontId="39" fillId="0" borderId="60" xfId="0" applyNumberFormat="1" applyFont="1" applyFill="1" applyBorder="1" applyAlignment="1">
      <alignment vertical="center"/>
    </xf>
    <xf numFmtId="164" fontId="0" fillId="0" borderId="0" xfId="1" applyFont="1" applyAlignment="1">
      <alignment horizontal="center" vertical="center" wrapText="1"/>
    </xf>
    <xf numFmtId="0" fontId="75" fillId="0" borderId="5" xfId="0" applyFont="1" applyFill="1" applyBorder="1" applyAlignment="1">
      <alignment horizontal="right" wrapText="1"/>
    </xf>
    <xf numFmtId="170" fontId="76" fillId="0" borderId="16" xfId="1" applyNumberFormat="1" applyFont="1" applyBorder="1"/>
    <xf numFmtId="3" fontId="58" fillId="12" borderId="5" xfId="0" applyNumberFormat="1" applyFont="1" applyFill="1" applyBorder="1" applyAlignment="1">
      <alignment vertical="center" wrapText="1"/>
    </xf>
    <xf numFmtId="3" fontId="38" fillId="0" borderId="5" xfId="0" applyNumberFormat="1" applyFont="1" applyBorder="1" applyAlignment="1">
      <alignment vertical="center" wrapText="1"/>
    </xf>
    <xf numFmtId="3" fontId="58" fillId="0" borderId="45" xfId="0" applyNumberFormat="1" applyFont="1" applyBorder="1" applyAlignment="1">
      <alignment vertical="center" wrapText="1"/>
    </xf>
    <xf numFmtId="3" fontId="38" fillId="0" borderId="45" xfId="0" applyNumberFormat="1" applyFont="1" applyBorder="1" applyAlignment="1">
      <alignment vertical="center" wrapText="1"/>
    </xf>
    <xf numFmtId="0" fontId="51" fillId="12" borderId="44" xfId="0" applyNumberFormat="1" applyFont="1" applyFill="1" applyBorder="1" applyAlignment="1">
      <alignment vertical="center" wrapText="1"/>
    </xf>
    <xf numFmtId="0" fontId="41" fillId="0" borderId="5" xfId="0" applyFont="1" applyFill="1" applyBorder="1" applyAlignment="1">
      <alignment horizontal="center" vertical="center"/>
    </xf>
    <xf numFmtId="16" fontId="41" fillId="0" borderId="7" xfId="0" applyNumberFormat="1" applyFont="1" applyFill="1" applyBorder="1" applyAlignment="1">
      <alignment horizontal="left" vertical="center" wrapText="1" indent="3"/>
    </xf>
    <xf numFmtId="3" fontId="41" fillId="0" borderId="56" xfId="0" applyNumberFormat="1" applyFont="1" applyFill="1" applyBorder="1"/>
    <xf numFmtId="3" fontId="41" fillId="0" borderId="45" xfId="0" applyNumberFormat="1" applyFont="1" applyFill="1" applyBorder="1"/>
    <xf numFmtId="0" fontId="41" fillId="0" borderId="0" xfId="0" applyFont="1" applyFill="1"/>
    <xf numFmtId="171" fontId="36" fillId="0" borderId="5" xfId="1" applyNumberFormat="1" applyFont="1" applyFill="1" applyBorder="1"/>
    <xf numFmtId="3" fontId="0" fillId="0" borderId="5" xfId="0" applyNumberFormat="1" applyFill="1" applyBorder="1"/>
    <xf numFmtId="3" fontId="0" fillId="0" borderId="7" xfId="0" applyNumberFormat="1" applyFill="1" applyBorder="1"/>
    <xf numFmtId="171" fontId="41" fillId="0" borderId="5" xfId="1" applyNumberFormat="1" applyFont="1" applyFill="1" applyBorder="1"/>
    <xf numFmtId="0" fontId="0" fillId="0" borderId="0" xfId="0" applyFill="1"/>
    <xf numFmtId="3" fontId="0" fillId="0" borderId="0" xfId="0" applyNumberFormat="1" applyAlignment="1">
      <alignment horizontal="center" vertical="center" wrapText="1"/>
    </xf>
    <xf numFmtId="167" fontId="18" fillId="16" borderId="16" xfId="0" applyNumberFormat="1" applyFont="1" applyFill="1" applyBorder="1" applyAlignment="1">
      <alignment horizontal="center" vertical="center" wrapText="1"/>
    </xf>
    <xf numFmtId="0" fontId="18" fillId="16" borderId="16" xfId="0" applyFont="1" applyFill="1" applyBorder="1" applyAlignment="1">
      <alignment vertical="center"/>
    </xf>
    <xf numFmtId="167" fontId="19" fillId="16" borderId="16" xfId="0" applyNumberFormat="1" applyFont="1" applyFill="1" applyBorder="1" applyAlignment="1">
      <alignment horizontal="center" vertical="center" wrapText="1"/>
    </xf>
    <xf numFmtId="170" fontId="33" fillId="0" borderId="0" xfId="1" applyNumberFormat="1" applyFont="1"/>
    <xf numFmtId="3" fontId="41" fillId="0" borderId="0" xfId="0" applyNumberFormat="1" applyFont="1" applyAlignment="1">
      <alignment horizontal="center" vertical="center"/>
    </xf>
    <xf numFmtId="3" fontId="38" fillId="0" borderId="0" xfId="0" applyNumberFormat="1" applyFont="1" applyFill="1"/>
    <xf numFmtId="3" fontId="13" fillId="10" borderId="0" xfId="9" applyNumberFormat="1" applyFont="1" applyFill="1" applyBorder="1" applyAlignment="1">
      <alignment horizontal="left" vertical="center"/>
    </xf>
    <xf numFmtId="3" fontId="51" fillId="15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51" fillId="13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Alignment="1">
      <alignment horizontal="right" vertical="center"/>
    </xf>
    <xf numFmtId="3" fontId="38" fillId="0" borderId="0" xfId="0" applyNumberFormat="1" applyFont="1" applyAlignment="1">
      <alignment horizontal="right" vertical="center"/>
    </xf>
    <xf numFmtId="9" fontId="0" fillId="0" borderId="0" xfId="16" applyFont="1"/>
    <xf numFmtId="3" fontId="0" fillId="0" borderId="44" xfId="0" applyNumberFormat="1" applyFont="1" applyBorder="1" applyAlignment="1">
      <alignment vertical="center" wrapText="1"/>
    </xf>
    <xf numFmtId="170" fontId="29" fillId="0" borderId="0" xfId="0" applyNumberFormat="1" applyFont="1" applyFill="1"/>
    <xf numFmtId="4" fontId="56" fillId="13" borderId="2" xfId="9" applyNumberFormat="1" applyFont="1" applyFill="1" applyBorder="1" applyAlignment="1">
      <alignment horizontal="center" vertical="center"/>
    </xf>
    <xf numFmtId="0" fontId="74" fillId="0" borderId="24" xfId="0" applyFont="1" applyBorder="1" applyAlignment="1">
      <alignment horizontal="center"/>
    </xf>
    <xf numFmtId="3" fontId="39" fillId="15" borderId="7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9" fillId="15" borderId="5" xfId="0" applyFont="1" applyFill="1" applyBorder="1" applyAlignment="1">
      <alignment horizontal="center" vertical="center" wrapText="1"/>
    </xf>
    <xf numFmtId="3" fontId="39" fillId="15" borderId="42" xfId="0" applyNumberFormat="1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51" fillId="15" borderId="5" xfId="0" applyFont="1" applyFill="1" applyBorder="1" applyAlignment="1">
      <alignment horizontal="center" vertical="center" wrapText="1"/>
    </xf>
    <xf numFmtId="49" fontId="39" fillId="15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39" fillId="15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39" fillId="15" borderId="54" xfId="0" applyNumberFormat="1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39" fillId="15" borderId="7" xfId="0" applyFont="1" applyFill="1" applyBorder="1" applyAlignment="1">
      <alignment horizontal="center" vertical="center"/>
    </xf>
    <xf numFmtId="0" fontId="39" fillId="15" borderId="7" xfId="0" applyFont="1" applyFill="1" applyBorder="1" applyAlignment="1">
      <alignment horizontal="center" vertical="center" wrapText="1"/>
    </xf>
    <xf numFmtId="171" fontId="51" fillId="15" borderId="11" xfId="1" applyNumberFormat="1" applyFont="1" applyFill="1" applyBorder="1" applyAlignment="1">
      <alignment horizontal="center" vertical="center" wrapText="1"/>
    </xf>
    <xf numFmtId="171" fontId="51" fillId="15" borderId="15" xfId="1" applyNumberFormat="1" applyFont="1" applyFill="1" applyBorder="1" applyAlignment="1">
      <alignment horizontal="center" vertical="center" wrapText="1"/>
    </xf>
    <xf numFmtId="3" fontId="51" fillId="15" borderId="11" xfId="0" applyNumberFormat="1" applyFont="1" applyFill="1" applyBorder="1" applyAlignment="1">
      <alignment horizontal="center" vertical="center" wrapText="1"/>
    </xf>
    <xf numFmtId="3" fontId="51" fillId="15" borderId="15" xfId="0" applyNumberFormat="1" applyFont="1" applyFill="1" applyBorder="1" applyAlignment="1">
      <alignment horizontal="center" vertical="center" wrapText="1"/>
    </xf>
    <xf numFmtId="166" fontId="51" fillId="15" borderId="7" xfId="0" applyNumberFormat="1" applyFont="1" applyFill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49" fontId="51" fillId="15" borderId="5" xfId="0" applyNumberFormat="1" applyFont="1" applyFill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49" fontId="51" fillId="15" borderId="5" xfId="0" applyNumberFormat="1" applyFont="1" applyFill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3" fontId="39" fillId="15" borderId="20" xfId="0" applyNumberFormat="1" applyFont="1" applyFill="1" applyBorder="1" applyAlignment="1">
      <alignment horizontal="center" vertical="center" wrapText="1"/>
    </xf>
    <xf numFmtId="3" fontId="39" fillId="15" borderId="17" xfId="0" applyNumberFormat="1" applyFont="1" applyFill="1" applyBorder="1" applyAlignment="1">
      <alignment horizontal="center" vertical="center" wrapText="1"/>
    </xf>
    <xf numFmtId="0" fontId="39" fillId="15" borderId="5" xfId="0" applyFont="1" applyFill="1" applyBorder="1" applyAlignment="1">
      <alignment horizontal="center" vertical="center"/>
    </xf>
    <xf numFmtId="166" fontId="39" fillId="15" borderId="7" xfId="0" applyNumberFormat="1" applyFont="1" applyFill="1" applyBorder="1" applyAlignment="1">
      <alignment horizontal="center" vertical="center" wrapText="1"/>
    </xf>
    <xf numFmtId="49" fontId="40" fillId="11" borderId="4" xfId="10" applyNumberFormat="1" applyFont="1" applyFill="1" applyBorder="1" applyAlignment="1">
      <alignment horizontal="center" vertical="center"/>
    </xf>
    <xf numFmtId="49" fontId="40" fillId="11" borderId="13" xfId="10" applyNumberFormat="1" applyFont="1" applyFill="1" applyBorder="1" applyAlignment="1">
      <alignment horizontal="center" vertical="center"/>
    </xf>
    <xf numFmtId="49" fontId="40" fillId="11" borderId="14" xfId="10" applyNumberFormat="1" applyFont="1" applyFill="1" applyBorder="1" applyAlignment="1">
      <alignment horizontal="center" vertical="center"/>
    </xf>
    <xf numFmtId="3" fontId="3" fillId="2" borderId="9" xfId="10" applyNumberFormat="1" applyFont="1" applyFill="1" applyBorder="1" applyAlignment="1">
      <alignment horizontal="center" vertical="center" wrapText="1"/>
    </xf>
    <xf numFmtId="3" fontId="3" fillId="2" borderId="3" xfId="10" applyNumberFormat="1" applyFont="1" applyFill="1" applyBorder="1" applyAlignment="1">
      <alignment horizontal="center" vertical="center" wrapText="1"/>
    </xf>
    <xf numFmtId="3" fontId="3" fillId="2" borderId="4" xfId="10" applyNumberFormat="1" applyFont="1" applyFill="1" applyBorder="1" applyAlignment="1">
      <alignment horizontal="center" vertical="center" wrapText="1"/>
    </xf>
    <xf numFmtId="3" fontId="3" fillId="2" borderId="14" xfId="10" applyNumberFormat="1" applyFont="1" applyFill="1" applyBorder="1" applyAlignment="1">
      <alignment horizontal="center" vertical="center" wrapText="1"/>
    </xf>
    <xf numFmtId="49" fontId="3" fillId="7" borderId="13" xfId="10" applyNumberFormat="1" applyFont="1" applyFill="1" applyBorder="1" applyAlignment="1">
      <alignment horizontal="center" vertical="center"/>
    </xf>
    <xf numFmtId="49" fontId="3" fillId="2" borderId="1" xfId="10" applyNumberFormat="1" applyFont="1" applyFill="1" applyBorder="1" applyAlignment="1">
      <alignment horizontal="center" vertical="center"/>
    </xf>
    <xf numFmtId="49" fontId="3" fillId="2" borderId="1" xfId="10" applyNumberFormat="1" applyFont="1" applyFill="1" applyBorder="1" applyAlignment="1">
      <alignment horizontal="center" vertical="center" wrapText="1"/>
    </xf>
    <xf numFmtId="3" fontId="3" fillId="2" borderId="1" xfId="10" applyNumberFormat="1" applyFont="1" applyFill="1" applyBorder="1" applyAlignment="1">
      <alignment horizontal="center" vertical="center" wrapText="1"/>
    </xf>
    <xf numFmtId="49" fontId="3" fillId="6" borderId="4" xfId="10" applyNumberFormat="1" applyFont="1" applyFill="1" applyBorder="1" applyAlignment="1">
      <alignment horizontal="center" vertical="center"/>
    </xf>
    <xf numFmtId="49" fontId="3" fillId="6" borderId="13" xfId="10" applyNumberFormat="1" applyFont="1" applyFill="1" applyBorder="1" applyAlignment="1">
      <alignment horizontal="center" vertical="center"/>
    </xf>
    <xf numFmtId="49" fontId="3" fillId="6" borderId="14" xfId="10" applyNumberFormat="1" applyFont="1" applyFill="1" applyBorder="1" applyAlignment="1">
      <alignment horizontal="center" vertical="center"/>
    </xf>
    <xf numFmtId="171" fontId="39" fillId="15" borderId="11" xfId="1" applyNumberFormat="1" applyFont="1" applyFill="1" applyBorder="1" applyAlignment="1">
      <alignment horizontal="center" vertical="center" wrapText="1"/>
    </xf>
    <xf numFmtId="171" fontId="39" fillId="15" borderId="15" xfId="1" applyNumberFormat="1" applyFont="1" applyFill="1" applyBorder="1" applyAlignment="1">
      <alignment horizontal="center" vertical="center" wrapText="1"/>
    </xf>
    <xf numFmtId="3" fontId="39" fillId="15" borderId="11" xfId="0" applyNumberFormat="1" applyFont="1" applyFill="1" applyBorder="1" applyAlignment="1">
      <alignment horizontal="center" vertical="center" wrapText="1"/>
    </xf>
    <xf numFmtId="3" fontId="39" fillId="15" borderId="15" xfId="0" applyNumberFormat="1" applyFont="1" applyFill="1" applyBorder="1" applyAlignment="1">
      <alignment horizontal="center" vertical="center" wrapText="1"/>
    </xf>
    <xf numFmtId="171" fontId="39" fillId="15" borderId="18" xfId="1" applyNumberFormat="1" applyFont="1" applyFill="1" applyBorder="1" applyAlignment="1">
      <alignment horizontal="center" vertical="center" wrapText="1"/>
    </xf>
    <xf numFmtId="3" fontId="39" fillId="15" borderId="18" xfId="0" applyNumberFormat="1" applyFont="1" applyFill="1" applyBorder="1" applyAlignment="1">
      <alignment horizontal="center" vertical="center" wrapText="1"/>
    </xf>
    <xf numFmtId="166" fontId="39" fillId="15" borderId="61" xfId="0" applyNumberFormat="1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164" fontId="6" fillId="0" borderId="2" xfId="1" applyFont="1" applyBorder="1" applyAlignment="1">
      <alignment horizontal="center" vertical="center" wrapText="1"/>
    </xf>
    <xf numFmtId="0" fontId="6" fillId="0" borderId="2" xfId="9" applyFont="1" applyBorder="1" applyAlignment="1">
      <alignment horizontal="center" vertical="center" wrapText="1"/>
    </xf>
    <xf numFmtId="0" fontId="21" fillId="0" borderId="28" xfId="9" applyFont="1" applyBorder="1" applyAlignment="1">
      <alignment horizontal="center" vertical="center"/>
    </xf>
    <xf numFmtId="0" fontId="6" fillId="0" borderId="2" xfId="9" applyFont="1" applyBorder="1" applyAlignment="1">
      <alignment horizontal="center" vertical="center"/>
    </xf>
    <xf numFmtId="49" fontId="3" fillId="2" borderId="4" xfId="10" applyNumberFormat="1" applyFont="1" applyFill="1" applyBorder="1" applyAlignment="1">
      <alignment horizontal="center" vertical="center"/>
    </xf>
    <xf numFmtId="49" fontId="3" fillId="2" borderId="13" xfId="10" applyNumberFormat="1" applyFont="1" applyFill="1" applyBorder="1" applyAlignment="1">
      <alignment horizontal="center" vertical="center"/>
    </xf>
    <xf numFmtId="49" fontId="3" fillId="2" borderId="14" xfId="10" applyNumberFormat="1" applyFont="1" applyFill="1" applyBorder="1" applyAlignment="1">
      <alignment horizontal="center" vertical="center"/>
    </xf>
    <xf numFmtId="0" fontId="60" fillId="0" borderId="0" xfId="7" applyFont="1" applyAlignment="1">
      <alignment horizontal="center"/>
    </xf>
    <xf numFmtId="0" fontId="57" fillId="0" borderId="0" xfId="7" applyFont="1" applyAlignment="1">
      <alignment horizontal="center" vertical="center"/>
    </xf>
    <xf numFmtId="0" fontId="60" fillId="0" borderId="22" xfId="0" applyFont="1" applyBorder="1" applyAlignment="1">
      <alignment horizontal="center" vertical="center"/>
    </xf>
    <xf numFmtId="0" fontId="60" fillId="0" borderId="26" xfId="0" applyFont="1" applyBorder="1" applyAlignment="1">
      <alignment horizontal="center" vertical="center"/>
    </xf>
    <xf numFmtId="0" fontId="67" fillId="16" borderId="27" xfId="0" applyFont="1" applyFill="1" applyBorder="1" applyAlignment="1">
      <alignment horizontal="center" vertical="center" wrapText="1"/>
    </xf>
    <xf numFmtId="0" fontId="67" fillId="16" borderId="23" xfId="0" applyFont="1" applyFill="1" applyBorder="1" applyAlignment="1">
      <alignment horizontal="center" vertical="center" wrapText="1"/>
    </xf>
    <xf numFmtId="0" fontId="67" fillId="16" borderId="25" xfId="0" applyFont="1" applyFill="1" applyBorder="1" applyAlignment="1">
      <alignment horizontal="center" vertical="center"/>
    </xf>
    <xf numFmtId="0" fontId="67" fillId="16" borderId="22" xfId="0" applyFont="1" applyFill="1" applyBorder="1" applyAlignment="1">
      <alignment horizontal="center" vertical="center"/>
    </xf>
    <xf numFmtId="0" fontId="67" fillId="16" borderId="26" xfId="0" applyFont="1" applyFill="1" applyBorder="1" applyAlignment="1">
      <alignment horizontal="center" vertical="center"/>
    </xf>
    <xf numFmtId="167" fontId="18" fillId="16" borderId="25" xfId="0" applyNumberFormat="1" applyFont="1" applyFill="1" applyBorder="1" applyAlignment="1">
      <alignment horizontal="center" vertical="center" wrapText="1"/>
    </xf>
    <xf numFmtId="167" fontId="18" fillId="16" borderId="22" xfId="0" applyNumberFormat="1" applyFont="1" applyFill="1" applyBorder="1" applyAlignment="1">
      <alignment horizontal="center" vertical="center" wrapText="1"/>
    </xf>
    <xf numFmtId="167" fontId="18" fillId="16" borderId="26" xfId="0" applyNumberFormat="1" applyFont="1" applyFill="1" applyBorder="1" applyAlignment="1">
      <alignment horizontal="center" vertical="center" wrapText="1"/>
    </xf>
    <xf numFmtId="0" fontId="18" fillId="33" borderId="49" xfId="0" applyFont="1" applyFill="1" applyBorder="1" applyAlignment="1">
      <alignment horizontal="left" vertical="center"/>
    </xf>
    <xf numFmtId="0" fontId="18" fillId="33" borderId="24" xfId="0" applyFont="1" applyFill="1" applyBorder="1" applyAlignment="1">
      <alignment horizontal="left" vertical="center"/>
    </xf>
    <xf numFmtId="0" fontId="18" fillId="16" borderId="25" xfId="0" applyFont="1" applyFill="1" applyBorder="1" applyAlignment="1">
      <alignment horizontal="center" vertical="center"/>
    </xf>
    <xf numFmtId="0" fontId="18" fillId="16" borderId="22" xfId="0" applyFont="1" applyFill="1" applyBorder="1" applyAlignment="1">
      <alignment horizontal="center" vertical="center"/>
    </xf>
    <xf numFmtId="0" fontId="18" fillId="16" borderId="26" xfId="0" applyFont="1" applyFill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18" fillId="16" borderId="16" xfId="0" applyFont="1" applyFill="1" applyBorder="1" applyAlignment="1">
      <alignment horizontal="center" vertical="center" wrapText="1"/>
    </xf>
    <xf numFmtId="0" fontId="34" fillId="16" borderId="27" xfId="0" applyFont="1" applyFill="1" applyBorder="1" applyAlignment="1">
      <alignment horizontal="center" vertical="center" wrapText="1"/>
    </xf>
    <xf numFmtId="0" fontId="34" fillId="16" borderId="23" xfId="0" applyFont="1" applyFill="1" applyBorder="1" applyAlignment="1">
      <alignment horizontal="center" vertical="center" wrapText="1"/>
    </xf>
    <xf numFmtId="0" fontId="18" fillId="35" borderId="16" xfId="0" applyFont="1" applyFill="1" applyBorder="1" applyAlignment="1">
      <alignment horizontal="center" vertical="center"/>
    </xf>
    <xf numFmtId="0" fontId="31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57" fillId="0" borderId="0" xfId="0" applyFont="1" applyBorder="1" applyAlignment="1">
      <alignment horizontal="center" vertical="top" wrapText="1"/>
    </xf>
    <xf numFmtId="0" fontId="39" fillId="16" borderId="16" xfId="0" applyFont="1" applyFill="1" applyBorder="1" applyAlignment="1">
      <alignment horizontal="center" vertical="center" wrapText="1"/>
    </xf>
    <xf numFmtId="170" fontId="39" fillId="16" borderId="16" xfId="1" applyNumberFormat="1" applyFont="1" applyFill="1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8" fillId="0" borderId="0" xfId="9" applyFont="1" applyAlignment="1">
      <alignment horizontal="center"/>
    </xf>
    <xf numFmtId="0" fontId="12" fillId="15" borderId="5" xfId="8" applyFont="1" applyFill="1" applyBorder="1" applyAlignment="1">
      <alignment horizontal="left"/>
    </xf>
    <xf numFmtId="3" fontId="3" fillId="14" borderId="4" xfId="10" applyNumberFormat="1" applyFont="1" applyFill="1" applyBorder="1" applyAlignment="1">
      <alignment horizontal="center" vertical="center" wrapText="1"/>
    </xf>
    <xf numFmtId="3" fontId="3" fillId="14" borderId="14" xfId="10" applyNumberFormat="1" applyFont="1" applyFill="1" applyBorder="1" applyAlignment="1">
      <alignment horizontal="center" vertical="center" wrapText="1"/>
    </xf>
    <xf numFmtId="49" fontId="3" fillId="2" borderId="29" xfId="10" applyNumberFormat="1" applyFont="1" applyFill="1" applyBorder="1" applyAlignment="1">
      <alignment horizontal="center" vertical="center"/>
    </xf>
    <xf numFmtId="49" fontId="3" fillId="2" borderId="12" xfId="10" applyNumberFormat="1" applyFont="1" applyFill="1" applyBorder="1" applyAlignment="1">
      <alignment horizontal="center" vertical="center"/>
    </xf>
    <xf numFmtId="3" fontId="3" fillId="2" borderId="31" xfId="10" applyNumberFormat="1" applyFont="1" applyFill="1" applyBorder="1" applyAlignment="1">
      <alignment horizontal="center" vertical="center" wrapText="1"/>
    </xf>
    <xf numFmtId="3" fontId="3" fillId="2" borderId="32" xfId="10" applyNumberFormat="1" applyFont="1" applyFill="1" applyBorder="1" applyAlignment="1">
      <alignment horizontal="center" vertical="center" wrapText="1"/>
    </xf>
    <xf numFmtId="3" fontId="3" fillId="2" borderId="29" xfId="10" applyNumberFormat="1" applyFont="1" applyFill="1" applyBorder="1" applyAlignment="1">
      <alignment horizontal="center" vertical="center" wrapText="1"/>
    </xf>
    <xf numFmtId="3" fontId="3" fillId="2" borderId="12" xfId="10" applyNumberFormat="1" applyFont="1" applyFill="1" applyBorder="1" applyAlignment="1">
      <alignment horizontal="center" vertical="center" wrapText="1"/>
    </xf>
    <xf numFmtId="49" fontId="3" fillId="2" borderId="3" xfId="10" applyNumberFormat="1" applyFont="1" applyFill="1" applyBorder="1" applyAlignment="1">
      <alignment horizontal="center" vertical="center"/>
    </xf>
    <xf numFmtId="49" fontId="3" fillId="2" borderId="3" xfId="10" applyNumberFormat="1" applyFont="1" applyFill="1" applyBorder="1" applyAlignment="1">
      <alignment horizontal="center" vertical="center" wrapText="1"/>
    </xf>
    <xf numFmtId="3" fontId="3" fillId="2" borderId="8" xfId="10" applyNumberFormat="1" applyFont="1" applyFill="1" applyBorder="1" applyAlignment="1">
      <alignment horizontal="center" vertical="center" wrapText="1"/>
    </xf>
    <xf numFmtId="3" fontId="3" fillId="2" borderId="30" xfId="10" applyNumberFormat="1" applyFont="1" applyFill="1" applyBorder="1" applyAlignment="1">
      <alignment horizontal="center" vertical="center" wrapText="1"/>
    </xf>
    <xf numFmtId="3" fontId="3" fillId="14" borderId="31" xfId="10" applyNumberFormat="1" applyFont="1" applyFill="1" applyBorder="1" applyAlignment="1">
      <alignment horizontal="center" vertical="center" wrapText="1"/>
    </xf>
    <xf numFmtId="3" fontId="3" fillId="14" borderId="32" xfId="10" applyNumberFormat="1" applyFont="1" applyFill="1" applyBorder="1" applyAlignment="1">
      <alignment horizontal="center" vertical="center" wrapText="1"/>
    </xf>
    <xf numFmtId="3" fontId="3" fillId="2" borderId="33" xfId="10" applyNumberFormat="1" applyFont="1" applyFill="1" applyBorder="1" applyAlignment="1">
      <alignment horizontal="center" vertical="center" wrapText="1"/>
    </xf>
    <xf numFmtId="49" fontId="40" fillId="11" borderId="10" xfId="10" applyNumberFormat="1" applyFont="1" applyFill="1" applyBorder="1" applyAlignment="1">
      <alignment horizontal="center" vertical="center"/>
    </xf>
    <xf numFmtId="49" fontId="40" fillId="11" borderId="34" xfId="10" applyNumberFormat="1" applyFont="1" applyFill="1" applyBorder="1" applyAlignment="1">
      <alignment horizontal="center" vertical="center"/>
    </xf>
    <xf numFmtId="49" fontId="40" fillId="11" borderId="35" xfId="10" applyNumberFormat="1" applyFont="1" applyFill="1" applyBorder="1" applyAlignment="1">
      <alignment horizontal="center" vertical="center"/>
    </xf>
    <xf numFmtId="3" fontId="3" fillId="2" borderId="15" xfId="10" applyNumberFormat="1" applyFont="1" applyFill="1" applyBorder="1" applyAlignment="1">
      <alignment horizontal="center" vertical="center" wrapText="1"/>
    </xf>
    <xf numFmtId="3" fontId="3" fillId="19" borderId="31" xfId="10" applyNumberFormat="1" applyFont="1" applyFill="1" applyBorder="1" applyAlignment="1">
      <alignment horizontal="center" vertical="center" wrapText="1"/>
    </xf>
    <xf numFmtId="3" fontId="3" fillId="19" borderId="32" xfId="10" applyNumberFormat="1" applyFont="1" applyFill="1" applyBorder="1" applyAlignment="1">
      <alignment horizontal="center" vertical="center" wrapText="1"/>
    </xf>
    <xf numFmtId="3" fontId="3" fillId="14" borderId="1" xfId="10" applyNumberFormat="1" applyFont="1" applyFill="1" applyBorder="1" applyAlignment="1">
      <alignment horizontal="center" vertical="center" wrapText="1"/>
    </xf>
    <xf numFmtId="3" fontId="3" fillId="14" borderId="33" xfId="10" applyNumberFormat="1" applyFont="1" applyFill="1" applyBorder="1" applyAlignment="1">
      <alignment horizontal="center" vertical="center" wrapText="1"/>
    </xf>
  </cellXfs>
  <cellStyles count="17">
    <cellStyle name="Ezres" xfId="1" builtinId="3"/>
    <cellStyle name="Ezres 2" xfId="2" xr:uid="{00000000-0005-0000-0000-000001000000}"/>
    <cellStyle name="Ezres 2 2" xfId="3" xr:uid="{00000000-0005-0000-0000-000002000000}"/>
    <cellStyle name="Ezres 3" xfId="4" xr:uid="{00000000-0005-0000-0000-000003000000}"/>
    <cellStyle name="Ezres 4" xfId="5" xr:uid="{00000000-0005-0000-0000-000004000000}"/>
    <cellStyle name="Ezres 4 2" xfId="14" xr:uid="{00000000-0005-0000-0000-000005000000}"/>
    <cellStyle name="Ezres 5" xfId="6" xr:uid="{00000000-0005-0000-0000-000006000000}"/>
    <cellStyle name="Normál" xfId="0" builtinId="0"/>
    <cellStyle name="Normál 2" xfId="7" xr:uid="{00000000-0005-0000-0000-000008000000}"/>
    <cellStyle name="Normál 2 2" xfId="8" xr:uid="{00000000-0005-0000-0000-000009000000}"/>
    <cellStyle name="Normál 3" xfId="9" xr:uid="{00000000-0005-0000-0000-00000A000000}"/>
    <cellStyle name="Normál 4" xfId="10" xr:uid="{00000000-0005-0000-0000-00000B000000}"/>
    <cellStyle name="Százalék" xfId="16" builtinId="5"/>
    <cellStyle name="Százalék 2" xfId="11" xr:uid="{00000000-0005-0000-0000-00000D000000}"/>
    <cellStyle name="Százalék 2 2" xfId="15" xr:uid="{00000000-0005-0000-0000-00000E000000}"/>
    <cellStyle name="Százalék 3" xfId="12" xr:uid="{00000000-0005-0000-0000-00000F000000}"/>
    <cellStyle name="TableStyleLight1" xfId="13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ntoso\Asztal\Munka\2016%20&#233;vi%20k&#246;lts&#233;gvet&#233;s\R&#233;gi%20t&#225;bla\Ktgv_2015_elso_olvasat_2015_10_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ntoso\Asztal\Munka\El&#337;terjeszt&#233;sek\&#214;nkorm&#225;nyzat%20el&#337;terjeszt&#233;sei\2015%20&#233;v\Els&#337;%20f&#233;l&#233;v\20150226\Koltsegvetes%202015\V&#233;gleges%20anyagok\Ktgv_2015_2015_02_25_ja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ntoso\Asztal\Munka\2016%20&#233;vi%20k&#246;lts&#233;gvet&#233;s\Ktgv_2015_elso_olvasat_2015_10_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l"/>
      <sheetName val="0.Mérleg"/>
      <sheetName val="1A. Fő bev"/>
      <sheetName val="1B. Fő kiad"/>
      <sheetName val="1C Bev kiad fel"/>
      <sheetName val="2A Önk bev"/>
      <sheetName val="2B Önk kiad"/>
      <sheetName val="2C Önk bev kiad fel"/>
      <sheetName val="2D Céltartalék"/>
      <sheetName val="3A PH"/>
      <sheetName val="3B PH fel"/>
      <sheetName val="4A. VG bev kiad"/>
      <sheetName val="4B VG fel"/>
      <sheetName val="5A Walla"/>
      <sheetName val="5B Nyitnikék"/>
      <sheetName val="5C Bóbita"/>
      <sheetName val="5D MMMH"/>
      <sheetName val="5E Könyvtár"/>
      <sheetName val="5F Segítő Kéz"/>
      <sheetName val="5G GSZNR fel"/>
      <sheetName val="6. létszámkeret"/>
      <sheetName val="7. beruházás"/>
      <sheetName val="8. felújítás"/>
      <sheetName val="9. hitelállomány"/>
      <sheetName val="9. stab tv"/>
      <sheetName val="10. Uniós tám"/>
      <sheetName val="11. címrend"/>
      <sheetName val="SKSZ"/>
      <sheetName val="ph"/>
      <sheetName val="ÖK kiad"/>
      <sheetName val="VG"/>
      <sheetName val="Volf"/>
      <sheetName val="MMMH"/>
      <sheetName val="MMMH reszletes"/>
      <sheetName val="MMMH dologi"/>
      <sheetName val="MMMH bevetel"/>
      <sheetName val="Bóbita"/>
      <sheetName val="Nyitnikék"/>
      <sheetName val="Wal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>
        <row r="1">
          <cell r="A1" t="str">
            <v>Főkönyvi szám</v>
          </cell>
          <cell r="B1" t="str">
            <v>Megnevezés</v>
          </cell>
          <cell r="C1" t="str">
            <v>2015. évi előirányzat</v>
          </cell>
          <cell r="D1" t="str">
            <v>2016. évi előirányzat</v>
          </cell>
          <cell r="E1" t="str">
            <v>Óvodai étkeztetés 2015.</v>
          </cell>
          <cell r="F1" t="str">
            <v>Óvodai étkeztetés 2016.</v>
          </cell>
          <cell r="G1" t="str">
            <v>Óvodai nevelés 2015.</v>
          </cell>
          <cell r="H1" t="str">
            <v>Óvodai nevelés 2016.</v>
          </cell>
          <cell r="I1" t="str">
            <v>Közfoglal-koztatás</v>
          </cell>
          <cell r="J1">
            <v>0</v>
          </cell>
        </row>
        <row r="2">
          <cell r="A2" t="str">
            <v>05110111</v>
          </cell>
          <cell r="B2" t="str">
            <v>Alapilletmények</v>
          </cell>
        </row>
        <row r="3">
          <cell r="A3" t="str">
            <v>05110112</v>
          </cell>
          <cell r="B3" t="str">
            <v>Illetménykiegészítések</v>
          </cell>
        </row>
        <row r="4">
          <cell r="A4" t="str">
            <v>05110113</v>
          </cell>
          <cell r="B4" t="str">
            <v>Nyelvpótlékok</v>
          </cell>
        </row>
        <row r="5">
          <cell r="A5" t="str">
            <v>05110114</v>
          </cell>
          <cell r="B5" t="str">
            <v>Egyéb kötelező pótlékok</v>
          </cell>
        </row>
        <row r="6">
          <cell r="A6" t="str">
            <v>05110115</v>
          </cell>
          <cell r="B6" t="str">
            <v>Egyéb feltételektől függő pótlékok és juttatások</v>
          </cell>
        </row>
        <row r="7">
          <cell r="A7" t="str">
            <v>05110119</v>
          </cell>
          <cell r="B7" t="str">
            <v>Egyéb juttatások</v>
          </cell>
        </row>
        <row r="8">
          <cell r="A8" t="str">
            <v>0511011</v>
          </cell>
          <cell r="B8" t="str">
            <v>Törvény szerinti illetmények, munkabérek</v>
          </cell>
        </row>
        <row r="9">
          <cell r="A9" t="str">
            <v>0511021</v>
          </cell>
          <cell r="B9" t="str">
            <v>Normatív jutalmak</v>
          </cell>
        </row>
        <row r="10">
          <cell r="A10" t="str">
            <v>0511031</v>
          </cell>
          <cell r="B10" t="str">
            <v>Céljuttatás, projektprémium</v>
          </cell>
        </row>
        <row r="11">
          <cell r="A11" t="str">
            <v>05110411</v>
          </cell>
          <cell r="B11" t="str">
            <v>Készenléti, ügyeleti, helyettesítési díj</v>
          </cell>
        </row>
        <row r="12">
          <cell r="A12" t="str">
            <v>05110412</v>
          </cell>
          <cell r="B12" t="str">
            <v>Túlóra, túlszolgálat</v>
          </cell>
        </row>
        <row r="13">
          <cell r="A13" t="str">
            <v>0511041</v>
          </cell>
          <cell r="B13" t="str">
            <v>Készenlét, ügyelet, helyettesítés, túlóra</v>
          </cell>
        </row>
        <row r="14">
          <cell r="A14" t="str">
            <v>0511051</v>
          </cell>
          <cell r="B14" t="str">
            <v>Végkielégítés</v>
          </cell>
        </row>
        <row r="15">
          <cell r="A15" t="str">
            <v>0511061</v>
          </cell>
          <cell r="B15" t="str">
            <v>Jubileumi jutalom</v>
          </cell>
        </row>
        <row r="16">
          <cell r="A16" t="str">
            <v>05110711</v>
          </cell>
          <cell r="B16" t="str">
            <v>Étkezési hozzájárulás</v>
          </cell>
        </row>
        <row r="17">
          <cell r="A17" t="str">
            <v>05110712</v>
          </cell>
          <cell r="B17" t="str">
            <v>Üdülési hozzájárulás</v>
          </cell>
        </row>
        <row r="18">
          <cell r="A18" t="str">
            <v>05110713</v>
          </cell>
          <cell r="B18" t="str">
            <v>Erzsébet-utalvány kiadásai</v>
          </cell>
        </row>
        <row r="19">
          <cell r="A19" t="str">
            <v>05110714</v>
          </cell>
          <cell r="B19" t="str">
            <v>Széchenyi Pihenő Kártya kiadásai</v>
          </cell>
        </row>
        <row r="20">
          <cell r="A20" t="str">
            <v>05110715</v>
          </cell>
          <cell r="B20" t="str">
            <v>Iskolakezdési támogatás</v>
          </cell>
        </row>
        <row r="21">
          <cell r="A21" t="str">
            <v>05110716</v>
          </cell>
          <cell r="B21" t="str">
            <v>Önkéntes biztosító pénztárakba befizetés</v>
          </cell>
        </row>
        <row r="22">
          <cell r="A22" t="str">
            <v>05110719</v>
          </cell>
          <cell r="B22" t="str">
            <v>Egyéb béren kívüli juttatások</v>
          </cell>
        </row>
        <row r="23">
          <cell r="A23" t="str">
            <v>0511071</v>
          </cell>
          <cell r="B23" t="str">
            <v>Béren kívüli juttatások</v>
          </cell>
        </row>
        <row r="24">
          <cell r="A24" t="str">
            <v>0511081</v>
          </cell>
          <cell r="B24" t="str">
            <v>Ruházati költségtérítés</v>
          </cell>
        </row>
        <row r="25">
          <cell r="A25" t="str">
            <v>0511091</v>
          </cell>
          <cell r="B25" t="str">
            <v>Közlekedési költségtérítés</v>
          </cell>
        </row>
        <row r="26">
          <cell r="A26" t="str">
            <v>0511101</v>
          </cell>
          <cell r="B26" t="str">
            <v>Egyéb költségtérítések</v>
          </cell>
        </row>
        <row r="27">
          <cell r="A27" t="str">
            <v>05111111</v>
          </cell>
          <cell r="B27" t="str">
            <v>Albérleti díj hozzájárulás</v>
          </cell>
        </row>
        <row r="28">
          <cell r="A28" t="str">
            <v>05111112</v>
          </cell>
          <cell r="B28" t="str">
            <v>Családalapítási támogatás</v>
          </cell>
        </row>
        <row r="29">
          <cell r="A29" t="str">
            <v>0511111</v>
          </cell>
          <cell r="B29" t="str">
            <v>Lakhatási támogatások</v>
          </cell>
        </row>
        <row r="30">
          <cell r="A30" t="str">
            <v>0511121</v>
          </cell>
          <cell r="B30" t="str">
            <v>Szociális támogatások</v>
          </cell>
        </row>
        <row r="31">
          <cell r="A31" t="str">
            <v>05111311</v>
          </cell>
          <cell r="B31" t="str">
            <v>Belföldi napidíj</v>
          </cell>
        </row>
        <row r="32">
          <cell r="A32" t="str">
            <v>05111312</v>
          </cell>
          <cell r="B32" t="str">
            <v>Külföldi napidíj</v>
          </cell>
        </row>
        <row r="33">
          <cell r="A33" t="str">
            <v>05111313</v>
          </cell>
          <cell r="B33" t="str">
            <v>Biztosítási díjak</v>
          </cell>
        </row>
        <row r="34">
          <cell r="A34" t="str">
            <v>05111314</v>
          </cell>
          <cell r="B34" t="str">
            <v>Kereset-kiegészítés fedezete</v>
          </cell>
        </row>
        <row r="35">
          <cell r="A35" t="str">
            <v>05111315</v>
          </cell>
          <cell r="B35" t="str">
            <v>Munkáltatói kártérítés egyéb kiegészítések</v>
          </cell>
        </row>
        <row r="36">
          <cell r="A36" t="str">
            <v>05111319</v>
          </cell>
          <cell r="B36" t="str">
            <v>Egyéb sajátos juttatások</v>
          </cell>
        </row>
        <row r="37">
          <cell r="A37" t="str">
            <v>0511131</v>
          </cell>
          <cell r="B37" t="str">
            <v>foglalkoztatottak egyéb személyi juttatásai</v>
          </cell>
        </row>
        <row r="38">
          <cell r="A38" t="str">
            <v>0511</v>
          </cell>
          <cell r="B38" t="str">
            <v>Foglalkoztatottak személyi juttatásai</v>
          </cell>
        </row>
        <row r="39">
          <cell r="A39" t="str">
            <v>0512113</v>
          </cell>
          <cell r="B39" t="str">
            <v>Képviselők, polgármesterek juttatásai</v>
          </cell>
        </row>
        <row r="40">
          <cell r="A40" t="str">
            <v>0512119</v>
          </cell>
          <cell r="B40" t="str">
            <v>Egyéb választott tisztségviselők juttatásai</v>
          </cell>
        </row>
        <row r="41">
          <cell r="A41" t="str">
            <v>051211</v>
          </cell>
          <cell r="B41" t="str">
            <v>Választott tisztviselők juttatásai</v>
          </cell>
        </row>
        <row r="42">
          <cell r="A42" t="str">
            <v>0512211</v>
          </cell>
          <cell r="B42" t="str">
            <v>Állományba nem tartozók megbízási díja</v>
          </cell>
        </row>
        <row r="43">
          <cell r="A43" t="str">
            <v>0512212</v>
          </cell>
          <cell r="B43" t="str">
            <v>Tiszteletdíj, szerzői díj, honorárium</v>
          </cell>
        </row>
        <row r="44">
          <cell r="A44" t="str">
            <v>051221</v>
          </cell>
          <cell r="B44" t="str">
            <v>Nem saját foglalkoztatottnak fizetett juttatás</v>
          </cell>
        </row>
        <row r="45">
          <cell r="A45" t="str">
            <v>0512311</v>
          </cell>
          <cell r="B45" t="str">
            <v>Prémiumévek program résztvevőinek juttatása</v>
          </cell>
        </row>
        <row r="46">
          <cell r="A46" t="str">
            <v>0512312</v>
          </cell>
          <cell r="B46" t="str">
            <v>Egyszerűsített fogl. alá tartozó mváll. juttatásai</v>
          </cell>
        </row>
        <row r="47">
          <cell r="A47" t="str">
            <v>0512314</v>
          </cell>
          <cell r="B47" t="str">
            <v>További munkaviszonyt létesítők juttatásai</v>
          </cell>
        </row>
        <row r="48">
          <cell r="A48" t="str">
            <v>0512315</v>
          </cell>
          <cell r="B48" t="str">
            <v>Felmentett munkavállalók egyéb juttatásai</v>
          </cell>
        </row>
        <row r="49">
          <cell r="A49" t="str">
            <v>0512316</v>
          </cell>
          <cell r="B49" t="str">
            <v>Adományozott kitüntetések, díjak, pénzjutalmak</v>
          </cell>
        </row>
        <row r="50">
          <cell r="A50" t="str">
            <v>0512318</v>
          </cell>
          <cell r="B50" t="str">
            <v>Reprezentációs kiadások</v>
          </cell>
        </row>
        <row r="51">
          <cell r="A51" t="str">
            <v>0512319</v>
          </cell>
          <cell r="B51" t="str">
            <v>Egyéb külső személyi juttatások</v>
          </cell>
        </row>
        <row r="52">
          <cell r="A52" t="str">
            <v>051231</v>
          </cell>
          <cell r="B52" t="str">
            <v>Egyéb külső személyi juttatások összesen</v>
          </cell>
        </row>
        <row r="53">
          <cell r="A53" t="str">
            <v>0512</v>
          </cell>
          <cell r="B53" t="str">
            <v>Külső személyi juttatások</v>
          </cell>
        </row>
        <row r="54">
          <cell r="A54" t="str">
            <v>051</v>
          </cell>
          <cell r="B54" t="str">
            <v>Személyi juttatások összesen</v>
          </cell>
        </row>
        <row r="55">
          <cell r="A55" t="str">
            <v>05211</v>
          </cell>
          <cell r="B55" t="str">
            <v>Szociális hozzájárulási adó</v>
          </cell>
        </row>
        <row r="56">
          <cell r="A56" t="str">
            <v>05212</v>
          </cell>
          <cell r="B56" t="str">
            <v>EKHO</v>
          </cell>
        </row>
        <row r="57">
          <cell r="A57" t="str">
            <v>05213</v>
          </cell>
          <cell r="B57" t="str">
            <v>Egészségügyi hozzájárulás</v>
          </cell>
        </row>
        <row r="58">
          <cell r="A58" t="str">
            <v>05214</v>
          </cell>
          <cell r="B58" t="str">
            <v>Táppénz hozzájárulás</v>
          </cell>
        </row>
        <row r="59">
          <cell r="A59" t="str">
            <v>05215</v>
          </cell>
          <cell r="B59" t="str">
            <v>Korkedvezmény-biztosítási járulék</v>
          </cell>
        </row>
        <row r="60">
          <cell r="A60" t="str">
            <v>05216</v>
          </cell>
          <cell r="B60" t="str">
            <v>Rehabilitációs hozzájárulás</v>
          </cell>
        </row>
        <row r="61">
          <cell r="A61" t="str">
            <v>05217</v>
          </cell>
          <cell r="B61" t="str">
            <v>Munkáltatót terhelő SZJA</v>
          </cell>
        </row>
        <row r="62">
          <cell r="A62" t="str">
            <v>05219</v>
          </cell>
          <cell r="B62" t="str">
            <v>Egyéb munkaadókat terhelő járulékok</v>
          </cell>
        </row>
        <row r="63">
          <cell r="A63" t="str">
            <v>052</v>
          </cell>
          <cell r="B63" t="str">
            <v>Munkaadókat terhelő járulékok összesen</v>
          </cell>
        </row>
        <row r="64">
          <cell r="A64" t="str">
            <v>0531111</v>
          </cell>
          <cell r="B64" t="str">
            <v>Gyógyszerbeszerzés</v>
          </cell>
        </row>
        <row r="65">
          <cell r="A65" t="str">
            <v>0531112</v>
          </cell>
          <cell r="B65" t="str">
            <v>Vegyszerbeszerzés</v>
          </cell>
        </row>
        <row r="66">
          <cell r="A66" t="str">
            <v>0531113</v>
          </cell>
          <cell r="B66" t="str">
            <v>Könyvbeszerzés</v>
          </cell>
        </row>
        <row r="67">
          <cell r="A67" t="str">
            <v>0531114</v>
          </cell>
          <cell r="B67" t="str">
            <v>Folyóirat-beszerzés</v>
          </cell>
        </row>
        <row r="68">
          <cell r="A68" t="str">
            <v>0531115</v>
          </cell>
          <cell r="B68" t="str">
            <v>Egyéb információhordozó-beszerzés</v>
          </cell>
        </row>
        <row r="69">
          <cell r="A69" t="str">
            <v>0531119</v>
          </cell>
          <cell r="B69" t="str">
            <v>Egyéb szakmai anyagbeszerzés</v>
          </cell>
        </row>
        <row r="70">
          <cell r="A70" t="str">
            <v>053111</v>
          </cell>
          <cell r="B70" t="str">
            <v>Szakmai anyagok beszerzése összesen</v>
          </cell>
        </row>
        <row r="71">
          <cell r="A71" t="str">
            <v>0531211</v>
          </cell>
          <cell r="B71" t="str">
            <v>Élelmiszer-beszerzés</v>
          </cell>
        </row>
        <row r="72">
          <cell r="A72" t="str">
            <v>0531212</v>
          </cell>
          <cell r="B72" t="str">
            <v>Irodaszer-, nyomtatványbeszerzés</v>
          </cell>
        </row>
        <row r="73">
          <cell r="A73" t="str">
            <v>0531213</v>
          </cell>
          <cell r="B73" t="str">
            <v>Tüzelőanyag-beszerzés</v>
          </cell>
        </row>
        <row r="74">
          <cell r="A74" t="str">
            <v>0531214</v>
          </cell>
          <cell r="B74" t="str">
            <v>Hajtó- és kenőanyag-beszerzés</v>
          </cell>
        </row>
        <row r="75">
          <cell r="A75" t="str">
            <v>0531215</v>
          </cell>
          <cell r="B75" t="str">
            <v>Munkaruha, védőruha, formaruha, egyenruha</v>
          </cell>
        </row>
        <row r="76">
          <cell r="A76" t="str">
            <v>0531219</v>
          </cell>
          <cell r="B76" t="str">
            <v>Egyéb üzemeltetési, fenntartási anyagbeszerzés</v>
          </cell>
        </row>
        <row r="77">
          <cell r="A77" t="str">
            <v>053121</v>
          </cell>
          <cell r="B77" t="str">
            <v>Üzemeltetési anyagok beszerzése összesen</v>
          </cell>
        </row>
        <row r="78">
          <cell r="A78" t="str">
            <v>0531311</v>
          </cell>
          <cell r="B78" t="str">
            <v>Árubeszerzés</v>
          </cell>
        </row>
        <row r="79">
          <cell r="A79" t="str">
            <v>0531312</v>
          </cell>
          <cell r="B79" t="str">
            <v>Göngyölegbeszerzés</v>
          </cell>
        </row>
        <row r="80">
          <cell r="A80" t="str">
            <v>053131</v>
          </cell>
          <cell r="B80" t="str">
            <v>Árubeszerzés összesen</v>
          </cell>
        </row>
        <row r="81">
          <cell r="A81" t="str">
            <v>0531</v>
          </cell>
          <cell r="B81" t="str">
            <v>Készletbeszerzés összesen</v>
          </cell>
        </row>
        <row r="82">
          <cell r="A82" t="str">
            <v>0532111</v>
          </cell>
          <cell r="B82" t="str">
            <v>Informatika tanácsadás, üzembe helyezés</v>
          </cell>
        </row>
        <row r="83">
          <cell r="A83" t="str">
            <v>0532112</v>
          </cell>
          <cell r="B83" t="str">
            <v>Informatikai szolgáltatások</v>
          </cell>
        </row>
        <row r="84">
          <cell r="A84" t="str">
            <v>0532113</v>
          </cell>
          <cell r="B84" t="str">
            <v>Informatikai eszköz, szolg. bérlés, lízing</v>
          </cell>
        </row>
        <row r="85">
          <cell r="A85" t="str">
            <v>0532114</v>
          </cell>
          <cell r="B85" t="str">
            <v>Informatikai eszközök karbantartása</v>
          </cell>
        </row>
        <row r="86">
          <cell r="A86" t="str">
            <v>0532115</v>
          </cell>
          <cell r="B86" t="str">
            <v>Adatátviteli célú távközlési díjak</v>
          </cell>
        </row>
        <row r="87">
          <cell r="A87" t="str">
            <v>0532119</v>
          </cell>
          <cell r="B87" t="str">
            <v>Egyéb informatikai szolgáltatás</v>
          </cell>
        </row>
        <row r="88">
          <cell r="A88" t="str">
            <v>053211</v>
          </cell>
          <cell r="B88" t="str">
            <v>Informatikai szolgáltatások igénybevétele</v>
          </cell>
        </row>
        <row r="89">
          <cell r="A89" t="str">
            <v>0532211</v>
          </cell>
          <cell r="B89" t="str">
            <v>Nem adatátviteli célú távközlési díjak</v>
          </cell>
        </row>
        <row r="90">
          <cell r="A90" t="str">
            <v>0532219</v>
          </cell>
          <cell r="B90" t="str">
            <v>Egyéb kommunikációs szolgáltatások</v>
          </cell>
        </row>
        <row r="91">
          <cell r="A91" t="str">
            <v>053221</v>
          </cell>
          <cell r="B91" t="str">
            <v>Egyéb kommunilációs szolgáltatás összesen</v>
          </cell>
        </row>
        <row r="92">
          <cell r="A92" t="str">
            <v>0532</v>
          </cell>
          <cell r="B92" t="str">
            <v>Kommunikációs szolgáltatások összesen</v>
          </cell>
        </row>
        <row r="93">
          <cell r="A93" t="str">
            <v>0533111</v>
          </cell>
          <cell r="B93" t="str">
            <v>Villamosenergia-szolgáltatási díjak</v>
          </cell>
        </row>
        <row r="94">
          <cell r="A94" t="str">
            <v>0533112</v>
          </cell>
          <cell r="B94" t="str">
            <v>Gázenergia-szolgáltatási díjak</v>
          </cell>
        </row>
        <row r="95">
          <cell r="A95" t="str">
            <v>0533113</v>
          </cell>
          <cell r="B95" t="str">
            <v>Távkő- és melegvíz-szolgáltatási díjak</v>
          </cell>
        </row>
        <row r="96">
          <cell r="A96" t="str">
            <v>0533114</v>
          </cell>
          <cell r="B96" t="str">
            <v>Víz- és csatornadíjak</v>
          </cell>
        </row>
        <row r="97">
          <cell r="A97" t="str">
            <v>053311</v>
          </cell>
          <cell r="B97" t="str">
            <v>Közüzemi díjak összesen</v>
          </cell>
        </row>
        <row r="98">
          <cell r="A98" t="str">
            <v>053321</v>
          </cell>
          <cell r="B98" t="str">
            <v>Vásárolt élelmezés</v>
          </cell>
        </row>
        <row r="99">
          <cell r="A99" t="str">
            <v>0533311</v>
          </cell>
          <cell r="B99" t="str">
            <v>PPP konstrukcióhoz kapcs. szolgáltatási díjak</v>
          </cell>
        </row>
        <row r="100">
          <cell r="A100" t="str">
            <v>0533312</v>
          </cell>
          <cell r="B100" t="str">
            <v>Egyéb bérleti és lízing díjak</v>
          </cell>
        </row>
        <row r="101">
          <cell r="A101">
            <v>53331</v>
          </cell>
          <cell r="B101" t="str">
            <v>Bérleti és lízing díjak összesen</v>
          </cell>
        </row>
        <row r="102">
          <cell r="A102" t="str">
            <v>053341</v>
          </cell>
          <cell r="B102" t="str">
            <v>Karbantartási, kisjavítási szolgáltatások</v>
          </cell>
        </row>
        <row r="103">
          <cell r="A103" t="str">
            <v>0533511</v>
          </cell>
          <cell r="B103" t="str">
            <v>Államháztartáson belüli közvetített szolgáltatások</v>
          </cell>
        </row>
        <row r="104">
          <cell r="A104" t="str">
            <v>0533512</v>
          </cell>
          <cell r="B104" t="str">
            <v>Államháztartáson kívüli közvetített szolgáltatások</v>
          </cell>
        </row>
        <row r="105">
          <cell r="A105" t="str">
            <v>053351</v>
          </cell>
          <cell r="B105" t="str">
            <v>Közvetített szolgáltatások összesen</v>
          </cell>
        </row>
        <row r="106">
          <cell r="A106" t="str">
            <v>0533611</v>
          </cell>
          <cell r="B106" t="str">
            <v>Vásárolt közszolgáltatások</v>
          </cell>
        </row>
        <row r="107">
          <cell r="A107" t="str">
            <v>0533612</v>
          </cell>
          <cell r="B107" t="str">
            <v>Számlázott szellemi tevékenység</v>
          </cell>
        </row>
        <row r="108">
          <cell r="A108" t="str">
            <v>0533619</v>
          </cell>
          <cell r="B108" t="str">
            <v>Egyéb szakmai szolgáltatások</v>
          </cell>
        </row>
        <row r="109">
          <cell r="A109" t="str">
            <v>053361</v>
          </cell>
          <cell r="B109" t="str">
            <v>Szakmai tevékenységet segítő szolg összesen</v>
          </cell>
        </row>
        <row r="110">
          <cell r="A110" t="str">
            <v>0533711</v>
          </cell>
          <cell r="B110" t="str">
            <v>Biztosítási szolgáltatási díjak</v>
          </cell>
        </row>
        <row r="111">
          <cell r="A111" t="str">
            <v>0533712</v>
          </cell>
          <cell r="B111" t="str">
            <v>Pénzügyi szolgáltatási díjak</v>
          </cell>
        </row>
        <row r="112">
          <cell r="A112" t="str">
            <v>0533713</v>
          </cell>
          <cell r="B112" t="str">
            <v>Szállítási szolgáltatási díjak</v>
          </cell>
        </row>
        <row r="113">
          <cell r="A113" t="str">
            <v>0533719</v>
          </cell>
          <cell r="B113" t="str">
            <v>Egyéb üzemeltetési, fenntartási szolgáltatások</v>
          </cell>
        </row>
        <row r="114">
          <cell r="A114" t="str">
            <v>053371</v>
          </cell>
          <cell r="B114" t="str">
            <v>Egyéb szolgáltatások összesen</v>
          </cell>
        </row>
        <row r="115">
          <cell r="A115" t="str">
            <v>0533</v>
          </cell>
          <cell r="B115" t="str">
            <v>Szolgáltatási kiadások összesen</v>
          </cell>
        </row>
        <row r="116">
          <cell r="A116" t="str">
            <v>0534111</v>
          </cell>
          <cell r="B116" t="str">
            <v>Belföldi kiküldetések kiadásai</v>
          </cell>
        </row>
        <row r="117">
          <cell r="A117" t="str">
            <v>0534112</v>
          </cell>
          <cell r="B117" t="str">
            <v>Külföldi kiküldetések kiadásai</v>
          </cell>
        </row>
        <row r="118">
          <cell r="A118" t="str">
            <v>053411</v>
          </cell>
          <cell r="B118" t="str">
            <v>Kiküldetések kiadásai összesen</v>
          </cell>
        </row>
        <row r="119">
          <cell r="A119" t="str">
            <v>053421</v>
          </cell>
          <cell r="B119" t="str">
            <v>Reklám- és propagandakiadások</v>
          </cell>
        </row>
        <row r="120">
          <cell r="A120" t="str">
            <v>0534</v>
          </cell>
          <cell r="B120" t="str">
            <v>Kiküldetés, reklám, propaganda összesen</v>
          </cell>
        </row>
        <row r="121">
          <cell r="A121" t="str">
            <v>0535111</v>
          </cell>
          <cell r="B121" t="str">
            <v>Működési célú felszámított, levonható ÁFA</v>
          </cell>
        </row>
        <row r="122">
          <cell r="A122" t="str">
            <v>0535112</v>
          </cell>
          <cell r="B122" t="str">
            <v>Működési célú felszámított le nem vonható ÁFA</v>
          </cell>
        </row>
        <row r="123">
          <cell r="A123" t="str">
            <v>053511</v>
          </cell>
          <cell r="B123" t="str">
            <v>Működési célú áfa összesen</v>
          </cell>
        </row>
        <row r="124">
          <cell r="A124" t="str">
            <v>0535211</v>
          </cell>
          <cell r="B124" t="str">
            <v>ÁFA befizetés</v>
          </cell>
        </row>
        <row r="125">
          <cell r="A125" t="str">
            <v>0535212</v>
          </cell>
          <cell r="B125" t="str">
            <v>Ért tárgyi eszk. Immat. javak egyenes ÁFA befiz</v>
          </cell>
        </row>
        <row r="126">
          <cell r="A126" t="str">
            <v>0535213</v>
          </cell>
          <cell r="B126" t="str">
            <v>Fordított ÁFA befizetés</v>
          </cell>
        </row>
        <row r="127">
          <cell r="A127" t="str">
            <v>053521</v>
          </cell>
          <cell r="B127" t="str">
            <v>Fizetendő áfa összesen</v>
          </cell>
        </row>
        <row r="128">
          <cell r="A128" t="str">
            <v>05353119</v>
          </cell>
          <cell r="B128" t="str">
            <v>Államháztartáson belüli egyéb kamat</v>
          </cell>
        </row>
        <row r="129">
          <cell r="A129" t="str">
            <v>05353122</v>
          </cell>
          <cell r="B129" t="str">
            <v>Hitelek kamatai</v>
          </cell>
        </row>
        <row r="130">
          <cell r="A130" t="str">
            <v>05353123</v>
          </cell>
          <cell r="B130" t="str">
            <v>Pénzügyi lízing kiadások</v>
          </cell>
        </row>
        <row r="131">
          <cell r="A131" t="str">
            <v>05353129</v>
          </cell>
          <cell r="B131" t="str">
            <v>Államháztartáson kívüli egyéb kamatok</v>
          </cell>
        </row>
        <row r="132">
          <cell r="A132" t="str">
            <v>053531</v>
          </cell>
          <cell r="B132" t="str">
            <v>Kamatkiadások</v>
          </cell>
        </row>
        <row r="133">
          <cell r="A133" t="str">
            <v>0535411</v>
          </cell>
          <cell r="B133" t="str">
            <v>Árfolyamveszteség</v>
          </cell>
        </row>
        <row r="134">
          <cell r="A134" t="str">
            <v>0535419</v>
          </cell>
          <cell r="B134" t="str">
            <v>Egyéb különféle pénzügyi műveletek kiadásai</v>
          </cell>
        </row>
        <row r="135">
          <cell r="A135" t="str">
            <v>053541</v>
          </cell>
          <cell r="B135" t="str">
            <v>Egyéb pénzügyi műveletek kiadásai</v>
          </cell>
        </row>
        <row r="136">
          <cell r="A136" t="str">
            <v>0535511</v>
          </cell>
          <cell r="B136" t="str">
            <v>Adók, adójellegű befizetések</v>
          </cell>
        </row>
        <row r="137">
          <cell r="A137" t="str">
            <v>0535512</v>
          </cell>
          <cell r="B137" t="str">
            <v>Díjak, egyéb befizetések</v>
          </cell>
        </row>
        <row r="138">
          <cell r="A138" t="str">
            <v>0535513</v>
          </cell>
          <cell r="B138" t="str">
            <v>Késedelmi kamat, kötbér, egyéb kártérítés</v>
          </cell>
        </row>
        <row r="139">
          <cell r="A139" t="str">
            <v>0535519</v>
          </cell>
          <cell r="B139" t="str">
            <v>Egyéb különféle dologi kiadások</v>
          </cell>
        </row>
        <row r="140">
          <cell r="A140" t="str">
            <v>053551</v>
          </cell>
          <cell r="B140" t="str">
            <v>Egyéb dologi kiadások</v>
          </cell>
        </row>
        <row r="141">
          <cell r="A141" t="str">
            <v>0535</v>
          </cell>
          <cell r="B141" t="str">
            <v>Különféle befizetések, egyéb dologi kiadások</v>
          </cell>
        </row>
        <row r="142">
          <cell r="A142" t="str">
            <v>053</v>
          </cell>
          <cell r="B142" t="str">
            <v>Dologi kiadások összesen</v>
          </cell>
        </row>
        <row r="143">
          <cell r="A143">
            <v>0</v>
          </cell>
          <cell r="B143" t="str">
            <v>Működési kiadások összesen</v>
          </cell>
        </row>
        <row r="144">
          <cell r="A144" t="str">
            <v>056311</v>
          </cell>
          <cell r="B144" t="str">
            <v>Informatikai eszköz beszerzés</v>
          </cell>
        </row>
        <row r="145">
          <cell r="A145" t="str">
            <v>056411</v>
          </cell>
          <cell r="B145" t="str">
            <v>Egyéb eszköz beszerzés</v>
          </cell>
        </row>
        <row r="146">
          <cell r="A146" t="str">
            <v>056415</v>
          </cell>
          <cell r="B146" t="str">
            <v>Jármű beszerzés</v>
          </cell>
        </row>
        <row r="147">
          <cell r="A147" t="str">
            <v>05671</v>
          </cell>
          <cell r="B147" t="str">
            <v>Beruházás le nem vonható ÁFA</v>
          </cell>
        </row>
        <row r="148">
          <cell r="A148" t="str">
            <v>056</v>
          </cell>
          <cell r="B148" t="str">
            <v>Beruházások összesen</v>
          </cell>
        </row>
        <row r="149">
          <cell r="A149" t="str">
            <v>057211</v>
          </cell>
          <cell r="B149" t="str">
            <v>Informatikai eszköz felújítása</v>
          </cell>
        </row>
        <row r="150">
          <cell r="A150" t="str">
            <v>057311</v>
          </cell>
          <cell r="B150" t="str">
            <v>Egyéb eszköz felújítása</v>
          </cell>
        </row>
        <row r="151">
          <cell r="A151" t="str">
            <v>057315</v>
          </cell>
          <cell r="B151" t="str">
            <v>Jármű felújítása</v>
          </cell>
        </row>
        <row r="152">
          <cell r="A152" t="str">
            <v>05741</v>
          </cell>
          <cell r="B152" t="str">
            <v>Felújítás le nem vonfható ÁFA</v>
          </cell>
        </row>
        <row r="153">
          <cell r="A153" t="str">
            <v>057</v>
          </cell>
          <cell r="B153" t="str">
            <v>Felújítások összesen</v>
          </cell>
        </row>
        <row r="154">
          <cell r="A154">
            <v>0</v>
          </cell>
          <cell r="B154" t="str">
            <v>Felhalmozási kiadások összesen</v>
          </cell>
        </row>
        <row r="155">
          <cell r="A155">
            <v>0</v>
          </cell>
          <cell r="B155" t="str">
            <v>Kiadások mindösszesen</v>
          </cell>
        </row>
        <row r="157">
          <cell r="A157" t="str">
            <v>I.</v>
          </cell>
          <cell r="B157" t="str">
            <v>MŰKÖDÉSI KÖLTSÉGVETÉSI BEVÉTELEK</v>
          </cell>
        </row>
        <row r="158">
          <cell r="A158" t="str">
            <v>1.</v>
          </cell>
          <cell r="B158" t="str">
            <v>Működési célú támogatások államháztartáson belülről</v>
          </cell>
        </row>
        <row r="159">
          <cell r="A159">
            <v>0</v>
          </cell>
          <cell r="B159" t="str">
            <v>1.1. Egyéb működési célú támogatások bevételei államháztartáson belülről</v>
          </cell>
        </row>
        <row r="160">
          <cell r="A160" t="str">
            <v>1.</v>
          </cell>
          <cell r="B160" t="str">
            <v>Működési bevételek</v>
          </cell>
        </row>
        <row r="161">
          <cell r="A161">
            <v>0</v>
          </cell>
          <cell r="B161" t="str">
            <v>1.1. Készletértékesítés bevétele</v>
          </cell>
        </row>
        <row r="162">
          <cell r="A162">
            <v>0</v>
          </cell>
          <cell r="B162" t="str">
            <v>1.2. Szolgáltatások ellenértéke</v>
          </cell>
        </row>
        <row r="163">
          <cell r="A163">
            <v>0</v>
          </cell>
          <cell r="B163" t="str">
            <v>1.3. Tulajdonosi bevételek</v>
          </cell>
        </row>
        <row r="164">
          <cell r="A164">
            <v>0</v>
          </cell>
          <cell r="B164" t="str">
            <v>Egyéb bérleti díj</v>
          </cell>
        </row>
        <row r="165">
          <cell r="A165">
            <v>0</v>
          </cell>
          <cell r="B165" t="str">
            <v>1.4. Ellátási díjak</v>
          </cell>
        </row>
        <row r="166">
          <cell r="A166">
            <v>0</v>
          </cell>
          <cell r="B166" t="str">
            <v>1.5. Kiszámlázott általános forgalmi adó</v>
          </cell>
        </row>
        <row r="167">
          <cell r="A167">
            <v>0</v>
          </cell>
          <cell r="B167" t="str">
            <v>1.6. Általános forgalmi adó visszatérítése</v>
          </cell>
        </row>
        <row r="168">
          <cell r="A168">
            <v>0</v>
          </cell>
          <cell r="B168" t="str">
            <v>1.7. Kamatbevételek</v>
          </cell>
        </row>
        <row r="169">
          <cell r="A169">
            <v>0</v>
          </cell>
          <cell r="B169" t="str">
            <v>1.8. Egyéb működési bevételek</v>
          </cell>
        </row>
        <row r="170">
          <cell r="A170" t="str">
            <v>3.</v>
          </cell>
          <cell r="B170" t="str">
            <v>Működési célú átvett pénzeszközök</v>
          </cell>
        </row>
        <row r="171">
          <cell r="A171">
            <v>0</v>
          </cell>
          <cell r="B171" t="str">
            <v>3.1. Egyéb működési célú átvett pénzeszközök</v>
          </cell>
        </row>
      </sheetData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l"/>
      <sheetName val="0.Mérleg"/>
      <sheetName val="1A. Fő bev"/>
      <sheetName val="1B. Fő kiad"/>
      <sheetName val="1C Bev kiad fel"/>
      <sheetName val="2A Önk bev"/>
      <sheetName val="2B Önk kiad"/>
      <sheetName val="2C Önk bev kiad fel"/>
      <sheetName val="2D Céltartalék"/>
      <sheetName val="3A PH"/>
      <sheetName val="3B PH fel"/>
      <sheetName val="4A. VG bev kiad"/>
      <sheetName val="4B VG fel"/>
      <sheetName val="5A Walla"/>
      <sheetName val="5B Nyitnikék"/>
      <sheetName val="5C Bóbita"/>
      <sheetName val="5D MMMH"/>
      <sheetName val="5E Könyvtár"/>
      <sheetName val="5F Segítő Kéz"/>
      <sheetName val="5G GSZNR fel"/>
      <sheetName val="6. létszámkeret"/>
      <sheetName val="7. beruházás"/>
      <sheetName val="8. felújítás"/>
      <sheetName val="9. hitelállomány"/>
      <sheetName val="9. stab tv"/>
      <sheetName val="10. Uniós tám"/>
      <sheetName val="11. címrend"/>
      <sheetName val="SKSZ"/>
      <sheetName val="ph"/>
      <sheetName val="ÖK kiad"/>
      <sheetName val="VG"/>
      <sheetName val="Volf"/>
      <sheetName val="MMMH"/>
      <sheetName val="MMMH reszletes"/>
      <sheetName val="MMMH dologi"/>
      <sheetName val="MMMH bevetel"/>
      <sheetName val="Bóbita"/>
      <sheetName val="Nyitnikék"/>
      <sheetName val="Wal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A1" t="str">
            <v>Főkönyvi szám</v>
          </cell>
          <cell r="B1" t="str">
            <v>Megnevezés</v>
          </cell>
          <cell r="C1" t="str">
            <v>2015. évi előirányzat</v>
          </cell>
          <cell r="D1" t="str">
            <v>Óvodai étkeztetés 562912</v>
          </cell>
          <cell r="E1" t="str">
            <v>Óvodai nevelés 851011</v>
          </cell>
          <cell r="F1" t="str">
            <v>Közfoglal-koztatás</v>
          </cell>
        </row>
        <row r="2">
          <cell r="A2" t="str">
            <v>05110111</v>
          </cell>
          <cell r="B2" t="str">
            <v>Alapilletmények</v>
          </cell>
        </row>
        <row r="3">
          <cell r="A3" t="str">
            <v>05110112</v>
          </cell>
          <cell r="B3" t="str">
            <v>Illetménykiegészítések</v>
          </cell>
        </row>
        <row r="4">
          <cell r="A4" t="str">
            <v>05110113</v>
          </cell>
          <cell r="B4" t="str">
            <v>Nyelvpótlékok</v>
          </cell>
        </row>
        <row r="5">
          <cell r="A5" t="str">
            <v>05110114</v>
          </cell>
          <cell r="B5" t="str">
            <v>Egyéb kötelező pótlékok</v>
          </cell>
        </row>
        <row r="6">
          <cell r="A6" t="str">
            <v>05110115</v>
          </cell>
          <cell r="B6" t="str">
            <v>Egyéb feltételektől függő pótlékok és juttatások</v>
          </cell>
        </row>
        <row r="7">
          <cell r="A7" t="str">
            <v>05110119</v>
          </cell>
          <cell r="B7" t="str">
            <v>Egyéb juttatások</v>
          </cell>
        </row>
        <row r="8">
          <cell r="A8" t="str">
            <v>0511011</v>
          </cell>
          <cell r="B8" t="str">
            <v>Törvény szerinti illetmények, munkabérek</v>
          </cell>
        </row>
        <row r="9">
          <cell r="A9" t="str">
            <v>0511021</v>
          </cell>
          <cell r="B9" t="str">
            <v>Normatív jutalmak</v>
          </cell>
        </row>
        <row r="10">
          <cell r="A10" t="str">
            <v>0511031</v>
          </cell>
          <cell r="B10" t="str">
            <v>Céljuttatás, projektprémium</v>
          </cell>
        </row>
        <row r="11">
          <cell r="A11" t="str">
            <v>05110411</v>
          </cell>
          <cell r="B11" t="str">
            <v>Készenléti, ügyeleti, helyettesítési díj</v>
          </cell>
        </row>
        <row r="12">
          <cell r="A12" t="str">
            <v>05110412</v>
          </cell>
          <cell r="B12" t="str">
            <v>Túlóra, túlszolgálat</v>
          </cell>
        </row>
        <row r="13">
          <cell r="A13" t="str">
            <v>0511041</v>
          </cell>
          <cell r="B13" t="str">
            <v>Készenlét, ügyelet, helyettesítés, túlóra</v>
          </cell>
        </row>
        <row r="14">
          <cell r="A14" t="str">
            <v>0511051</v>
          </cell>
          <cell r="B14" t="str">
            <v>Végkielégítés</v>
          </cell>
        </row>
        <row r="15">
          <cell r="A15" t="str">
            <v>0511061</v>
          </cell>
          <cell r="B15" t="str">
            <v>Jubileumi jutalom</v>
          </cell>
        </row>
        <row r="16">
          <cell r="A16" t="str">
            <v>05110711</v>
          </cell>
          <cell r="B16" t="str">
            <v>Étkezési hozzájárulás</v>
          </cell>
        </row>
        <row r="17">
          <cell r="A17" t="str">
            <v>05110712</v>
          </cell>
          <cell r="B17" t="str">
            <v>Üdülési hozzájárulás</v>
          </cell>
        </row>
        <row r="18">
          <cell r="A18" t="str">
            <v>05110713</v>
          </cell>
          <cell r="B18" t="str">
            <v>Erzsébet-utalvány kiadásai</v>
          </cell>
        </row>
        <row r="19">
          <cell r="A19" t="str">
            <v>05110714</v>
          </cell>
          <cell r="B19" t="str">
            <v>Széchenyi Pihenő Kártya kiadásai</v>
          </cell>
        </row>
        <row r="20">
          <cell r="A20" t="str">
            <v>05110715</v>
          </cell>
          <cell r="B20" t="str">
            <v>Iskolakezdési támogatás</v>
          </cell>
        </row>
        <row r="21">
          <cell r="A21" t="str">
            <v>05110716</v>
          </cell>
          <cell r="B21" t="str">
            <v>Önkéntes biztosító pénztárakba befizetés</v>
          </cell>
        </row>
        <row r="22">
          <cell r="A22" t="str">
            <v>05110719</v>
          </cell>
          <cell r="B22" t="str">
            <v>Egyéb béren kívüli juttatások</v>
          </cell>
        </row>
        <row r="23">
          <cell r="A23" t="str">
            <v>0511071</v>
          </cell>
          <cell r="B23" t="str">
            <v>Béren kívüli juttatások</v>
          </cell>
        </row>
        <row r="24">
          <cell r="A24" t="str">
            <v>0511081</v>
          </cell>
          <cell r="B24" t="str">
            <v>Ruházati költségtérítés</v>
          </cell>
        </row>
        <row r="25">
          <cell r="A25" t="str">
            <v>0511091</v>
          </cell>
          <cell r="B25" t="str">
            <v>Közlekedési költségtérítés</v>
          </cell>
        </row>
        <row r="26">
          <cell r="A26" t="str">
            <v>0511101</v>
          </cell>
          <cell r="B26" t="str">
            <v>Egyéb költségtérítések</v>
          </cell>
        </row>
        <row r="27">
          <cell r="A27" t="str">
            <v>05111111</v>
          </cell>
          <cell r="B27" t="str">
            <v>Albérleti díj hozzájárulás</v>
          </cell>
        </row>
        <row r="28">
          <cell r="A28" t="str">
            <v>05111112</v>
          </cell>
          <cell r="B28" t="str">
            <v>Családalapítási támogatás</v>
          </cell>
        </row>
        <row r="29">
          <cell r="A29" t="str">
            <v>0511111</v>
          </cell>
          <cell r="B29" t="str">
            <v>Lakhatási támogatások</v>
          </cell>
        </row>
        <row r="30">
          <cell r="A30" t="str">
            <v>0511121</v>
          </cell>
          <cell r="B30" t="str">
            <v>Szociális támogatások</v>
          </cell>
        </row>
        <row r="31">
          <cell r="A31" t="str">
            <v>05111311</v>
          </cell>
          <cell r="B31" t="str">
            <v>Belföldi napidíj</v>
          </cell>
        </row>
        <row r="32">
          <cell r="A32" t="str">
            <v>05111312</v>
          </cell>
          <cell r="B32" t="str">
            <v>Külföldi napidíj</v>
          </cell>
        </row>
        <row r="33">
          <cell r="A33" t="str">
            <v>05111313</v>
          </cell>
          <cell r="B33" t="str">
            <v>Biztosítási díjak</v>
          </cell>
        </row>
        <row r="34">
          <cell r="A34" t="str">
            <v>05111314</v>
          </cell>
          <cell r="B34" t="str">
            <v>Kereset-kiegészítés fedezete</v>
          </cell>
        </row>
        <row r="35">
          <cell r="A35" t="str">
            <v>05111315</v>
          </cell>
          <cell r="B35" t="str">
            <v>Munkáltatói kártérítés egyéb kiegészítések</v>
          </cell>
        </row>
        <row r="36">
          <cell r="A36" t="str">
            <v>05111319</v>
          </cell>
          <cell r="B36" t="str">
            <v>Egyéb sajátos juttatások</v>
          </cell>
        </row>
        <row r="37">
          <cell r="A37" t="str">
            <v>0511131</v>
          </cell>
          <cell r="B37" t="str">
            <v>foglalkoztatottak egyéb személyi juttatásai</v>
          </cell>
        </row>
        <row r="38">
          <cell r="A38" t="str">
            <v>0511</v>
          </cell>
          <cell r="B38" t="str">
            <v>Foglalkoztatottak személyi juttatásai</v>
          </cell>
        </row>
        <row r="39">
          <cell r="A39" t="str">
            <v>0512113</v>
          </cell>
          <cell r="B39" t="str">
            <v>Képviselők, polgármesterek juttatásai</v>
          </cell>
        </row>
        <row r="40">
          <cell r="A40" t="str">
            <v>0512119</v>
          </cell>
          <cell r="B40" t="str">
            <v>Egyéb választott tisztségviselők juttatásai</v>
          </cell>
        </row>
        <row r="41">
          <cell r="A41" t="str">
            <v>051211</v>
          </cell>
          <cell r="B41" t="str">
            <v>Választott tisztviselők juttatásai</v>
          </cell>
        </row>
        <row r="42">
          <cell r="A42" t="str">
            <v>0512211</v>
          </cell>
          <cell r="B42" t="str">
            <v>Állományba nem tartozók megbízási díja</v>
          </cell>
        </row>
        <row r="43">
          <cell r="A43" t="str">
            <v>0512212</v>
          </cell>
          <cell r="B43" t="str">
            <v>Tiszteletdíj, szerzői díj, honorárium</v>
          </cell>
        </row>
        <row r="44">
          <cell r="A44" t="str">
            <v>051221</v>
          </cell>
          <cell r="B44" t="str">
            <v>Nem saját foglalkoztatottnak fizetett juttatás</v>
          </cell>
        </row>
        <row r="45">
          <cell r="A45" t="str">
            <v>0512311</v>
          </cell>
          <cell r="B45" t="str">
            <v>Prémiumévek program résztvevőinek juttatása</v>
          </cell>
        </row>
        <row r="46">
          <cell r="A46" t="str">
            <v>0512312</v>
          </cell>
          <cell r="B46" t="str">
            <v>Egyszerűsített fogl. alá tartozó mváll. juttatásai</v>
          </cell>
        </row>
        <row r="47">
          <cell r="A47" t="str">
            <v>0512314</v>
          </cell>
          <cell r="B47" t="str">
            <v>További munkaviszonyt létesítők juttatásai</v>
          </cell>
        </row>
        <row r="48">
          <cell r="A48" t="str">
            <v>0512315</v>
          </cell>
          <cell r="B48" t="str">
            <v>Felmentett munkavállalók egyéb juttatásai</v>
          </cell>
        </row>
        <row r="49">
          <cell r="A49" t="str">
            <v>0512316</v>
          </cell>
          <cell r="B49" t="str">
            <v>Adományozott kitüntetések, díjak, pénzjutalmak</v>
          </cell>
        </row>
        <row r="50">
          <cell r="A50" t="str">
            <v>0512318</v>
          </cell>
          <cell r="B50" t="str">
            <v>Reprezentációs kiadások</v>
          </cell>
        </row>
        <row r="51">
          <cell r="A51" t="str">
            <v>0512319</v>
          </cell>
          <cell r="B51" t="str">
            <v>Egyéb külső személyi juttatások</v>
          </cell>
        </row>
        <row r="52">
          <cell r="A52" t="str">
            <v>051231</v>
          </cell>
          <cell r="B52" t="str">
            <v>Egyéb külső személyi juttatások összesen</v>
          </cell>
        </row>
        <row r="53">
          <cell r="A53" t="str">
            <v>0512</v>
          </cell>
          <cell r="B53" t="str">
            <v>Külső személyi juttatások</v>
          </cell>
        </row>
        <row r="54">
          <cell r="A54" t="str">
            <v>051</v>
          </cell>
          <cell r="B54" t="str">
            <v>Személyi juttatások összesen</v>
          </cell>
        </row>
        <row r="55">
          <cell r="A55" t="str">
            <v>05211</v>
          </cell>
          <cell r="B55" t="str">
            <v>Szociális hozzájárulási adó</v>
          </cell>
        </row>
        <row r="56">
          <cell r="A56" t="str">
            <v>05212</v>
          </cell>
          <cell r="B56" t="str">
            <v>EKHO</v>
          </cell>
        </row>
        <row r="57">
          <cell r="A57" t="str">
            <v>05213</v>
          </cell>
          <cell r="B57" t="str">
            <v>Egészségügyi hozzájárulás</v>
          </cell>
        </row>
        <row r="58">
          <cell r="A58" t="str">
            <v>05214</v>
          </cell>
          <cell r="B58" t="str">
            <v>Táppénz hozzájárulás</v>
          </cell>
        </row>
        <row r="59">
          <cell r="A59" t="str">
            <v>05215</v>
          </cell>
          <cell r="B59" t="str">
            <v>Korkedvezmény-biztosítási járulék</v>
          </cell>
        </row>
        <row r="60">
          <cell r="A60" t="str">
            <v>05216</v>
          </cell>
          <cell r="B60" t="str">
            <v>Rehabilitációs hozzájárulás</v>
          </cell>
        </row>
        <row r="61">
          <cell r="A61" t="str">
            <v>05217</v>
          </cell>
          <cell r="B61" t="str">
            <v>Munkáltatót terhelő SZJA</v>
          </cell>
        </row>
        <row r="62">
          <cell r="A62" t="str">
            <v>05219</v>
          </cell>
          <cell r="B62" t="str">
            <v>Egyéb munkaadókat terhelő járulékok</v>
          </cell>
        </row>
        <row r="63">
          <cell r="A63" t="str">
            <v>052</v>
          </cell>
          <cell r="B63" t="str">
            <v>Munkaadókat terhelő járulékok összesen</v>
          </cell>
        </row>
        <row r="64">
          <cell r="A64" t="str">
            <v>0531111</v>
          </cell>
          <cell r="B64" t="str">
            <v>Gyógyszerbeszerzés</v>
          </cell>
        </row>
        <row r="65">
          <cell r="A65" t="str">
            <v>0531112</v>
          </cell>
          <cell r="B65" t="str">
            <v>Vegyszerbeszerzés</v>
          </cell>
        </row>
        <row r="66">
          <cell r="A66" t="str">
            <v>0531113</v>
          </cell>
          <cell r="B66" t="str">
            <v>Könyvbeszerzés</v>
          </cell>
        </row>
        <row r="67">
          <cell r="A67" t="str">
            <v>0531114</v>
          </cell>
          <cell r="B67" t="str">
            <v>Folyóirat-beszerzés</v>
          </cell>
        </row>
        <row r="68">
          <cell r="A68" t="str">
            <v>0531115</v>
          </cell>
          <cell r="B68" t="str">
            <v>Egyéb információhordozó-beszerzés</v>
          </cell>
        </row>
        <row r="69">
          <cell r="A69" t="str">
            <v>0531119</v>
          </cell>
          <cell r="B69" t="str">
            <v>Egyéb szakmai anyagbeszerzés</v>
          </cell>
        </row>
        <row r="70">
          <cell r="A70" t="str">
            <v>053111</v>
          </cell>
          <cell r="B70" t="str">
            <v>Szakmai anyagok beszerzése összesen</v>
          </cell>
        </row>
        <row r="71">
          <cell r="A71" t="str">
            <v>0531211</v>
          </cell>
          <cell r="B71" t="str">
            <v>Élelmiszer-beszerzés</v>
          </cell>
        </row>
        <row r="72">
          <cell r="A72" t="str">
            <v>0531212</v>
          </cell>
          <cell r="B72" t="str">
            <v>Irodaszer-, nyomtatványbeszerzés</v>
          </cell>
        </row>
        <row r="73">
          <cell r="A73" t="str">
            <v>0531213</v>
          </cell>
          <cell r="B73" t="str">
            <v>Tüzelőanyag-beszerzés</v>
          </cell>
        </row>
        <row r="74">
          <cell r="A74" t="str">
            <v>0531214</v>
          </cell>
          <cell r="B74" t="str">
            <v>Hajtó- és kenőanyag-beszerzés</v>
          </cell>
        </row>
        <row r="75">
          <cell r="A75" t="str">
            <v>0531215</v>
          </cell>
          <cell r="B75" t="str">
            <v>Munkaruha, védőruha, formaruha, egyenruha</v>
          </cell>
        </row>
        <row r="76">
          <cell r="A76" t="str">
            <v>0531219</v>
          </cell>
          <cell r="B76" t="str">
            <v>Egyéb üzemeltetési, fenntartási anyagbeszerzés</v>
          </cell>
        </row>
        <row r="77">
          <cell r="A77" t="str">
            <v>053121</v>
          </cell>
          <cell r="B77" t="str">
            <v>Üzemeltetési anyagok beszerzése összesen</v>
          </cell>
        </row>
        <row r="78">
          <cell r="A78" t="str">
            <v>0531311</v>
          </cell>
          <cell r="B78" t="str">
            <v>Árubeszerzés</v>
          </cell>
        </row>
        <row r="79">
          <cell r="A79" t="str">
            <v>0531312</v>
          </cell>
          <cell r="B79" t="str">
            <v>Göngyölegbeszerzés</v>
          </cell>
        </row>
        <row r="80">
          <cell r="A80" t="str">
            <v>053131</v>
          </cell>
          <cell r="B80" t="str">
            <v>Árubeszerzés összesen</v>
          </cell>
        </row>
        <row r="81">
          <cell r="A81" t="str">
            <v>0531</v>
          </cell>
          <cell r="B81" t="str">
            <v>Készletbeszerzés összesen</v>
          </cell>
        </row>
        <row r="82">
          <cell r="A82" t="str">
            <v>0532111</v>
          </cell>
          <cell r="B82" t="str">
            <v>Informatika tanácsadás, üzembe helyezés</v>
          </cell>
        </row>
        <row r="83">
          <cell r="A83" t="str">
            <v>0532112</v>
          </cell>
          <cell r="B83" t="str">
            <v>Informatikai szolgáltatások</v>
          </cell>
        </row>
        <row r="84">
          <cell r="A84" t="str">
            <v>0532113</v>
          </cell>
          <cell r="B84" t="str">
            <v>Informatikai eszköz, szolg. bérlés, lízing</v>
          </cell>
        </row>
        <row r="85">
          <cell r="A85" t="str">
            <v>0532114</v>
          </cell>
          <cell r="B85" t="str">
            <v>Informatikai eszközök karbantartása</v>
          </cell>
        </row>
        <row r="86">
          <cell r="A86" t="str">
            <v>0532115</v>
          </cell>
          <cell r="B86" t="str">
            <v>Adatátviteli célú távközlési díjak</v>
          </cell>
        </row>
        <row r="87">
          <cell r="A87" t="str">
            <v>0532119</v>
          </cell>
          <cell r="B87" t="str">
            <v>Egyéb informatikai szolgáltatás</v>
          </cell>
        </row>
        <row r="88">
          <cell r="A88" t="str">
            <v>053211</v>
          </cell>
          <cell r="B88" t="str">
            <v>Informatikai szolgáltatások igénybevétele</v>
          </cell>
        </row>
        <row r="89">
          <cell r="A89" t="str">
            <v>0532211</v>
          </cell>
          <cell r="B89" t="str">
            <v>Nem adatátviteli célú távközlési díjak</v>
          </cell>
        </row>
        <row r="90">
          <cell r="A90" t="str">
            <v>0532219</v>
          </cell>
          <cell r="B90" t="str">
            <v>Egyéb kommunikációs szolgáltatások</v>
          </cell>
        </row>
        <row r="91">
          <cell r="A91" t="str">
            <v>053221</v>
          </cell>
          <cell r="B91" t="str">
            <v>Egyéb kommunilációs szolgáltatás összesen</v>
          </cell>
        </row>
        <row r="92">
          <cell r="A92" t="str">
            <v>0532</v>
          </cell>
          <cell r="B92" t="str">
            <v>Kommunikációs szolgáltatások összesen</v>
          </cell>
        </row>
        <row r="93">
          <cell r="A93" t="str">
            <v>0533111</v>
          </cell>
          <cell r="B93" t="str">
            <v>Villamosenergia-szolgáltatási díjak</v>
          </cell>
        </row>
        <row r="94">
          <cell r="A94" t="str">
            <v>0533112</v>
          </cell>
          <cell r="B94" t="str">
            <v>Gázenergia-szolgáltatási díjak</v>
          </cell>
        </row>
        <row r="95">
          <cell r="A95" t="str">
            <v>0533113</v>
          </cell>
          <cell r="B95" t="str">
            <v>Távkő- és melegvíz-szolgáltatási díjak</v>
          </cell>
        </row>
        <row r="96">
          <cell r="A96" t="str">
            <v>0533114</v>
          </cell>
          <cell r="B96" t="str">
            <v>Víz- és csatornadíjak</v>
          </cell>
        </row>
        <row r="97">
          <cell r="A97" t="str">
            <v>053311</v>
          </cell>
          <cell r="B97" t="str">
            <v>Közüzemi díjak összesen</v>
          </cell>
        </row>
        <row r="98">
          <cell r="A98" t="str">
            <v>053321</v>
          </cell>
          <cell r="B98" t="str">
            <v>Vásárolt élelmezés</v>
          </cell>
        </row>
        <row r="99">
          <cell r="A99" t="str">
            <v>0533311</v>
          </cell>
          <cell r="B99" t="str">
            <v>PPP konstrukcióhoz kapcs. szolgáltatási díjak</v>
          </cell>
        </row>
        <row r="100">
          <cell r="A100" t="str">
            <v>0533312</v>
          </cell>
          <cell r="B100" t="str">
            <v>Egyéb bérleti és lízing díjak</v>
          </cell>
        </row>
        <row r="101">
          <cell r="A101">
            <v>53331</v>
          </cell>
          <cell r="B101" t="str">
            <v>Bérleti és lízing díjak összesen</v>
          </cell>
        </row>
        <row r="102">
          <cell r="A102" t="str">
            <v>053341</v>
          </cell>
          <cell r="B102" t="str">
            <v>Karbantartási, kisjavítási szolgáltatások</v>
          </cell>
        </row>
        <row r="103">
          <cell r="A103" t="str">
            <v>0533511</v>
          </cell>
          <cell r="B103" t="str">
            <v>Államháztartáson belüli közvetített szolgáltatások</v>
          </cell>
        </row>
        <row r="104">
          <cell r="A104" t="str">
            <v>0533512</v>
          </cell>
          <cell r="B104" t="str">
            <v>Államháztartáson kívüli közvetített szolgáltatások</v>
          </cell>
        </row>
        <row r="105">
          <cell r="A105" t="str">
            <v>053351</v>
          </cell>
          <cell r="B105" t="str">
            <v>Közvetített szolgáltatások összesen</v>
          </cell>
        </row>
        <row r="106">
          <cell r="A106" t="str">
            <v>0533611</v>
          </cell>
          <cell r="B106" t="str">
            <v>Vásárolt közszolgáltatások</v>
          </cell>
        </row>
        <row r="107">
          <cell r="A107" t="str">
            <v>0533612</v>
          </cell>
          <cell r="B107" t="str">
            <v>Számlázott szellemi tevékenység</v>
          </cell>
        </row>
        <row r="108">
          <cell r="A108" t="str">
            <v>0533619</v>
          </cell>
          <cell r="B108" t="str">
            <v>Egyéb szakmai szolgáltatások</v>
          </cell>
        </row>
        <row r="109">
          <cell r="A109" t="str">
            <v>053361</v>
          </cell>
          <cell r="B109" t="str">
            <v>Szakmai tevékenységet segítő szolg összesen</v>
          </cell>
        </row>
        <row r="110">
          <cell r="A110" t="str">
            <v>0533711</v>
          </cell>
          <cell r="B110" t="str">
            <v>Biztosítási szolgáltatási díjak</v>
          </cell>
        </row>
        <row r="111">
          <cell r="A111" t="str">
            <v>0533712</v>
          </cell>
          <cell r="B111" t="str">
            <v>Pénzügyi szolgáltatási díjak</v>
          </cell>
        </row>
        <row r="112">
          <cell r="A112" t="str">
            <v>0533713</v>
          </cell>
          <cell r="B112" t="str">
            <v>Szállítási szolgáltatási díjak</v>
          </cell>
        </row>
        <row r="113">
          <cell r="A113" t="str">
            <v>0533719</v>
          </cell>
          <cell r="B113" t="str">
            <v>Egyéb üzemeltetési, fenntartási szolgáltatások</v>
          </cell>
        </row>
        <row r="114">
          <cell r="A114" t="str">
            <v>053371</v>
          </cell>
          <cell r="B114" t="str">
            <v>Egyéb szolgáltatások összesen</v>
          </cell>
        </row>
        <row r="115">
          <cell r="A115" t="str">
            <v>0533</v>
          </cell>
          <cell r="B115" t="str">
            <v>Szolgáltatási kiadások összesen</v>
          </cell>
        </row>
        <row r="116">
          <cell r="A116" t="str">
            <v>0534111</v>
          </cell>
          <cell r="B116" t="str">
            <v>Belföldi kiküldetések kiadásai</v>
          </cell>
        </row>
        <row r="117">
          <cell r="A117" t="str">
            <v>0534112</v>
          </cell>
          <cell r="B117" t="str">
            <v>Külföldi kiküldetések kiadásai</v>
          </cell>
        </row>
        <row r="118">
          <cell r="A118" t="str">
            <v>053411</v>
          </cell>
          <cell r="B118" t="str">
            <v>Kiküldetések kiadásai összesen</v>
          </cell>
        </row>
        <row r="119">
          <cell r="A119" t="str">
            <v>053421</v>
          </cell>
          <cell r="B119" t="str">
            <v>Reklám- és propagandakiadások</v>
          </cell>
        </row>
        <row r="120">
          <cell r="A120" t="str">
            <v>0534</v>
          </cell>
          <cell r="B120" t="str">
            <v>Kiküldetés, reklám, propaganda összesen</v>
          </cell>
        </row>
        <row r="121">
          <cell r="A121" t="str">
            <v>0535111</v>
          </cell>
          <cell r="B121" t="str">
            <v>Működési célú felszámított, levonható ÁFA</v>
          </cell>
        </row>
        <row r="122">
          <cell r="A122" t="str">
            <v>0535112</v>
          </cell>
          <cell r="B122" t="str">
            <v>Működési célú felszámított le nem vonható ÁFA</v>
          </cell>
        </row>
        <row r="123">
          <cell r="A123" t="str">
            <v>053511</v>
          </cell>
          <cell r="B123" t="str">
            <v>Működési célú áfa összesen</v>
          </cell>
        </row>
        <row r="124">
          <cell r="A124" t="str">
            <v>0535211</v>
          </cell>
          <cell r="B124" t="str">
            <v>ÁFA befizetés</v>
          </cell>
        </row>
        <row r="125">
          <cell r="A125" t="str">
            <v>0535212</v>
          </cell>
          <cell r="B125" t="str">
            <v>Ért tárgyi eszk. Immat. javak egyenes ÁFA befiz</v>
          </cell>
        </row>
        <row r="126">
          <cell r="A126" t="str">
            <v>0535213</v>
          </cell>
          <cell r="B126" t="str">
            <v>Fordított ÁFA befizetés</v>
          </cell>
        </row>
        <row r="127">
          <cell r="A127" t="str">
            <v>053521</v>
          </cell>
          <cell r="B127" t="str">
            <v>Fizetendő áfa összesen</v>
          </cell>
        </row>
        <row r="128">
          <cell r="A128" t="str">
            <v>05353119</v>
          </cell>
          <cell r="B128" t="str">
            <v>Államháztartáson belüli egyéb kamat</v>
          </cell>
        </row>
        <row r="129">
          <cell r="A129" t="str">
            <v>05353122</v>
          </cell>
          <cell r="B129" t="str">
            <v>Hitelek kamatai</v>
          </cell>
        </row>
        <row r="130">
          <cell r="A130" t="str">
            <v>05353123</v>
          </cell>
          <cell r="B130" t="str">
            <v>Pénzügyi lízing kiadások</v>
          </cell>
        </row>
        <row r="131">
          <cell r="A131" t="str">
            <v>05353129</v>
          </cell>
          <cell r="B131" t="str">
            <v>Államháztartáson kívüli egyéb kamatok</v>
          </cell>
        </row>
        <row r="132">
          <cell r="A132" t="str">
            <v>053531</v>
          </cell>
          <cell r="B132" t="str">
            <v>Kamatkiadások</v>
          </cell>
        </row>
        <row r="133">
          <cell r="A133" t="str">
            <v>0535411</v>
          </cell>
          <cell r="B133" t="str">
            <v>Árfolyamveszteség</v>
          </cell>
        </row>
        <row r="134">
          <cell r="A134" t="str">
            <v>0535419</v>
          </cell>
          <cell r="B134" t="str">
            <v>Egyéb különféle pénzügyi műveletek kiadásai</v>
          </cell>
        </row>
        <row r="135">
          <cell r="A135" t="str">
            <v>053541</v>
          </cell>
          <cell r="B135" t="str">
            <v>Egyéb pénzügyi műveletek kiadásai</v>
          </cell>
        </row>
        <row r="136">
          <cell r="A136" t="str">
            <v>0535511</v>
          </cell>
          <cell r="B136" t="str">
            <v>Adók, adójellegű befizetések</v>
          </cell>
        </row>
        <row r="137">
          <cell r="A137" t="str">
            <v>0535512</v>
          </cell>
          <cell r="B137" t="str">
            <v>Díjak, egyéb befizetések</v>
          </cell>
        </row>
        <row r="138">
          <cell r="A138" t="str">
            <v>0535513</v>
          </cell>
          <cell r="B138" t="str">
            <v>Késedelmi kamat, kötbér, egyéb kártérítés</v>
          </cell>
        </row>
        <row r="139">
          <cell r="A139" t="str">
            <v>0535519</v>
          </cell>
          <cell r="B139" t="str">
            <v>Egyéb különféle dologi kiadások</v>
          </cell>
        </row>
        <row r="140">
          <cell r="A140" t="str">
            <v>053551</v>
          </cell>
          <cell r="B140" t="str">
            <v>Egyéb dologi kiadások</v>
          </cell>
        </row>
        <row r="141">
          <cell r="A141" t="str">
            <v>0535</v>
          </cell>
          <cell r="B141" t="str">
            <v>Különféle befizetések, egyéb dologi kiadások</v>
          </cell>
        </row>
        <row r="142">
          <cell r="A142" t="str">
            <v>053</v>
          </cell>
          <cell r="B142" t="str">
            <v>Dologi kiadások összesen</v>
          </cell>
        </row>
        <row r="143">
          <cell r="A143">
            <v>0</v>
          </cell>
          <cell r="B143" t="str">
            <v>Működési kiadások összesen</v>
          </cell>
        </row>
        <row r="144">
          <cell r="A144" t="str">
            <v>056311</v>
          </cell>
          <cell r="B144" t="str">
            <v>Informatikai eszköz beszerzés</v>
          </cell>
        </row>
        <row r="145">
          <cell r="A145" t="str">
            <v>056411</v>
          </cell>
          <cell r="B145" t="str">
            <v>Egyéb eszköz beszerzés</v>
          </cell>
        </row>
        <row r="146">
          <cell r="A146" t="str">
            <v>056415</v>
          </cell>
          <cell r="B146" t="str">
            <v>Jármű beszerzés</v>
          </cell>
        </row>
        <row r="147">
          <cell r="A147" t="str">
            <v>05671</v>
          </cell>
          <cell r="B147" t="str">
            <v>Beruházás le nem vonható ÁFA</v>
          </cell>
        </row>
        <row r="148">
          <cell r="A148" t="str">
            <v>056</v>
          </cell>
          <cell r="B148" t="str">
            <v>Beruházások összesen</v>
          </cell>
        </row>
        <row r="149">
          <cell r="A149" t="str">
            <v>057211</v>
          </cell>
          <cell r="B149" t="str">
            <v>Informatikai eszköz felújítása</v>
          </cell>
        </row>
        <row r="150">
          <cell r="A150" t="str">
            <v>057311</v>
          </cell>
          <cell r="B150" t="str">
            <v>Egyéb eszköz felújítása</v>
          </cell>
        </row>
        <row r="151">
          <cell r="A151" t="str">
            <v>057315</v>
          </cell>
          <cell r="B151" t="str">
            <v>Jármű felújítása</v>
          </cell>
        </row>
        <row r="152">
          <cell r="A152" t="str">
            <v>05741</v>
          </cell>
          <cell r="B152" t="str">
            <v>Felújítás le nem vonfható ÁFA</v>
          </cell>
        </row>
        <row r="153">
          <cell r="A153" t="str">
            <v>057</v>
          </cell>
          <cell r="B153" t="str">
            <v>Felújítások összesen</v>
          </cell>
        </row>
        <row r="154">
          <cell r="A154">
            <v>0</v>
          </cell>
          <cell r="B154" t="str">
            <v>Felhalmozási kiadások összesen</v>
          </cell>
        </row>
        <row r="155">
          <cell r="A155">
            <v>0</v>
          </cell>
          <cell r="B155" t="str">
            <v>Kiadások mindösszesen</v>
          </cell>
        </row>
        <row r="157">
          <cell r="A157" t="str">
            <v>I.</v>
          </cell>
          <cell r="B157" t="str">
            <v>MŰKÖDÉSI KÖLTSÉGVETÉSI BEVÉTELEK</v>
          </cell>
        </row>
        <row r="158">
          <cell r="A158" t="str">
            <v>1.</v>
          </cell>
          <cell r="B158" t="str">
            <v>Működési célú támogatások államháztartáson belülről</v>
          </cell>
        </row>
        <row r="159">
          <cell r="A159">
            <v>0</v>
          </cell>
          <cell r="B159" t="str">
            <v>1.1. Egyéb működési célú támogatások bevételei államháztartáson belülről</v>
          </cell>
        </row>
        <row r="160">
          <cell r="A160" t="str">
            <v>1.</v>
          </cell>
          <cell r="B160" t="str">
            <v>Működési bevételek</v>
          </cell>
        </row>
        <row r="161">
          <cell r="A161">
            <v>0</v>
          </cell>
          <cell r="B161" t="str">
            <v>1.1. Készletértékesítés bevétele</v>
          </cell>
        </row>
        <row r="162">
          <cell r="A162">
            <v>0</v>
          </cell>
          <cell r="B162" t="str">
            <v>1.2. Szolgáltatások ellenértéke</v>
          </cell>
        </row>
        <row r="163">
          <cell r="A163">
            <v>0</v>
          </cell>
          <cell r="B163" t="str">
            <v>1.3. Tulajdonosi bevételek</v>
          </cell>
        </row>
        <row r="164">
          <cell r="A164">
            <v>0</v>
          </cell>
          <cell r="B164" t="str">
            <v>Egyéb bérleti díj</v>
          </cell>
        </row>
        <row r="165">
          <cell r="A165">
            <v>0</v>
          </cell>
          <cell r="B165" t="str">
            <v>1.4. Ellátási díjak</v>
          </cell>
        </row>
        <row r="166">
          <cell r="A166">
            <v>0</v>
          </cell>
          <cell r="B166" t="str">
            <v>1.5. Kiszámlázott általános forgalmi adó</v>
          </cell>
        </row>
        <row r="167">
          <cell r="A167">
            <v>0</v>
          </cell>
          <cell r="B167" t="str">
            <v>1.6. Általános forgalmi adó visszatérítése</v>
          </cell>
        </row>
        <row r="168">
          <cell r="A168">
            <v>0</v>
          </cell>
          <cell r="B168" t="str">
            <v>1.7. Kamatbevételek</v>
          </cell>
        </row>
        <row r="169">
          <cell r="A169">
            <v>0</v>
          </cell>
          <cell r="B169" t="str">
            <v>1.8. Egyéb működési bevételek</v>
          </cell>
        </row>
        <row r="170">
          <cell r="A170" t="str">
            <v>3.</v>
          </cell>
          <cell r="B170" t="str">
            <v>Működési célú átvett pénzeszközök</v>
          </cell>
        </row>
        <row r="171">
          <cell r="A171">
            <v>0</v>
          </cell>
          <cell r="B171" t="str">
            <v>3.1. Egyéb működési célú átvett pénzeszközök</v>
          </cell>
        </row>
      </sheetData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l"/>
      <sheetName val="0.Mérleg"/>
      <sheetName val="1A. Fő bev"/>
      <sheetName val="1B. Fő kiad"/>
      <sheetName val="1C Bev kiad fel"/>
      <sheetName val="2A Önk bev"/>
      <sheetName val="2B Önk kiad"/>
      <sheetName val="2C Önk bev kiad fel"/>
      <sheetName val="2D Céltartalék"/>
      <sheetName val="3A PH"/>
      <sheetName val="3B PH fel"/>
      <sheetName val="4A. VG bev kiad"/>
      <sheetName val="4B VG fel"/>
      <sheetName val="5A Walla"/>
      <sheetName val="5B Nyitnikék"/>
      <sheetName val="5C Bóbita"/>
      <sheetName val="5D MMMH"/>
      <sheetName val="5E Könyvtár"/>
      <sheetName val="5F Segítő Kéz"/>
      <sheetName val="5G GSZNR fel"/>
      <sheetName val="6. létszámkeret"/>
      <sheetName val="7. beruházás"/>
      <sheetName val="8. felújítás"/>
      <sheetName val="9. hitelállomány"/>
      <sheetName val="9. stab tv"/>
      <sheetName val="10. Uniós tám"/>
      <sheetName val="11. címrend"/>
      <sheetName val="SKSZ"/>
      <sheetName val="ph"/>
      <sheetName val="ÖK kiad"/>
      <sheetName val="VG"/>
      <sheetName val="Volf"/>
      <sheetName val="MMMH"/>
      <sheetName val="MMMH reszletes"/>
      <sheetName val="MMMH dologi"/>
      <sheetName val="MMMH bevetel"/>
      <sheetName val="Bóbita"/>
      <sheetName val="Nyitnikék"/>
      <sheetName val="Wal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C6">
            <v>0</v>
          </cell>
        </row>
        <row r="36">
          <cell r="D36">
            <v>2312651</v>
          </cell>
        </row>
      </sheetData>
      <sheetData sheetId="7" refreshError="1"/>
      <sheetData sheetId="8" refreshError="1">
        <row r="24">
          <cell r="D24">
            <v>304858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">
          <cell r="J6">
            <v>4630</v>
          </cell>
          <cell r="K6">
            <v>1250</v>
          </cell>
        </row>
        <row r="7">
          <cell r="J7">
            <v>39854</v>
          </cell>
          <cell r="K7">
            <v>10760</v>
          </cell>
        </row>
        <row r="8">
          <cell r="J8">
            <v>787</v>
          </cell>
          <cell r="K8">
            <v>213</v>
          </cell>
        </row>
        <row r="9">
          <cell r="J9">
            <v>27874</v>
          </cell>
          <cell r="K9">
            <v>7526</v>
          </cell>
        </row>
        <row r="10">
          <cell r="J10">
            <v>25984</v>
          </cell>
          <cell r="K10">
            <v>7016</v>
          </cell>
        </row>
        <row r="11">
          <cell r="J11">
            <v>56032</v>
          </cell>
          <cell r="K11">
            <v>15129</v>
          </cell>
        </row>
        <row r="12">
          <cell r="J12">
            <v>3307</v>
          </cell>
          <cell r="K12">
            <v>893</v>
          </cell>
        </row>
        <row r="13">
          <cell r="J13">
            <v>5079</v>
          </cell>
          <cell r="K13">
            <v>1371</v>
          </cell>
        </row>
        <row r="14">
          <cell r="J14">
            <v>138</v>
          </cell>
          <cell r="K14">
            <v>37</v>
          </cell>
        </row>
        <row r="15">
          <cell r="J15">
            <v>13216</v>
          </cell>
          <cell r="K15">
            <v>3568</v>
          </cell>
        </row>
        <row r="16">
          <cell r="J16">
            <v>26</v>
          </cell>
          <cell r="K16">
            <v>7</v>
          </cell>
        </row>
        <row r="17">
          <cell r="J17">
            <v>46831</v>
          </cell>
          <cell r="K17">
            <v>12644</v>
          </cell>
        </row>
        <row r="18">
          <cell r="J18">
            <v>350</v>
          </cell>
          <cell r="K18">
            <v>95</v>
          </cell>
        </row>
        <row r="19">
          <cell r="J19">
            <v>11811</v>
          </cell>
          <cell r="K19">
            <v>3189</v>
          </cell>
        </row>
        <row r="22">
          <cell r="J22">
            <v>20079</v>
          </cell>
          <cell r="K22">
            <v>5421</v>
          </cell>
        </row>
        <row r="23">
          <cell r="J23">
            <v>300</v>
          </cell>
          <cell r="K23">
            <v>81</v>
          </cell>
        </row>
        <row r="24">
          <cell r="J24">
            <v>31024</v>
          </cell>
          <cell r="K24">
            <v>8376</v>
          </cell>
        </row>
        <row r="25">
          <cell r="J25">
            <v>11811</v>
          </cell>
          <cell r="K25">
            <v>3189</v>
          </cell>
        </row>
        <row r="26">
          <cell r="J26">
            <v>3544</v>
          </cell>
          <cell r="K26">
            <v>957</v>
          </cell>
        </row>
        <row r="27">
          <cell r="J27">
            <v>3937</v>
          </cell>
          <cell r="K27">
            <v>1063</v>
          </cell>
        </row>
        <row r="28">
          <cell r="J28">
            <v>3937</v>
          </cell>
          <cell r="K28">
            <v>1063</v>
          </cell>
        </row>
      </sheetData>
      <sheetData sheetId="22" refreshError="1">
        <row r="6">
          <cell r="J6">
            <v>46494</v>
          </cell>
          <cell r="K6">
            <v>12553</v>
          </cell>
        </row>
        <row r="7">
          <cell r="J7">
            <v>16882</v>
          </cell>
          <cell r="K7">
            <v>4558</v>
          </cell>
        </row>
        <row r="8">
          <cell r="J8">
            <v>25984</v>
          </cell>
          <cell r="K8">
            <v>7016</v>
          </cell>
        </row>
        <row r="12">
          <cell r="J12">
            <v>1295</v>
          </cell>
          <cell r="K12">
            <v>350</v>
          </cell>
        </row>
        <row r="13">
          <cell r="J13">
            <v>7874</v>
          </cell>
          <cell r="K13">
            <v>2126</v>
          </cell>
        </row>
        <row r="14">
          <cell r="J14">
            <v>8661</v>
          </cell>
          <cell r="K14">
            <v>2339</v>
          </cell>
        </row>
        <row r="15">
          <cell r="J15">
            <v>1969</v>
          </cell>
          <cell r="K15">
            <v>531</v>
          </cell>
        </row>
        <row r="16">
          <cell r="J16">
            <v>1181</v>
          </cell>
          <cell r="K16">
            <v>319</v>
          </cell>
        </row>
        <row r="17">
          <cell r="J17">
            <v>2835</v>
          </cell>
          <cell r="K17">
            <v>765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">
          <cell r="A1" t="str">
            <v>Főkönyvi szám</v>
          </cell>
          <cell r="B1" t="str">
            <v>Megnevezés</v>
          </cell>
          <cell r="C1" t="str">
            <v>2015. évi előirányzat</v>
          </cell>
          <cell r="D1" t="str">
            <v>2016. évi előirányzat</v>
          </cell>
          <cell r="E1" t="str">
            <v>Óvodai étkeztetés 2015.</v>
          </cell>
          <cell r="F1" t="str">
            <v>Óvodai étkeztetés 2016.</v>
          </cell>
          <cell r="G1" t="str">
            <v>Óvodai nevelés 2015.</v>
          </cell>
          <cell r="H1" t="str">
            <v>Óvodai nevelés 2016.</v>
          </cell>
          <cell r="I1" t="str">
            <v>Közfoglal-koztatás</v>
          </cell>
        </row>
        <row r="2">
          <cell r="A2" t="str">
            <v>05110111</v>
          </cell>
          <cell r="B2" t="str">
            <v>Alapilletmények</v>
          </cell>
        </row>
        <row r="3">
          <cell r="A3" t="str">
            <v>05110112</v>
          </cell>
          <cell r="B3" t="str">
            <v>Illetménykiegészítések</v>
          </cell>
        </row>
        <row r="4">
          <cell r="A4" t="str">
            <v>05110113</v>
          </cell>
          <cell r="B4" t="str">
            <v>Nyelvpótlékok</v>
          </cell>
        </row>
        <row r="5">
          <cell r="A5" t="str">
            <v>05110114</v>
          </cell>
          <cell r="B5" t="str">
            <v>Egyéb kötelező pótlékok</v>
          </cell>
        </row>
        <row r="6">
          <cell r="A6" t="str">
            <v>05110115</v>
          </cell>
          <cell r="B6" t="str">
            <v>Egyéb feltételektől függő pótlékok és juttatások</v>
          </cell>
        </row>
        <row r="7">
          <cell r="A7" t="str">
            <v>05110119</v>
          </cell>
          <cell r="B7" t="str">
            <v>Egyéb juttatások</v>
          </cell>
        </row>
        <row r="8">
          <cell r="A8" t="str">
            <v>0511011</v>
          </cell>
          <cell r="B8" t="str">
            <v>Törvény szerinti illetmények, munkabérek</v>
          </cell>
        </row>
        <row r="9">
          <cell r="A9" t="str">
            <v>0511021</v>
          </cell>
          <cell r="B9" t="str">
            <v>Normatív jutalmak</v>
          </cell>
        </row>
        <row r="10">
          <cell r="A10" t="str">
            <v>0511031</v>
          </cell>
          <cell r="B10" t="str">
            <v>Céljuttatás, projektprémium</v>
          </cell>
        </row>
        <row r="11">
          <cell r="A11" t="str">
            <v>05110411</v>
          </cell>
          <cell r="B11" t="str">
            <v>Készenléti, ügyeleti, helyettesítési díj</v>
          </cell>
        </row>
        <row r="12">
          <cell r="A12" t="str">
            <v>05110412</v>
          </cell>
          <cell r="B12" t="str">
            <v>Túlóra, túlszolgálat</v>
          </cell>
        </row>
        <row r="13">
          <cell r="A13" t="str">
            <v>0511041</v>
          </cell>
          <cell r="B13" t="str">
            <v>Készenlét, ügyelet, helyettesítés, túlóra</v>
          </cell>
        </row>
        <row r="14">
          <cell r="A14" t="str">
            <v>0511051</v>
          </cell>
          <cell r="B14" t="str">
            <v>Végkielégítés</v>
          </cell>
        </row>
        <row r="15">
          <cell r="A15" t="str">
            <v>0511061</v>
          </cell>
          <cell r="B15" t="str">
            <v>Jubileumi jutalom</v>
          </cell>
        </row>
        <row r="16">
          <cell r="A16" t="str">
            <v>05110711</v>
          </cell>
          <cell r="B16" t="str">
            <v>Étkezési hozzájárulás</v>
          </cell>
        </row>
        <row r="17">
          <cell r="A17" t="str">
            <v>05110712</v>
          </cell>
          <cell r="B17" t="str">
            <v>Üdülési hozzájárulás</v>
          </cell>
        </row>
        <row r="18">
          <cell r="A18" t="str">
            <v>05110713</v>
          </cell>
          <cell r="B18" t="str">
            <v>Erzsébet-utalvány kiadásai</v>
          </cell>
        </row>
        <row r="19">
          <cell r="A19" t="str">
            <v>05110714</v>
          </cell>
          <cell r="B19" t="str">
            <v>Széchenyi Pihenő Kártya kiadásai</v>
          </cell>
        </row>
        <row r="20">
          <cell r="A20" t="str">
            <v>05110715</v>
          </cell>
          <cell r="B20" t="str">
            <v>Iskolakezdési támogatás</v>
          </cell>
        </row>
        <row r="21">
          <cell r="A21" t="str">
            <v>05110716</v>
          </cell>
          <cell r="B21" t="str">
            <v>Önkéntes biztosító pénztárakba befizetés</v>
          </cell>
        </row>
        <row r="22">
          <cell r="A22" t="str">
            <v>05110719</v>
          </cell>
          <cell r="B22" t="str">
            <v>Egyéb béren kívüli juttatások</v>
          </cell>
        </row>
        <row r="23">
          <cell r="A23" t="str">
            <v>0511071</v>
          </cell>
          <cell r="B23" t="str">
            <v>Béren kívüli juttatások</v>
          </cell>
        </row>
        <row r="24">
          <cell r="A24" t="str">
            <v>0511081</v>
          </cell>
          <cell r="B24" t="str">
            <v>Ruházati költségtérítés</v>
          </cell>
        </row>
        <row r="25">
          <cell r="A25" t="str">
            <v>0511091</v>
          </cell>
          <cell r="B25" t="str">
            <v>Közlekedési költségtérítés</v>
          </cell>
        </row>
        <row r="26">
          <cell r="A26" t="str">
            <v>0511101</v>
          </cell>
          <cell r="B26" t="str">
            <v>Egyéb költségtérítések</v>
          </cell>
        </row>
        <row r="27">
          <cell r="A27" t="str">
            <v>05111111</v>
          </cell>
          <cell r="B27" t="str">
            <v>Albérleti díj hozzájárulás</v>
          </cell>
        </row>
        <row r="28">
          <cell r="A28" t="str">
            <v>05111112</v>
          </cell>
          <cell r="B28" t="str">
            <v>Családalapítási támogatás</v>
          </cell>
        </row>
        <row r="29">
          <cell r="A29" t="str">
            <v>0511111</v>
          </cell>
          <cell r="B29" t="str">
            <v>Lakhatási támogatások</v>
          </cell>
        </row>
        <row r="30">
          <cell r="A30" t="str">
            <v>0511121</v>
          </cell>
          <cell r="B30" t="str">
            <v>Szociális támogatások</v>
          </cell>
        </row>
        <row r="31">
          <cell r="A31" t="str">
            <v>05111311</v>
          </cell>
          <cell r="B31" t="str">
            <v>Belföldi napidíj</v>
          </cell>
        </row>
        <row r="32">
          <cell r="A32" t="str">
            <v>05111312</v>
          </cell>
          <cell r="B32" t="str">
            <v>Külföldi napidíj</v>
          </cell>
        </row>
        <row r="33">
          <cell r="A33" t="str">
            <v>05111313</v>
          </cell>
          <cell r="B33" t="str">
            <v>Biztosítási díjak</v>
          </cell>
        </row>
        <row r="34">
          <cell r="A34" t="str">
            <v>05111314</v>
          </cell>
          <cell r="B34" t="str">
            <v>Kereset-kiegészítés fedezete</v>
          </cell>
        </row>
        <row r="35">
          <cell r="A35" t="str">
            <v>05111315</v>
          </cell>
          <cell r="B35" t="str">
            <v>Munkáltatói kártérítés egyéb kiegészítések</v>
          </cell>
        </row>
        <row r="36">
          <cell r="A36" t="str">
            <v>05111319</v>
          </cell>
          <cell r="B36" t="str">
            <v>Egyéb sajátos juttatások</v>
          </cell>
        </row>
        <row r="37">
          <cell r="A37" t="str">
            <v>0511131</v>
          </cell>
          <cell r="B37" t="str">
            <v>foglalkoztatottak egyéb személyi juttatásai</v>
          </cell>
        </row>
        <row r="38">
          <cell r="A38" t="str">
            <v>0511</v>
          </cell>
          <cell r="B38" t="str">
            <v>Foglalkoztatottak személyi juttatásai</v>
          </cell>
        </row>
        <row r="39">
          <cell r="A39" t="str">
            <v>0512113</v>
          </cell>
          <cell r="B39" t="str">
            <v>Képviselők, polgármesterek juttatásai</v>
          </cell>
        </row>
        <row r="40">
          <cell r="A40" t="str">
            <v>0512119</v>
          </cell>
          <cell r="B40" t="str">
            <v>Egyéb választott tisztségviselők juttatásai</v>
          </cell>
        </row>
        <row r="41">
          <cell r="A41" t="str">
            <v>051211</v>
          </cell>
          <cell r="B41" t="str">
            <v>Választott tisztviselők juttatásai</v>
          </cell>
        </row>
        <row r="42">
          <cell r="A42" t="str">
            <v>0512211</v>
          </cell>
          <cell r="B42" t="str">
            <v>Állományba nem tartozók megbízási díja</v>
          </cell>
        </row>
        <row r="43">
          <cell r="A43" t="str">
            <v>0512212</v>
          </cell>
          <cell r="B43" t="str">
            <v>Tiszteletdíj, szerzői díj, honorárium</v>
          </cell>
        </row>
        <row r="44">
          <cell r="A44" t="str">
            <v>051221</v>
          </cell>
          <cell r="B44" t="str">
            <v>Nem saját foglalkoztatottnak fizetett juttatás</v>
          </cell>
        </row>
        <row r="45">
          <cell r="A45" t="str">
            <v>0512311</v>
          </cell>
          <cell r="B45" t="str">
            <v>Prémiumévek program résztvevőinek juttatása</v>
          </cell>
        </row>
        <row r="46">
          <cell r="A46" t="str">
            <v>0512312</v>
          </cell>
          <cell r="B46" t="str">
            <v>Egyszerűsített fogl. alá tartozó mváll. juttatásai</v>
          </cell>
        </row>
        <row r="47">
          <cell r="A47" t="str">
            <v>0512314</v>
          </cell>
          <cell r="B47" t="str">
            <v>További munkaviszonyt létesítők juttatásai</v>
          </cell>
        </row>
        <row r="48">
          <cell r="A48" t="str">
            <v>0512315</v>
          </cell>
          <cell r="B48" t="str">
            <v>Felmentett munkavállalók egyéb juttatásai</v>
          </cell>
        </row>
        <row r="49">
          <cell r="A49" t="str">
            <v>0512316</v>
          </cell>
          <cell r="B49" t="str">
            <v>Adományozott kitüntetések, díjak, pénzjutalmak</v>
          </cell>
        </row>
        <row r="50">
          <cell r="A50" t="str">
            <v>0512318</v>
          </cell>
          <cell r="B50" t="str">
            <v>Reprezentációs kiadások</v>
          </cell>
        </row>
        <row r="51">
          <cell r="A51" t="str">
            <v>0512319</v>
          </cell>
          <cell r="B51" t="str">
            <v>Egyéb külső személyi juttatások</v>
          </cell>
        </row>
        <row r="52">
          <cell r="A52" t="str">
            <v>051231</v>
          </cell>
          <cell r="B52" t="str">
            <v>Egyéb külső személyi juttatások összesen</v>
          </cell>
        </row>
        <row r="53">
          <cell r="A53" t="str">
            <v>0512</v>
          </cell>
          <cell r="B53" t="str">
            <v>Külső személyi juttatások</v>
          </cell>
        </row>
        <row r="54">
          <cell r="A54" t="str">
            <v>051</v>
          </cell>
          <cell r="B54" t="str">
            <v>Személyi juttatások összesen</v>
          </cell>
        </row>
        <row r="55">
          <cell r="A55" t="str">
            <v>05211</v>
          </cell>
          <cell r="B55" t="str">
            <v>Szociális hozzájárulási adó</v>
          </cell>
        </row>
        <row r="56">
          <cell r="A56" t="str">
            <v>05212</v>
          </cell>
          <cell r="B56" t="str">
            <v>EKHO</v>
          </cell>
        </row>
        <row r="57">
          <cell r="A57" t="str">
            <v>05213</v>
          </cell>
          <cell r="B57" t="str">
            <v>Egészségügyi hozzájárulás</v>
          </cell>
        </row>
        <row r="58">
          <cell r="A58" t="str">
            <v>05214</v>
          </cell>
          <cell r="B58" t="str">
            <v>Táppénz hozzájárulás</v>
          </cell>
        </row>
        <row r="59">
          <cell r="A59" t="str">
            <v>05215</v>
          </cell>
          <cell r="B59" t="str">
            <v>Korkedvezmény-biztosítási járulék</v>
          </cell>
        </row>
        <row r="60">
          <cell r="A60" t="str">
            <v>05216</v>
          </cell>
          <cell r="B60" t="str">
            <v>Rehabilitációs hozzájárulás</v>
          </cell>
        </row>
        <row r="61">
          <cell r="A61" t="str">
            <v>05217</v>
          </cell>
          <cell r="B61" t="str">
            <v>Munkáltatót terhelő SZJA</v>
          </cell>
        </row>
        <row r="62">
          <cell r="A62" t="str">
            <v>05219</v>
          </cell>
          <cell r="B62" t="str">
            <v>Egyéb munkaadókat terhelő járulékok</v>
          </cell>
        </row>
        <row r="63">
          <cell r="A63" t="str">
            <v>052</v>
          </cell>
          <cell r="B63" t="str">
            <v>Munkaadókat terhelő járulékok összesen</v>
          </cell>
        </row>
        <row r="64">
          <cell r="A64" t="str">
            <v>0531111</v>
          </cell>
          <cell r="B64" t="str">
            <v>Gyógyszerbeszerzés</v>
          </cell>
        </row>
        <row r="65">
          <cell r="A65" t="str">
            <v>0531112</v>
          </cell>
          <cell r="B65" t="str">
            <v>Vegyszerbeszerzés</v>
          </cell>
        </row>
        <row r="66">
          <cell r="A66" t="str">
            <v>0531113</v>
          </cell>
          <cell r="B66" t="str">
            <v>Könyvbeszerzés</v>
          </cell>
        </row>
        <row r="67">
          <cell r="A67" t="str">
            <v>0531114</v>
          </cell>
          <cell r="B67" t="str">
            <v>Folyóirat-beszerzés</v>
          </cell>
        </row>
        <row r="68">
          <cell r="A68" t="str">
            <v>0531115</v>
          </cell>
          <cell r="B68" t="str">
            <v>Egyéb információhordozó-beszerzés</v>
          </cell>
        </row>
        <row r="69">
          <cell r="A69" t="str">
            <v>0531119</v>
          </cell>
          <cell r="B69" t="str">
            <v>Egyéb szakmai anyagbeszerzés</v>
          </cell>
        </row>
        <row r="70">
          <cell r="A70" t="str">
            <v>053111</v>
          </cell>
          <cell r="B70" t="str">
            <v>Szakmai anyagok beszerzése összesen</v>
          </cell>
        </row>
        <row r="71">
          <cell r="A71" t="str">
            <v>0531211</v>
          </cell>
          <cell r="B71" t="str">
            <v>Élelmiszer-beszerzés</v>
          </cell>
        </row>
        <row r="72">
          <cell r="A72" t="str">
            <v>0531212</v>
          </cell>
          <cell r="B72" t="str">
            <v>Irodaszer-, nyomtatványbeszerzés</v>
          </cell>
        </row>
        <row r="73">
          <cell r="A73" t="str">
            <v>0531213</v>
          </cell>
          <cell r="B73" t="str">
            <v>Tüzelőanyag-beszerzés</v>
          </cell>
        </row>
        <row r="74">
          <cell r="A74" t="str">
            <v>0531214</v>
          </cell>
          <cell r="B74" t="str">
            <v>Hajtó- és kenőanyag-beszerzés</v>
          </cell>
        </row>
        <row r="75">
          <cell r="A75" t="str">
            <v>0531215</v>
          </cell>
          <cell r="B75" t="str">
            <v>Munkaruha, védőruha, formaruha, egyenruha</v>
          </cell>
        </row>
        <row r="76">
          <cell r="A76" t="str">
            <v>0531219</v>
          </cell>
          <cell r="B76" t="str">
            <v>Egyéb üzemeltetési, fenntartási anyagbeszerzés</v>
          </cell>
        </row>
        <row r="77">
          <cell r="A77" t="str">
            <v>053121</v>
          </cell>
          <cell r="B77" t="str">
            <v>Üzemeltetési anyagok beszerzése összesen</v>
          </cell>
        </row>
        <row r="78">
          <cell r="A78" t="str">
            <v>0531311</v>
          </cell>
          <cell r="B78" t="str">
            <v>Árubeszerzés</v>
          </cell>
        </row>
        <row r="79">
          <cell r="A79" t="str">
            <v>0531312</v>
          </cell>
          <cell r="B79" t="str">
            <v>Göngyölegbeszerzés</v>
          </cell>
        </row>
        <row r="80">
          <cell r="A80" t="str">
            <v>053131</v>
          </cell>
          <cell r="B80" t="str">
            <v>Árubeszerzés összesen</v>
          </cell>
        </row>
        <row r="81">
          <cell r="A81" t="str">
            <v>0531</v>
          </cell>
          <cell r="B81" t="str">
            <v>Készletbeszerzés összesen</v>
          </cell>
        </row>
        <row r="82">
          <cell r="A82" t="str">
            <v>0532111</v>
          </cell>
          <cell r="B82" t="str">
            <v>Informatika tanácsadás, üzembe helyezés</v>
          </cell>
        </row>
        <row r="83">
          <cell r="A83" t="str">
            <v>0532112</v>
          </cell>
          <cell r="B83" t="str">
            <v>Informatikai szolgáltatások</v>
          </cell>
        </row>
        <row r="84">
          <cell r="A84" t="str">
            <v>0532113</v>
          </cell>
          <cell r="B84" t="str">
            <v>Informatikai eszköz, szolg. bérlés, lízing</v>
          </cell>
        </row>
        <row r="85">
          <cell r="A85" t="str">
            <v>0532114</v>
          </cell>
          <cell r="B85" t="str">
            <v>Informatikai eszközök karbantartása</v>
          </cell>
        </row>
        <row r="86">
          <cell r="A86" t="str">
            <v>0532115</v>
          </cell>
          <cell r="B86" t="str">
            <v>Adatátviteli célú távközlési díjak</v>
          </cell>
        </row>
        <row r="87">
          <cell r="A87" t="str">
            <v>0532119</v>
          </cell>
          <cell r="B87" t="str">
            <v>Egyéb informatikai szolgáltatás</v>
          </cell>
        </row>
        <row r="88">
          <cell r="A88" t="str">
            <v>053211</v>
          </cell>
          <cell r="B88" t="str">
            <v>Informatikai szolgáltatások igénybevétele</v>
          </cell>
        </row>
        <row r="89">
          <cell r="A89" t="str">
            <v>0532211</v>
          </cell>
          <cell r="B89" t="str">
            <v>Nem adatátviteli célú távközlési díjak</v>
          </cell>
        </row>
        <row r="90">
          <cell r="A90" t="str">
            <v>0532219</v>
          </cell>
          <cell r="B90" t="str">
            <v>Egyéb kommunikációs szolgáltatások</v>
          </cell>
        </row>
        <row r="91">
          <cell r="A91" t="str">
            <v>053221</v>
          </cell>
          <cell r="B91" t="str">
            <v>Egyéb kommunilációs szolgáltatás összesen</v>
          </cell>
        </row>
        <row r="92">
          <cell r="A92" t="str">
            <v>0532</v>
          </cell>
          <cell r="B92" t="str">
            <v>Kommunikációs szolgáltatások összesen</v>
          </cell>
        </row>
        <row r="93">
          <cell r="A93" t="str">
            <v>0533111</v>
          </cell>
          <cell r="B93" t="str">
            <v>Villamosenergia-szolgáltatási díjak</v>
          </cell>
        </row>
        <row r="94">
          <cell r="A94" t="str">
            <v>0533112</v>
          </cell>
          <cell r="B94" t="str">
            <v>Gázenergia-szolgáltatási díjak</v>
          </cell>
        </row>
        <row r="95">
          <cell r="A95" t="str">
            <v>0533113</v>
          </cell>
          <cell r="B95" t="str">
            <v>Távkő- és melegvíz-szolgáltatási díjak</v>
          </cell>
        </row>
        <row r="96">
          <cell r="A96" t="str">
            <v>0533114</v>
          </cell>
          <cell r="B96" t="str">
            <v>Víz- és csatornadíjak</v>
          </cell>
        </row>
        <row r="97">
          <cell r="A97" t="str">
            <v>053311</v>
          </cell>
          <cell r="B97" t="str">
            <v>Közüzemi díjak összesen</v>
          </cell>
        </row>
        <row r="98">
          <cell r="A98" t="str">
            <v>053321</v>
          </cell>
          <cell r="B98" t="str">
            <v>Vásárolt élelmezés</v>
          </cell>
        </row>
        <row r="99">
          <cell r="A99" t="str">
            <v>0533311</v>
          </cell>
          <cell r="B99" t="str">
            <v>PPP konstrukcióhoz kapcs. szolgáltatási díjak</v>
          </cell>
        </row>
        <row r="100">
          <cell r="A100" t="str">
            <v>0533312</v>
          </cell>
          <cell r="B100" t="str">
            <v>Egyéb bérleti és lízing díjak</v>
          </cell>
        </row>
        <row r="101">
          <cell r="A101">
            <v>53331</v>
          </cell>
          <cell r="B101" t="str">
            <v>Bérleti és lízing díjak összesen</v>
          </cell>
        </row>
        <row r="102">
          <cell r="A102" t="str">
            <v>053341</v>
          </cell>
          <cell r="B102" t="str">
            <v>Karbantartási, kisjavítási szolgáltatások</v>
          </cell>
        </row>
        <row r="103">
          <cell r="A103" t="str">
            <v>0533511</v>
          </cell>
          <cell r="B103" t="str">
            <v>Államháztartáson belüli közvetített szolgáltatások</v>
          </cell>
        </row>
        <row r="104">
          <cell r="A104" t="str">
            <v>0533512</v>
          </cell>
          <cell r="B104" t="str">
            <v>Államháztartáson kívüli közvetített szolgáltatások</v>
          </cell>
        </row>
        <row r="105">
          <cell r="A105" t="str">
            <v>053351</v>
          </cell>
          <cell r="B105" t="str">
            <v>Közvetített szolgáltatások összesen</v>
          </cell>
        </row>
        <row r="106">
          <cell r="A106" t="str">
            <v>0533611</v>
          </cell>
          <cell r="B106" t="str">
            <v>Vásárolt közszolgáltatások</v>
          </cell>
        </row>
        <row r="107">
          <cell r="A107" t="str">
            <v>0533612</v>
          </cell>
          <cell r="B107" t="str">
            <v>Számlázott szellemi tevékenység</v>
          </cell>
        </row>
        <row r="108">
          <cell r="A108" t="str">
            <v>0533619</v>
          </cell>
          <cell r="B108" t="str">
            <v>Egyéb szakmai szolgáltatások</v>
          </cell>
        </row>
        <row r="109">
          <cell r="A109" t="str">
            <v>053361</v>
          </cell>
          <cell r="B109" t="str">
            <v>Szakmai tevékenységet segítő szolg összesen</v>
          </cell>
        </row>
        <row r="110">
          <cell r="A110" t="str">
            <v>0533711</v>
          </cell>
          <cell r="B110" t="str">
            <v>Biztosítási szolgáltatási díjak</v>
          </cell>
        </row>
        <row r="111">
          <cell r="A111" t="str">
            <v>0533712</v>
          </cell>
          <cell r="B111" t="str">
            <v>Pénzügyi szolgáltatási díjak</v>
          </cell>
        </row>
        <row r="112">
          <cell r="A112" t="str">
            <v>0533713</v>
          </cell>
          <cell r="B112" t="str">
            <v>Szállítási szolgáltatási díjak</v>
          </cell>
        </row>
        <row r="113">
          <cell r="A113" t="str">
            <v>0533719</v>
          </cell>
          <cell r="B113" t="str">
            <v>Egyéb üzemeltetési, fenntartási szolgáltatások</v>
          </cell>
        </row>
        <row r="114">
          <cell r="A114" t="str">
            <v>053371</v>
          </cell>
          <cell r="B114" t="str">
            <v>Egyéb szolgáltatások összesen</v>
          </cell>
        </row>
        <row r="115">
          <cell r="A115" t="str">
            <v>0533</v>
          </cell>
          <cell r="B115" t="str">
            <v>Szolgáltatási kiadások összesen</v>
          </cell>
        </row>
        <row r="116">
          <cell r="A116" t="str">
            <v>0534111</v>
          </cell>
          <cell r="B116" t="str">
            <v>Belföldi kiküldetések kiadásai</v>
          </cell>
        </row>
        <row r="117">
          <cell r="A117" t="str">
            <v>0534112</v>
          </cell>
          <cell r="B117" t="str">
            <v>Külföldi kiküldetések kiadásai</v>
          </cell>
        </row>
        <row r="118">
          <cell r="A118" t="str">
            <v>053411</v>
          </cell>
          <cell r="B118" t="str">
            <v>Kiküldetések kiadásai összesen</v>
          </cell>
        </row>
        <row r="119">
          <cell r="A119" t="str">
            <v>053421</v>
          </cell>
          <cell r="B119" t="str">
            <v>Reklám- és propagandakiadások</v>
          </cell>
        </row>
        <row r="120">
          <cell r="A120" t="str">
            <v>0534</v>
          </cell>
          <cell r="B120" t="str">
            <v>Kiküldetés, reklám, propaganda összesen</v>
          </cell>
        </row>
        <row r="121">
          <cell r="A121" t="str">
            <v>0535111</v>
          </cell>
          <cell r="B121" t="str">
            <v>Működési célú felszámított, levonható ÁFA</v>
          </cell>
        </row>
        <row r="122">
          <cell r="A122" t="str">
            <v>0535112</v>
          </cell>
          <cell r="B122" t="str">
            <v>Működési célú felszámított le nem vonható ÁFA</v>
          </cell>
        </row>
        <row r="123">
          <cell r="A123" t="str">
            <v>053511</v>
          </cell>
          <cell r="B123" t="str">
            <v>Működési célú áfa összesen</v>
          </cell>
        </row>
        <row r="124">
          <cell r="A124" t="str">
            <v>0535211</v>
          </cell>
          <cell r="B124" t="str">
            <v>ÁFA befizetés</v>
          </cell>
        </row>
        <row r="125">
          <cell r="A125" t="str">
            <v>0535212</v>
          </cell>
          <cell r="B125" t="str">
            <v>Ért tárgyi eszk. Immat. javak egyenes ÁFA befiz</v>
          </cell>
        </row>
        <row r="126">
          <cell r="A126" t="str">
            <v>0535213</v>
          </cell>
          <cell r="B126" t="str">
            <v>Fordított ÁFA befizetés</v>
          </cell>
        </row>
        <row r="127">
          <cell r="A127" t="str">
            <v>053521</v>
          </cell>
          <cell r="B127" t="str">
            <v>Fizetendő áfa összesen</v>
          </cell>
        </row>
        <row r="128">
          <cell r="A128" t="str">
            <v>05353119</v>
          </cell>
          <cell r="B128" t="str">
            <v>Államháztartáson belüli egyéb kamat</v>
          </cell>
        </row>
        <row r="129">
          <cell r="A129" t="str">
            <v>05353122</v>
          </cell>
          <cell r="B129" t="str">
            <v>Hitelek kamatai</v>
          </cell>
        </row>
        <row r="130">
          <cell r="A130" t="str">
            <v>05353123</v>
          </cell>
          <cell r="B130" t="str">
            <v>Pénzügyi lízing kiadások</v>
          </cell>
        </row>
        <row r="131">
          <cell r="A131" t="str">
            <v>05353129</v>
          </cell>
          <cell r="B131" t="str">
            <v>Államháztartáson kívüli egyéb kamatok</v>
          </cell>
        </row>
        <row r="132">
          <cell r="A132" t="str">
            <v>053531</v>
          </cell>
          <cell r="B132" t="str">
            <v>Kamatkiadások</v>
          </cell>
        </row>
        <row r="133">
          <cell r="A133" t="str">
            <v>0535411</v>
          </cell>
          <cell r="B133" t="str">
            <v>Árfolyamveszteség</v>
          </cell>
        </row>
        <row r="134">
          <cell r="A134" t="str">
            <v>0535419</v>
          </cell>
          <cell r="B134" t="str">
            <v>Egyéb különféle pénzügyi műveletek kiadásai</v>
          </cell>
        </row>
        <row r="135">
          <cell r="A135" t="str">
            <v>053541</v>
          </cell>
          <cell r="B135" t="str">
            <v>Egyéb pénzügyi műveletek kiadásai</v>
          </cell>
        </row>
        <row r="136">
          <cell r="A136" t="str">
            <v>0535511</v>
          </cell>
          <cell r="B136" t="str">
            <v>Adók, adójellegű befizetések</v>
          </cell>
        </row>
        <row r="137">
          <cell r="A137" t="str">
            <v>0535512</v>
          </cell>
          <cell r="B137" t="str">
            <v>Díjak, egyéb befizetések</v>
          </cell>
        </row>
        <row r="138">
          <cell r="A138" t="str">
            <v>0535513</v>
          </cell>
          <cell r="B138" t="str">
            <v>Késedelmi kamat, kötbér, egyéb kártérítés</v>
          </cell>
        </row>
        <row r="139">
          <cell r="A139" t="str">
            <v>0535519</v>
          </cell>
          <cell r="B139" t="str">
            <v>Egyéb különféle dologi kiadások</v>
          </cell>
        </row>
        <row r="140">
          <cell r="A140" t="str">
            <v>053551</v>
          </cell>
          <cell r="B140" t="str">
            <v>Egyéb dologi kiadások</v>
          </cell>
        </row>
        <row r="141">
          <cell r="A141" t="str">
            <v>0535</v>
          </cell>
          <cell r="B141" t="str">
            <v>Különféle befizetések, egyéb dologi kiadások</v>
          </cell>
        </row>
        <row r="142">
          <cell r="A142" t="str">
            <v>053</v>
          </cell>
          <cell r="B142" t="str">
            <v>Dologi kiadások összesen</v>
          </cell>
        </row>
        <row r="143">
          <cell r="B143" t="str">
            <v>Működési kiadások összesen</v>
          </cell>
        </row>
        <row r="144">
          <cell r="A144" t="str">
            <v>056311</v>
          </cell>
          <cell r="B144" t="str">
            <v>Informatikai eszköz beszerzés</v>
          </cell>
        </row>
        <row r="145">
          <cell r="A145" t="str">
            <v>056411</v>
          </cell>
          <cell r="B145" t="str">
            <v>Egyéb eszköz beszerzés</v>
          </cell>
        </row>
        <row r="146">
          <cell r="A146" t="str">
            <v>056415</v>
          </cell>
          <cell r="B146" t="str">
            <v>Jármű beszerzés</v>
          </cell>
        </row>
        <row r="147">
          <cell r="A147" t="str">
            <v>05671</v>
          </cell>
          <cell r="B147" t="str">
            <v>Beruházás le nem vonható ÁFA</v>
          </cell>
        </row>
        <row r="148">
          <cell r="A148" t="str">
            <v>056</v>
          </cell>
          <cell r="B148" t="str">
            <v>Beruházások összesen</v>
          </cell>
        </row>
        <row r="149">
          <cell r="A149" t="str">
            <v>057211</v>
          </cell>
          <cell r="B149" t="str">
            <v>Informatikai eszköz felújítása</v>
          </cell>
        </row>
        <row r="150">
          <cell r="A150" t="str">
            <v>057311</v>
          </cell>
          <cell r="B150" t="str">
            <v>Egyéb eszköz felújítása</v>
          </cell>
        </row>
        <row r="151">
          <cell r="A151" t="str">
            <v>057315</v>
          </cell>
          <cell r="B151" t="str">
            <v>Jármű felújítása</v>
          </cell>
        </row>
        <row r="152">
          <cell r="A152" t="str">
            <v>05741</v>
          </cell>
          <cell r="B152" t="str">
            <v>Felújítás le nem vonfható ÁFA</v>
          </cell>
        </row>
        <row r="153">
          <cell r="A153" t="str">
            <v>057</v>
          </cell>
          <cell r="B153" t="str">
            <v>Felújítások összesen</v>
          </cell>
        </row>
        <row r="154">
          <cell r="B154" t="str">
            <v>Felhalmozási kiadások összesen</v>
          </cell>
        </row>
        <row r="155">
          <cell r="B155" t="str">
            <v>Kiadások mindösszesen</v>
          </cell>
        </row>
        <row r="157">
          <cell r="A157" t="str">
            <v>I.</v>
          </cell>
          <cell r="B157" t="str">
            <v>MŰKÖDÉSI KÖLTSÉGVETÉSI BEVÉTELEK</v>
          </cell>
        </row>
        <row r="158">
          <cell r="A158" t="str">
            <v>1.</v>
          </cell>
          <cell r="B158" t="str">
            <v>Működési célú támogatások államháztartáson belülről</v>
          </cell>
        </row>
        <row r="159">
          <cell r="B159" t="str">
            <v>1.1. Egyéb működési célú támogatások bevételei államháztartáson belülről</v>
          </cell>
        </row>
        <row r="160">
          <cell r="A160" t="str">
            <v>1.</v>
          </cell>
          <cell r="B160" t="str">
            <v>Működési bevételek</v>
          </cell>
        </row>
        <row r="161">
          <cell r="B161" t="str">
            <v>1.1. Készletértékesítés bevétele</v>
          </cell>
        </row>
        <row r="162">
          <cell r="B162" t="str">
            <v>1.2. Szolgáltatások ellenértéke</v>
          </cell>
        </row>
        <row r="163">
          <cell r="B163" t="str">
            <v>1.3. Tulajdonosi bevételek</v>
          </cell>
        </row>
        <row r="164">
          <cell r="B164" t="str">
            <v>Egyéb bérleti díj</v>
          </cell>
        </row>
        <row r="165">
          <cell r="B165" t="str">
            <v>1.4. Ellátási díjak</v>
          </cell>
        </row>
        <row r="166">
          <cell r="B166" t="str">
            <v>1.5. Kiszámlázott általános forgalmi adó</v>
          </cell>
        </row>
        <row r="167">
          <cell r="B167" t="str">
            <v>1.6. Általános forgalmi adó visszatérítése</v>
          </cell>
        </row>
        <row r="168">
          <cell r="B168" t="str">
            <v>1.7. Kamatbevételek</v>
          </cell>
        </row>
        <row r="169">
          <cell r="B169" t="str">
            <v>1.8. Egyéb működési bevételek</v>
          </cell>
        </row>
        <row r="170">
          <cell r="A170" t="str">
            <v>3.</v>
          </cell>
          <cell r="B170" t="str">
            <v>Működési célú átvett pénzeszközök</v>
          </cell>
        </row>
        <row r="171">
          <cell r="B171" t="str">
            <v>3.1. Egyéb működési célú átvett pénzeszközök</v>
          </cell>
        </row>
      </sheetData>
      <sheetData sheetId="37" refreshError="1"/>
      <sheetData sheetId="3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volosin.katalin" id="{19641489-702A-4202-A105-B776388FF91B}" userId="S::volosin.katalin@torokbalint.hu::6ff51c57-9812-47af-a7d5-f8c469a17bba" providerId="AD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05" dT="2021-01-26T11:47:58.72" personId="{19641489-702A-4202-A105-B776388FF91B}" id="{8DEFB137-9B42-40FD-9E3F-EC9500D38D04}">
    <text>Bölcsőde pályázati forrása 400 MFt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showGridLines="0" topLeftCell="A13" zoomScale="75" zoomScaleNormal="75" workbookViewId="0">
      <selection activeCell="F24" sqref="F24"/>
    </sheetView>
  </sheetViews>
  <sheetFormatPr defaultRowHeight="14.5" x14ac:dyDescent="0.35"/>
  <cols>
    <col min="1" max="1" width="80.7265625" customWidth="1"/>
    <col min="2" max="2" width="31.1796875" customWidth="1"/>
  </cols>
  <sheetData>
    <row r="1" spans="1:2" ht="53.65" customHeight="1" x14ac:dyDescent="0.7">
      <c r="A1" s="1062" t="s">
        <v>1016</v>
      </c>
      <c r="B1" s="1062"/>
    </row>
    <row r="2" spans="1:2" ht="31" x14ac:dyDescent="0.7">
      <c r="A2" s="150" t="s">
        <v>578</v>
      </c>
      <c r="B2" s="151">
        <f>'0.Mérleg'!C9</f>
        <v>359025780</v>
      </c>
    </row>
    <row r="3" spans="1:2" ht="62" x14ac:dyDescent="0.35">
      <c r="A3" s="373" t="s">
        <v>1287</v>
      </c>
      <c r="B3" s="374" t="e">
        <f>B2-'2.4 melléklet'!#REF!</f>
        <v>#REF!</v>
      </c>
    </row>
    <row r="4" spans="1:2" ht="31" x14ac:dyDescent="0.7">
      <c r="A4" s="152" t="s">
        <v>579</v>
      </c>
      <c r="B4" s="153">
        <f>'0.Mérleg'!I9</f>
        <v>0</v>
      </c>
    </row>
    <row r="5" spans="1:2" ht="63" customHeight="1" x14ac:dyDescent="0.7">
      <c r="A5" s="1062" t="s">
        <v>1017</v>
      </c>
      <c r="B5" s="1062"/>
    </row>
    <row r="6" spans="1:2" ht="31" x14ac:dyDescent="0.7">
      <c r="A6" s="154" t="s">
        <v>581</v>
      </c>
      <c r="B6" s="155">
        <f>'0.Mérleg'!C14</f>
        <v>1069831078</v>
      </c>
    </row>
    <row r="7" spans="1:2" ht="31" x14ac:dyDescent="0.7">
      <c r="A7" s="156" t="s">
        <v>582</v>
      </c>
      <c r="B7" s="157">
        <f>'0.Mérleg'!I14</f>
        <v>0</v>
      </c>
    </row>
    <row r="8" spans="1:2" ht="60.75" customHeight="1" x14ac:dyDescent="0.7">
      <c r="A8" s="1062" t="s">
        <v>1018</v>
      </c>
      <c r="B8" s="1062"/>
    </row>
    <row r="9" spans="1:2" ht="31" x14ac:dyDescent="0.7">
      <c r="A9" s="154" t="s">
        <v>1014</v>
      </c>
      <c r="B9" s="155">
        <f>'0.Mérleg'!C16</f>
        <v>1428856858</v>
      </c>
    </row>
    <row r="10" spans="1:2" ht="31" x14ac:dyDescent="0.7">
      <c r="A10" s="156" t="s">
        <v>1015</v>
      </c>
      <c r="B10" s="157">
        <f>'0.Mérleg'!I16</f>
        <v>0</v>
      </c>
    </row>
    <row r="11" spans="1:2" ht="53.65" customHeight="1" x14ac:dyDescent="0.7">
      <c r="A11" s="1062" t="s">
        <v>1019</v>
      </c>
      <c r="B11" s="1062"/>
    </row>
    <row r="12" spans="1:2" ht="39.75" customHeight="1" x14ac:dyDescent="0.7">
      <c r="A12" s="222" t="s">
        <v>1138</v>
      </c>
      <c r="B12" s="224">
        <f>'0.Mérleg'!C19</f>
        <v>1650000000</v>
      </c>
    </row>
    <row r="13" spans="1:2" ht="42" customHeight="1" x14ac:dyDescent="0.7">
      <c r="A13" s="223" t="s">
        <v>1020</v>
      </c>
      <c r="B13" s="225">
        <f>'0.Mérleg'!C22</f>
        <v>0</v>
      </c>
    </row>
    <row r="14" spans="1:2" ht="41.25" customHeight="1" x14ac:dyDescent="0.7">
      <c r="A14" s="221" t="s">
        <v>1021</v>
      </c>
      <c r="B14" s="226">
        <f>B12+B13</f>
        <v>1650000000</v>
      </c>
    </row>
    <row r="16" spans="1:2" ht="53.65" customHeight="1" x14ac:dyDescent="0.7">
      <c r="A16" s="1062" t="s">
        <v>1284</v>
      </c>
      <c r="B16" s="1062"/>
    </row>
    <row r="17" spans="1:6" ht="39.75" customHeight="1" x14ac:dyDescent="0.7">
      <c r="A17" s="221" t="s">
        <v>1285</v>
      </c>
      <c r="B17" s="226">
        <f>'0.Mérleg'!C25</f>
        <v>0</v>
      </c>
    </row>
    <row r="20" spans="1:6" s="90" customFormat="1" ht="69" customHeight="1" x14ac:dyDescent="0.35">
      <c r="A20" s="228" t="s">
        <v>1139</v>
      </c>
      <c r="B20" s="229" t="str">
        <f>IF('0.Mérleg'!C27-'0.Mérleg'!I27&gt;0,'0.Mérleg'!C27-'0.Mérleg'!I27,B37)</f>
        <v>Elfogyott</v>
      </c>
    </row>
    <row r="21" spans="1:6" ht="49.9" customHeight="1" x14ac:dyDescent="0.8">
      <c r="B21" s="230">
        <f>'0.Mérleg'!C27-'0.Mérleg'!I27</f>
        <v>0</v>
      </c>
    </row>
    <row r="22" spans="1:6" x14ac:dyDescent="0.35">
      <c r="F22">
        <v>138000</v>
      </c>
    </row>
    <row r="23" spans="1:6" x14ac:dyDescent="0.35">
      <c r="F23" s="702">
        <f>+B21+F22</f>
        <v>138000</v>
      </c>
    </row>
    <row r="37" spans="2:2" x14ac:dyDescent="0.35">
      <c r="B37" t="s">
        <v>1128</v>
      </c>
    </row>
  </sheetData>
  <mergeCells count="5">
    <mergeCell ref="A1:B1"/>
    <mergeCell ref="A5:B5"/>
    <mergeCell ref="A8:B8"/>
    <mergeCell ref="A11:B11"/>
    <mergeCell ref="A16:B16"/>
  </mergeCells>
  <pageMargins left="0.7" right="0.7" top="0.75" bottom="0.75" header="0.3" footer="0.3"/>
  <pageSetup paperSize="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6"/>
  <sheetViews>
    <sheetView view="pageBreakPreview" zoomScale="98" zoomScaleNormal="90" zoomScaleSheetLayoutView="98" workbookViewId="0">
      <selection activeCell="A13" sqref="A13"/>
    </sheetView>
  </sheetViews>
  <sheetFormatPr defaultRowHeight="14.5" x14ac:dyDescent="0.35"/>
  <cols>
    <col min="1" max="1" width="4.81640625" customWidth="1"/>
    <col min="2" max="2" width="37.453125" customWidth="1"/>
    <col min="3" max="5" width="13.81640625" customWidth="1"/>
    <col min="6" max="6" width="13.81640625" hidden="1" customWidth="1"/>
    <col min="7" max="7" width="5.1796875" customWidth="1"/>
    <col min="8" max="8" width="41.81640625" customWidth="1"/>
    <col min="9" max="11" width="15.7265625" customWidth="1"/>
    <col min="12" max="12" width="15.7265625" hidden="1" customWidth="1"/>
    <col min="13" max="13" width="17.26953125" bestFit="1" customWidth="1"/>
    <col min="14" max="14" width="13.54296875" bestFit="1" customWidth="1"/>
  </cols>
  <sheetData>
    <row r="1" spans="1:14" x14ac:dyDescent="0.35">
      <c r="I1" s="88"/>
      <c r="J1" s="88"/>
      <c r="K1" s="88" t="s">
        <v>1638</v>
      </c>
      <c r="L1" s="88"/>
    </row>
    <row r="2" spans="1:14" ht="59.15" customHeight="1" x14ac:dyDescent="0.35">
      <c r="A2" s="110" t="s">
        <v>305</v>
      </c>
      <c r="B2" s="111" t="s">
        <v>470</v>
      </c>
      <c r="C2" s="568" t="s">
        <v>1794</v>
      </c>
      <c r="D2" s="719" t="s">
        <v>1813</v>
      </c>
      <c r="E2" s="719" t="s">
        <v>1814</v>
      </c>
      <c r="F2" s="719" t="s">
        <v>1771</v>
      </c>
      <c r="G2" s="110" t="s">
        <v>305</v>
      </c>
      <c r="H2" s="111" t="s">
        <v>576</v>
      </c>
      <c r="I2" s="719" t="s">
        <v>1794</v>
      </c>
      <c r="J2" s="719" t="s">
        <v>1813</v>
      </c>
      <c r="K2" s="719" t="s">
        <v>1814</v>
      </c>
      <c r="L2" s="719" t="s">
        <v>1771</v>
      </c>
      <c r="M2" s="796"/>
      <c r="N2" s="796"/>
    </row>
    <row r="3" spans="1:14" x14ac:dyDescent="0.35">
      <c r="A3" s="112" t="s">
        <v>309</v>
      </c>
      <c r="B3" s="113" t="s">
        <v>310</v>
      </c>
      <c r="C3" s="114">
        <f t="shared" ref="C3:F3" si="0">SUM(C4:C7)</f>
        <v>4463939520</v>
      </c>
      <c r="D3" s="524">
        <f t="shared" si="0"/>
        <v>4960672619</v>
      </c>
      <c r="E3" s="524">
        <f t="shared" si="0"/>
        <v>2999776122</v>
      </c>
      <c r="F3" s="524">
        <f t="shared" si="0"/>
        <v>0</v>
      </c>
      <c r="G3" s="112" t="s">
        <v>309</v>
      </c>
      <c r="H3" s="115" t="s">
        <v>577</v>
      </c>
      <c r="I3" s="116">
        <f t="shared" ref="I3:L3" si="1">SUM(I4:I8)</f>
        <v>4822965300</v>
      </c>
      <c r="J3" s="116">
        <f t="shared" si="1"/>
        <v>5157446264</v>
      </c>
      <c r="K3" s="116">
        <f t="shared" si="1"/>
        <v>1337249615</v>
      </c>
      <c r="L3" s="116">
        <f t="shared" si="1"/>
        <v>0</v>
      </c>
      <c r="M3" s="39"/>
      <c r="N3" s="39"/>
    </row>
    <row r="4" spans="1:14" ht="29" x14ac:dyDescent="0.35">
      <c r="A4" s="117" t="s">
        <v>311</v>
      </c>
      <c r="B4" s="651" t="s">
        <v>312</v>
      </c>
      <c r="C4" s="119">
        <f>+'1.1 melléklet'!F5</f>
        <v>1775048560</v>
      </c>
      <c r="D4" s="655">
        <f>+'1.1 melléklet'!J5</f>
        <v>1571781659</v>
      </c>
      <c r="E4" s="655">
        <f>+'1.1 melléklet'!N5</f>
        <v>501338002</v>
      </c>
      <c r="F4" s="655">
        <f>+'1.1 melléklet'!R5</f>
        <v>0</v>
      </c>
      <c r="G4" s="117" t="s">
        <v>311</v>
      </c>
      <c r="H4" s="120" t="s">
        <v>286</v>
      </c>
      <c r="I4" s="780">
        <f>+'1.2 melléklet'!F5</f>
        <v>1608539360</v>
      </c>
      <c r="J4" s="780">
        <f>+'1.2 melléklet'!J5</f>
        <v>1683409960</v>
      </c>
      <c r="K4" s="780">
        <f>+'1.2 melléklet'!N5</f>
        <v>536596472</v>
      </c>
      <c r="L4" s="780">
        <f>+'1.2 melléklet'!R5</f>
        <v>0</v>
      </c>
    </row>
    <row r="5" spans="1:14" ht="32.65" customHeight="1" x14ac:dyDescent="0.35">
      <c r="A5" s="117" t="s">
        <v>322</v>
      </c>
      <c r="B5" s="118" t="s">
        <v>484</v>
      </c>
      <c r="C5" s="119">
        <f>+'1.1 melléklet'!F10</f>
        <v>2500000000</v>
      </c>
      <c r="D5" s="655">
        <f>+'1.1 melléklet'!J10</f>
        <v>3200000000</v>
      </c>
      <c r="E5" s="655">
        <f>+'1.1 melléklet'!N10</f>
        <v>2390394071</v>
      </c>
      <c r="F5" s="655">
        <f>+'1.1 melléklet'!R10</f>
        <v>0</v>
      </c>
      <c r="G5" s="117" t="s">
        <v>322</v>
      </c>
      <c r="H5" s="652" t="s">
        <v>335</v>
      </c>
      <c r="I5" s="780">
        <f>+'1.2 melléklet'!F6</f>
        <v>267803980</v>
      </c>
      <c r="J5" s="780">
        <f>+'1.2 melléklet'!J6</f>
        <v>272088019</v>
      </c>
      <c r="K5" s="780">
        <f>+'1.2 melléklet'!N6</f>
        <v>88115324</v>
      </c>
      <c r="L5" s="780">
        <f>+'1.2 melléklet'!R6</f>
        <v>0</v>
      </c>
    </row>
    <row r="6" spans="1:14" ht="17.649999999999999" customHeight="1" x14ac:dyDescent="0.35">
      <c r="A6" s="117" t="s">
        <v>315</v>
      </c>
      <c r="B6" s="118" t="s">
        <v>314</v>
      </c>
      <c r="C6" s="119">
        <f>+'1.1 melléklet'!F18</f>
        <v>188890960</v>
      </c>
      <c r="D6" s="655">
        <f>+'1.1 melléklet'!J18</f>
        <v>188890960</v>
      </c>
      <c r="E6" s="655">
        <f>+'1.1 melléklet'!N18</f>
        <v>105282332</v>
      </c>
      <c r="F6" s="655">
        <f>+'1.1 melléklet'!R18</f>
        <v>0</v>
      </c>
      <c r="G6" s="117" t="s">
        <v>315</v>
      </c>
      <c r="H6" s="120" t="s">
        <v>292</v>
      </c>
      <c r="I6" s="780">
        <f>+'1.2 melléklet'!F7</f>
        <v>1622545880</v>
      </c>
      <c r="J6" s="780">
        <f>+'1.2 melléklet'!J7</f>
        <v>1744199609</v>
      </c>
      <c r="K6" s="780">
        <f>+'1.2 melléklet'!N7</f>
        <v>289762120</v>
      </c>
      <c r="L6" s="780">
        <f>+'1.2 melléklet'!R7</f>
        <v>0</v>
      </c>
    </row>
    <row r="7" spans="1:14" ht="17.649999999999999" customHeight="1" x14ac:dyDescent="0.35">
      <c r="A7" s="117" t="s">
        <v>336</v>
      </c>
      <c r="B7" s="118" t="s">
        <v>316</v>
      </c>
      <c r="C7" s="119">
        <f>+'1.1 melléklet'!F27</f>
        <v>0</v>
      </c>
      <c r="D7" s="655">
        <f>+'1.1 melléklet'!J27</f>
        <v>0</v>
      </c>
      <c r="E7" s="655">
        <f>+'1.1 melléklet'!N27</f>
        <v>2761717</v>
      </c>
      <c r="F7" s="655">
        <f>+'1.1 melléklet'!R27</f>
        <v>0</v>
      </c>
      <c r="G7" s="117" t="s">
        <v>336</v>
      </c>
      <c r="H7" s="120" t="s">
        <v>337</v>
      </c>
      <c r="I7" s="780">
        <f>+'1.2 melléklet'!F8</f>
        <v>42000000</v>
      </c>
      <c r="J7" s="780">
        <f>+'1.2 melléklet'!J8</f>
        <v>42375722</v>
      </c>
      <c r="K7" s="780">
        <f>+'1.2 melléklet'!N8</f>
        <v>10653908</v>
      </c>
      <c r="L7" s="780">
        <f>+'1.2 melléklet'!R8</f>
        <v>0</v>
      </c>
    </row>
    <row r="8" spans="1:14" ht="17.649999999999999" customHeight="1" x14ac:dyDescent="0.35">
      <c r="A8" s="122"/>
      <c r="B8" s="122"/>
      <c r="C8" s="122"/>
      <c r="D8" s="654"/>
      <c r="E8" s="654"/>
      <c r="F8" s="654"/>
      <c r="G8" s="117" t="s">
        <v>338</v>
      </c>
      <c r="H8" s="120" t="s">
        <v>339</v>
      </c>
      <c r="I8" s="780">
        <f>+'1.2 melléklet'!F9</f>
        <v>1282076080</v>
      </c>
      <c r="J8" s="780">
        <f>+'1.2 melléklet'!J9</f>
        <v>1415372954</v>
      </c>
      <c r="K8" s="780">
        <f>+'1.2 melléklet'!N9</f>
        <v>412121791</v>
      </c>
      <c r="L8" s="780">
        <f>+'1.2 melléklet'!R9</f>
        <v>0</v>
      </c>
    </row>
    <row r="9" spans="1:14" ht="17.649999999999999" customHeight="1" x14ac:dyDescent="0.35">
      <c r="A9" s="123"/>
      <c r="B9" s="124" t="s">
        <v>578</v>
      </c>
      <c r="C9" s="124">
        <f>IF(C3-I3&lt;0,I3-C3,0)</f>
        <v>359025780</v>
      </c>
      <c r="D9" s="124">
        <f>IF(D3-J3&lt;0,J3-D3,0)</f>
        <v>196773645</v>
      </c>
      <c r="E9" s="124">
        <f>IF(E3-K3&lt;0,K3-E3,0)</f>
        <v>0</v>
      </c>
      <c r="F9" s="124">
        <f>IF(F3-L3&lt;0,L3-F3,0)</f>
        <v>0</v>
      </c>
      <c r="G9" s="125"/>
      <c r="H9" s="126" t="s">
        <v>579</v>
      </c>
      <c r="I9" s="126">
        <f>IF(C3-I3&gt;0,C3-I3,0)</f>
        <v>0</v>
      </c>
      <c r="J9" s="126">
        <f>IF(D3-J3&gt;0,D3-J3,0)</f>
        <v>0</v>
      </c>
      <c r="K9" s="126">
        <f>IF(E3-K3&gt;0,E3-K3,0)</f>
        <v>1662526507</v>
      </c>
      <c r="L9" s="126">
        <f>IF(F3-L3&gt;0,F3-L3,0)</f>
        <v>0</v>
      </c>
    </row>
    <row r="10" spans="1:14" ht="17.649999999999999" customHeight="1" x14ac:dyDescent="0.35">
      <c r="A10" s="112" t="s">
        <v>318</v>
      </c>
      <c r="B10" s="113" t="s">
        <v>319</v>
      </c>
      <c r="C10" s="114">
        <f t="shared" ref="C10:F10" si="2">SUM(C11:C13)</f>
        <v>100901655</v>
      </c>
      <c r="D10" s="524">
        <f t="shared" si="2"/>
        <v>100901655</v>
      </c>
      <c r="E10" s="524">
        <f t="shared" si="2"/>
        <v>12761153</v>
      </c>
      <c r="F10" s="524">
        <f t="shared" si="2"/>
        <v>0</v>
      </c>
      <c r="G10" s="112" t="s">
        <v>318</v>
      </c>
      <c r="H10" s="115" t="s">
        <v>580</v>
      </c>
      <c r="I10" s="116">
        <f t="shared" ref="I10:L10" si="3">SUM(I11:I13)</f>
        <v>1170732733</v>
      </c>
      <c r="J10" s="116">
        <f t="shared" si="3"/>
        <v>1703932240</v>
      </c>
      <c r="K10" s="116">
        <f t="shared" si="3"/>
        <v>85610693</v>
      </c>
      <c r="L10" s="116">
        <f t="shared" si="3"/>
        <v>900000</v>
      </c>
    </row>
    <row r="11" spans="1:14" ht="29.25" customHeight="1" x14ac:dyDescent="0.35">
      <c r="A11" s="117" t="s">
        <v>311</v>
      </c>
      <c r="B11" s="651" t="s">
        <v>320</v>
      </c>
      <c r="C11" s="119">
        <f>+'1.1 melléklet'!F31</f>
        <v>0</v>
      </c>
      <c r="D11" s="655">
        <f>+'1.1 melléklet'!J31</f>
        <v>0</v>
      </c>
      <c r="E11" s="655">
        <f>+'1.1 melléklet'!N31</f>
        <v>0</v>
      </c>
      <c r="F11" s="655">
        <f>+'1.1 melléklet'!R31</f>
        <v>0</v>
      </c>
      <c r="G11" s="117" t="s">
        <v>311</v>
      </c>
      <c r="H11" s="120" t="s">
        <v>351</v>
      </c>
      <c r="I11" s="780">
        <f>+'1.2 melléklet'!F16</f>
        <v>1059177820</v>
      </c>
      <c r="J11" s="780">
        <f>+'1.2 melléklet'!J16</f>
        <v>1409765076</v>
      </c>
      <c r="K11" s="780">
        <f>+'1.2 melléklet'!N16</f>
        <v>32463768</v>
      </c>
      <c r="L11" s="780">
        <f>+'1.2 melléklet'!R16</f>
        <v>900000</v>
      </c>
    </row>
    <row r="12" spans="1:14" ht="17.649999999999999" customHeight="1" x14ac:dyDescent="0.35">
      <c r="A12" s="117" t="s">
        <v>322</v>
      </c>
      <c r="B12" s="118" t="s">
        <v>257</v>
      </c>
      <c r="C12" s="119">
        <f>+'1.1 melléklet'!F35</f>
        <v>100000000</v>
      </c>
      <c r="D12" s="655">
        <f>+'1.1 melléklet'!J35</f>
        <v>100000000</v>
      </c>
      <c r="E12" s="655">
        <f>+'1.1 melléklet'!N35</f>
        <v>822270</v>
      </c>
      <c r="F12" s="655">
        <f>+'1.1 melléklet'!R35</f>
        <v>0</v>
      </c>
      <c r="G12" s="117" t="s">
        <v>322</v>
      </c>
      <c r="H12" s="120" t="s">
        <v>342</v>
      </c>
      <c r="I12" s="780">
        <f>+'1.2 melléklet'!F17</f>
        <v>111554913</v>
      </c>
      <c r="J12" s="780">
        <f>+'1.2 melléklet'!J17</f>
        <v>208467164</v>
      </c>
      <c r="K12" s="780">
        <f>+'1.2 melléklet'!N17</f>
        <v>53146925</v>
      </c>
      <c r="L12" s="780">
        <f>+'1.2 melléklet'!R17</f>
        <v>0</v>
      </c>
    </row>
    <row r="13" spans="1:14" ht="17.649999999999999" customHeight="1" x14ac:dyDescent="0.35">
      <c r="A13" s="117" t="s">
        <v>315</v>
      </c>
      <c r="B13" s="118" t="s">
        <v>325</v>
      </c>
      <c r="C13" s="119">
        <f>+'1.1 melléklet'!F40</f>
        <v>901655</v>
      </c>
      <c r="D13" s="655">
        <f>+'1.1 melléklet'!J40</f>
        <v>901655</v>
      </c>
      <c r="E13" s="655">
        <f>+'1.1 melléklet'!N40</f>
        <v>11938883</v>
      </c>
      <c r="F13" s="655">
        <f>+'1.1 melléklet'!R40</f>
        <v>0</v>
      </c>
      <c r="G13" s="117" t="s">
        <v>315</v>
      </c>
      <c r="H13" s="120" t="s">
        <v>343</v>
      </c>
      <c r="I13" s="780">
        <f>+'1.2 melléklet'!F18</f>
        <v>0</v>
      </c>
      <c r="J13" s="780">
        <f>+'1.2 melléklet'!J18</f>
        <v>85700000</v>
      </c>
      <c r="K13" s="780">
        <f>+'1.2 melléklet'!N18</f>
        <v>0</v>
      </c>
      <c r="L13" s="780">
        <f>+'1.2 melléklet'!R18</f>
        <v>0</v>
      </c>
    </row>
    <row r="14" spans="1:14" ht="17.649999999999999" customHeight="1" x14ac:dyDescent="0.35">
      <c r="A14" s="123"/>
      <c r="B14" s="123" t="s">
        <v>581</v>
      </c>
      <c r="C14" s="124">
        <f>IF(C10-I10&lt;0,I10-C10,0)</f>
        <v>1069831078</v>
      </c>
      <c r="D14" s="124">
        <f>IF(D10-J10&lt;0,J10-D10,0)</f>
        <v>1603030585</v>
      </c>
      <c r="E14" s="124">
        <f>IF(E10-K10&lt;0,K10-E10,0)</f>
        <v>72849540</v>
      </c>
      <c r="F14" s="124">
        <f>IF(F10-L10&lt;0,L10-F10,0)</f>
        <v>900000</v>
      </c>
      <c r="G14" s="127"/>
      <c r="H14" s="125" t="s">
        <v>582</v>
      </c>
      <c r="I14" s="126">
        <f>IF(C10-I10&gt;0,C10-I10,0)</f>
        <v>0</v>
      </c>
      <c r="J14" s="126">
        <f>IF(D10-J10&gt;0,D10-J10,0)</f>
        <v>0</v>
      </c>
      <c r="K14" s="126">
        <f>IF(E10-K10&gt;0,E10-K10,0)</f>
        <v>0</v>
      </c>
      <c r="L14" s="126">
        <f>IF(F10-L10&gt;0,F10-L10,0)</f>
        <v>0</v>
      </c>
    </row>
    <row r="15" spans="1:14" ht="17.649999999999999" customHeight="1" x14ac:dyDescent="0.35">
      <c r="A15" s="111"/>
      <c r="B15" s="128" t="s">
        <v>327</v>
      </c>
      <c r="C15" s="129">
        <f t="shared" ref="C15:F15" si="4">C3+C10</f>
        <v>4564841175</v>
      </c>
      <c r="D15" s="129">
        <f t="shared" si="4"/>
        <v>5061574274</v>
      </c>
      <c r="E15" s="129">
        <f t="shared" si="4"/>
        <v>3012537275</v>
      </c>
      <c r="F15" s="129">
        <f t="shared" si="4"/>
        <v>0</v>
      </c>
      <c r="G15" s="111"/>
      <c r="H15" s="128" t="s">
        <v>583</v>
      </c>
      <c r="I15" s="130">
        <f t="shared" ref="I15:L15" si="5">I3+I10</f>
        <v>5993698033</v>
      </c>
      <c r="J15" s="534">
        <f t="shared" si="5"/>
        <v>6861378504</v>
      </c>
      <c r="K15" s="534">
        <f t="shared" si="5"/>
        <v>1422860308</v>
      </c>
      <c r="L15" s="534">
        <f t="shared" si="5"/>
        <v>900000</v>
      </c>
    </row>
    <row r="16" spans="1:14" ht="17.649999999999999" customHeight="1" x14ac:dyDescent="0.35">
      <c r="A16" s="131"/>
      <c r="B16" s="132" t="s">
        <v>584</v>
      </c>
      <c r="C16" s="132">
        <f>IF(I9+I14-C9-C14&lt;0,C9+C14-I9-I14,0)</f>
        <v>1428856858</v>
      </c>
      <c r="D16" s="132">
        <f>IF(J9+J14-D9-D14&lt;0,D9+D14-J9-J14,0)</f>
        <v>1799804230</v>
      </c>
      <c r="E16" s="132">
        <f>IF(K9+K14-E9-E14&lt;0,E9+E14-K9-K14,0)</f>
        <v>0</v>
      </c>
      <c r="F16" s="132">
        <f>IF(L9+L14-F9-F14&lt;0,F9+F14-L9-L14,0)</f>
        <v>900000</v>
      </c>
      <c r="G16" s="133"/>
      <c r="H16" s="134" t="s">
        <v>585</v>
      </c>
      <c r="I16" s="132">
        <f>IF(I9+I14-C9-C14&gt;0,I9+I14-C9-C14,0)</f>
        <v>0</v>
      </c>
      <c r="J16" s="132">
        <f>IF(J9+J14-D9-D14&gt;0,J9+J14-D9-D14,0)</f>
        <v>0</v>
      </c>
      <c r="K16" s="132">
        <f>IF(K9+K14-E9-E14&gt;0,K9+K14-E9-E14,0)</f>
        <v>1589676967</v>
      </c>
      <c r="L16" s="132">
        <f>IF(L9+L14-F9-F14&gt;0,L9+L14-F9-F14,0)</f>
        <v>0</v>
      </c>
    </row>
    <row r="17" spans="1:14" ht="17.649999999999999" customHeight="1" x14ac:dyDescent="0.35">
      <c r="A17" s="112" t="s">
        <v>328</v>
      </c>
      <c r="B17" s="113" t="s">
        <v>329</v>
      </c>
      <c r="C17" s="114">
        <f t="shared" ref="C17:F17" si="6">C18+C24</f>
        <v>1650000000</v>
      </c>
      <c r="D17" s="524">
        <f t="shared" si="6"/>
        <v>2206782084</v>
      </c>
      <c r="E17" s="524">
        <f t="shared" si="6"/>
        <v>2206782084</v>
      </c>
      <c r="F17" s="524">
        <f t="shared" si="6"/>
        <v>0</v>
      </c>
      <c r="G17" s="112" t="s">
        <v>328</v>
      </c>
      <c r="H17" s="115" t="s">
        <v>586</v>
      </c>
      <c r="I17" s="116">
        <f t="shared" ref="I17:L17" si="7">I18+I24</f>
        <v>221143142</v>
      </c>
      <c r="J17" s="116">
        <f t="shared" si="7"/>
        <v>406977854</v>
      </c>
      <c r="K17" s="116">
        <f t="shared" si="7"/>
        <v>271493943</v>
      </c>
      <c r="L17" s="116">
        <f t="shared" si="7"/>
        <v>0</v>
      </c>
    </row>
    <row r="18" spans="1:14" ht="17.649999999999999" customHeight="1" x14ac:dyDescent="0.35">
      <c r="A18" s="123"/>
      <c r="B18" s="124" t="s">
        <v>587</v>
      </c>
      <c r="C18" s="124">
        <f t="shared" ref="C18:F18" si="8">C19+C22+C23</f>
        <v>1650000000</v>
      </c>
      <c r="D18" s="124">
        <f t="shared" si="8"/>
        <v>2206782084</v>
      </c>
      <c r="E18" s="124">
        <f t="shared" si="8"/>
        <v>2206782084</v>
      </c>
      <c r="F18" s="124">
        <f t="shared" si="8"/>
        <v>0</v>
      </c>
      <c r="G18" s="125"/>
      <c r="H18" s="126" t="s">
        <v>588</v>
      </c>
      <c r="I18" s="124">
        <f t="shared" ref="I18:L18" si="9">I19+I22+I23</f>
        <v>221143142</v>
      </c>
      <c r="J18" s="124">
        <f t="shared" si="9"/>
        <v>406977854</v>
      </c>
      <c r="K18" s="124">
        <f t="shared" si="9"/>
        <v>271493943</v>
      </c>
      <c r="L18" s="124">
        <f t="shared" si="9"/>
        <v>0</v>
      </c>
    </row>
    <row r="19" spans="1:14" ht="28.5" customHeight="1" x14ac:dyDescent="0.35">
      <c r="A19" s="135" t="s">
        <v>311</v>
      </c>
      <c r="B19" s="122" t="s">
        <v>368</v>
      </c>
      <c r="C19" s="119">
        <f>+'1.1 melléklet'!F55</f>
        <v>1650000000</v>
      </c>
      <c r="D19" s="655">
        <f>+'1.1 melléklet'!J55</f>
        <v>2020947372</v>
      </c>
      <c r="E19" s="655">
        <f>+'1.1 melléklet'!N55</f>
        <v>2020947372</v>
      </c>
      <c r="F19" s="655">
        <f>+'1.1 melléklet'!R55</f>
        <v>0</v>
      </c>
      <c r="G19" s="135" t="s">
        <v>311</v>
      </c>
      <c r="H19" s="944" t="str">
        <f>+'1.2 melléklet'!B27</f>
        <v>1.1. Hitel-, kölcsöntörlesztés államháztartáson kívülre</v>
      </c>
      <c r="I19" s="137">
        <f>+'1.2 melléklet'!F27</f>
        <v>180645200</v>
      </c>
      <c r="J19" s="137">
        <f>+'1.2 melléklet'!J27</f>
        <v>180645200</v>
      </c>
      <c r="K19" s="137">
        <f>+'1.2 melléklet'!N27</f>
        <v>45161289</v>
      </c>
      <c r="L19" s="137">
        <f>+'1.2 melléklet'!R27</f>
        <v>0</v>
      </c>
    </row>
    <row r="20" spans="1:14" ht="31.5" hidden="1" customHeight="1" x14ac:dyDescent="0.35">
      <c r="A20" s="653"/>
      <c r="B20" s="1028" t="s">
        <v>1788</v>
      </c>
      <c r="C20" s="655"/>
      <c r="D20" s="655"/>
      <c r="E20" s="655"/>
      <c r="F20" s="940">
        <f>+K9</f>
        <v>1662526507</v>
      </c>
      <c r="G20" s="653"/>
      <c r="H20" s="656"/>
      <c r="I20" s="137"/>
      <c r="J20" s="137"/>
      <c r="K20" s="137"/>
      <c r="L20" s="137"/>
    </row>
    <row r="21" spans="1:14" ht="43.5" hidden="1" x14ac:dyDescent="0.35">
      <c r="A21" s="653"/>
      <c r="B21" s="1028" t="s">
        <v>1789</v>
      </c>
      <c r="C21" s="655"/>
      <c r="D21" s="655"/>
      <c r="E21" s="655"/>
      <c r="F21" s="940">
        <f>+K14</f>
        <v>0</v>
      </c>
      <c r="G21" s="653"/>
      <c r="H21" s="656"/>
      <c r="I21" s="137"/>
      <c r="J21" s="137"/>
      <c r="K21" s="137"/>
      <c r="L21" s="137"/>
    </row>
    <row r="22" spans="1:14" ht="17.649999999999999" customHeight="1" x14ac:dyDescent="0.35">
      <c r="A22" s="135" t="s">
        <v>322</v>
      </c>
      <c r="B22" s="122" t="s">
        <v>659</v>
      </c>
      <c r="C22" s="119">
        <f>+'1.1 melléklet'!F57</f>
        <v>0</v>
      </c>
      <c r="D22" s="655">
        <f>+'1.1 melléklet'!J57</f>
        <v>0</v>
      </c>
      <c r="E22" s="655">
        <f>+'1.1 melléklet'!N57</f>
        <v>0</v>
      </c>
      <c r="F22" s="655">
        <f>+'1.1 melléklet'!R57</f>
        <v>0</v>
      </c>
      <c r="G22" s="135" t="s">
        <v>322</v>
      </c>
      <c r="H22" s="136" t="s">
        <v>1625</v>
      </c>
      <c r="I22" s="137">
        <v>0</v>
      </c>
      <c r="J22" s="137">
        <v>0</v>
      </c>
      <c r="K22" s="137">
        <v>0</v>
      </c>
      <c r="L22" s="137">
        <v>0</v>
      </c>
    </row>
    <row r="23" spans="1:14" ht="17.649999999999999" customHeight="1" x14ac:dyDescent="0.35">
      <c r="A23" s="653" t="s">
        <v>315</v>
      </c>
      <c r="B23" s="654" t="s">
        <v>1468</v>
      </c>
      <c r="C23" s="655">
        <f>+'1.1 melléklet'!F54</f>
        <v>0</v>
      </c>
      <c r="D23" s="655">
        <f>+'1.1 melléklet'!J54</f>
        <v>185834712</v>
      </c>
      <c r="E23" s="655">
        <f>+'1.1 melléklet'!N54</f>
        <v>185834712</v>
      </c>
      <c r="F23" s="655">
        <f>+'1.1 melléklet'!R54</f>
        <v>0</v>
      </c>
      <c r="G23" s="653" t="s">
        <v>315</v>
      </c>
      <c r="H23" s="656" t="s">
        <v>1468</v>
      </c>
      <c r="I23" s="781">
        <f>+'1.2 melléklet'!F29</f>
        <v>40497942</v>
      </c>
      <c r="J23" s="781">
        <f>+'1.2 melléklet'!J29</f>
        <v>226332654</v>
      </c>
      <c r="K23" s="781">
        <f>+'1.2 melléklet'!N29</f>
        <v>226332654</v>
      </c>
      <c r="L23" s="781">
        <f>+'1.2 melléklet'!R29</f>
        <v>0</v>
      </c>
    </row>
    <row r="24" spans="1:14" ht="17.649999999999999" customHeight="1" x14ac:dyDescent="0.35">
      <c r="A24" s="123"/>
      <c r="B24" s="124" t="s">
        <v>591</v>
      </c>
      <c r="C24" s="124">
        <f t="shared" ref="C24:F24" si="10">C25+C26</f>
        <v>0</v>
      </c>
      <c r="D24" s="124">
        <f t="shared" si="10"/>
        <v>0</v>
      </c>
      <c r="E24" s="124">
        <f t="shared" si="10"/>
        <v>0</v>
      </c>
      <c r="F24" s="124">
        <f t="shared" si="10"/>
        <v>0</v>
      </c>
      <c r="G24" s="125"/>
      <c r="H24" s="126" t="s">
        <v>592</v>
      </c>
      <c r="I24" s="126">
        <f t="shared" ref="I24:L24" si="11">I25</f>
        <v>0</v>
      </c>
      <c r="J24" s="126">
        <f t="shared" si="11"/>
        <v>0</v>
      </c>
      <c r="K24" s="126">
        <f t="shared" si="11"/>
        <v>0</v>
      </c>
      <c r="L24" s="126">
        <f t="shared" si="11"/>
        <v>0</v>
      </c>
    </row>
    <row r="25" spans="1:14" ht="17.649999999999999" customHeight="1" x14ac:dyDescent="0.35">
      <c r="A25" s="135" t="s">
        <v>311</v>
      </c>
      <c r="B25" s="122" t="s">
        <v>330</v>
      </c>
      <c r="C25" s="119">
        <f>+'1.1 melléklet'!F49</f>
        <v>0</v>
      </c>
      <c r="D25" s="655">
        <f>+'1.1 melléklet'!J49</f>
        <v>0</v>
      </c>
      <c r="E25" s="655">
        <f>+'1.1 melléklet'!N49</f>
        <v>0</v>
      </c>
      <c r="F25" s="655">
        <f>+'1.1 melléklet'!R49</f>
        <v>0</v>
      </c>
      <c r="G25" s="135" t="s">
        <v>311</v>
      </c>
      <c r="H25" s="136" t="s">
        <v>589</v>
      </c>
      <c r="I25" s="121">
        <v>0</v>
      </c>
      <c r="J25" s="353">
        <v>0</v>
      </c>
      <c r="K25" s="353">
        <v>0</v>
      </c>
      <c r="L25" s="353">
        <v>0</v>
      </c>
    </row>
    <row r="26" spans="1:14" ht="17.649999999999999" customHeight="1" x14ac:dyDescent="0.35">
      <c r="A26" s="135" t="s">
        <v>322</v>
      </c>
      <c r="B26" s="122" t="s">
        <v>544</v>
      </c>
      <c r="C26" s="119">
        <f>+'1.1 melléklet'!F58</f>
        <v>0</v>
      </c>
      <c r="D26" s="655">
        <f>+'1.1 melléklet'!J58</f>
        <v>0</v>
      </c>
      <c r="E26" s="655">
        <f>+'1.1 melléklet'!N58</f>
        <v>0</v>
      </c>
      <c r="F26" s="655">
        <f>+'1.1 melléklet'!R58</f>
        <v>0</v>
      </c>
      <c r="G26" s="135" t="s">
        <v>322</v>
      </c>
      <c r="H26" s="136" t="s">
        <v>590</v>
      </c>
      <c r="I26" s="121">
        <v>0</v>
      </c>
      <c r="J26" s="353">
        <v>0</v>
      </c>
      <c r="K26" s="353">
        <v>0</v>
      </c>
      <c r="L26" s="353">
        <v>0</v>
      </c>
    </row>
    <row r="27" spans="1:14" ht="17.649999999999999" customHeight="1" x14ac:dyDescent="0.35">
      <c r="A27" s="138"/>
      <c r="B27" s="139" t="s">
        <v>333</v>
      </c>
      <c r="C27" s="140">
        <f t="shared" ref="C27:F27" si="12">C15+C17</f>
        <v>6214841175</v>
      </c>
      <c r="D27" s="316">
        <f t="shared" si="12"/>
        <v>7268356358</v>
      </c>
      <c r="E27" s="316">
        <f t="shared" si="12"/>
        <v>5219319359</v>
      </c>
      <c r="F27" s="316">
        <f t="shared" si="12"/>
        <v>0</v>
      </c>
      <c r="G27" s="138"/>
      <c r="H27" s="139" t="s">
        <v>344</v>
      </c>
      <c r="I27" s="141">
        <f t="shared" ref="I27:L27" si="13">I15+I17</f>
        <v>6214841175</v>
      </c>
      <c r="J27" s="537">
        <f t="shared" si="13"/>
        <v>7268356358</v>
      </c>
      <c r="K27" s="537">
        <f t="shared" si="13"/>
        <v>1694354251</v>
      </c>
      <c r="L27" s="537">
        <f t="shared" si="13"/>
        <v>900000</v>
      </c>
      <c r="M27" s="546"/>
    </row>
    <row r="28" spans="1:14" ht="17.649999999999999" customHeight="1" x14ac:dyDescent="0.35">
      <c r="A28" s="106"/>
      <c r="B28" s="107"/>
      <c r="C28" s="108"/>
      <c r="D28" s="108">
        <f>+D27-C27</f>
        <v>1053515183</v>
      </c>
      <c r="E28" s="108"/>
      <c r="F28" s="108"/>
      <c r="G28" s="106"/>
      <c r="H28" s="109"/>
      <c r="I28" s="372">
        <f>+C27-I27</f>
        <v>0</v>
      </c>
      <c r="J28" s="372">
        <f>+D27-J27</f>
        <v>0</v>
      </c>
      <c r="K28" s="372">
        <f>+E27-K27</f>
        <v>3524965108</v>
      </c>
      <c r="L28" s="372">
        <f>+F27-L27</f>
        <v>-900000</v>
      </c>
      <c r="M28" s="941"/>
      <c r="N28" s="546"/>
    </row>
    <row r="29" spans="1:14" ht="17.649999999999999" customHeight="1" x14ac:dyDescent="0.35">
      <c r="A29" s="32"/>
      <c r="B29" s="33"/>
      <c r="C29" s="34"/>
      <c r="D29" s="34"/>
      <c r="E29" s="801"/>
      <c r="F29" s="34"/>
      <c r="G29" s="35"/>
      <c r="H29" s="89"/>
      <c r="I29" s="102"/>
      <c r="J29" s="34"/>
      <c r="K29" s="801">
        <v>1016590670</v>
      </c>
      <c r="L29" s="801"/>
      <c r="M29" s="941"/>
    </row>
    <row r="30" spans="1:14" ht="17.649999999999999" customHeight="1" x14ac:dyDescent="0.35">
      <c r="A30" s="35"/>
      <c r="B30" s="36"/>
      <c r="C30" s="44"/>
      <c r="D30" s="44"/>
      <c r="E30" s="44">
        <f>+E27+K29</f>
        <v>6235910029</v>
      </c>
      <c r="F30" s="44"/>
      <c r="G30" s="35"/>
      <c r="H30" s="97"/>
      <c r="I30" s="101"/>
      <c r="J30" s="101"/>
      <c r="K30" s="101">
        <f>+K27+K29</f>
        <v>2710944921</v>
      </c>
      <c r="L30" s="101"/>
      <c r="M30" s="941"/>
    </row>
    <row r="31" spans="1:14" ht="17.649999999999999" customHeight="1" x14ac:dyDescent="0.35">
      <c r="A31" s="35"/>
      <c r="B31" s="36"/>
      <c r="C31" s="44"/>
      <c r="D31" s="44"/>
      <c r="E31" s="44"/>
      <c r="F31" s="44"/>
      <c r="G31" s="35"/>
      <c r="H31" s="97"/>
      <c r="I31" s="101"/>
      <c r="J31" s="101"/>
      <c r="K31" s="101"/>
      <c r="L31" s="101"/>
      <c r="M31" s="941"/>
    </row>
    <row r="32" spans="1:14" ht="17.649999999999999" customHeight="1" x14ac:dyDescent="0.35">
      <c r="A32" s="35"/>
      <c r="B32" s="36"/>
      <c r="C32" s="44"/>
      <c r="D32" s="44"/>
      <c r="E32" s="44"/>
      <c r="F32" s="44"/>
      <c r="G32" s="35"/>
      <c r="H32" s="97"/>
      <c r="I32" s="101"/>
      <c r="J32" s="101"/>
      <c r="K32" s="101"/>
      <c r="L32" s="101"/>
      <c r="M32" s="941"/>
    </row>
    <row r="33" spans="1:12" ht="17.649999999999999" customHeight="1" x14ac:dyDescent="0.35">
      <c r="A33" s="35"/>
      <c r="B33" s="36"/>
      <c r="C33" s="44"/>
      <c r="D33" s="44"/>
      <c r="E33" s="44"/>
      <c r="F33" s="44"/>
      <c r="G33" s="35"/>
      <c r="H33" s="98"/>
      <c r="I33" s="101"/>
      <c r="J33" s="101"/>
      <c r="K33" s="101"/>
      <c r="L33" s="101"/>
    </row>
    <row r="34" spans="1:12" ht="17.649999999999999" customHeight="1" x14ac:dyDescent="0.35">
      <c r="A34" s="35"/>
      <c r="B34" s="36"/>
      <c r="C34" s="44"/>
      <c r="D34" s="44"/>
      <c r="E34" s="44"/>
      <c r="F34" s="44"/>
      <c r="G34" s="35"/>
      <c r="H34" s="98"/>
      <c r="I34" s="101"/>
      <c r="J34" s="101"/>
      <c r="K34" s="101"/>
      <c r="L34" s="101"/>
    </row>
    <row r="35" spans="1:12" ht="17.649999999999999" customHeight="1" x14ac:dyDescent="0.35">
      <c r="A35" s="35"/>
      <c r="B35" s="36"/>
      <c r="C35" s="44"/>
      <c r="D35" s="44"/>
      <c r="E35" s="44"/>
      <c r="F35" s="44"/>
      <c r="G35" s="35"/>
      <c r="H35" s="98"/>
      <c r="I35" s="101"/>
      <c r="J35" s="101"/>
      <c r="K35" s="101"/>
      <c r="L35" s="101"/>
    </row>
    <row r="36" spans="1:12" ht="17.649999999999999" customHeight="1" x14ac:dyDescent="0.35">
      <c r="A36" s="35"/>
      <c r="B36" s="36"/>
      <c r="C36" s="44"/>
      <c r="D36" s="44"/>
      <c r="E36" s="44"/>
      <c r="F36" s="44"/>
      <c r="G36" s="35"/>
      <c r="H36" s="97"/>
      <c r="I36" s="101"/>
      <c r="J36" s="101"/>
      <c r="K36" s="101"/>
      <c r="L36" s="101"/>
    </row>
    <row r="37" spans="1:12" ht="17.649999999999999" customHeight="1" x14ac:dyDescent="0.35">
      <c r="A37" s="35"/>
      <c r="B37" s="36"/>
      <c r="C37" s="44"/>
      <c r="D37" s="44"/>
      <c r="E37" s="44"/>
      <c r="F37" s="44"/>
      <c r="G37" s="35"/>
      <c r="H37" s="97"/>
      <c r="I37" s="101"/>
      <c r="J37" s="101"/>
      <c r="K37" s="101"/>
      <c r="L37" s="101"/>
    </row>
    <row r="38" spans="1:12" ht="17.649999999999999" customHeight="1" x14ac:dyDescent="0.35">
      <c r="A38" s="32"/>
      <c r="B38" s="33"/>
      <c r="C38" s="34"/>
      <c r="D38" s="34"/>
      <c r="E38" s="34"/>
      <c r="F38" s="34"/>
      <c r="G38" s="35"/>
      <c r="H38" s="97"/>
      <c r="I38" s="101"/>
      <c r="J38" s="101"/>
      <c r="K38" s="101"/>
      <c r="L38" s="101"/>
    </row>
    <row r="39" spans="1:12" ht="17.649999999999999" customHeight="1" x14ac:dyDescent="0.35">
      <c r="A39" s="35"/>
      <c r="B39" s="36"/>
      <c r="C39" s="44"/>
      <c r="D39" s="44"/>
      <c r="E39" s="44"/>
      <c r="F39" s="44"/>
      <c r="G39" s="35"/>
      <c r="H39" s="97"/>
      <c r="I39" s="101"/>
      <c r="J39" s="101"/>
      <c r="K39" s="101"/>
      <c r="L39" s="101"/>
    </row>
    <row r="40" spans="1:12" ht="17.649999999999999" customHeight="1" x14ac:dyDescent="0.35">
      <c r="A40" s="35"/>
      <c r="B40" s="36"/>
      <c r="C40" s="44"/>
      <c r="D40" s="44"/>
      <c r="E40" s="44"/>
      <c r="F40" s="44"/>
      <c r="G40" s="35"/>
      <c r="H40" s="97"/>
      <c r="I40" s="101"/>
      <c r="J40" s="101"/>
      <c r="K40" s="101"/>
      <c r="L40" s="101"/>
    </row>
    <row r="41" spans="1:12" ht="17.649999999999999" customHeight="1" x14ac:dyDescent="0.35">
      <c r="G41" s="35"/>
      <c r="H41" s="97"/>
      <c r="I41" s="101"/>
      <c r="J41" s="101"/>
      <c r="K41" s="101"/>
      <c r="L41" s="101"/>
    </row>
    <row r="42" spans="1:12" ht="17.649999999999999" customHeight="1" x14ac:dyDescent="0.35">
      <c r="G42" s="35"/>
      <c r="H42" s="97"/>
      <c r="I42" s="101"/>
      <c r="J42" s="101"/>
      <c r="K42" s="101"/>
      <c r="L42" s="101"/>
    </row>
    <row r="43" spans="1:12" ht="17.649999999999999" customHeight="1" x14ac:dyDescent="0.35">
      <c r="A43" s="35"/>
      <c r="B43" s="38"/>
      <c r="C43" s="37"/>
      <c r="D43" s="37"/>
      <c r="E43" s="37"/>
      <c r="F43" s="37"/>
      <c r="G43" s="35"/>
      <c r="H43" s="97"/>
      <c r="I43" s="101"/>
      <c r="J43" s="101"/>
      <c r="K43" s="101"/>
      <c r="L43" s="101"/>
    </row>
    <row r="44" spans="1:12" ht="17.649999999999999" customHeight="1" x14ac:dyDescent="0.35">
      <c r="A44" s="35"/>
      <c r="B44" s="38"/>
      <c r="C44" s="37"/>
      <c r="D44" s="37"/>
      <c r="E44" s="37"/>
      <c r="F44" s="37"/>
      <c r="G44" s="35"/>
      <c r="H44" s="97"/>
      <c r="I44" s="101"/>
      <c r="J44" s="101"/>
      <c r="K44" s="101"/>
      <c r="L44" s="101"/>
    </row>
    <row r="45" spans="1:12" ht="17.649999999999999" customHeight="1" x14ac:dyDescent="0.35">
      <c r="A45" s="35"/>
      <c r="B45" s="38"/>
      <c r="C45" s="37"/>
      <c r="D45" s="37"/>
      <c r="E45" s="37"/>
      <c r="F45" s="37"/>
      <c r="G45" s="35"/>
      <c r="H45" s="89"/>
      <c r="I45" s="103"/>
      <c r="J45" s="103"/>
      <c r="K45" s="103"/>
      <c r="L45" s="103"/>
    </row>
    <row r="46" spans="1:12" ht="17.649999999999999" customHeight="1" x14ac:dyDescent="0.35">
      <c r="G46" s="35"/>
      <c r="H46" s="97"/>
      <c r="I46" s="101"/>
      <c r="J46" s="101"/>
      <c r="K46" s="101"/>
      <c r="L46" s="101"/>
    </row>
    <row r="47" spans="1:12" ht="17.649999999999999" customHeight="1" x14ac:dyDescent="0.35">
      <c r="A47" s="35"/>
      <c r="B47" s="38"/>
      <c r="C47" s="37"/>
      <c r="D47" s="37"/>
      <c r="E47" s="37"/>
      <c r="F47" s="37"/>
      <c r="G47" s="35"/>
      <c r="H47" s="97"/>
      <c r="I47" s="101"/>
      <c r="J47" s="101"/>
      <c r="K47" s="101"/>
      <c r="L47" s="101"/>
    </row>
    <row r="48" spans="1:12" ht="17.649999999999999" customHeight="1" x14ac:dyDescent="0.35">
      <c r="A48" s="35"/>
      <c r="B48" s="38"/>
      <c r="C48" s="100"/>
      <c r="D48" s="100"/>
      <c r="E48" s="100"/>
      <c r="F48" s="100"/>
    </row>
    <row r="49" spans="1:12" ht="17.649999999999999" customHeight="1" x14ac:dyDescent="0.35">
      <c r="A49" s="35"/>
      <c r="B49" s="38"/>
      <c r="C49" s="100"/>
      <c r="D49" s="100"/>
      <c r="E49" s="100"/>
      <c r="F49" s="100"/>
    </row>
    <row r="50" spans="1:12" ht="17.649999999999999" customHeight="1" x14ac:dyDescent="0.35">
      <c r="A50" s="35"/>
      <c r="B50" s="38"/>
      <c r="C50" s="100"/>
      <c r="D50" s="100"/>
      <c r="E50" s="100"/>
      <c r="F50" s="100"/>
    </row>
    <row r="51" spans="1:12" ht="17.649999999999999" customHeight="1" x14ac:dyDescent="0.35"/>
    <row r="52" spans="1:12" ht="17.649999999999999" customHeight="1" x14ac:dyDescent="0.35">
      <c r="A52" s="35"/>
      <c r="B52" s="38"/>
      <c r="C52" s="37"/>
      <c r="D52" s="37"/>
      <c r="E52" s="37"/>
      <c r="F52" s="37"/>
      <c r="G52" s="35"/>
      <c r="H52" s="89"/>
      <c r="I52" s="103"/>
      <c r="J52" s="103"/>
      <c r="K52" s="103"/>
      <c r="L52" s="103"/>
    </row>
    <row r="53" spans="1:12" ht="17.649999999999999" customHeight="1" x14ac:dyDescent="0.35">
      <c r="A53" s="35"/>
      <c r="B53" s="38"/>
      <c r="C53" s="37"/>
      <c r="D53" s="37"/>
      <c r="E53" s="37"/>
      <c r="F53" s="37"/>
      <c r="G53" s="35"/>
      <c r="H53" s="89"/>
      <c r="I53" s="103"/>
      <c r="J53" s="103"/>
      <c r="K53" s="103"/>
      <c r="L53" s="103"/>
    </row>
    <row r="54" spans="1:12" ht="17.649999999999999" customHeight="1" x14ac:dyDescent="0.35">
      <c r="G54" s="35"/>
      <c r="H54" s="89"/>
      <c r="I54" s="103"/>
      <c r="J54" s="103"/>
      <c r="K54" s="103"/>
      <c r="L54" s="103"/>
    </row>
    <row r="55" spans="1:12" ht="17.649999999999999" customHeight="1" x14ac:dyDescent="0.35">
      <c r="G55" s="35"/>
      <c r="H55" s="89"/>
      <c r="I55" s="103"/>
      <c r="J55" s="103"/>
      <c r="K55" s="103"/>
      <c r="L55" s="103"/>
    </row>
    <row r="56" spans="1:12" ht="17.649999999999999" customHeight="1" x14ac:dyDescent="0.35">
      <c r="G56" s="35"/>
      <c r="H56" s="97"/>
      <c r="I56" s="101"/>
      <c r="J56" s="101"/>
      <c r="K56" s="101"/>
      <c r="L56" s="101"/>
    </row>
    <row r="57" spans="1:12" ht="17.649999999999999" customHeight="1" x14ac:dyDescent="0.35">
      <c r="A57" s="35"/>
      <c r="B57" s="38"/>
      <c r="C57" s="37"/>
      <c r="D57" s="37"/>
      <c r="E57" s="37"/>
      <c r="F57" s="37"/>
      <c r="G57" s="35"/>
      <c r="H57" s="97"/>
      <c r="I57" s="101"/>
      <c r="J57" s="101"/>
      <c r="K57" s="101"/>
      <c r="L57" s="101"/>
    </row>
    <row r="58" spans="1:12" ht="17.649999999999999" customHeight="1" x14ac:dyDescent="0.35">
      <c r="A58" s="35"/>
      <c r="B58" s="91"/>
      <c r="C58" s="37"/>
      <c r="D58" s="37"/>
      <c r="E58" s="37"/>
      <c r="F58" s="37"/>
      <c r="G58" s="35"/>
      <c r="H58" s="89"/>
      <c r="I58" s="103"/>
      <c r="J58" s="103"/>
      <c r="K58" s="103"/>
      <c r="L58" s="103"/>
    </row>
    <row r="59" spans="1:12" ht="17.649999999999999" customHeight="1" x14ac:dyDescent="0.35">
      <c r="A59" s="35"/>
      <c r="B59" s="91"/>
      <c r="C59" s="37"/>
      <c r="D59" s="37"/>
      <c r="E59" s="37"/>
      <c r="F59" s="37"/>
      <c r="G59" s="35"/>
      <c r="H59" s="97"/>
      <c r="I59" s="101"/>
      <c r="J59" s="101"/>
      <c r="K59" s="101"/>
      <c r="L59" s="101"/>
    </row>
    <row r="60" spans="1:12" ht="17.649999999999999" customHeight="1" x14ac:dyDescent="0.35">
      <c r="A60" s="35"/>
      <c r="B60" s="38"/>
      <c r="C60" s="37"/>
      <c r="D60" s="37"/>
      <c r="E60" s="37"/>
      <c r="F60" s="37"/>
      <c r="G60" s="35"/>
      <c r="H60" s="97"/>
      <c r="I60" s="101"/>
      <c r="J60" s="101"/>
      <c r="K60" s="101"/>
      <c r="L60" s="101"/>
    </row>
    <row r="61" spans="1:12" ht="17.649999999999999" customHeight="1" x14ac:dyDescent="0.35">
      <c r="A61" s="35"/>
      <c r="B61" s="38"/>
      <c r="C61" s="37"/>
      <c r="D61" s="37"/>
      <c r="E61" s="37"/>
      <c r="F61" s="37"/>
      <c r="G61" s="35"/>
      <c r="H61" s="89"/>
      <c r="I61" s="103"/>
      <c r="J61" s="103"/>
      <c r="K61" s="103"/>
      <c r="L61" s="103"/>
    </row>
    <row r="62" spans="1:12" ht="17.649999999999999" customHeight="1" x14ac:dyDescent="0.35">
      <c r="A62" s="35"/>
      <c r="B62" s="38"/>
      <c r="C62" s="100"/>
      <c r="D62" s="100"/>
      <c r="E62" s="100"/>
      <c r="F62" s="100"/>
    </row>
    <row r="63" spans="1:12" ht="17.649999999999999" customHeight="1" x14ac:dyDescent="0.35">
      <c r="A63" s="35"/>
      <c r="B63" s="38"/>
      <c r="C63" s="100"/>
      <c r="D63" s="100"/>
      <c r="E63" s="100"/>
      <c r="F63" s="100"/>
    </row>
    <row r="64" spans="1:12" ht="17.649999999999999" customHeight="1" x14ac:dyDescent="0.35"/>
    <row r="65" spans="1:12" ht="17.649999999999999" customHeight="1" x14ac:dyDescent="0.35">
      <c r="A65" s="35"/>
      <c r="B65" s="38"/>
      <c r="C65" s="37"/>
      <c r="D65" s="37"/>
      <c r="E65" s="37"/>
      <c r="F65" s="37"/>
      <c r="G65" s="35"/>
      <c r="H65" s="99"/>
      <c r="I65" s="104"/>
      <c r="J65" s="104"/>
      <c r="K65" s="104"/>
      <c r="L65" s="104"/>
    </row>
    <row r="66" spans="1:12" ht="17.649999999999999" customHeight="1" x14ac:dyDescent="0.35">
      <c r="A66" s="35"/>
      <c r="B66" s="38"/>
      <c r="C66" s="37"/>
      <c r="D66" s="37"/>
      <c r="E66" s="37"/>
      <c r="F66" s="37"/>
      <c r="G66" s="35"/>
      <c r="H66" s="97"/>
      <c r="I66" s="105"/>
      <c r="J66" s="105"/>
      <c r="K66" s="105"/>
      <c r="L66" s="105"/>
    </row>
    <row r="67" spans="1:12" ht="17.649999999999999" customHeight="1" x14ac:dyDescent="0.35">
      <c r="G67" s="35"/>
      <c r="H67" s="97"/>
      <c r="I67" s="105"/>
      <c r="J67" s="105"/>
      <c r="K67" s="105"/>
      <c r="L67" s="105"/>
    </row>
    <row r="68" spans="1:12" ht="17.649999999999999" customHeight="1" x14ac:dyDescent="0.35">
      <c r="G68" s="35"/>
      <c r="H68" s="99"/>
      <c r="I68" s="104"/>
      <c r="J68" s="104"/>
      <c r="K68" s="104"/>
      <c r="L68" s="104"/>
    </row>
    <row r="69" spans="1:12" ht="17.649999999999999" customHeight="1" x14ac:dyDescent="0.35">
      <c r="G69" s="35"/>
      <c r="H69" s="99"/>
      <c r="I69" s="104"/>
      <c r="J69" s="104"/>
      <c r="K69" s="104"/>
      <c r="L69" s="104"/>
    </row>
    <row r="70" spans="1:12" ht="17.649999999999999" customHeight="1" x14ac:dyDescent="0.35">
      <c r="G70" s="35"/>
      <c r="H70" s="99"/>
      <c r="I70" s="104"/>
      <c r="J70" s="104"/>
      <c r="K70" s="104"/>
      <c r="L70" s="104"/>
    </row>
    <row r="71" spans="1:12" ht="17.649999999999999" customHeight="1" x14ac:dyDescent="0.35">
      <c r="G71" s="35"/>
      <c r="H71" s="99"/>
      <c r="I71" s="104"/>
      <c r="J71" s="104"/>
      <c r="K71" s="104"/>
      <c r="L71" s="104"/>
    </row>
    <row r="72" spans="1:12" ht="17.649999999999999" customHeight="1" x14ac:dyDescent="0.35">
      <c r="G72" s="35"/>
      <c r="H72" s="99"/>
      <c r="I72" s="104"/>
      <c r="J72" s="104"/>
      <c r="K72" s="104"/>
      <c r="L72" s="104"/>
    </row>
    <row r="73" spans="1:12" ht="17.649999999999999" customHeight="1" x14ac:dyDescent="0.35"/>
    <row r="74" spans="1:12" ht="17.649999999999999" customHeight="1" x14ac:dyDescent="0.35">
      <c r="G74" s="35"/>
      <c r="H74" s="99"/>
      <c r="I74" s="104"/>
      <c r="J74" s="104"/>
      <c r="K74" s="104"/>
      <c r="L74" s="104"/>
    </row>
    <row r="75" spans="1:12" ht="17.649999999999999" customHeight="1" x14ac:dyDescent="0.35">
      <c r="G75" s="35"/>
      <c r="H75" s="99"/>
      <c r="I75" s="104"/>
      <c r="J75" s="104"/>
      <c r="K75" s="104"/>
      <c r="L75" s="104"/>
    </row>
    <row r="76" spans="1:12" ht="17.649999999999999" customHeight="1" x14ac:dyDescent="0.35"/>
  </sheetData>
  <printOptions horizontalCentered="1"/>
  <pageMargins left="0.23" right="0.25" top="0.74803149606299213" bottom="0.86614173228346458" header="0.31496062992125984" footer="0.31496062992125984"/>
  <pageSetup paperSize="8" scale="98" orientation="landscape" r:id="rId1"/>
  <headerFooter>
    <oddHeader>&amp;C&amp;"-,Félkövér"&amp;16Törökbálint Város Önkormányzat költségvetési mérlege 2021. év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9"/>
  <sheetViews>
    <sheetView tabSelected="1" view="pageBreakPreview" topLeftCell="A7" zoomScale="82" zoomScaleNormal="100" zoomScaleSheetLayoutView="82" workbookViewId="0">
      <selection activeCell="C1" sqref="C1"/>
    </sheetView>
  </sheetViews>
  <sheetFormatPr defaultColWidth="9.1796875" defaultRowHeight="14.5" x14ac:dyDescent="0.35"/>
  <cols>
    <col min="1" max="1" width="5.7265625" style="232" customWidth="1"/>
    <col min="2" max="2" width="42.26953125" style="268" customWidth="1"/>
    <col min="3" max="3" width="14.1796875" style="268" customWidth="1"/>
    <col min="4" max="4" width="12.453125" style="268" customWidth="1"/>
    <col min="5" max="5" width="9.7265625" style="268" customWidth="1"/>
    <col min="6" max="6" width="14.453125" style="268" customWidth="1"/>
    <col min="7" max="7" width="14.81640625" style="268" customWidth="1"/>
    <col min="8" max="8" width="12.81640625" style="268" customWidth="1"/>
    <col min="9" max="9" width="9.7265625" style="268" customWidth="1"/>
    <col min="10" max="10" width="14.453125" style="268" customWidth="1"/>
    <col min="11" max="11" width="13.7265625" style="268" hidden="1" customWidth="1"/>
    <col min="12" max="12" width="12.81640625" style="268" hidden="1" customWidth="1"/>
    <col min="13" max="13" width="8" style="268" hidden="1" customWidth="1"/>
    <col min="14" max="14" width="14.453125" style="268" hidden="1" customWidth="1"/>
    <col min="15" max="15" width="13.1796875" style="268" hidden="1" customWidth="1"/>
    <col min="16" max="16" width="12.81640625" style="268" hidden="1" customWidth="1"/>
    <col min="17" max="17" width="8" style="268" hidden="1" customWidth="1"/>
    <col min="18" max="18" width="14.453125" style="268" hidden="1" customWidth="1"/>
    <col min="19" max="19" width="16.54296875" style="268" customWidth="1"/>
    <col min="20" max="20" width="13.453125" style="268" bestFit="1" customWidth="1"/>
    <col min="21" max="16384" width="9.1796875" style="268"/>
  </cols>
  <sheetData>
    <row r="1" spans="1:19" x14ac:dyDescent="0.35">
      <c r="F1" s="394"/>
      <c r="J1" s="763" t="s">
        <v>1638</v>
      </c>
      <c r="N1" s="763" t="s">
        <v>1638</v>
      </c>
    </row>
    <row r="2" spans="1:19" ht="30.4" customHeight="1" x14ac:dyDescent="0.35">
      <c r="A2" s="1066" t="s">
        <v>305</v>
      </c>
      <c r="B2" s="1066" t="s">
        <v>470</v>
      </c>
      <c r="C2" s="1067" t="s">
        <v>1794</v>
      </c>
      <c r="D2" s="1064"/>
      <c r="E2" s="1064"/>
      <c r="F2" s="1068"/>
      <c r="G2" s="1063" t="s">
        <v>1796</v>
      </c>
      <c r="H2" s="1064"/>
      <c r="I2" s="1064"/>
      <c r="J2" s="1065"/>
      <c r="K2" s="1063" t="s">
        <v>1798</v>
      </c>
      <c r="L2" s="1064"/>
      <c r="M2" s="1064"/>
      <c r="N2" s="1065"/>
      <c r="O2" s="1063"/>
      <c r="P2" s="1064"/>
      <c r="Q2" s="1064"/>
      <c r="R2" s="1065"/>
    </row>
    <row r="3" spans="1:19" ht="58" x14ac:dyDescent="0.35">
      <c r="A3" s="1066"/>
      <c r="B3" s="1066"/>
      <c r="C3" s="542" t="s">
        <v>1289</v>
      </c>
      <c r="D3" s="476" t="s">
        <v>1290</v>
      </c>
      <c r="E3" s="476" t="s">
        <v>1291</v>
      </c>
      <c r="F3" s="476" t="s">
        <v>549</v>
      </c>
      <c r="G3" s="719" t="s">
        <v>1289</v>
      </c>
      <c r="H3" s="476" t="s">
        <v>1290</v>
      </c>
      <c r="I3" s="476" t="s">
        <v>1291</v>
      </c>
      <c r="J3" s="476" t="s">
        <v>549</v>
      </c>
      <c r="K3" s="719" t="s">
        <v>1289</v>
      </c>
      <c r="L3" s="476" t="s">
        <v>1290</v>
      </c>
      <c r="M3" s="476" t="s">
        <v>1291</v>
      </c>
      <c r="N3" s="476" t="s">
        <v>549</v>
      </c>
      <c r="O3" s="719" t="s">
        <v>1289</v>
      </c>
      <c r="P3" s="476" t="s">
        <v>1290</v>
      </c>
      <c r="Q3" s="476" t="s">
        <v>1291</v>
      </c>
      <c r="R3" s="476" t="s">
        <v>549</v>
      </c>
    </row>
    <row r="4" spans="1:19" x14ac:dyDescent="0.35">
      <c r="A4" s="502" t="s">
        <v>309</v>
      </c>
      <c r="B4" s="503" t="s">
        <v>310</v>
      </c>
      <c r="C4" s="504">
        <v>4409702560</v>
      </c>
      <c r="D4" s="515">
        <v>54236960</v>
      </c>
      <c r="E4" s="515">
        <v>0</v>
      </c>
      <c r="F4" s="515">
        <v>4463939520</v>
      </c>
      <c r="G4" s="504">
        <v>4911435659</v>
      </c>
      <c r="H4" s="515">
        <v>49236960</v>
      </c>
      <c r="I4" s="515">
        <v>0</v>
      </c>
      <c r="J4" s="515">
        <v>4960672619</v>
      </c>
      <c r="K4" s="504">
        <f>K5+K10+K18+K27</f>
        <v>2978369852</v>
      </c>
      <c r="L4" s="515">
        <f>L5+L10+L18+L27</f>
        <v>21406270</v>
      </c>
      <c r="M4" s="515">
        <f>M5+M10+M18+M27</f>
        <v>0</v>
      </c>
      <c r="N4" s="515">
        <f>SUM(K4:M4)</f>
        <v>2999776122</v>
      </c>
      <c r="O4" s="504">
        <f>O5+O10+O18+O27</f>
        <v>0</v>
      </c>
      <c r="P4" s="515">
        <f>P5+P10+P18+P27</f>
        <v>0</v>
      </c>
      <c r="Q4" s="515">
        <f>Q5+Q10+Q18+Q27</f>
        <v>0</v>
      </c>
      <c r="R4" s="515">
        <f>SUM(O4:Q4)</f>
        <v>0</v>
      </c>
      <c r="S4" s="803"/>
    </row>
    <row r="5" spans="1:19" ht="29" x14ac:dyDescent="0.35">
      <c r="A5" s="505" t="s">
        <v>311</v>
      </c>
      <c r="B5" s="506" t="s">
        <v>312</v>
      </c>
      <c r="C5" s="507">
        <v>1762448560</v>
      </c>
      <c r="D5" s="516">
        <v>12600000</v>
      </c>
      <c r="E5" s="516">
        <v>0</v>
      </c>
      <c r="F5" s="516">
        <v>1775048560</v>
      </c>
      <c r="G5" s="507">
        <v>1559181659</v>
      </c>
      <c r="H5" s="516">
        <v>12600000</v>
      </c>
      <c r="I5" s="516">
        <v>0</v>
      </c>
      <c r="J5" s="516">
        <v>1571781659</v>
      </c>
      <c r="K5" s="507">
        <f>SUM(K6:K9)</f>
        <v>501338002</v>
      </c>
      <c r="L5" s="516">
        <f>SUM(L6:L9)</f>
        <v>0</v>
      </c>
      <c r="M5" s="516">
        <f>SUM(M6:M9)</f>
        <v>0</v>
      </c>
      <c r="N5" s="516">
        <f t="shared" ref="N5:N10" si="0">SUM(K5:M5)</f>
        <v>501338002</v>
      </c>
      <c r="O5" s="507">
        <f>SUM(O6:O9)</f>
        <v>0</v>
      </c>
      <c r="P5" s="516">
        <f>SUM(P6:P9)</f>
        <v>0</v>
      </c>
      <c r="Q5" s="516">
        <f>SUM(Q6:Q9)</f>
        <v>0</v>
      </c>
      <c r="R5" s="516">
        <f t="shared" ref="R5:R10" si="1">SUM(O5:Q5)</f>
        <v>0</v>
      </c>
      <c r="S5" s="803"/>
    </row>
    <row r="6" spans="1:19" s="92" customFormat="1" x14ac:dyDescent="0.35">
      <c r="A6" s="474"/>
      <c r="B6" s="338" t="s">
        <v>471</v>
      </c>
      <c r="C6" s="450">
        <v>1712448560</v>
      </c>
      <c r="D6" s="450">
        <v>12600000</v>
      </c>
      <c r="E6" s="450">
        <v>0</v>
      </c>
      <c r="F6" s="450">
        <v>1725048560</v>
      </c>
      <c r="G6" s="450">
        <v>1413571586</v>
      </c>
      <c r="H6" s="450">
        <v>12600000</v>
      </c>
      <c r="I6" s="450">
        <v>0</v>
      </c>
      <c r="J6" s="450">
        <v>1426171586</v>
      </c>
      <c r="K6" s="450">
        <f>'2.1 melléklet'!K7</f>
        <v>472436398</v>
      </c>
      <c r="L6" s="450">
        <f>'2.1 melléklet'!L7</f>
        <v>0</v>
      </c>
      <c r="M6" s="450">
        <f>'2.1 melléklet'!M7</f>
        <v>0</v>
      </c>
      <c r="N6" s="450">
        <f t="shared" si="0"/>
        <v>472436398</v>
      </c>
      <c r="O6" s="450">
        <f>'2.1 melléklet'!O7</f>
        <v>0</v>
      </c>
      <c r="P6" s="450">
        <f>'2.1 melléklet'!P7</f>
        <v>0</v>
      </c>
      <c r="Q6" s="450">
        <f>'2.1 melléklet'!Q7</f>
        <v>0</v>
      </c>
      <c r="R6" s="450">
        <f t="shared" si="1"/>
        <v>0</v>
      </c>
      <c r="S6" s="803"/>
    </row>
    <row r="7" spans="1:19" x14ac:dyDescent="0.35">
      <c r="A7" s="474"/>
      <c r="B7" s="338" t="s">
        <v>478</v>
      </c>
      <c r="C7" s="339">
        <v>0</v>
      </c>
      <c r="D7" s="450">
        <v>0</v>
      </c>
      <c r="E7" s="450">
        <v>0</v>
      </c>
      <c r="F7" s="450">
        <v>0</v>
      </c>
      <c r="G7" s="339">
        <v>92080073</v>
      </c>
      <c r="H7" s="450">
        <v>0</v>
      </c>
      <c r="I7" s="450">
        <v>0</v>
      </c>
      <c r="J7" s="450">
        <v>92080073</v>
      </c>
      <c r="K7" s="339">
        <f>'2.1 melléklet'!K17</f>
        <v>0</v>
      </c>
      <c r="L7" s="450">
        <f>'2.1 melléklet'!L17</f>
        <v>0</v>
      </c>
      <c r="M7" s="450">
        <f>'2.1 melléklet'!M17</f>
        <v>0</v>
      </c>
      <c r="N7" s="450">
        <f t="shared" si="0"/>
        <v>0</v>
      </c>
      <c r="O7" s="339">
        <f>'2.1 melléklet'!O17</f>
        <v>0</v>
      </c>
      <c r="P7" s="450">
        <f>'2.1 melléklet'!P17</f>
        <v>0</v>
      </c>
      <c r="Q7" s="450">
        <f>'2.1 melléklet'!Q17</f>
        <v>0</v>
      </c>
      <c r="R7" s="450">
        <f t="shared" si="1"/>
        <v>0</v>
      </c>
      <c r="S7" s="803"/>
    </row>
    <row r="8" spans="1:19" ht="29" x14ac:dyDescent="0.35">
      <c r="A8" s="474"/>
      <c r="B8" s="338" t="s">
        <v>479</v>
      </c>
      <c r="C8" s="339">
        <v>0</v>
      </c>
      <c r="D8" s="450">
        <v>0</v>
      </c>
      <c r="E8" s="450">
        <v>0</v>
      </c>
      <c r="F8" s="450">
        <v>0</v>
      </c>
      <c r="G8" s="339">
        <v>0</v>
      </c>
      <c r="H8" s="450">
        <v>0</v>
      </c>
      <c r="I8" s="450">
        <v>0</v>
      </c>
      <c r="J8" s="450">
        <v>0</v>
      </c>
      <c r="K8" s="339">
        <f>'2.1 melléklet'!K18</f>
        <v>0</v>
      </c>
      <c r="L8" s="450">
        <f>'2.1 melléklet'!L18</f>
        <v>0</v>
      </c>
      <c r="M8" s="450">
        <f>'2.1 melléklet'!M18</f>
        <v>0</v>
      </c>
      <c r="N8" s="450">
        <f t="shared" si="0"/>
        <v>0</v>
      </c>
      <c r="O8" s="339">
        <f>'2.1 melléklet'!O18</f>
        <v>0</v>
      </c>
      <c r="P8" s="450">
        <f>'2.1 melléklet'!P18</f>
        <v>0</v>
      </c>
      <c r="Q8" s="450">
        <f>'2.1 melléklet'!Q18</f>
        <v>0</v>
      </c>
      <c r="R8" s="450">
        <f t="shared" si="1"/>
        <v>0</v>
      </c>
      <c r="S8" s="803"/>
    </row>
    <row r="9" spans="1:19" ht="29" x14ac:dyDescent="0.35">
      <c r="A9" s="474"/>
      <c r="B9" s="338" t="s">
        <v>480</v>
      </c>
      <c r="C9" s="339">
        <v>50000000</v>
      </c>
      <c r="D9" s="450">
        <v>0</v>
      </c>
      <c r="E9" s="450">
        <v>0</v>
      </c>
      <c r="F9" s="450">
        <v>50000000</v>
      </c>
      <c r="G9" s="339">
        <v>53530000</v>
      </c>
      <c r="H9" s="450">
        <v>0</v>
      </c>
      <c r="I9" s="450">
        <v>0</v>
      </c>
      <c r="J9" s="450">
        <v>53530000</v>
      </c>
      <c r="K9" s="339">
        <f>+'2.1 melléklet'!K19+'4.4 melléklet'!I9</f>
        <v>28901604</v>
      </c>
      <c r="L9" s="450">
        <f>'2.1 melléklet'!L19</f>
        <v>0</v>
      </c>
      <c r="M9" s="450">
        <f>'2.1 melléklet'!M19</f>
        <v>0</v>
      </c>
      <c r="N9" s="450">
        <f t="shared" si="0"/>
        <v>28901604</v>
      </c>
      <c r="O9" s="339">
        <f>'2.1 melléklet'!O19+'4.4 melléklet'!L10</f>
        <v>0</v>
      </c>
      <c r="P9" s="450">
        <f>'2.1 melléklet'!P19</f>
        <v>0</v>
      </c>
      <c r="Q9" s="450">
        <f>'2.1 melléklet'!Q19</f>
        <v>0</v>
      </c>
      <c r="R9" s="450">
        <f t="shared" si="1"/>
        <v>0</v>
      </c>
      <c r="S9" s="803"/>
    </row>
    <row r="10" spans="1:19" x14ac:dyDescent="0.35">
      <c r="A10" s="505" t="s">
        <v>322</v>
      </c>
      <c r="B10" s="506" t="s">
        <v>484</v>
      </c>
      <c r="C10" s="507">
        <v>2500000000</v>
      </c>
      <c r="D10" s="516">
        <v>0</v>
      </c>
      <c r="E10" s="516">
        <v>0</v>
      </c>
      <c r="F10" s="516">
        <v>2500000000</v>
      </c>
      <c r="G10" s="507">
        <v>3200000000</v>
      </c>
      <c r="H10" s="516">
        <v>0</v>
      </c>
      <c r="I10" s="516">
        <v>0</v>
      </c>
      <c r="J10" s="516">
        <v>3200000000</v>
      </c>
      <c r="K10" s="507">
        <f>SUM(K12:K15)</f>
        <v>2390394071</v>
      </c>
      <c r="L10" s="516">
        <f>SUM(L12:L15)</f>
        <v>0</v>
      </c>
      <c r="M10" s="516">
        <f>SUM(M12:M15)</f>
        <v>0</v>
      </c>
      <c r="N10" s="516">
        <f t="shared" si="0"/>
        <v>2390394071</v>
      </c>
      <c r="O10" s="507">
        <f>SUM(O12:O15)</f>
        <v>0</v>
      </c>
      <c r="P10" s="516">
        <f>SUM(P12:P15)</f>
        <v>0</v>
      </c>
      <c r="Q10" s="516">
        <f>SUM(Q12:Q15)</f>
        <v>0</v>
      </c>
      <c r="R10" s="516">
        <f t="shared" si="1"/>
        <v>0</v>
      </c>
      <c r="S10" s="803"/>
    </row>
    <row r="11" spans="1:19" x14ac:dyDescent="0.35">
      <c r="A11" s="799"/>
      <c r="B11" s="800" t="s">
        <v>1745</v>
      </c>
      <c r="C11" s="530"/>
      <c r="D11" s="530"/>
      <c r="E11" s="530"/>
      <c r="F11" s="530"/>
      <c r="G11" s="530"/>
      <c r="H11" s="530"/>
      <c r="I11" s="530"/>
      <c r="J11" s="530"/>
      <c r="K11" s="530"/>
      <c r="L11" s="530"/>
      <c r="M11" s="530"/>
      <c r="N11" s="530"/>
      <c r="O11" s="530"/>
      <c r="P11" s="530"/>
      <c r="Q11" s="530"/>
      <c r="R11" s="530"/>
      <c r="S11" s="803"/>
    </row>
    <row r="12" spans="1:19" x14ac:dyDescent="0.35">
      <c r="A12" s="474"/>
      <c r="B12" s="338" t="s">
        <v>485</v>
      </c>
      <c r="C12" s="339">
        <v>1100000000</v>
      </c>
      <c r="D12" s="450">
        <v>0</v>
      </c>
      <c r="E12" s="450">
        <v>0</v>
      </c>
      <c r="F12" s="450">
        <v>1100000000</v>
      </c>
      <c r="G12" s="339">
        <v>1100000000</v>
      </c>
      <c r="H12" s="450">
        <v>0</v>
      </c>
      <c r="I12" s="450">
        <v>0</v>
      </c>
      <c r="J12" s="450">
        <v>1100000000</v>
      </c>
      <c r="K12" s="339">
        <f>'2.1 melléklet'!K29</f>
        <v>495863795</v>
      </c>
      <c r="L12" s="450">
        <f>'2.1 melléklet'!L29</f>
        <v>0</v>
      </c>
      <c r="M12" s="450">
        <f>'2.1 melléklet'!M29</f>
        <v>0</v>
      </c>
      <c r="N12" s="450">
        <f t="shared" ref="N12:N44" si="2">SUM(K12:M12)</f>
        <v>495863795</v>
      </c>
      <c r="O12" s="339">
        <f>'2.1 melléklet'!O29</f>
        <v>0</v>
      </c>
      <c r="P12" s="450">
        <f>'2.1 melléklet'!P29</f>
        <v>0</v>
      </c>
      <c r="Q12" s="450">
        <f>'2.1 melléklet'!Q29</f>
        <v>0</v>
      </c>
      <c r="R12" s="450">
        <f t="shared" ref="R12:R44" si="3">SUM(O12:Q12)</f>
        <v>0</v>
      </c>
      <c r="S12" s="803"/>
    </row>
    <row r="13" spans="1:19" x14ac:dyDescent="0.35">
      <c r="A13" s="474"/>
      <c r="B13" s="338" t="s">
        <v>488</v>
      </c>
      <c r="C13" s="339">
        <v>1400000000</v>
      </c>
      <c r="D13" s="450">
        <v>0</v>
      </c>
      <c r="E13" s="450">
        <v>0</v>
      </c>
      <c r="F13" s="450">
        <v>1400000000</v>
      </c>
      <c r="G13" s="339">
        <v>2100000000</v>
      </c>
      <c r="H13" s="450">
        <v>0</v>
      </c>
      <c r="I13" s="450">
        <v>0</v>
      </c>
      <c r="J13" s="450">
        <v>2100000000</v>
      </c>
      <c r="K13" s="339">
        <f>'2.1 melléklet'!K32</f>
        <v>1886204413</v>
      </c>
      <c r="L13" s="450">
        <f>'2.1 melléklet'!L32</f>
        <v>0</v>
      </c>
      <c r="M13" s="450">
        <f>'2.1 melléklet'!M32</f>
        <v>0</v>
      </c>
      <c r="N13" s="450">
        <f t="shared" si="2"/>
        <v>1886204413</v>
      </c>
      <c r="O13" s="339">
        <f>'2.1 melléklet'!O32</f>
        <v>0</v>
      </c>
      <c r="P13" s="450">
        <f>'2.1 melléklet'!P32</f>
        <v>0</v>
      </c>
      <c r="Q13" s="450">
        <f>'2.1 melléklet'!Q32</f>
        <v>0</v>
      </c>
      <c r="R13" s="450">
        <f t="shared" si="3"/>
        <v>0</v>
      </c>
      <c r="S13" s="803"/>
    </row>
    <row r="14" spans="1:19" x14ac:dyDescent="0.35">
      <c r="A14" s="474"/>
      <c r="B14" s="338" t="s">
        <v>491</v>
      </c>
      <c r="C14" s="339">
        <v>0</v>
      </c>
      <c r="D14" s="450">
        <v>0</v>
      </c>
      <c r="E14" s="450">
        <v>0</v>
      </c>
      <c r="F14" s="450">
        <v>0</v>
      </c>
      <c r="G14" s="339">
        <v>0</v>
      </c>
      <c r="H14" s="450">
        <v>0</v>
      </c>
      <c r="I14" s="450">
        <v>0</v>
      </c>
      <c r="J14" s="450">
        <v>0</v>
      </c>
      <c r="K14" s="339">
        <f>'2.1 melléklet'!K35</f>
        <v>2361442</v>
      </c>
      <c r="L14" s="450">
        <f>'2.1 melléklet'!L35</f>
        <v>0</v>
      </c>
      <c r="M14" s="450">
        <f>'2.1 melléklet'!M35</f>
        <v>0</v>
      </c>
      <c r="N14" s="450">
        <f t="shared" si="2"/>
        <v>2361442</v>
      </c>
      <c r="O14" s="339">
        <f>'2.1 melléklet'!O35</f>
        <v>0</v>
      </c>
      <c r="P14" s="450">
        <f>'2.1 melléklet'!P35</f>
        <v>0</v>
      </c>
      <c r="Q14" s="450">
        <f>'2.1 melléklet'!Q35</f>
        <v>0</v>
      </c>
      <c r="R14" s="450">
        <f t="shared" si="3"/>
        <v>0</v>
      </c>
      <c r="S14" s="803"/>
    </row>
    <row r="15" spans="1:19" x14ac:dyDescent="0.35">
      <c r="A15" s="474"/>
      <c r="B15" s="338" t="s">
        <v>495</v>
      </c>
      <c r="C15" s="339">
        <v>0</v>
      </c>
      <c r="D15" s="450">
        <v>0</v>
      </c>
      <c r="E15" s="450">
        <v>0</v>
      </c>
      <c r="F15" s="450">
        <v>0</v>
      </c>
      <c r="G15" s="339">
        <v>0</v>
      </c>
      <c r="H15" s="450">
        <v>0</v>
      </c>
      <c r="I15" s="450">
        <v>0</v>
      </c>
      <c r="J15" s="450">
        <v>0</v>
      </c>
      <c r="K15" s="339">
        <f>K16+K17</f>
        <v>5964421</v>
      </c>
      <c r="L15" s="450">
        <f>L16+L17</f>
        <v>0</v>
      </c>
      <c r="M15" s="450">
        <f>M16+M17</f>
        <v>0</v>
      </c>
      <c r="N15" s="450">
        <f t="shared" si="2"/>
        <v>5964421</v>
      </c>
      <c r="O15" s="339">
        <f>O16+O17</f>
        <v>0</v>
      </c>
      <c r="P15" s="450">
        <f>P16+P17</f>
        <v>0</v>
      </c>
      <c r="Q15" s="450">
        <f>Q16+Q17</f>
        <v>0</v>
      </c>
      <c r="R15" s="450">
        <f t="shared" si="3"/>
        <v>0</v>
      </c>
      <c r="S15" s="803"/>
    </row>
    <row r="16" spans="1:19" x14ac:dyDescent="0.35">
      <c r="A16" s="474"/>
      <c r="B16" s="338" t="s">
        <v>496</v>
      </c>
      <c r="C16" s="339">
        <v>0</v>
      </c>
      <c r="D16" s="450">
        <v>0</v>
      </c>
      <c r="E16" s="450">
        <v>0</v>
      </c>
      <c r="F16" s="450">
        <v>0</v>
      </c>
      <c r="G16" s="339">
        <v>0</v>
      </c>
      <c r="H16" s="450">
        <v>0</v>
      </c>
      <c r="I16" s="450">
        <v>0</v>
      </c>
      <c r="J16" s="450">
        <v>0</v>
      </c>
      <c r="K16" s="339">
        <f>'2.1 melléklet'!K40+'3.1 melléklet'!K12</f>
        <v>5704421</v>
      </c>
      <c r="L16" s="450">
        <f>'2.1 melléklet'!L40+'3.1 melléklet'!L12</f>
        <v>0</v>
      </c>
      <c r="M16" s="450">
        <f>'2.1 melléklet'!M40+'3.1 melléklet'!M12</f>
        <v>0</v>
      </c>
      <c r="N16" s="450">
        <f t="shared" si="2"/>
        <v>5704421</v>
      </c>
      <c r="O16" s="339">
        <f>'2.1 melléklet'!O40+'3.1 melléklet'!O12</f>
        <v>0</v>
      </c>
      <c r="P16" s="450">
        <f>'2.1 melléklet'!P40+'3.1 melléklet'!P12</f>
        <v>0</v>
      </c>
      <c r="Q16" s="450">
        <f>'2.1 melléklet'!Q40+'3.1 melléklet'!Q12</f>
        <v>0</v>
      </c>
      <c r="R16" s="450">
        <f t="shared" si="3"/>
        <v>0</v>
      </c>
      <c r="S16" s="803"/>
    </row>
    <row r="17" spans="1:20" x14ac:dyDescent="0.35">
      <c r="A17" s="474"/>
      <c r="B17" s="338" t="s">
        <v>658</v>
      </c>
      <c r="C17" s="339">
        <v>0</v>
      </c>
      <c r="D17" s="450">
        <v>0</v>
      </c>
      <c r="E17" s="450">
        <v>0</v>
      </c>
      <c r="F17" s="450">
        <v>0</v>
      </c>
      <c r="G17" s="339">
        <v>0</v>
      </c>
      <c r="H17" s="450">
        <v>0</v>
      </c>
      <c r="I17" s="450">
        <v>0</v>
      </c>
      <c r="J17" s="450">
        <v>0</v>
      </c>
      <c r="K17" s="339">
        <f>'2.1 melléklet'!K41+'2.1 melléklet'!K42+'2.1 melléklet'!K43</f>
        <v>260000</v>
      </c>
      <c r="L17" s="450">
        <f>'2.1 melléklet'!L41+'2.1 melléklet'!L42+'2.1 melléklet'!L43</f>
        <v>0</v>
      </c>
      <c r="M17" s="450">
        <f>'2.1 melléklet'!M41+'2.1 melléklet'!M42+'2.1 melléklet'!M43</f>
        <v>0</v>
      </c>
      <c r="N17" s="450">
        <f t="shared" si="2"/>
        <v>260000</v>
      </c>
      <c r="O17" s="339">
        <f>'2.1 melléklet'!O41+'2.1 melléklet'!O42+'2.1 melléklet'!O43</f>
        <v>0</v>
      </c>
      <c r="P17" s="450">
        <f>'2.1 melléklet'!P41+'2.1 melléklet'!P42+'2.1 melléklet'!P43</f>
        <v>0</v>
      </c>
      <c r="Q17" s="450">
        <f>'2.1 melléklet'!Q41+'2.1 melléklet'!Q42+'2.1 melléklet'!Q43</f>
        <v>0</v>
      </c>
      <c r="R17" s="450">
        <f t="shared" si="3"/>
        <v>0</v>
      </c>
      <c r="S17" s="803"/>
    </row>
    <row r="18" spans="1:20" x14ac:dyDescent="0.35">
      <c r="A18" s="505" t="s">
        <v>315</v>
      </c>
      <c r="B18" s="506" t="s">
        <v>314</v>
      </c>
      <c r="C18" s="507">
        <v>147254000</v>
      </c>
      <c r="D18" s="516">
        <v>41636960</v>
      </c>
      <c r="E18" s="516">
        <v>0</v>
      </c>
      <c r="F18" s="516">
        <v>188890960</v>
      </c>
      <c r="G18" s="507">
        <v>152254000</v>
      </c>
      <c r="H18" s="516">
        <v>36636960</v>
      </c>
      <c r="I18" s="516">
        <v>0</v>
      </c>
      <c r="J18" s="516">
        <v>188890960</v>
      </c>
      <c r="K18" s="507">
        <f>SUM(K19:K26)</f>
        <v>83876062</v>
      </c>
      <c r="L18" s="516">
        <f>SUM(L19:L26)</f>
        <v>21406270</v>
      </c>
      <c r="M18" s="516">
        <f>SUM(M19:M26)</f>
        <v>0</v>
      </c>
      <c r="N18" s="516">
        <f t="shared" si="2"/>
        <v>105282332</v>
      </c>
      <c r="O18" s="507">
        <f>SUM(O19:O26)</f>
        <v>0</v>
      </c>
      <c r="P18" s="516">
        <f>SUM(P19:P26)</f>
        <v>0</v>
      </c>
      <c r="Q18" s="516">
        <f>SUM(Q19:Q26)</f>
        <v>0</v>
      </c>
      <c r="R18" s="516">
        <f t="shared" si="3"/>
        <v>0</v>
      </c>
      <c r="S18" s="803"/>
    </row>
    <row r="19" spans="1:20" x14ac:dyDescent="0.35">
      <c r="A19" s="474"/>
      <c r="B19" s="338" t="s">
        <v>500</v>
      </c>
      <c r="C19" s="339">
        <v>0</v>
      </c>
      <c r="D19" s="450">
        <v>0</v>
      </c>
      <c r="E19" s="450">
        <v>0</v>
      </c>
      <c r="F19" s="450">
        <v>0</v>
      </c>
      <c r="G19" s="339">
        <v>0</v>
      </c>
      <c r="H19" s="450">
        <v>0</v>
      </c>
      <c r="I19" s="450">
        <v>0</v>
      </c>
      <c r="J19" s="450">
        <v>0</v>
      </c>
      <c r="K19" s="339">
        <v>0</v>
      </c>
      <c r="L19" s="450">
        <v>0</v>
      </c>
      <c r="M19" s="450">
        <f>'2.1 melléklet'!M45+'3.1 melléklet'!M15</f>
        <v>0</v>
      </c>
      <c r="N19" s="450">
        <f t="shared" si="2"/>
        <v>0</v>
      </c>
      <c r="O19" s="339">
        <f>'2.1 melléklet'!O45+'3.1 melléklet'!O15+'4.8 melléklet'!M12+'4.1 melléklet'!M12+'4.2 melléklet'!M12+'4.3 melléklet'!M12+'4.4 melléklet'!M12+'4.5 melléklet'!M12+'4.6 melléklet'!M12</f>
        <v>0</v>
      </c>
      <c r="P19" s="450">
        <f>'2.1 melléklet'!P45+'3.1 melléklet'!P15+'4.8 melléklet'!N12+'4.1 melléklet'!N12+'4.2 melléklet'!N12+'4.3 melléklet'!N12+'4.4 melléklet'!N12+'4.5 melléklet'!N12+'4.6 melléklet'!N12</f>
        <v>0</v>
      </c>
      <c r="Q19" s="450">
        <f>'2.1 melléklet'!Q45+'3.1 melléklet'!Q15</f>
        <v>0</v>
      </c>
      <c r="R19" s="450">
        <f t="shared" si="3"/>
        <v>0</v>
      </c>
      <c r="S19" s="803"/>
    </row>
    <row r="20" spans="1:20" x14ac:dyDescent="0.35">
      <c r="A20" s="474"/>
      <c r="B20" s="338" t="s">
        <v>501</v>
      </c>
      <c r="C20" s="339">
        <v>55900000</v>
      </c>
      <c r="D20" s="450"/>
      <c r="E20" s="450">
        <v>0</v>
      </c>
      <c r="F20" s="450">
        <v>55900000</v>
      </c>
      <c r="G20" s="339">
        <v>55900000</v>
      </c>
      <c r="H20" s="450"/>
      <c r="I20" s="450">
        <v>0</v>
      </c>
      <c r="J20" s="450">
        <v>55900000</v>
      </c>
      <c r="K20" s="339">
        <f>+'2.1 melléklet'!K46+'3.1 melléklet'!K16+'4.1 melléklet'!I13+'4.2 melléklet'!I13+'4.3 melléklet'!I13+'4.4 melléklet'!I13+'4.5 melléklet'!I13+'4.6 melléklet'!I13+'4.7 melléklet'!I13+'4.8 melléklet'!I13</f>
        <v>22852198</v>
      </c>
      <c r="L20" s="450"/>
      <c r="M20" s="450">
        <f>'2.1 melléklet'!M46+'3.1 melléklet'!M16</f>
        <v>0</v>
      </c>
      <c r="N20" s="450">
        <f t="shared" si="2"/>
        <v>22852198</v>
      </c>
      <c r="O20" s="339">
        <f>'2.1 melléklet'!O46+'3.1 melléklet'!O16+'4.8 melléklet'!M13+'4.1 melléklet'!M13+'4.2 melléklet'!M13+'4.3 melléklet'!M13+'4.4 melléklet'!M13+'4.5 melléklet'!M13+'4.6 melléklet'!M13</f>
        <v>0</v>
      </c>
      <c r="P20" s="450">
        <f>'2.1 melléklet'!P46+'3.1 melléklet'!P16+'4.8 melléklet'!N13+'4.1 melléklet'!N13+'4.2 melléklet'!N13+'4.3 melléklet'!N13+'4.4 melléklet'!N13+'4.5 melléklet'!N13+'4.6 melléklet'!N13</f>
        <v>0</v>
      </c>
      <c r="Q20" s="450">
        <f>'2.1 melléklet'!Q46+'3.1 melléklet'!Q16</f>
        <v>0</v>
      </c>
      <c r="R20" s="450">
        <f t="shared" si="3"/>
        <v>0</v>
      </c>
      <c r="S20" s="803"/>
    </row>
    <row r="21" spans="1:20" x14ac:dyDescent="0.35">
      <c r="A21" s="474"/>
      <c r="B21" s="338" t="s">
        <v>504</v>
      </c>
      <c r="C21" s="339">
        <v>2000000</v>
      </c>
      <c r="D21" s="450">
        <v>28848000</v>
      </c>
      <c r="E21" s="450">
        <v>0</v>
      </c>
      <c r="F21" s="450">
        <v>30848000</v>
      </c>
      <c r="G21" s="339">
        <v>2000000</v>
      </c>
      <c r="H21" s="339">
        <v>28848000</v>
      </c>
      <c r="I21" s="450">
        <v>0</v>
      </c>
      <c r="J21" s="450">
        <v>30848000</v>
      </c>
      <c r="K21" s="339">
        <f>+'2.1 melléklet'!K49+'3.1 melléklet'!K17+'4.1 melléklet'!I14+'4.2 melléklet'!I14+'4.3 melléklet'!I14+'4.4 melléklet'!I14+'4.5 melléklet'!I14+'4.6 melléklet'!I14+'4.7 melléklet'!I14+'4.8 melléklet'!I14</f>
        <v>0</v>
      </c>
      <c r="L21" s="339">
        <f>+'2.1 melléklet'!L49</f>
        <v>14423774</v>
      </c>
      <c r="M21" s="450">
        <f>'2.1 melléklet'!M49+'3.1 melléklet'!M17</f>
        <v>0</v>
      </c>
      <c r="N21" s="450">
        <f t="shared" si="2"/>
        <v>14423774</v>
      </c>
      <c r="O21" s="339">
        <f>'2.1 melléklet'!O49+'3.1 melléklet'!O17+'4.8 melléklet'!M14+'4.1 melléklet'!M14+'4.2 melléklet'!M14+'4.3 melléklet'!M14+'4.4 melléklet'!M14+'4.5 melléklet'!M14+'4.6 melléklet'!M14</f>
        <v>0</v>
      </c>
      <c r="P21" s="450">
        <f>'2.1 melléklet'!P49+'3.1 melléklet'!P17+'4.8 melléklet'!N14+'4.1 melléklet'!N14+'4.2 melléklet'!N14+'4.3 melléklet'!N14+'4.4 melléklet'!N14+'4.5 melléklet'!N14+'4.6 melléklet'!N14</f>
        <v>0</v>
      </c>
      <c r="Q21" s="450">
        <f>'2.1 melléklet'!Q49+'3.1 melléklet'!Q17</f>
        <v>0</v>
      </c>
      <c r="R21" s="450">
        <f t="shared" si="3"/>
        <v>0</v>
      </c>
      <c r="S21" s="803"/>
    </row>
    <row r="22" spans="1:20" x14ac:dyDescent="0.35">
      <c r="A22" s="474"/>
      <c r="B22" s="338" t="s">
        <v>507</v>
      </c>
      <c r="C22" s="339">
        <v>63700000</v>
      </c>
      <c r="D22" s="450"/>
      <c r="E22" s="450">
        <v>0</v>
      </c>
      <c r="F22" s="450">
        <v>63700000</v>
      </c>
      <c r="G22" s="339">
        <v>63700000</v>
      </c>
      <c r="H22" s="450"/>
      <c r="I22" s="450">
        <v>0</v>
      </c>
      <c r="J22" s="450">
        <v>63700000</v>
      </c>
      <c r="K22" s="339">
        <f>+'2.1 melléklet'!K50+'3.1 melléklet'!K18+'4.1 melléklet'!I15+'4.2 melléklet'!I15+'4.3 melléklet'!I15+'4.4 melléklet'!I15+'4.5 melléklet'!I15+'4.6 melléklet'!I15+'4.7 melléklet'!I15+'4.8 melléklet'!I15</f>
        <v>29901900</v>
      </c>
      <c r="L22" s="450"/>
      <c r="M22" s="450">
        <f>'2.1 melléklet'!M53+'3.1 melléklet'!M18</f>
        <v>0</v>
      </c>
      <c r="N22" s="450">
        <f t="shared" si="2"/>
        <v>29901900</v>
      </c>
      <c r="O22" s="339">
        <f>'2.1 melléklet'!O53+'3.1 melléklet'!O18+'4.8 melléklet'!M15+'4.1 melléklet'!M15+'4.2 melléklet'!M15+'4.3 melléklet'!M15+'4.4 melléklet'!M15+'4.5 melléklet'!M15+'4.6 melléklet'!M15+'4.7 melléklet'!M15</f>
        <v>0</v>
      </c>
      <c r="P22" s="450">
        <f>'2.1 melléklet'!P53+'3.1 melléklet'!P18+'4.8 melléklet'!N15+'4.1 melléklet'!N15+'4.2 melléklet'!N15+'4.3 melléklet'!N15+'4.4 melléklet'!N15+'4.5 melléklet'!N15+'4.6 melléklet'!N15+'4.7 melléklet'!N15</f>
        <v>0</v>
      </c>
      <c r="Q22" s="450">
        <f>'2.1 melléklet'!Q53+'3.1 melléklet'!Q18</f>
        <v>0</v>
      </c>
      <c r="R22" s="450">
        <f t="shared" si="3"/>
        <v>0</v>
      </c>
      <c r="S22" s="803"/>
    </row>
    <row r="23" spans="1:20" x14ac:dyDescent="0.35">
      <c r="A23" s="474"/>
      <c r="B23" s="338" t="s">
        <v>508</v>
      </c>
      <c r="C23" s="339">
        <v>21654000</v>
      </c>
      <c r="D23" s="450">
        <v>7788960</v>
      </c>
      <c r="E23" s="450">
        <v>0</v>
      </c>
      <c r="F23" s="450">
        <v>29442960</v>
      </c>
      <c r="G23" s="339">
        <v>21654000</v>
      </c>
      <c r="H23" s="339">
        <v>7788960</v>
      </c>
      <c r="I23" s="450">
        <v>0</v>
      </c>
      <c r="J23" s="450">
        <v>29442960</v>
      </c>
      <c r="K23" s="339">
        <f>+'2.1 melléklet'!K54+'3.1 melléklet'!K19+'4.1 melléklet'!I16+'4.2 melléklet'!I16+'4.3 melléklet'!I16+'4.4 melléklet'!I16+'4.5 melléklet'!I16+'4.6 melléklet'!I16+'4.7 melléklet'!I16+'4.8 melléklet'!I16</f>
        <v>23640827</v>
      </c>
      <c r="L23" s="339">
        <f>+'2.1 melléklet'!L54</f>
        <v>6966116</v>
      </c>
      <c r="M23" s="450">
        <f>'2.1 melléklet'!M54+'3.1 melléklet'!M19</f>
        <v>0</v>
      </c>
      <c r="N23" s="450">
        <f t="shared" si="2"/>
        <v>30606943</v>
      </c>
      <c r="O23" s="339">
        <f>'2.1 melléklet'!O54+'3.1 melléklet'!O19+'4.8 melléklet'!M16+'4.1 melléklet'!M16+'4.2 melléklet'!M16+'4.3 melléklet'!M16+'4.4 melléklet'!M16+'4.5 melléklet'!M16+'4.6 melléklet'!M16+'4.7 melléklet'!M16</f>
        <v>0</v>
      </c>
      <c r="P23" s="450">
        <f>'2.1 melléklet'!P54+'3.1 melléklet'!P19+'4.8 melléklet'!N16+'4.1 melléklet'!N16+'4.2 melléklet'!N16+'4.3 melléklet'!N16+'4.4 melléklet'!N16+'4.5 melléklet'!N16+'4.6 melléklet'!N16+'4.7 melléklet'!N16</f>
        <v>0</v>
      </c>
      <c r="Q23" s="450">
        <f>'2.1 melléklet'!Q54+'3.1 melléklet'!Q19</f>
        <v>0</v>
      </c>
      <c r="R23" s="450">
        <f t="shared" si="3"/>
        <v>0</v>
      </c>
      <c r="S23" s="803"/>
    </row>
    <row r="24" spans="1:20" x14ac:dyDescent="0.35">
      <c r="A24" s="474"/>
      <c r="B24" s="338" t="s">
        <v>509</v>
      </c>
      <c r="C24" s="339">
        <v>0</v>
      </c>
      <c r="D24" s="450">
        <v>5000000</v>
      </c>
      <c r="E24" s="450">
        <v>0</v>
      </c>
      <c r="F24" s="450">
        <v>5000000</v>
      </c>
      <c r="G24" s="339">
        <v>5000000</v>
      </c>
      <c r="H24" s="450"/>
      <c r="I24" s="450">
        <v>0</v>
      </c>
      <c r="J24" s="450">
        <v>5000000</v>
      </c>
      <c r="K24" s="339">
        <f>+'2.1 melléklet'!K55+'3.1 melléklet'!K20+'4.1 melléklet'!I17+'4.2 melléklet'!I17+'4.3 melléklet'!I17+'4.4 melléklet'!I17+'4.5 melléklet'!I17+'4.6 melléklet'!I17+'4.7 melléklet'!I17+'4.8 melléklet'!I17</f>
        <v>3097000</v>
      </c>
      <c r="L24" s="450"/>
      <c r="M24" s="450">
        <f>'2.1 melléklet'!M55+'3.1 melléklet'!M20</f>
        <v>0</v>
      </c>
      <c r="N24" s="450">
        <f t="shared" si="2"/>
        <v>3097000</v>
      </c>
      <c r="O24" s="339">
        <f>'2.1 melléklet'!O55+'3.1 melléklet'!O20+'4.8 melléklet'!M17+'4.1 melléklet'!M17+'4.2 melléklet'!M17+'4.3 melléklet'!M17+'4.4 melléklet'!M17+'4.5 melléklet'!M17+'4.6 melléklet'!M17</f>
        <v>0</v>
      </c>
      <c r="P24" s="450">
        <f>'2.1 melléklet'!P55+'3.1 melléklet'!P20+'4.8 melléklet'!N17+'4.1 melléklet'!N17+'4.2 melléklet'!N17+'4.3 melléklet'!N17+'4.4 melléklet'!N17+'4.5 melléklet'!N17+'4.6 melléklet'!N17</f>
        <v>0</v>
      </c>
      <c r="Q24" s="450">
        <f>'2.1 melléklet'!Q55+'3.1 melléklet'!Q20</f>
        <v>0</v>
      </c>
      <c r="R24" s="450">
        <f t="shared" si="3"/>
        <v>0</v>
      </c>
      <c r="S24" s="803"/>
    </row>
    <row r="25" spans="1:20" x14ac:dyDescent="0.35">
      <c r="A25" s="474"/>
      <c r="B25" s="338" t="s">
        <v>510</v>
      </c>
      <c r="C25" s="339">
        <v>0</v>
      </c>
      <c r="D25" s="450">
        <v>0</v>
      </c>
      <c r="E25" s="450">
        <v>0</v>
      </c>
      <c r="F25" s="450">
        <v>0</v>
      </c>
      <c r="G25" s="339">
        <v>0</v>
      </c>
      <c r="H25" s="450"/>
      <c r="I25" s="450">
        <v>0</v>
      </c>
      <c r="J25" s="450">
        <v>0</v>
      </c>
      <c r="K25" s="339">
        <f>+'2.1 melléklet'!K56+'3.1 melléklet'!K21+'4.1 melléklet'!I18+'4.2 melléklet'!I18+'4.3 melléklet'!I18+'4.4 melléklet'!I18+'4.5 melléklet'!I18+'4.6 melléklet'!I18+'4.7 melléklet'!I18+'4.8 melléklet'!I18</f>
        <v>0</v>
      </c>
      <c r="L25" s="450"/>
      <c r="M25" s="450">
        <f>'2.1 melléklet'!M56+'3.1 melléklet'!M21</f>
        <v>0</v>
      </c>
      <c r="N25" s="450">
        <f t="shared" si="2"/>
        <v>0</v>
      </c>
      <c r="O25" s="339">
        <f>'2.1 melléklet'!O56+'3.1 melléklet'!O21+'4.8 melléklet'!M18+'4.1 melléklet'!M18+'4.2 melléklet'!M18+'4.3 melléklet'!M18+'4.4 melléklet'!M18+'4.5 melléklet'!M18+'4.6 melléklet'!M18</f>
        <v>0</v>
      </c>
      <c r="P25" s="450">
        <f>'2.1 melléklet'!P56+'3.1 melléklet'!P21+'4.8 melléklet'!N18+'4.1 melléklet'!N18+'4.2 melléklet'!N18+'4.3 melléklet'!N18+'4.4 melléklet'!N18+'4.5 melléklet'!N18+'4.6 melléklet'!N18</f>
        <v>0</v>
      </c>
      <c r="Q25" s="450">
        <f>'2.1 melléklet'!Q56+'3.1 melléklet'!Q21</f>
        <v>0</v>
      </c>
      <c r="R25" s="450">
        <f t="shared" si="3"/>
        <v>0</v>
      </c>
      <c r="S25" s="803"/>
    </row>
    <row r="26" spans="1:20" x14ac:dyDescent="0.35">
      <c r="A26" s="474"/>
      <c r="B26" s="338" t="s">
        <v>511</v>
      </c>
      <c r="C26" s="339">
        <v>4000000</v>
      </c>
      <c r="D26" s="450">
        <v>0</v>
      </c>
      <c r="E26" s="450">
        <v>0</v>
      </c>
      <c r="F26" s="450">
        <v>4000000</v>
      </c>
      <c r="G26" s="339">
        <v>4000000</v>
      </c>
      <c r="H26" s="450"/>
      <c r="I26" s="450">
        <v>0</v>
      </c>
      <c r="J26" s="450">
        <v>4000000</v>
      </c>
      <c r="K26" s="339">
        <f>+'2.1 melléklet'!K57+'3.1 melléklet'!K22+'4.1 melléklet'!I19+'4.2 melléklet'!I19+'4.3 melléklet'!I19+'4.4 melléklet'!I19+'4.5 melléklet'!I19+'4.6 melléklet'!I19+'4.7 melléklet'!I19+'4.8 melléklet'!I19</f>
        <v>4384137</v>
      </c>
      <c r="L26" s="339">
        <f>+'2.1 melléklet'!L57+'3.1 melléklet'!L22+'4.1 melléklet'!J19+'4.2 melléklet'!J19+'4.3 melléklet'!J19+'4.4 melléklet'!J19+'4.5 melléklet'!J19+'4.6 melléklet'!J19+'4.7 melléklet'!J19+'4.8 melléklet'!J19</f>
        <v>16380</v>
      </c>
      <c r="M26" s="450">
        <f>'2.1 melléklet'!M57+'3.1 melléklet'!M22</f>
        <v>0</v>
      </c>
      <c r="N26" s="450">
        <f t="shared" si="2"/>
        <v>4400517</v>
      </c>
      <c r="O26" s="339">
        <f>'2.1 melléklet'!O57+'3.1 melléklet'!O22+'4.8 melléklet'!M19+'4.1 melléklet'!M19+'4.2 melléklet'!M19+'4.3 melléklet'!M19+'4.4 melléklet'!M19+'4.5 melléklet'!M19+'4.6 melléklet'!M19</f>
        <v>0</v>
      </c>
      <c r="P26" s="450">
        <f>'2.1 melléklet'!P57+'3.1 melléklet'!P22+'4.8 melléklet'!N19+'4.1 melléklet'!N19+'4.2 melléklet'!N19+'4.3 melléklet'!N19+'4.4 melléklet'!N19+'4.5 melléklet'!N19+'4.6 melléklet'!N19</f>
        <v>0</v>
      </c>
      <c r="Q26" s="450">
        <f>'2.1 melléklet'!Q57+'3.1 melléklet'!Q22</f>
        <v>0</v>
      </c>
      <c r="R26" s="450">
        <f t="shared" si="3"/>
        <v>0</v>
      </c>
      <c r="S26" s="803"/>
    </row>
    <row r="27" spans="1:20" x14ac:dyDescent="0.35">
      <c r="A27" s="505" t="s">
        <v>336</v>
      </c>
      <c r="B27" s="506" t="s">
        <v>316</v>
      </c>
      <c r="C27" s="507">
        <v>0</v>
      </c>
      <c r="D27" s="516">
        <v>0</v>
      </c>
      <c r="E27" s="516">
        <v>0</v>
      </c>
      <c r="F27" s="516">
        <v>0</v>
      </c>
      <c r="G27" s="507">
        <v>0</v>
      </c>
      <c r="H27" s="516">
        <v>0</v>
      </c>
      <c r="I27" s="516">
        <v>0</v>
      </c>
      <c r="J27" s="516">
        <v>0</v>
      </c>
      <c r="K27" s="507">
        <f>SUM(K28:K29)</f>
        <v>2761717</v>
      </c>
      <c r="L27" s="516">
        <f>SUM(L28:L29)</f>
        <v>0</v>
      </c>
      <c r="M27" s="516">
        <f>SUM(M28:M29)</f>
        <v>0</v>
      </c>
      <c r="N27" s="516">
        <f t="shared" si="2"/>
        <v>2761717</v>
      </c>
      <c r="O27" s="507">
        <f>SUM(O28:O29)</f>
        <v>0</v>
      </c>
      <c r="P27" s="516">
        <f>SUM(P28:P29)</f>
        <v>0</v>
      </c>
      <c r="Q27" s="516">
        <f>SUM(Q28:Q29)</f>
        <v>0</v>
      </c>
      <c r="R27" s="516">
        <f t="shared" si="3"/>
        <v>0</v>
      </c>
      <c r="S27" s="803"/>
    </row>
    <row r="28" spans="1:20" ht="30" customHeight="1" x14ac:dyDescent="0.35">
      <c r="A28" s="474"/>
      <c r="B28" s="338" t="s">
        <v>512</v>
      </c>
      <c r="C28" s="339">
        <v>0</v>
      </c>
      <c r="D28" s="450">
        <v>0</v>
      </c>
      <c r="E28" s="450">
        <v>0</v>
      </c>
      <c r="F28" s="450">
        <v>0</v>
      </c>
      <c r="G28" s="339">
        <v>0</v>
      </c>
      <c r="H28" s="450">
        <v>0</v>
      </c>
      <c r="I28" s="450">
        <v>0</v>
      </c>
      <c r="J28" s="450">
        <v>0</v>
      </c>
      <c r="K28" s="339">
        <f>'2.1 melléklet'!K59</f>
        <v>0</v>
      </c>
      <c r="L28" s="450">
        <f>'2.1 melléklet'!L59</f>
        <v>0</v>
      </c>
      <c r="M28" s="450">
        <f>'2.1 melléklet'!M59</f>
        <v>0</v>
      </c>
      <c r="N28" s="450">
        <f t="shared" si="2"/>
        <v>0</v>
      </c>
      <c r="O28" s="339">
        <f>'2.1 melléklet'!O59</f>
        <v>0</v>
      </c>
      <c r="P28" s="450">
        <f>'2.1 melléklet'!P59</f>
        <v>0</v>
      </c>
      <c r="Q28" s="450">
        <f>'2.1 melléklet'!Q59</f>
        <v>0</v>
      </c>
      <c r="R28" s="450">
        <f t="shared" si="3"/>
        <v>0</v>
      </c>
      <c r="S28" s="803"/>
    </row>
    <row r="29" spans="1:20" ht="30" customHeight="1" x14ac:dyDescent="0.35">
      <c r="A29" s="474"/>
      <c r="B29" s="338" t="s">
        <v>513</v>
      </c>
      <c r="C29" s="339">
        <v>0</v>
      </c>
      <c r="D29" s="450">
        <v>0</v>
      </c>
      <c r="E29" s="450">
        <v>0</v>
      </c>
      <c r="F29" s="450">
        <v>0</v>
      </c>
      <c r="G29" s="339">
        <v>0</v>
      </c>
      <c r="H29" s="339">
        <v>0</v>
      </c>
      <c r="I29" s="450">
        <v>0</v>
      </c>
      <c r="J29" s="450">
        <v>0</v>
      </c>
      <c r="K29" s="339">
        <f>'2.1 melléklet'!K60+'3.1 melléklet'!K24+'4.8 melléklet'!K21+'4.1 melléklet'!K21+'4.2 melléklet'!K21+'4.3 melléklet'!K21+'4.4 melléklet'!K21+'4.5 melléklet'!K21+'4.6 melléklet'!K21</f>
        <v>2761717</v>
      </c>
      <c r="L29" s="450">
        <f>'2.1 melléklet'!L60+'3.1 melléklet'!L24+'4.8 melléklet'!L21+'4.1 melléklet'!L21+'4.2 melléklet'!L21+'4.3 melléklet'!L21+'4.4 melléklet'!L21+'4.5 melléklet'!L21+'4.6 melléklet'!L21</f>
        <v>0</v>
      </c>
      <c r="M29" s="450">
        <f>'2.1 melléklet'!M60+'3.1 melléklet'!M24</f>
        <v>0</v>
      </c>
      <c r="N29" s="450">
        <f t="shared" si="2"/>
        <v>2761717</v>
      </c>
      <c r="O29" s="339">
        <f>'2.1 melléklet'!O60+'3.1 melléklet'!O24</f>
        <v>0</v>
      </c>
      <c r="P29" s="450">
        <f>'2.1 melléklet'!P60+'3.1 melléklet'!P24</f>
        <v>0</v>
      </c>
      <c r="Q29" s="450">
        <f>'2.1 melléklet'!Q60+'3.1 melléklet'!Q24</f>
        <v>0</v>
      </c>
      <c r="R29" s="450">
        <f t="shared" si="3"/>
        <v>0</v>
      </c>
      <c r="S29" s="803"/>
    </row>
    <row r="30" spans="1:20" x14ac:dyDescent="0.35">
      <c r="A30" s="502" t="s">
        <v>318</v>
      </c>
      <c r="B30" s="503" t="s">
        <v>319</v>
      </c>
      <c r="C30" s="504">
        <v>100000000</v>
      </c>
      <c r="D30" s="515">
        <v>901655</v>
      </c>
      <c r="E30" s="515">
        <v>0</v>
      </c>
      <c r="F30" s="515">
        <v>100901655</v>
      </c>
      <c r="G30" s="504">
        <v>100000000</v>
      </c>
      <c r="H30" s="515">
        <v>901655</v>
      </c>
      <c r="I30" s="515">
        <v>0</v>
      </c>
      <c r="J30" s="515">
        <v>100901655</v>
      </c>
      <c r="K30" s="504">
        <f>K31+K35+K40</f>
        <v>0</v>
      </c>
      <c r="L30" s="515">
        <f>L31+L35+L40</f>
        <v>12761153</v>
      </c>
      <c r="M30" s="515">
        <f>M31+M35+M40</f>
        <v>0</v>
      </c>
      <c r="N30" s="515">
        <f t="shared" si="2"/>
        <v>12761153</v>
      </c>
      <c r="O30" s="504">
        <f>O31+O35+O40</f>
        <v>0</v>
      </c>
      <c r="P30" s="515">
        <f>P31+P35+P40</f>
        <v>0</v>
      </c>
      <c r="Q30" s="515">
        <f>Q31+Q35+Q40</f>
        <v>0</v>
      </c>
      <c r="R30" s="515">
        <f t="shared" si="3"/>
        <v>0</v>
      </c>
      <c r="S30" s="803"/>
      <c r="T30" s="803"/>
    </row>
    <row r="31" spans="1:20" ht="29" x14ac:dyDescent="0.35">
      <c r="A31" s="505" t="s">
        <v>311</v>
      </c>
      <c r="B31" s="506" t="s">
        <v>320</v>
      </c>
      <c r="C31" s="507">
        <v>0</v>
      </c>
      <c r="D31" s="516">
        <v>0</v>
      </c>
      <c r="E31" s="516">
        <v>0</v>
      </c>
      <c r="F31" s="516">
        <v>0</v>
      </c>
      <c r="G31" s="507">
        <v>0</v>
      </c>
      <c r="H31" s="516">
        <v>0</v>
      </c>
      <c r="I31" s="516">
        <v>0</v>
      </c>
      <c r="J31" s="516">
        <v>0</v>
      </c>
      <c r="K31" s="507">
        <f>SUM(K32:K34)</f>
        <v>0</v>
      </c>
      <c r="L31" s="516">
        <f>SUM(L32:L34)</f>
        <v>0</v>
      </c>
      <c r="M31" s="516">
        <f>SUM(M32:M34)</f>
        <v>0</v>
      </c>
      <c r="N31" s="516">
        <f t="shared" si="2"/>
        <v>0</v>
      </c>
      <c r="O31" s="507">
        <f>SUM(O32:O34)</f>
        <v>0</v>
      </c>
      <c r="P31" s="516">
        <f>SUM(P32:P34)</f>
        <v>0</v>
      </c>
      <c r="Q31" s="516">
        <f>SUM(Q32:Q34)</f>
        <v>0</v>
      </c>
      <c r="R31" s="516">
        <f t="shared" si="3"/>
        <v>0</v>
      </c>
      <c r="S31" s="803"/>
    </row>
    <row r="32" spans="1:20" ht="29" x14ac:dyDescent="0.35">
      <c r="A32" s="474"/>
      <c r="B32" s="257" t="s">
        <v>514</v>
      </c>
      <c r="C32" s="492">
        <v>0</v>
      </c>
      <c r="D32" s="466">
        <v>0</v>
      </c>
      <c r="E32" s="466">
        <v>0</v>
      </c>
      <c r="F32" s="466">
        <v>0</v>
      </c>
      <c r="G32" s="492">
        <v>0</v>
      </c>
      <c r="H32" s="466">
        <v>0</v>
      </c>
      <c r="I32" s="466">
        <v>0</v>
      </c>
      <c r="J32" s="466">
        <v>0</v>
      </c>
      <c r="K32" s="492">
        <f>'2.1 melléklet'!K67</f>
        <v>0</v>
      </c>
      <c r="L32" s="466">
        <f>'2.1 melléklet'!L67</f>
        <v>0</v>
      </c>
      <c r="M32" s="466">
        <f>'2.1 melléklet'!M67</f>
        <v>0</v>
      </c>
      <c r="N32" s="466">
        <f t="shared" si="2"/>
        <v>0</v>
      </c>
      <c r="O32" s="492">
        <f>'2.1 melléklet'!O67</f>
        <v>0</v>
      </c>
      <c r="P32" s="466">
        <f>'2.1 melléklet'!P67</f>
        <v>0</v>
      </c>
      <c r="Q32" s="466">
        <f>'2.1 melléklet'!Q67</f>
        <v>0</v>
      </c>
      <c r="R32" s="466">
        <f t="shared" si="3"/>
        <v>0</v>
      </c>
      <c r="S32" s="803"/>
    </row>
    <row r="33" spans="1:20" ht="29" x14ac:dyDescent="0.35">
      <c r="A33" s="474"/>
      <c r="B33" s="257" t="s">
        <v>515</v>
      </c>
      <c r="C33" s="492">
        <v>0</v>
      </c>
      <c r="D33" s="466">
        <v>0</v>
      </c>
      <c r="E33" s="466">
        <v>0</v>
      </c>
      <c r="F33" s="466">
        <v>0</v>
      </c>
      <c r="G33" s="492">
        <v>0</v>
      </c>
      <c r="H33" s="466">
        <v>0</v>
      </c>
      <c r="I33" s="466">
        <v>0</v>
      </c>
      <c r="J33" s="466">
        <v>0</v>
      </c>
      <c r="K33" s="492">
        <f>'2.1 melléklet'!K68</f>
        <v>0</v>
      </c>
      <c r="L33" s="466">
        <f>'2.1 melléklet'!L68</f>
        <v>0</v>
      </c>
      <c r="M33" s="466">
        <f>'2.1 melléklet'!M68</f>
        <v>0</v>
      </c>
      <c r="N33" s="466">
        <f t="shared" si="2"/>
        <v>0</v>
      </c>
      <c r="O33" s="492">
        <f>'2.1 melléklet'!O68</f>
        <v>0</v>
      </c>
      <c r="P33" s="466">
        <f>'2.1 melléklet'!P68</f>
        <v>0</v>
      </c>
      <c r="Q33" s="466">
        <f>'2.1 melléklet'!Q68</f>
        <v>0</v>
      </c>
      <c r="R33" s="466">
        <f t="shared" si="3"/>
        <v>0</v>
      </c>
      <c r="S33" s="803"/>
    </row>
    <row r="34" spans="1:20" ht="29" x14ac:dyDescent="0.35">
      <c r="A34" s="474"/>
      <c r="B34" s="257" t="s">
        <v>516</v>
      </c>
      <c r="C34" s="492">
        <v>0</v>
      </c>
      <c r="D34" s="466">
        <v>0</v>
      </c>
      <c r="E34" s="466">
        <v>0</v>
      </c>
      <c r="F34" s="466">
        <v>0</v>
      </c>
      <c r="G34" s="492">
        <v>0</v>
      </c>
      <c r="H34" s="466">
        <v>0</v>
      </c>
      <c r="I34" s="466">
        <v>0</v>
      </c>
      <c r="J34" s="466">
        <v>0</v>
      </c>
      <c r="K34" s="492">
        <f>'2.1 melléklet'!K69</f>
        <v>0</v>
      </c>
      <c r="L34" s="466">
        <f>'2.1 melléklet'!L69</f>
        <v>0</v>
      </c>
      <c r="M34" s="466">
        <f>'2.1 melléklet'!M69</f>
        <v>0</v>
      </c>
      <c r="N34" s="466">
        <f t="shared" si="2"/>
        <v>0</v>
      </c>
      <c r="O34" s="492"/>
      <c r="P34" s="466">
        <f>'2.1 melléklet'!P69</f>
        <v>0</v>
      </c>
      <c r="Q34" s="466">
        <f>'2.1 melléklet'!Q69</f>
        <v>0</v>
      </c>
      <c r="R34" s="466">
        <f t="shared" si="3"/>
        <v>0</v>
      </c>
      <c r="S34" s="803"/>
    </row>
    <row r="35" spans="1:20" x14ac:dyDescent="0.35">
      <c r="A35" s="505" t="s">
        <v>322</v>
      </c>
      <c r="B35" s="506" t="s">
        <v>257</v>
      </c>
      <c r="C35" s="507">
        <v>100000000</v>
      </c>
      <c r="D35" s="516">
        <v>0</v>
      </c>
      <c r="E35" s="516">
        <v>0</v>
      </c>
      <c r="F35" s="516">
        <v>100000000</v>
      </c>
      <c r="G35" s="507">
        <v>100000000</v>
      </c>
      <c r="H35" s="516">
        <v>0</v>
      </c>
      <c r="I35" s="516">
        <v>0</v>
      </c>
      <c r="J35" s="516">
        <v>100000000</v>
      </c>
      <c r="K35" s="507">
        <f>SUM(K36:K39)</f>
        <v>0</v>
      </c>
      <c r="L35" s="516">
        <f>SUM(L36:L39)</f>
        <v>822270</v>
      </c>
      <c r="M35" s="516">
        <f>SUM(M36:M39)</f>
        <v>0</v>
      </c>
      <c r="N35" s="516">
        <f t="shared" si="2"/>
        <v>822270</v>
      </c>
      <c r="O35" s="507">
        <f>SUM(O36:O39)</f>
        <v>0</v>
      </c>
      <c r="P35" s="516">
        <f>SUM(P36:P39)</f>
        <v>0</v>
      </c>
      <c r="Q35" s="516">
        <f>SUM(Q36:Q39)</f>
        <v>0</v>
      </c>
      <c r="R35" s="516">
        <f t="shared" si="3"/>
        <v>0</v>
      </c>
      <c r="S35" s="803"/>
    </row>
    <row r="36" spans="1:20" x14ac:dyDescent="0.35">
      <c r="A36" s="474"/>
      <c r="B36" s="257" t="s">
        <v>323</v>
      </c>
      <c r="C36" s="492">
        <v>0</v>
      </c>
      <c r="D36" s="466">
        <v>0</v>
      </c>
      <c r="E36" s="466">
        <v>0</v>
      </c>
      <c r="F36" s="466">
        <v>0</v>
      </c>
      <c r="G36" s="492">
        <v>0</v>
      </c>
      <c r="H36" s="466">
        <v>0</v>
      </c>
      <c r="I36" s="466">
        <v>0</v>
      </c>
      <c r="J36" s="466">
        <v>0</v>
      </c>
      <c r="K36" s="492">
        <f>'2.1 melléklet'!K71</f>
        <v>0</v>
      </c>
      <c r="L36" s="466">
        <f>'2.1 melléklet'!L71</f>
        <v>0</v>
      </c>
      <c r="M36" s="466">
        <f>'2.1 melléklet'!M71</f>
        <v>0</v>
      </c>
      <c r="N36" s="466">
        <f t="shared" si="2"/>
        <v>0</v>
      </c>
      <c r="O36" s="492">
        <f>'2.1 melléklet'!O71</f>
        <v>0</v>
      </c>
      <c r="P36" s="466">
        <f>'2.1 melléklet'!P71</f>
        <v>0</v>
      </c>
      <c r="Q36" s="466">
        <f>'2.1 melléklet'!Q71</f>
        <v>0</v>
      </c>
      <c r="R36" s="466">
        <f t="shared" si="3"/>
        <v>0</v>
      </c>
      <c r="S36" s="803"/>
    </row>
    <row r="37" spans="1:20" x14ac:dyDescent="0.35">
      <c r="A37" s="474"/>
      <c r="B37" s="257" t="s">
        <v>517</v>
      </c>
      <c r="C37" s="492">
        <v>100000000</v>
      </c>
      <c r="D37" s="466">
        <v>0</v>
      </c>
      <c r="E37" s="466">
        <v>0</v>
      </c>
      <c r="F37" s="466">
        <v>100000000</v>
      </c>
      <c r="G37" s="492">
        <v>100000000</v>
      </c>
      <c r="H37" s="466">
        <v>0</v>
      </c>
      <c r="I37" s="466">
        <v>0</v>
      </c>
      <c r="J37" s="466">
        <v>100000000</v>
      </c>
      <c r="K37" s="492">
        <f>'2.1 melléklet'!K72</f>
        <v>0</v>
      </c>
      <c r="L37" s="466">
        <f>'2.1 melléklet'!L72</f>
        <v>822270</v>
      </c>
      <c r="M37" s="466">
        <f>'2.1 melléklet'!M72</f>
        <v>0</v>
      </c>
      <c r="N37" s="466">
        <f t="shared" si="2"/>
        <v>822270</v>
      </c>
      <c r="O37" s="492">
        <f>'2.1 melléklet'!O72</f>
        <v>0</v>
      </c>
      <c r="P37" s="466">
        <f>'2.1 melléklet'!P72</f>
        <v>0</v>
      </c>
      <c r="Q37" s="466">
        <f>'2.1 melléklet'!Q72</f>
        <v>0</v>
      </c>
      <c r="R37" s="466">
        <f t="shared" si="3"/>
        <v>0</v>
      </c>
      <c r="S37" s="803"/>
    </row>
    <row r="38" spans="1:20" x14ac:dyDescent="0.35">
      <c r="A38" s="474"/>
      <c r="B38" s="257" t="s">
        <v>521</v>
      </c>
      <c r="C38" s="492">
        <v>0</v>
      </c>
      <c r="D38" s="466">
        <v>0</v>
      </c>
      <c r="E38" s="466">
        <v>0</v>
      </c>
      <c r="F38" s="466">
        <v>0</v>
      </c>
      <c r="G38" s="492">
        <v>0</v>
      </c>
      <c r="H38" s="466">
        <v>0</v>
      </c>
      <c r="I38" s="466">
        <v>0</v>
      </c>
      <c r="J38" s="466">
        <v>0</v>
      </c>
      <c r="K38" s="492">
        <f>'2.1 melléklet'!K76</f>
        <v>0</v>
      </c>
      <c r="L38" s="466">
        <f>'2.1 melléklet'!L76</f>
        <v>0</v>
      </c>
      <c r="M38" s="466">
        <f>'2.1 melléklet'!M76</f>
        <v>0</v>
      </c>
      <c r="N38" s="466">
        <f t="shared" si="2"/>
        <v>0</v>
      </c>
      <c r="O38" s="492">
        <f>'2.1 melléklet'!O76</f>
        <v>0</v>
      </c>
      <c r="P38" s="466">
        <f>'2.1 melléklet'!P76</f>
        <v>0</v>
      </c>
      <c r="Q38" s="466">
        <f>'2.1 melléklet'!Q76</f>
        <v>0</v>
      </c>
      <c r="R38" s="466">
        <f t="shared" si="3"/>
        <v>0</v>
      </c>
      <c r="S38" s="803"/>
    </row>
    <row r="39" spans="1:20" x14ac:dyDescent="0.35">
      <c r="A39" s="474"/>
      <c r="B39" s="257" t="s">
        <v>522</v>
      </c>
      <c r="C39" s="492">
        <v>0</v>
      </c>
      <c r="D39" s="466">
        <v>0</v>
      </c>
      <c r="E39" s="466">
        <v>0</v>
      </c>
      <c r="F39" s="466">
        <v>0</v>
      </c>
      <c r="G39" s="492">
        <v>0</v>
      </c>
      <c r="H39" s="466">
        <v>0</v>
      </c>
      <c r="I39" s="466">
        <v>0</v>
      </c>
      <c r="J39" s="466">
        <v>0</v>
      </c>
      <c r="K39" s="492">
        <f>'2.1 melléklet'!K77</f>
        <v>0</v>
      </c>
      <c r="L39" s="466">
        <f>'2.1 melléklet'!L77</f>
        <v>0</v>
      </c>
      <c r="M39" s="466">
        <f>'2.1 melléklet'!M77</f>
        <v>0</v>
      </c>
      <c r="N39" s="466">
        <f t="shared" si="2"/>
        <v>0</v>
      </c>
      <c r="O39" s="492">
        <f>'2.1 melléklet'!O77</f>
        <v>0</v>
      </c>
      <c r="P39" s="466">
        <f>'2.1 melléklet'!P77</f>
        <v>0</v>
      </c>
      <c r="Q39" s="466">
        <f>'2.1 melléklet'!Q77</f>
        <v>0</v>
      </c>
      <c r="R39" s="466">
        <f t="shared" si="3"/>
        <v>0</v>
      </c>
      <c r="S39" s="803"/>
    </row>
    <row r="40" spans="1:20" x14ac:dyDescent="0.35">
      <c r="A40" s="505" t="s">
        <v>315</v>
      </c>
      <c r="B40" s="506" t="s">
        <v>325</v>
      </c>
      <c r="C40" s="507">
        <v>0</v>
      </c>
      <c r="D40" s="516">
        <v>901655</v>
      </c>
      <c r="E40" s="516">
        <v>0</v>
      </c>
      <c r="F40" s="516">
        <v>901655</v>
      </c>
      <c r="G40" s="507">
        <v>0</v>
      </c>
      <c r="H40" s="516">
        <v>901655</v>
      </c>
      <c r="I40" s="516">
        <v>0</v>
      </c>
      <c r="J40" s="516">
        <v>901655</v>
      </c>
      <c r="K40" s="507">
        <f>SUM(K41:K44)</f>
        <v>0</v>
      </c>
      <c r="L40" s="516">
        <f>SUM(L41:L44)</f>
        <v>11938883</v>
      </c>
      <c r="M40" s="516">
        <f>SUM(M41:M44)</f>
        <v>0</v>
      </c>
      <c r="N40" s="516">
        <f t="shared" si="2"/>
        <v>11938883</v>
      </c>
      <c r="O40" s="507">
        <f>SUM(O41:O44)</f>
        <v>0</v>
      </c>
      <c r="P40" s="516">
        <f>SUM(P41:P44)</f>
        <v>0</v>
      </c>
      <c r="Q40" s="516">
        <f>SUM(Q41:Q44)</f>
        <v>0</v>
      </c>
      <c r="R40" s="516">
        <f t="shared" si="3"/>
        <v>0</v>
      </c>
      <c r="S40" s="803"/>
    </row>
    <row r="41" spans="1:20" ht="29" x14ac:dyDescent="0.35">
      <c r="A41" s="474"/>
      <c r="B41" s="257" t="s">
        <v>523</v>
      </c>
      <c r="C41" s="492">
        <v>0</v>
      </c>
      <c r="D41" s="466">
        <v>0</v>
      </c>
      <c r="E41" s="466">
        <v>0</v>
      </c>
      <c r="F41" s="466">
        <v>0</v>
      </c>
      <c r="G41" s="492">
        <v>0</v>
      </c>
      <c r="H41" s="466">
        <v>0</v>
      </c>
      <c r="I41" s="466">
        <v>0</v>
      </c>
      <c r="J41" s="466">
        <v>0</v>
      </c>
      <c r="K41" s="492">
        <f>'2.1 melléklet'!K79</f>
        <v>0</v>
      </c>
      <c r="L41" s="466">
        <f>'2.1 melléklet'!L79</f>
        <v>0</v>
      </c>
      <c r="M41" s="466">
        <f>'2.1 melléklet'!M79</f>
        <v>0</v>
      </c>
      <c r="N41" s="466">
        <f t="shared" si="2"/>
        <v>0</v>
      </c>
      <c r="O41" s="492">
        <f>'2.1 melléklet'!O79</f>
        <v>0</v>
      </c>
      <c r="P41" s="466">
        <f>'2.1 melléklet'!P79</f>
        <v>0</v>
      </c>
      <c r="Q41" s="466">
        <f>'2.1 melléklet'!Q79</f>
        <v>0</v>
      </c>
      <c r="R41" s="466">
        <f t="shared" si="3"/>
        <v>0</v>
      </c>
      <c r="S41" s="803"/>
    </row>
    <row r="42" spans="1:20" s="92" customFormat="1" ht="43.5" x14ac:dyDescent="0.35">
      <c r="A42" s="474"/>
      <c r="B42" s="361" t="s">
        <v>547</v>
      </c>
      <c r="C42" s="362">
        <v>0</v>
      </c>
      <c r="D42" s="468">
        <v>0</v>
      </c>
      <c r="E42" s="468">
        <v>0</v>
      </c>
      <c r="F42" s="468">
        <v>0</v>
      </c>
      <c r="G42" s="362">
        <v>0</v>
      </c>
      <c r="H42" s="468">
        <v>0</v>
      </c>
      <c r="I42" s="468">
        <v>0</v>
      </c>
      <c r="J42" s="468">
        <v>0</v>
      </c>
      <c r="K42" s="362">
        <f>'2.1 melléklet'!K80</f>
        <v>0</v>
      </c>
      <c r="L42" s="468">
        <f>'2.1 melléklet'!L80</f>
        <v>0</v>
      </c>
      <c r="M42" s="468">
        <f>'2.1 melléklet'!M80</f>
        <v>0</v>
      </c>
      <c r="N42" s="468">
        <f t="shared" si="2"/>
        <v>0</v>
      </c>
      <c r="O42" s="362">
        <f>'2.1 melléklet'!O80</f>
        <v>0</v>
      </c>
      <c r="P42" s="468">
        <f>'2.1 melléklet'!P80</f>
        <v>0</v>
      </c>
      <c r="Q42" s="468">
        <f>'2.1 melléklet'!Q80</f>
        <v>0</v>
      </c>
      <c r="R42" s="468">
        <f t="shared" si="3"/>
        <v>0</v>
      </c>
      <c r="S42" s="803"/>
    </row>
    <row r="43" spans="1:20" ht="29" x14ac:dyDescent="0.35">
      <c r="A43" s="474"/>
      <c r="B43" s="257" t="s">
        <v>525</v>
      </c>
      <c r="C43" s="492">
        <v>0</v>
      </c>
      <c r="D43" s="466">
        <v>901655</v>
      </c>
      <c r="E43" s="466">
        <v>0</v>
      </c>
      <c r="F43" s="466">
        <v>901655</v>
      </c>
      <c r="G43" s="492">
        <v>0</v>
      </c>
      <c r="H43" s="466">
        <v>901655</v>
      </c>
      <c r="I43" s="466">
        <v>0</v>
      </c>
      <c r="J43" s="466">
        <v>901655</v>
      </c>
      <c r="K43" s="492">
        <f>'2.1 melléklet'!K81</f>
        <v>0</v>
      </c>
      <c r="L43" s="466">
        <f>'2.1 melléklet'!L81</f>
        <v>11938883</v>
      </c>
      <c r="M43" s="466">
        <f>'2.1 melléklet'!M81</f>
        <v>0</v>
      </c>
      <c r="N43" s="466">
        <f t="shared" si="2"/>
        <v>11938883</v>
      </c>
      <c r="O43" s="492">
        <f>'2.1 melléklet'!O81</f>
        <v>0</v>
      </c>
      <c r="P43" s="466">
        <f>'2.1 melléklet'!P81</f>
        <v>0</v>
      </c>
      <c r="Q43" s="466">
        <f>'2.1 melléklet'!Q81</f>
        <v>0</v>
      </c>
      <c r="R43" s="466">
        <f t="shared" si="3"/>
        <v>0</v>
      </c>
      <c r="S43" s="803"/>
    </row>
    <row r="44" spans="1:20" x14ac:dyDescent="0.35">
      <c r="A44" s="474"/>
      <c r="B44" s="257" t="s">
        <v>529</v>
      </c>
      <c r="C44" s="492">
        <v>0</v>
      </c>
      <c r="D44" s="466">
        <v>0</v>
      </c>
      <c r="E44" s="466">
        <v>0</v>
      </c>
      <c r="F44" s="466">
        <v>0</v>
      </c>
      <c r="G44" s="492">
        <v>0</v>
      </c>
      <c r="H44" s="466">
        <v>0</v>
      </c>
      <c r="I44" s="466">
        <v>0</v>
      </c>
      <c r="J44" s="466">
        <v>0</v>
      </c>
      <c r="K44" s="492">
        <f>'2.1 melléklet'!K85</f>
        <v>0</v>
      </c>
      <c r="L44" s="466">
        <f>'2.1 melléklet'!L85</f>
        <v>0</v>
      </c>
      <c r="M44" s="466">
        <f>'2.1 melléklet'!M85</f>
        <v>0</v>
      </c>
      <c r="N44" s="466">
        <f t="shared" si="2"/>
        <v>0</v>
      </c>
      <c r="O44" s="492">
        <f>'2.1 melléklet'!O85</f>
        <v>0</v>
      </c>
      <c r="P44" s="466">
        <f>'2.1 melléklet'!P85</f>
        <v>0</v>
      </c>
      <c r="Q44" s="466">
        <f>'2.1 melléklet'!Q85</f>
        <v>0</v>
      </c>
      <c r="R44" s="466">
        <f t="shared" si="3"/>
        <v>0</v>
      </c>
      <c r="S44" s="803"/>
    </row>
    <row r="45" spans="1:20" ht="29" x14ac:dyDescent="0.35">
      <c r="A45" s="604"/>
      <c r="B45" s="607" t="s">
        <v>1427</v>
      </c>
      <c r="C45" s="492"/>
      <c r="D45" s="466"/>
      <c r="E45" s="466"/>
      <c r="F45" s="466"/>
      <c r="G45" s="492"/>
      <c r="H45" s="466"/>
      <c r="I45" s="466"/>
      <c r="J45" s="466"/>
      <c r="K45" s="492"/>
      <c r="L45" s="466"/>
      <c r="M45" s="466"/>
      <c r="N45" s="466"/>
      <c r="O45" s="492"/>
      <c r="P45" s="466"/>
      <c r="Q45" s="466"/>
      <c r="R45" s="466"/>
      <c r="S45" s="803"/>
    </row>
    <row r="46" spans="1:20" x14ac:dyDescent="0.35">
      <c r="A46" s="473"/>
      <c r="B46" s="508" t="s">
        <v>327</v>
      </c>
      <c r="C46" s="342">
        <v>4509702560</v>
      </c>
      <c r="D46" s="517">
        <v>55138615</v>
      </c>
      <c r="E46" s="517">
        <v>0</v>
      </c>
      <c r="F46" s="517">
        <v>4564841175</v>
      </c>
      <c r="G46" s="534">
        <v>5011435659</v>
      </c>
      <c r="H46" s="517">
        <v>50138615</v>
      </c>
      <c r="I46" s="517">
        <v>0</v>
      </c>
      <c r="J46" s="517">
        <v>5061574274</v>
      </c>
      <c r="K46" s="534">
        <f>K4+K30</f>
        <v>2978369852</v>
      </c>
      <c r="L46" s="517">
        <f>L4+L30</f>
        <v>34167423</v>
      </c>
      <c r="M46" s="517">
        <f>M4+M30</f>
        <v>0</v>
      </c>
      <c r="N46" s="517">
        <f t="shared" ref="N46:N61" si="4">SUM(K46:M46)</f>
        <v>3012537275</v>
      </c>
      <c r="O46" s="534">
        <f>O4+O30</f>
        <v>0</v>
      </c>
      <c r="P46" s="517">
        <f>P4+P30</f>
        <v>0</v>
      </c>
      <c r="Q46" s="517">
        <f>Q4+Q30</f>
        <v>0</v>
      </c>
      <c r="R46" s="517">
        <f t="shared" ref="R46:R61" si="5">SUM(O46:Q46)</f>
        <v>0</v>
      </c>
      <c r="S46" s="803"/>
    </row>
    <row r="47" spans="1:20" x14ac:dyDescent="0.35">
      <c r="A47" s="502" t="s">
        <v>328</v>
      </c>
      <c r="B47" s="503" t="s">
        <v>329</v>
      </c>
      <c r="C47" s="504">
        <v>1650000000</v>
      </c>
      <c r="D47" s="515">
        <v>0</v>
      </c>
      <c r="E47" s="515">
        <v>0</v>
      </c>
      <c r="F47" s="515">
        <v>1650000000</v>
      </c>
      <c r="G47" s="504">
        <v>2206782084</v>
      </c>
      <c r="H47" s="515">
        <v>0</v>
      </c>
      <c r="I47" s="515">
        <v>0</v>
      </c>
      <c r="J47" s="515">
        <v>2206782084</v>
      </c>
      <c r="K47" s="504">
        <f>K48+K58</f>
        <v>2206782084</v>
      </c>
      <c r="L47" s="515">
        <f>L48+L58</f>
        <v>0</v>
      </c>
      <c r="M47" s="515">
        <f>M48+M58</f>
        <v>0</v>
      </c>
      <c r="N47" s="515">
        <f t="shared" si="4"/>
        <v>2206782084</v>
      </c>
      <c r="O47" s="504">
        <f>O48+O58</f>
        <v>0</v>
      </c>
      <c r="P47" s="515">
        <f>P48+P58</f>
        <v>0</v>
      </c>
      <c r="Q47" s="515">
        <f>Q48+Q58</f>
        <v>0</v>
      </c>
      <c r="R47" s="515">
        <f t="shared" si="5"/>
        <v>0</v>
      </c>
      <c r="S47" s="803"/>
      <c r="T47" s="803"/>
    </row>
    <row r="48" spans="1:20" x14ac:dyDescent="0.35">
      <c r="A48" s="505" t="s">
        <v>311</v>
      </c>
      <c r="B48" s="506" t="s">
        <v>330</v>
      </c>
      <c r="C48" s="507">
        <v>1650000000</v>
      </c>
      <c r="D48" s="516">
        <v>0</v>
      </c>
      <c r="E48" s="516">
        <v>0</v>
      </c>
      <c r="F48" s="516">
        <v>1650000000</v>
      </c>
      <c r="G48" s="507">
        <v>2206782084</v>
      </c>
      <c r="H48" s="516">
        <v>0</v>
      </c>
      <c r="I48" s="516">
        <v>0</v>
      </c>
      <c r="J48" s="516">
        <v>2206782084</v>
      </c>
      <c r="K48" s="507">
        <f>K49+K54+K55+K56+K57</f>
        <v>2206782084</v>
      </c>
      <c r="L48" s="516">
        <f>L49+L54+L55+L56+L57</f>
        <v>0</v>
      </c>
      <c r="M48" s="516">
        <f>M49+M54+M55+M56+M57</f>
        <v>0</v>
      </c>
      <c r="N48" s="516">
        <f t="shared" si="4"/>
        <v>2206782084</v>
      </c>
      <c r="O48" s="507">
        <f>O49+O54+O55+O56+O57</f>
        <v>0</v>
      </c>
      <c r="P48" s="516">
        <f>P49+P54+P55+P56+P57</f>
        <v>0</v>
      </c>
      <c r="Q48" s="516">
        <f>Q49+Q54+Q55+Q56+Q57</f>
        <v>0</v>
      </c>
      <c r="R48" s="516">
        <f t="shared" si="5"/>
        <v>0</v>
      </c>
      <c r="S48" s="803"/>
    </row>
    <row r="49" spans="1:19" ht="29" x14ac:dyDescent="0.35">
      <c r="A49" s="474"/>
      <c r="B49" s="257" t="s">
        <v>534</v>
      </c>
      <c r="C49" s="492">
        <v>0</v>
      </c>
      <c r="D49" s="466">
        <v>0</v>
      </c>
      <c r="E49" s="466">
        <v>0</v>
      </c>
      <c r="F49" s="466">
        <v>0</v>
      </c>
      <c r="G49" s="492">
        <v>0</v>
      </c>
      <c r="H49" s="466">
        <v>0</v>
      </c>
      <c r="I49" s="466">
        <v>0</v>
      </c>
      <c r="J49" s="466">
        <v>0</v>
      </c>
      <c r="K49" s="492">
        <f>SUM(K50:K53)</f>
        <v>0</v>
      </c>
      <c r="L49" s="466">
        <f>SUM(L50:L53)</f>
        <v>0</v>
      </c>
      <c r="M49" s="466">
        <f>SUM(M50:M53)</f>
        <v>0</v>
      </c>
      <c r="N49" s="466">
        <f t="shared" si="4"/>
        <v>0</v>
      </c>
      <c r="O49" s="492">
        <f>SUM(O50:O53)</f>
        <v>0</v>
      </c>
      <c r="P49" s="466">
        <f>SUM(P50:P53)</f>
        <v>0</v>
      </c>
      <c r="Q49" s="466">
        <f>SUM(Q50:Q53)</f>
        <v>0</v>
      </c>
      <c r="R49" s="466">
        <f t="shared" si="5"/>
        <v>0</v>
      </c>
      <c r="S49" s="803"/>
    </row>
    <row r="50" spans="1:19" x14ac:dyDescent="0.35">
      <c r="A50" s="474"/>
      <c r="B50" s="360" t="s">
        <v>535</v>
      </c>
      <c r="C50" s="492">
        <v>0</v>
      </c>
      <c r="D50" s="466">
        <v>0</v>
      </c>
      <c r="E50" s="466">
        <v>0</v>
      </c>
      <c r="F50" s="466">
        <v>0</v>
      </c>
      <c r="G50" s="492">
        <v>0</v>
      </c>
      <c r="H50" s="466">
        <v>0</v>
      </c>
      <c r="I50" s="466">
        <v>0</v>
      </c>
      <c r="J50" s="466">
        <v>0</v>
      </c>
      <c r="K50" s="492">
        <f>'2.1 melléklet'!K98</f>
        <v>0</v>
      </c>
      <c r="L50" s="466">
        <f>'2.1 melléklet'!L98</f>
        <v>0</v>
      </c>
      <c r="M50" s="466">
        <f>'2.1 melléklet'!M98</f>
        <v>0</v>
      </c>
      <c r="N50" s="466">
        <f t="shared" si="4"/>
        <v>0</v>
      </c>
      <c r="O50" s="492">
        <f>'2.1 melléklet'!O98</f>
        <v>0</v>
      </c>
      <c r="P50" s="466">
        <f>'2.1 melléklet'!P98</f>
        <v>0</v>
      </c>
      <c r="Q50" s="466">
        <f>'2.1 melléklet'!Q98</f>
        <v>0</v>
      </c>
      <c r="R50" s="466">
        <f t="shared" si="5"/>
        <v>0</v>
      </c>
      <c r="S50" s="803"/>
    </row>
    <row r="51" spans="1:19" ht="29" x14ac:dyDescent="0.35">
      <c r="A51" s="544"/>
      <c r="B51" s="547" t="s">
        <v>1380</v>
      </c>
      <c r="C51" s="492"/>
      <c r="D51" s="466">
        <v>0</v>
      </c>
      <c r="E51" s="466"/>
      <c r="F51" s="466">
        <v>0</v>
      </c>
      <c r="G51" s="492"/>
      <c r="H51" s="466">
        <v>0</v>
      </c>
      <c r="I51" s="466"/>
      <c r="J51" s="466">
        <v>0</v>
      </c>
      <c r="K51" s="492"/>
      <c r="L51" s="466">
        <v>0</v>
      </c>
      <c r="M51" s="466"/>
      <c r="N51" s="466">
        <f t="shared" si="4"/>
        <v>0</v>
      </c>
      <c r="O51" s="492"/>
      <c r="P51" s="466">
        <v>0</v>
      </c>
      <c r="Q51" s="466"/>
      <c r="R51" s="466">
        <f t="shared" si="5"/>
        <v>0</v>
      </c>
      <c r="S51" s="803"/>
    </row>
    <row r="52" spans="1:19" x14ac:dyDescent="0.35">
      <c r="A52" s="474"/>
      <c r="B52" s="360" t="s">
        <v>536</v>
      </c>
      <c r="C52" s="492">
        <v>0</v>
      </c>
      <c r="D52" s="466">
        <v>0</v>
      </c>
      <c r="E52" s="466">
        <v>0</v>
      </c>
      <c r="F52" s="466">
        <v>0</v>
      </c>
      <c r="G52" s="492">
        <v>0</v>
      </c>
      <c r="H52" s="466">
        <v>0</v>
      </c>
      <c r="I52" s="466">
        <v>0</v>
      </c>
      <c r="J52" s="466">
        <v>0</v>
      </c>
      <c r="K52" s="492">
        <v>0</v>
      </c>
      <c r="L52" s="466">
        <v>0</v>
      </c>
      <c r="M52" s="466">
        <v>0</v>
      </c>
      <c r="N52" s="466">
        <f t="shared" si="4"/>
        <v>0</v>
      </c>
      <c r="O52" s="492">
        <v>0</v>
      </c>
      <c r="P52" s="466">
        <v>0</v>
      </c>
      <c r="Q52" s="466">
        <v>0</v>
      </c>
      <c r="R52" s="466">
        <f t="shared" si="5"/>
        <v>0</v>
      </c>
      <c r="S52" s="803"/>
    </row>
    <row r="53" spans="1:19" x14ac:dyDescent="0.35">
      <c r="A53" s="474"/>
      <c r="B53" s="360" t="s">
        <v>537</v>
      </c>
      <c r="C53" s="492">
        <v>0</v>
      </c>
      <c r="D53" s="466">
        <v>0</v>
      </c>
      <c r="E53" s="466">
        <v>0</v>
      </c>
      <c r="F53" s="466">
        <v>0</v>
      </c>
      <c r="G53" s="492">
        <v>0</v>
      </c>
      <c r="H53" s="466">
        <v>0</v>
      </c>
      <c r="I53" s="466">
        <v>0</v>
      </c>
      <c r="J53" s="466">
        <v>0</v>
      </c>
      <c r="K53" s="492">
        <v>0</v>
      </c>
      <c r="L53" s="466">
        <v>0</v>
      </c>
      <c r="M53" s="466">
        <v>0</v>
      </c>
      <c r="N53" s="466">
        <f t="shared" si="4"/>
        <v>0</v>
      </c>
      <c r="O53" s="492">
        <v>0</v>
      </c>
      <c r="P53" s="466">
        <v>0</v>
      </c>
      <c r="Q53" s="466">
        <v>0</v>
      </c>
      <c r="R53" s="466">
        <f t="shared" si="5"/>
        <v>0</v>
      </c>
      <c r="S53" s="803"/>
    </row>
    <row r="54" spans="1:19" x14ac:dyDescent="0.35">
      <c r="A54" s="474"/>
      <c r="B54" s="257" t="s">
        <v>1436</v>
      </c>
      <c r="C54" s="492">
        <v>0</v>
      </c>
      <c r="D54" s="466">
        <v>0</v>
      </c>
      <c r="E54" s="466">
        <v>0</v>
      </c>
      <c r="F54" s="466">
        <v>0</v>
      </c>
      <c r="G54" s="492">
        <v>185834712</v>
      </c>
      <c r="H54" s="466">
        <v>0</v>
      </c>
      <c r="I54" s="466">
        <v>0</v>
      </c>
      <c r="J54" s="466">
        <v>185834712</v>
      </c>
      <c r="K54" s="492">
        <v>185834712</v>
      </c>
      <c r="L54" s="466">
        <v>0</v>
      </c>
      <c r="M54" s="466">
        <v>0</v>
      </c>
      <c r="N54" s="466">
        <f t="shared" si="4"/>
        <v>185834712</v>
      </c>
      <c r="O54" s="492">
        <f>+'2.1 melléklet'!O106</f>
        <v>0</v>
      </c>
      <c r="P54" s="466">
        <v>0</v>
      </c>
      <c r="Q54" s="466">
        <v>0</v>
      </c>
      <c r="R54" s="466">
        <f t="shared" si="5"/>
        <v>0</v>
      </c>
      <c r="S54" s="803"/>
    </row>
    <row r="55" spans="1:19" x14ac:dyDescent="0.35">
      <c r="A55" s="474"/>
      <c r="B55" s="257" t="s">
        <v>539</v>
      </c>
      <c r="C55" s="492">
        <v>1650000000</v>
      </c>
      <c r="D55" s="466">
        <v>0</v>
      </c>
      <c r="E55" s="466">
        <v>0</v>
      </c>
      <c r="F55" s="466">
        <v>1650000000</v>
      </c>
      <c r="G55" s="492">
        <v>2020947372</v>
      </c>
      <c r="H55" s="466"/>
      <c r="I55" s="466">
        <v>0</v>
      </c>
      <c r="J55" s="466">
        <v>2020947372</v>
      </c>
      <c r="K55" s="492">
        <v>2020947372</v>
      </c>
      <c r="L55" s="466">
        <f>'2.1 melléklet'!L103+'3.1 melléklet'!L36+'4.8 melléklet'!L33+'4.1 melléklet'!L33+'4.2 melléklet'!L33+'4.3 melléklet'!L33+'4.4 melléklet'!L33+'4.5 melléklet'!L33+'4.6 melléklet'!L33</f>
        <v>0</v>
      </c>
      <c r="M55" s="466">
        <f>'2.1 melléklet'!M103+'3.1 melléklet'!M36</f>
        <v>0</v>
      </c>
      <c r="N55" s="466">
        <f t="shared" si="4"/>
        <v>2020947372</v>
      </c>
      <c r="O55" s="492">
        <f>'2.1 melléklet'!O103+'3.1 melléklet'!O36+'4.8 melléklet'!L33+'4.1 melléklet'!L33+'4.2 melléklet'!L33+'4.3 melléklet'!L33+'4.4 melléklet'!L33+'4.5 melléklet'!L33+'4.6 melléklet'!L33+'4.7 melléklet'!L33</f>
        <v>0</v>
      </c>
      <c r="P55" s="466">
        <v>0</v>
      </c>
      <c r="Q55" s="466">
        <f>'2.1 melléklet'!Q103+'3.1 melléklet'!Q36</f>
        <v>0</v>
      </c>
      <c r="R55" s="466">
        <f t="shared" si="5"/>
        <v>0</v>
      </c>
      <c r="S55" s="803"/>
    </row>
    <row r="56" spans="1:19" x14ac:dyDescent="0.35">
      <c r="A56" s="474"/>
      <c r="B56" s="257" t="s">
        <v>542</v>
      </c>
      <c r="C56" s="492">
        <v>0</v>
      </c>
      <c r="D56" s="466">
        <v>0</v>
      </c>
      <c r="E56" s="466">
        <v>0</v>
      </c>
      <c r="F56" s="466">
        <v>0</v>
      </c>
      <c r="G56" s="492">
        <v>0</v>
      </c>
      <c r="H56" s="466">
        <v>0</v>
      </c>
      <c r="I56" s="466">
        <v>0</v>
      </c>
      <c r="J56" s="466">
        <v>0</v>
      </c>
      <c r="K56" s="492">
        <v>0</v>
      </c>
      <c r="L56" s="466">
        <v>0</v>
      </c>
      <c r="M56" s="466">
        <v>0</v>
      </c>
      <c r="N56" s="466">
        <f t="shared" si="4"/>
        <v>0</v>
      </c>
      <c r="O56" s="492">
        <v>0</v>
      </c>
      <c r="P56" s="466">
        <v>0</v>
      </c>
      <c r="Q56" s="466">
        <v>0</v>
      </c>
      <c r="R56" s="466">
        <f t="shared" si="5"/>
        <v>0</v>
      </c>
      <c r="S56" s="803"/>
    </row>
    <row r="57" spans="1:19" x14ac:dyDescent="0.35">
      <c r="A57" s="474"/>
      <c r="B57" s="257" t="s">
        <v>543</v>
      </c>
      <c r="C57" s="492">
        <v>0</v>
      </c>
      <c r="D57" s="466">
        <v>0</v>
      </c>
      <c r="E57" s="466">
        <v>0</v>
      </c>
      <c r="F57" s="466">
        <v>0</v>
      </c>
      <c r="G57" s="492">
        <v>0</v>
      </c>
      <c r="H57" s="466">
        <v>0</v>
      </c>
      <c r="I57" s="466">
        <v>0</v>
      </c>
      <c r="J57" s="466">
        <v>0</v>
      </c>
      <c r="K57" s="492">
        <f>'2.1 melléklet'!K107</f>
        <v>0</v>
      </c>
      <c r="L57" s="466">
        <f>'2.1 melléklet'!L107</f>
        <v>0</v>
      </c>
      <c r="M57" s="466">
        <f>'2.1 melléklet'!M107</f>
        <v>0</v>
      </c>
      <c r="N57" s="466">
        <f t="shared" si="4"/>
        <v>0</v>
      </c>
      <c r="O57" s="492">
        <f>'2.1 melléklet'!O107</f>
        <v>0</v>
      </c>
      <c r="P57" s="466">
        <f>'2.1 melléklet'!P107</f>
        <v>0</v>
      </c>
      <c r="Q57" s="466">
        <f>'2.1 melléklet'!Q107</f>
        <v>0</v>
      </c>
      <c r="R57" s="466">
        <f t="shared" si="5"/>
        <v>0</v>
      </c>
      <c r="S57" s="803"/>
    </row>
    <row r="58" spans="1:19" x14ac:dyDescent="0.35">
      <c r="A58" s="505" t="s">
        <v>322</v>
      </c>
      <c r="B58" s="506" t="s">
        <v>544</v>
      </c>
      <c r="C58" s="507">
        <v>0</v>
      </c>
      <c r="D58" s="516">
        <v>0</v>
      </c>
      <c r="E58" s="516">
        <v>0</v>
      </c>
      <c r="F58" s="516">
        <v>0</v>
      </c>
      <c r="G58" s="507">
        <v>0</v>
      </c>
      <c r="H58" s="516">
        <v>0</v>
      </c>
      <c r="I58" s="516">
        <v>0</v>
      </c>
      <c r="J58" s="516">
        <v>0</v>
      </c>
      <c r="K58" s="507">
        <f>SUM(K59:K60)</f>
        <v>0</v>
      </c>
      <c r="L58" s="516">
        <f>SUM(L59:L60)</f>
        <v>0</v>
      </c>
      <c r="M58" s="516">
        <f>SUM(M59:M60)</f>
        <v>0</v>
      </c>
      <c r="N58" s="516">
        <f t="shared" si="4"/>
        <v>0</v>
      </c>
      <c r="O58" s="507">
        <f>SUM(O59:O60)</f>
        <v>0</v>
      </c>
      <c r="P58" s="516">
        <f>SUM(P59:P60)</f>
        <v>0</v>
      </c>
      <c r="Q58" s="516">
        <f>SUM(Q59:Q60)</f>
        <v>0</v>
      </c>
      <c r="R58" s="516">
        <f t="shared" si="5"/>
        <v>0</v>
      </c>
      <c r="S58" s="803"/>
    </row>
    <row r="59" spans="1:19" x14ac:dyDescent="0.35">
      <c r="A59" s="474"/>
      <c r="B59" s="257" t="s">
        <v>545</v>
      </c>
      <c r="C59" s="492">
        <v>0</v>
      </c>
      <c r="D59" s="466">
        <v>0</v>
      </c>
      <c r="E59" s="466">
        <v>0</v>
      </c>
      <c r="F59" s="466">
        <v>0</v>
      </c>
      <c r="G59" s="492">
        <v>0</v>
      </c>
      <c r="H59" s="466">
        <v>0</v>
      </c>
      <c r="I59" s="466">
        <v>0</v>
      </c>
      <c r="J59" s="466">
        <v>0</v>
      </c>
      <c r="K59" s="492">
        <v>0</v>
      </c>
      <c r="L59" s="466">
        <v>0</v>
      </c>
      <c r="M59" s="466">
        <v>0</v>
      </c>
      <c r="N59" s="466">
        <f t="shared" si="4"/>
        <v>0</v>
      </c>
      <c r="O59" s="492">
        <v>0</v>
      </c>
      <c r="P59" s="466">
        <v>0</v>
      </c>
      <c r="Q59" s="466">
        <v>0</v>
      </c>
      <c r="R59" s="466">
        <f t="shared" si="5"/>
        <v>0</v>
      </c>
      <c r="S59" s="803"/>
    </row>
    <row r="60" spans="1:19" x14ac:dyDescent="0.35">
      <c r="A60" s="474"/>
      <c r="B60" s="257" t="s">
        <v>546</v>
      </c>
      <c r="C60" s="492">
        <v>0</v>
      </c>
      <c r="D60" s="466">
        <v>0</v>
      </c>
      <c r="E60" s="466">
        <v>0</v>
      </c>
      <c r="F60" s="466">
        <v>0</v>
      </c>
      <c r="G60" s="492">
        <v>0</v>
      </c>
      <c r="H60" s="466">
        <v>0</v>
      </c>
      <c r="I60" s="466">
        <v>0</v>
      </c>
      <c r="J60" s="466">
        <v>0</v>
      </c>
      <c r="K60" s="492">
        <v>0</v>
      </c>
      <c r="L60" s="466">
        <v>0</v>
      </c>
      <c r="M60" s="466">
        <v>0</v>
      </c>
      <c r="N60" s="466">
        <f t="shared" si="4"/>
        <v>0</v>
      </c>
      <c r="O60" s="492">
        <v>0</v>
      </c>
      <c r="P60" s="466">
        <v>0</v>
      </c>
      <c r="Q60" s="466">
        <v>0</v>
      </c>
      <c r="R60" s="466">
        <f t="shared" si="5"/>
        <v>0</v>
      </c>
      <c r="S60" s="803"/>
    </row>
    <row r="61" spans="1:19" x14ac:dyDescent="0.35">
      <c r="A61" s="509"/>
      <c r="B61" s="510" t="s">
        <v>333</v>
      </c>
      <c r="C61" s="354">
        <v>6159702560</v>
      </c>
      <c r="D61" s="354">
        <v>55138615</v>
      </c>
      <c r="E61" s="354">
        <v>0</v>
      </c>
      <c r="F61" s="354">
        <v>6214841175</v>
      </c>
      <c r="G61" s="537">
        <v>7218217743</v>
      </c>
      <c r="H61" s="537">
        <v>50138615</v>
      </c>
      <c r="I61" s="537">
        <v>0</v>
      </c>
      <c r="J61" s="537">
        <v>7268356358</v>
      </c>
      <c r="K61" s="537">
        <f>K47+K30+K4</f>
        <v>5185151936</v>
      </c>
      <c r="L61" s="537">
        <f>L47+L30+L4</f>
        <v>34167423</v>
      </c>
      <c r="M61" s="537">
        <f>M47+M30+M4</f>
        <v>0</v>
      </c>
      <c r="N61" s="537">
        <f t="shared" si="4"/>
        <v>5219319359</v>
      </c>
      <c r="O61" s="537">
        <f>O47+O30+O4</f>
        <v>0</v>
      </c>
      <c r="P61" s="537">
        <f>P47+P30+P4</f>
        <v>0</v>
      </c>
      <c r="Q61" s="537">
        <f>Q47+Q30+Q4</f>
        <v>0</v>
      </c>
      <c r="R61" s="537">
        <f t="shared" si="5"/>
        <v>0</v>
      </c>
      <c r="S61" s="803"/>
    </row>
    <row r="62" spans="1:19" x14ac:dyDescent="0.35">
      <c r="J62" s="803"/>
      <c r="N62" s="803"/>
      <c r="R62" s="803">
        <f>+R61-N61</f>
        <v>-5219319359</v>
      </c>
    </row>
    <row r="63" spans="1:19" x14ac:dyDescent="0.35">
      <c r="J63" s="803"/>
      <c r="K63" s="803"/>
      <c r="N63" s="803"/>
      <c r="O63" s="803"/>
      <c r="R63" s="803">
        <f>+R61-'1.2 melléklet'!R35</f>
        <v>-900000</v>
      </c>
    </row>
    <row r="64" spans="1:19" x14ac:dyDescent="0.35">
      <c r="J64" s="803"/>
      <c r="N64" s="803"/>
      <c r="R64" s="803"/>
    </row>
    <row r="65" spans="10:18" x14ac:dyDescent="0.35">
      <c r="J65" s="803"/>
      <c r="R65" s="803"/>
    </row>
    <row r="66" spans="10:18" x14ac:dyDescent="0.35">
      <c r="J66" s="803"/>
    </row>
    <row r="67" spans="10:18" x14ac:dyDescent="0.35">
      <c r="J67" s="803"/>
    </row>
    <row r="68" spans="10:18" x14ac:dyDescent="0.35">
      <c r="J68" s="803"/>
    </row>
    <row r="69" spans="10:18" x14ac:dyDescent="0.35">
      <c r="J69" s="803"/>
    </row>
    <row r="70" spans="10:18" x14ac:dyDescent="0.35">
      <c r="J70" s="803"/>
    </row>
    <row r="71" spans="10:18" x14ac:dyDescent="0.35">
      <c r="J71" s="803"/>
    </row>
    <row r="72" spans="10:18" x14ac:dyDescent="0.35">
      <c r="J72" s="803"/>
    </row>
    <row r="73" spans="10:18" x14ac:dyDescent="0.35">
      <c r="J73" s="803"/>
      <c r="L73" s="803"/>
    </row>
    <row r="74" spans="10:18" x14ac:dyDescent="0.35">
      <c r="J74" s="803"/>
    </row>
    <row r="75" spans="10:18" x14ac:dyDescent="0.35">
      <c r="J75" s="803"/>
    </row>
    <row r="76" spans="10:18" x14ac:dyDescent="0.35">
      <c r="J76" s="803"/>
    </row>
    <row r="77" spans="10:18" x14ac:dyDescent="0.35">
      <c r="J77" s="803"/>
    </row>
    <row r="78" spans="10:18" x14ac:dyDescent="0.35">
      <c r="J78" s="803"/>
    </row>
    <row r="79" spans="10:18" x14ac:dyDescent="0.35">
      <c r="J79" s="803"/>
    </row>
  </sheetData>
  <mergeCells count="6">
    <mergeCell ref="O2:R2"/>
    <mergeCell ref="A2:A3"/>
    <mergeCell ref="C2:F2"/>
    <mergeCell ref="B2:B3"/>
    <mergeCell ref="G2:J2"/>
    <mergeCell ref="K2:N2"/>
  </mergeCells>
  <printOptions horizontalCentered="1"/>
  <pageMargins left="0.19685039370078741" right="0.19685039370078741" top="0.51181102362204722" bottom="0.35433070866141736" header="0.15748031496062992" footer="0.15748031496062992"/>
  <pageSetup paperSize="9" scale="40" fitToWidth="0" fitToHeight="0" orientation="portrait" r:id="rId1"/>
  <headerFooter>
    <oddHeader>&amp;L1.1  melléklet 
&amp;C&amp;"-,Félkövér"&amp;16
Az Önkormányzat 2021. évi összevont bevételei forrásonként és feladatonként</oddHeader>
    <oddFooter>&amp;C&amp;P</oddFooter>
  </headerFooter>
  <colBreaks count="1" manualBreakCount="1">
    <brk id="14" max="60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1"/>
  <sheetViews>
    <sheetView view="pageBreakPreview" topLeftCell="B14" zoomScale="82" zoomScaleNormal="100" zoomScaleSheetLayoutView="82" workbookViewId="0">
      <selection activeCell="J36" sqref="J36"/>
    </sheetView>
  </sheetViews>
  <sheetFormatPr defaultColWidth="9.1796875" defaultRowHeight="14.5" x14ac:dyDescent="0.35"/>
  <cols>
    <col min="1" max="1" width="6.54296875" style="412" customWidth="1"/>
    <col min="2" max="2" width="32.26953125" style="762" customWidth="1"/>
    <col min="3" max="3" width="14.26953125" style="471" customWidth="1"/>
    <col min="4" max="4" width="12.54296875" style="471" customWidth="1"/>
    <col min="5" max="5" width="14" style="471" customWidth="1"/>
    <col min="6" max="6" width="16.7265625" style="471" customWidth="1"/>
    <col min="7" max="7" width="14.7265625" style="471" customWidth="1"/>
    <col min="8" max="8" width="13.54296875" style="471" customWidth="1"/>
    <col min="9" max="9" width="14" style="471" customWidth="1"/>
    <col min="10" max="10" width="16.7265625" style="471" customWidth="1"/>
    <col min="11" max="11" width="14.26953125" style="471" hidden="1" customWidth="1"/>
    <col min="12" max="13" width="12.26953125" style="471" hidden="1" customWidth="1"/>
    <col min="14" max="14" width="14.81640625" style="471" hidden="1" customWidth="1"/>
    <col min="15" max="15" width="14.26953125" style="471" hidden="1" customWidth="1"/>
    <col min="16" max="16" width="12.54296875" style="471" hidden="1" customWidth="1"/>
    <col min="17" max="17" width="13.1796875" style="471" hidden="1" customWidth="1"/>
    <col min="18" max="18" width="14.26953125" style="471" hidden="1" customWidth="1"/>
    <col min="19" max="19" width="13.54296875" style="471" customWidth="1"/>
    <col min="20" max="16384" width="9.1796875" style="471"/>
  </cols>
  <sheetData>
    <row r="1" spans="1:19" x14ac:dyDescent="0.35">
      <c r="F1" s="763"/>
      <c r="J1" s="763" t="s">
        <v>1638</v>
      </c>
      <c r="N1" s="763" t="s">
        <v>1638</v>
      </c>
    </row>
    <row r="2" spans="1:19" ht="30.4" customHeight="1" x14ac:dyDescent="0.35">
      <c r="A2" s="1069" t="s">
        <v>305</v>
      </c>
      <c r="B2" s="1069" t="s">
        <v>576</v>
      </c>
      <c r="C2" s="1067" t="s">
        <v>1794</v>
      </c>
      <c r="D2" s="1064"/>
      <c r="E2" s="1064"/>
      <c r="F2" s="1068"/>
      <c r="G2" s="1063" t="s">
        <v>1796</v>
      </c>
      <c r="H2" s="1064"/>
      <c r="I2" s="1064"/>
      <c r="J2" s="1065"/>
      <c r="K2" s="1063" t="s">
        <v>1798</v>
      </c>
      <c r="L2" s="1064"/>
      <c r="M2" s="1064"/>
      <c r="N2" s="1065"/>
      <c r="O2" s="1063"/>
      <c r="P2" s="1064"/>
      <c r="Q2" s="1064"/>
      <c r="R2" s="1065"/>
    </row>
    <row r="3" spans="1:19" ht="43.5" x14ac:dyDescent="0.35">
      <c r="A3" s="1069"/>
      <c r="B3" s="1069"/>
      <c r="C3" s="476" t="s">
        <v>1289</v>
      </c>
      <c r="D3" s="476" t="s">
        <v>1290</v>
      </c>
      <c r="E3" s="476" t="s">
        <v>1291</v>
      </c>
      <c r="F3" s="476" t="s">
        <v>549</v>
      </c>
      <c r="G3" s="476" t="s">
        <v>1289</v>
      </c>
      <c r="H3" s="476" t="s">
        <v>1290</v>
      </c>
      <c r="I3" s="476" t="s">
        <v>1291</v>
      </c>
      <c r="J3" s="476" t="s">
        <v>549</v>
      </c>
      <c r="K3" s="476" t="s">
        <v>1289</v>
      </c>
      <c r="L3" s="476" t="s">
        <v>1290</v>
      </c>
      <c r="M3" s="476" t="s">
        <v>1291</v>
      </c>
      <c r="N3" s="476" t="s">
        <v>549</v>
      </c>
      <c r="O3" s="476" t="s">
        <v>1289</v>
      </c>
      <c r="P3" s="476" t="s">
        <v>1290</v>
      </c>
      <c r="Q3" s="476" t="s">
        <v>1291</v>
      </c>
      <c r="R3" s="476" t="s">
        <v>549</v>
      </c>
    </row>
    <row r="4" spans="1:19" ht="29" x14ac:dyDescent="0.35">
      <c r="A4" s="764" t="s">
        <v>309</v>
      </c>
      <c r="B4" s="347" t="s">
        <v>334</v>
      </c>
      <c r="C4" s="462">
        <v>4277527585</v>
      </c>
      <c r="D4" s="462">
        <v>544208715</v>
      </c>
      <c r="E4" s="462">
        <v>1229000</v>
      </c>
      <c r="F4" s="462">
        <v>4822965300</v>
      </c>
      <c r="G4" s="462">
        <v>4560188351</v>
      </c>
      <c r="H4" s="462">
        <v>595941483</v>
      </c>
      <c r="I4" s="462">
        <v>1316430</v>
      </c>
      <c r="J4" s="462">
        <f>SUM(G4:I4)</f>
        <v>5157446264</v>
      </c>
      <c r="K4" s="462">
        <f>SUM(K5:K9)</f>
        <v>1201779428</v>
      </c>
      <c r="L4" s="462">
        <f>SUM(L5:L9)</f>
        <v>135380296</v>
      </c>
      <c r="M4" s="462">
        <f>SUM(M5:M9)</f>
        <v>89891</v>
      </c>
      <c r="N4" s="462">
        <f>SUM(K4:M4)</f>
        <v>1337249615</v>
      </c>
      <c r="O4" s="462">
        <f>SUM(O5:O9)</f>
        <v>0</v>
      </c>
      <c r="P4" s="462">
        <f>SUM(P5:P9)</f>
        <v>0</v>
      </c>
      <c r="Q4" s="462">
        <f>SUM(Q5:Q9)</f>
        <v>0</v>
      </c>
      <c r="R4" s="462">
        <f>SUM(O4:Q4)</f>
        <v>0</v>
      </c>
      <c r="S4" s="767"/>
    </row>
    <row r="5" spans="1:19" x14ac:dyDescent="0.35">
      <c r="A5" s="765" t="s">
        <v>311</v>
      </c>
      <c r="B5" s="766" t="s">
        <v>286</v>
      </c>
      <c r="C5" s="512">
        <v>1530266160</v>
      </c>
      <c r="D5" s="512">
        <v>78233200</v>
      </c>
      <c r="E5" s="512">
        <v>40000</v>
      </c>
      <c r="F5" s="512">
        <v>1608539360</v>
      </c>
      <c r="G5" s="512">
        <v>1602963730</v>
      </c>
      <c r="H5" s="512">
        <v>80318800</v>
      </c>
      <c r="I5" s="512">
        <v>127430</v>
      </c>
      <c r="J5" s="512">
        <v>1683409960</v>
      </c>
      <c r="K5" s="512">
        <f>'2.2 melléklet'!K8+'3.1 melléklet'!K40+'4.8 melléklet'!K37+'4.1 melléklet'!K37+'4.2 melléklet'!K37+'4.3 melléklet'!K37+'4.4 melléklet'!K37+'4.5 melléklet'!K37+'4.6 melléklet'!K37+'4.7 melléklet'!K37</f>
        <v>513466608</v>
      </c>
      <c r="L5" s="512">
        <f>'2.2 melléklet'!L8+'3.1 melléklet'!L40+'4.8 melléklet'!L37+'4.1 melléklet'!L37+'4.2 melléklet'!L37+'4.3 melléklet'!L37+'4.4 melléklet'!L37+'4.5 melléklet'!L37+'4.6 melléklet'!L37+'4.7 melléklet'!L37</f>
        <v>23129864</v>
      </c>
      <c r="M5" s="512">
        <f>'2.2 melléklet'!M8+'3.1 melléklet'!M40</f>
        <v>0</v>
      </c>
      <c r="N5" s="512">
        <f>SUM(K5:M5)</f>
        <v>536596472</v>
      </c>
      <c r="O5" s="512">
        <f>'2.2 melléklet'!O8+'3.1 melléklet'!O40+'4.8 melléklet'!L37+'4.1 melléklet'!L37+'4.2 melléklet'!L37+'4.3 melléklet'!L37+'4.4 melléklet'!L37+'4.5 melléklet'!L37+'4.6 melléklet'!L37+'4.7 melléklet'!L37</f>
        <v>0</v>
      </c>
      <c r="P5" s="512">
        <f>'2.2 melléklet'!P8+'3.1 melléklet'!P40+'4.8 melléklet'!M37+'4.1 melléklet'!M37+'4.2 melléklet'!M37+'4.3 melléklet'!M37+'4.4 melléklet'!M37+'4.5 melléklet'!M37+'4.6 melléklet'!M37+'4.7 melléklet'!M37</f>
        <v>0</v>
      </c>
      <c r="Q5" s="512">
        <f>'2.2 melléklet'!Q8+'3.1 melléklet'!Q40</f>
        <v>0</v>
      </c>
      <c r="R5" s="512">
        <f>SUM(O5:Q5)</f>
        <v>0</v>
      </c>
      <c r="S5" s="767"/>
    </row>
    <row r="6" spans="1:19" ht="29" x14ac:dyDescent="0.35">
      <c r="A6" s="765" t="s">
        <v>322</v>
      </c>
      <c r="B6" s="766" t="s">
        <v>335</v>
      </c>
      <c r="C6" s="512">
        <v>255260265</v>
      </c>
      <c r="D6" s="512">
        <v>12527715</v>
      </c>
      <c r="E6" s="512">
        <v>16000</v>
      </c>
      <c r="F6" s="512">
        <v>267803980</v>
      </c>
      <c r="G6" s="512">
        <v>261104904</v>
      </c>
      <c r="H6" s="512">
        <v>10967115</v>
      </c>
      <c r="I6" s="512">
        <v>16000</v>
      </c>
      <c r="J6" s="512">
        <v>272088019</v>
      </c>
      <c r="K6" s="512">
        <f>'2.2 melléklet'!K9+'3.1 melléklet'!K41+'4.8 melléklet'!K38+'4.1 melléklet'!K38+'4.2 melléklet'!K38+'4.3 melléklet'!K38+'4.4 melléklet'!K38+'4.5 melléklet'!K38+'4.6 melléklet'!K38+'4.7 melléklet'!K38</f>
        <v>85591657</v>
      </c>
      <c r="L6" s="512">
        <f>'2.2 melléklet'!L9+'3.1 melléklet'!L41+'4.8 melléklet'!L38+'4.1 melléklet'!L38+'4.2 melléklet'!L38+'4.3 melléklet'!L38+'4.4 melléklet'!L38+'4.5 melléklet'!L38+'4.6 melléklet'!L38+'4.7 melléklet'!L38</f>
        <v>2523667</v>
      </c>
      <c r="M6" s="512">
        <f>'2.2 melléklet'!M9+'3.1 melléklet'!M41</f>
        <v>0</v>
      </c>
      <c r="N6" s="512">
        <f>SUM(K6:M6)</f>
        <v>88115324</v>
      </c>
      <c r="O6" s="512">
        <f>'2.2 melléklet'!O9+'3.1 melléklet'!O41+'4.8 melléklet'!L38+'4.1 melléklet'!L38+'4.2 melléklet'!L38+'4.3 melléklet'!L38+'4.4 melléklet'!L38+'4.5 melléklet'!L38+'4.6 melléklet'!L38+'4.7 melléklet'!L38</f>
        <v>0</v>
      </c>
      <c r="P6" s="512">
        <f>'2.2 melléklet'!P9+'3.1 melléklet'!P41+'4.8 melléklet'!M38+'4.1 melléklet'!M38+'4.2 melléklet'!M38+'4.3 melléklet'!M38+'4.4 melléklet'!M38+'4.5 melléklet'!M38+'4.6 melléklet'!M38+'4.7 melléklet'!M38</f>
        <v>0</v>
      </c>
      <c r="Q6" s="512">
        <f>'2.2 melléklet'!Q9+'3.1 melléklet'!Q41</f>
        <v>0</v>
      </c>
      <c r="R6" s="512">
        <f>SUM(O6:Q6)</f>
        <v>0</v>
      </c>
      <c r="S6" s="767"/>
    </row>
    <row r="7" spans="1:19" x14ac:dyDescent="0.35">
      <c r="A7" s="765" t="s">
        <v>315</v>
      </c>
      <c r="B7" s="766" t="s">
        <v>292</v>
      </c>
      <c r="C7" s="512">
        <v>1509312080</v>
      </c>
      <c r="D7" s="512">
        <v>112060800</v>
      </c>
      <c r="E7" s="512">
        <v>1173000</v>
      </c>
      <c r="F7" s="512">
        <v>1622545880</v>
      </c>
      <c r="G7" s="512">
        <v>1589993909</v>
      </c>
      <c r="H7" s="512">
        <v>153032700</v>
      </c>
      <c r="I7" s="512">
        <v>1173000</v>
      </c>
      <c r="J7" s="512">
        <v>1744199609</v>
      </c>
      <c r="K7" s="512">
        <f>'2.2 melléklet'!K10+'3.1 melléklet'!K42+'4.8 melléklet'!K39+'4.1 melléklet'!K39+'4.2 melléklet'!K39+'4.3 melléklet'!K39+'4.4 melléklet'!K39+'4.5 melléklet'!K39+'4.6 melléklet'!K39+'4.7 melléklet'!K39</f>
        <v>261397490</v>
      </c>
      <c r="L7" s="512">
        <f>'2.2 melléklet'!L10+'3.1 melléklet'!L42+'4.8 melléklet'!L39+'4.1 melléklet'!L39+'4.2 melléklet'!L39+'4.3 melléklet'!L39+'4.4 melléklet'!L39+'4.5 melléklet'!L39+'4.6 melléklet'!L39+'4.7 melléklet'!L39</f>
        <v>28274739</v>
      </c>
      <c r="M7" s="512">
        <f>'2.2 melléklet'!M10+'3.1 melléklet'!M42</f>
        <v>89891</v>
      </c>
      <c r="N7" s="1030">
        <f>SUM(K7:M7)</f>
        <v>289762120</v>
      </c>
      <c r="O7" s="512">
        <f>'2.2 melléklet'!O10+'3.1 melléklet'!O42+'4.8 melléklet'!L39+'4.1 melléklet'!L39+'4.2 melléklet'!L39+'4.3 melléklet'!L39+'4.4 melléklet'!L39+'4.5 melléklet'!L39+'4.6 melléklet'!L39+'4.7 melléklet'!L39</f>
        <v>0</v>
      </c>
      <c r="P7" s="512">
        <f>'2.2 melléklet'!P10+'3.1 melléklet'!P42+'4.8 melléklet'!M39+'4.1 melléklet'!M39+'4.2 melléklet'!M39+'4.3 melléklet'!M39+'4.4 melléklet'!M39+'4.5 melléklet'!M39+'4.6 melléklet'!M39+'4.7 melléklet'!M39</f>
        <v>0</v>
      </c>
      <c r="Q7" s="512">
        <f>'2.2 melléklet'!Q10+'3.1 melléklet'!Q42</f>
        <v>0</v>
      </c>
      <c r="R7" s="512">
        <f>SUM(O7:Q7)</f>
        <v>0</v>
      </c>
      <c r="S7" s="767"/>
    </row>
    <row r="8" spans="1:19" x14ac:dyDescent="0.35">
      <c r="A8" s="765" t="s">
        <v>336</v>
      </c>
      <c r="B8" s="766" t="s">
        <v>337</v>
      </c>
      <c r="C8" s="512">
        <v>18000000</v>
      </c>
      <c r="D8" s="512">
        <v>24000000</v>
      </c>
      <c r="E8" s="512">
        <v>0</v>
      </c>
      <c r="F8" s="512">
        <v>42000000</v>
      </c>
      <c r="G8" s="512">
        <v>18056521</v>
      </c>
      <c r="H8" s="512">
        <v>24319201</v>
      </c>
      <c r="I8" s="512">
        <v>0</v>
      </c>
      <c r="J8" s="512">
        <v>42375722</v>
      </c>
      <c r="K8" s="512">
        <f>'2.2 melléklet'!K11+'3.1 melléklet'!K43+'4.8 melléklet'!K40+'4.1 melléklet'!K40+'4.2 melléklet'!K40+'4.3 melléklet'!K40+'4.4 melléklet'!K40+'4.5 melléklet'!K40+'4.6 melléklet'!K40+'4.7 melléklet'!K40</f>
        <v>7952685</v>
      </c>
      <c r="L8" s="512">
        <f>'2.2 melléklet'!L11+'3.1 melléklet'!L43+'4.8 melléklet'!L40+'4.1 melléklet'!L40+'4.2 melléklet'!L40+'4.3 melléklet'!L40+'4.4 melléklet'!L40+'4.5 melléklet'!L40+'4.6 melléklet'!L40+'4.7 melléklet'!L40</f>
        <v>2701223</v>
      </c>
      <c r="M8" s="512">
        <f>'2.2 melléklet'!M11+'3.1 melléklet'!M43</f>
        <v>0</v>
      </c>
      <c r="N8" s="512">
        <f t="shared" ref="N8:N14" si="0">SUM(K8:M8)</f>
        <v>10653908</v>
      </c>
      <c r="O8" s="512">
        <f>'2.2 melléklet'!O11+'3.1 melléklet'!O43+'4.8 melléklet'!L40+'4.1 melléklet'!L40+'4.2 melléklet'!L40+'4.3 melléklet'!L40+'4.4 melléklet'!L40+'4.5 melléklet'!L40+'4.6 melléklet'!L40+'4.7 melléklet'!L40</f>
        <v>0</v>
      </c>
      <c r="P8" s="512">
        <f>'2.2 melléklet'!P11+'3.1 melléklet'!P43+'4.8 melléklet'!M40+'4.1 melléklet'!M40+'4.2 melléklet'!M40+'4.3 melléklet'!M40+'4.4 melléklet'!M40+'4.5 melléklet'!M40+'4.6 melléklet'!M40+'4.7 melléklet'!M40</f>
        <v>0</v>
      </c>
      <c r="Q8" s="512">
        <f>'2.2 melléklet'!Q11+'3.1 melléklet'!Q43</f>
        <v>0</v>
      </c>
      <c r="R8" s="512">
        <f t="shared" ref="R8:R14" si="1">SUM(O8:Q8)</f>
        <v>0</v>
      </c>
      <c r="S8" s="767"/>
    </row>
    <row r="9" spans="1:19" x14ac:dyDescent="0.35">
      <c r="A9" s="765" t="s">
        <v>338</v>
      </c>
      <c r="B9" s="766" t="s">
        <v>339</v>
      </c>
      <c r="C9" s="512">
        <v>964689080</v>
      </c>
      <c r="D9" s="512">
        <v>317387000</v>
      </c>
      <c r="E9" s="512">
        <v>0</v>
      </c>
      <c r="F9" s="512">
        <v>1282076080</v>
      </c>
      <c r="G9" s="512">
        <f>1148069287-60000000</f>
        <v>1088069287</v>
      </c>
      <c r="H9" s="512">
        <v>327303667</v>
      </c>
      <c r="I9" s="512">
        <v>0</v>
      </c>
      <c r="J9" s="512">
        <v>1415372954</v>
      </c>
      <c r="K9" s="512">
        <f>'2.2 melléklet'!K12+'3.1 melléklet'!K44+'4.8 melléklet'!K41+'4.1 melléklet'!K41+'4.2 melléklet'!K41+'4.3 melléklet'!K41+'4.4 melléklet'!K41+'4.5 melléklet'!K41+'4.6 melléklet'!K41+'4.7 melléklet'!K41</f>
        <v>333370988</v>
      </c>
      <c r="L9" s="512">
        <f>'2.2 melléklet'!L12</f>
        <v>78750803</v>
      </c>
      <c r="M9" s="512">
        <f>'2.2 melléklet'!M12+'3.1 melléklet'!M44</f>
        <v>0</v>
      </c>
      <c r="N9" s="1030">
        <f t="shared" si="0"/>
        <v>412121791</v>
      </c>
      <c r="O9" s="512">
        <f>'2.2 melléklet'!O12+'3.1 melléklet'!O44+'4.8 melléklet'!L41+'4.1 melléklet'!L41+'4.2 melléklet'!L41+'4.3 melléklet'!L41+'4.4 melléklet'!L41+'4.5 melléklet'!L41+'4.6 melléklet'!L41+'4.7 melléklet'!L41</f>
        <v>0</v>
      </c>
      <c r="P9" s="512">
        <f>'2.2 melléklet'!P12+'3.1 melléklet'!P44+'4.8 melléklet'!M41+'4.1 melléklet'!M41+'4.2 melléklet'!M41+'4.3 melléklet'!M41+'4.4 melléklet'!M41+'4.5 melléklet'!M41+'4.6 melléklet'!M41+'4.7 melléklet'!M41</f>
        <v>0</v>
      </c>
      <c r="Q9" s="512">
        <f>'2.2 melléklet'!Q12+'3.1 melléklet'!Q44</f>
        <v>0</v>
      </c>
      <c r="R9" s="1030">
        <f t="shared" si="1"/>
        <v>0</v>
      </c>
      <c r="S9" s="767"/>
    </row>
    <row r="10" spans="1:19" ht="14.25" customHeight="1" x14ac:dyDescent="0.35">
      <c r="A10" s="747"/>
      <c r="B10" s="768" t="s">
        <v>660</v>
      </c>
      <c r="C10" s="468">
        <v>769922000</v>
      </c>
      <c r="D10" s="468"/>
      <c r="E10" s="468"/>
      <c r="F10" s="468">
        <v>769922000</v>
      </c>
      <c r="G10" s="468">
        <v>862002073</v>
      </c>
      <c r="H10" s="468"/>
      <c r="I10" s="468"/>
      <c r="J10" s="468">
        <v>862002073</v>
      </c>
      <c r="K10" s="468">
        <f>+'2.2 melléklet'!K13</f>
        <v>333370988</v>
      </c>
      <c r="L10" s="468"/>
      <c r="M10" s="468"/>
      <c r="N10" s="468">
        <f t="shared" si="0"/>
        <v>333370988</v>
      </c>
      <c r="O10" s="468">
        <f>+'2.2 melléklet'!O13</f>
        <v>0</v>
      </c>
      <c r="P10" s="468"/>
      <c r="Q10" s="468"/>
      <c r="R10" s="468">
        <f t="shared" si="1"/>
        <v>0</v>
      </c>
      <c r="S10" s="767"/>
    </row>
    <row r="11" spans="1:19" s="762" customFormat="1" ht="28.5" customHeight="1" x14ac:dyDescent="0.35">
      <c r="A11" s="747"/>
      <c r="B11" s="768" t="s">
        <v>661</v>
      </c>
      <c r="C11" s="468">
        <v>0</v>
      </c>
      <c r="D11" s="468"/>
      <c r="E11" s="468"/>
      <c r="F11" s="468">
        <v>0</v>
      </c>
      <c r="G11" s="468">
        <v>160675</v>
      </c>
      <c r="H11" s="468"/>
      <c r="I11" s="468"/>
      <c r="J11" s="468">
        <v>160675</v>
      </c>
      <c r="K11" s="468">
        <f>+'2.2 melléklet'!K14</f>
        <v>0</v>
      </c>
      <c r="L11" s="468"/>
      <c r="M11" s="468"/>
      <c r="N11" s="468">
        <f t="shared" si="0"/>
        <v>0</v>
      </c>
      <c r="O11" s="468">
        <f>+'2.2 melléklet'!O14</f>
        <v>0</v>
      </c>
      <c r="P11" s="468"/>
      <c r="Q11" s="468"/>
      <c r="R11" s="468">
        <f t="shared" si="1"/>
        <v>0</v>
      </c>
      <c r="S11" s="767"/>
    </row>
    <row r="12" spans="1:19" s="762" customFormat="1" ht="28.5" customHeight="1" x14ac:dyDescent="0.35">
      <c r="A12" s="747"/>
      <c r="B12" s="768" t="s">
        <v>662</v>
      </c>
      <c r="C12" s="468"/>
      <c r="D12" s="468">
        <v>49987000</v>
      </c>
      <c r="E12" s="468"/>
      <c r="F12" s="468">
        <v>49987000</v>
      </c>
      <c r="G12" s="468"/>
      <c r="H12" s="468">
        <v>52372000</v>
      </c>
      <c r="I12" s="468"/>
      <c r="J12" s="468">
        <v>52372000</v>
      </c>
      <c r="K12" s="468"/>
      <c r="L12" s="468">
        <f>+'2.2 melléklet'!L15</f>
        <v>23110500</v>
      </c>
      <c r="M12" s="468"/>
      <c r="N12" s="468">
        <f t="shared" si="0"/>
        <v>23110500</v>
      </c>
      <c r="O12" s="468"/>
      <c r="P12" s="468">
        <f>+'2.2 melléklet'!P15</f>
        <v>0</v>
      </c>
      <c r="Q12" s="468"/>
      <c r="R12" s="468">
        <f t="shared" si="1"/>
        <v>0</v>
      </c>
      <c r="S12" s="767"/>
    </row>
    <row r="13" spans="1:19" ht="28.5" customHeight="1" x14ac:dyDescent="0.35">
      <c r="A13" s="747"/>
      <c r="B13" s="768" t="s">
        <v>663</v>
      </c>
      <c r="C13" s="450"/>
      <c r="D13" s="450">
        <v>267400000</v>
      </c>
      <c r="E13" s="450"/>
      <c r="F13" s="450">
        <v>267400000</v>
      </c>
      <c r="G13" s="450">
        <v>1630000</v>
      </c>
      <c r="H13" s="450">
        <v>274931667</v>
      </c>
      <c r="I13" s="450"/>
      <c r="J13" s="450">
        <f>+G13+H13</f>
        <v>276561667</v>
      </c>
      <c r="K13" s="450"/>
      <c r="L13" s="450">
        <f>+'2.2 melléklet'!L16</f>
        <v>55640303</v>
      </c>
      <c r="M13" s="450"/>
      <c r="N13" s="450">
        <f t="shared" si="0"/>
        <v>55640303</v>
      </c>
      <c r="O13" s="450"/>
      <c r="P13" s="450">
        <f>+'2.2 melléklet'!P16</f>
        <v>0</v>
      </c>
      <c r="Q13" s="450"/>
      <c r="R13" s="450">
        <f t="shared" si="1"/>
        <v>0</v>
      </c>
      <c r="S13" s="767"/>
    </row>
    <row r="14" spans="1:19" ht="14.25" customHeight="1" x14ac:dyDescent="0.35">
      <c r="A14" s="747"/>
      <c r="B14" s="768" t="s">
        <v>664</v>
      </c>
      <c r="C14" s="468">
        <v>194767080</v>
      </c>
      <c r="D14" s="468"/>
      <c r="E14" s="468"/>
      <c r="F14" s="468">
        <v>194767080</v>
      </c>
      <c r="G14" s="468">
        <f>284276539-60000000</f>
        <v>224276539</v>
      </c>
      <c r="H14" s="468"/>
      <c r="I14" s="468"/>
      <c r="J14" s="468">
        <f>284276539-60000000</f>
        <v>224276539</v>
      </c>
      <c r="K14" s="468">
        <f>+'2.2 melléklet'!K17</f>
        <v>0</v>
      </c>
      <c r="L14" s="468"/>
      <c r="M14" s="468"/>
      <c r="N14" s="468">
        <f t="shared" si="0"/>
        <v>0</v>
      </c>
      <c r="O14" s="468">
        <f>+'2.2 melléklet'!O17</f>
        <v>0</v>
      </c>
      <c r="P14" s="468"/>
      <c r="Q14" s="468"/>
      <c r="R14" s="1031">
        <f t="shared" si="1"/>
        <v>0</v>
      </c>
      <c r="S14" s="767"/>
    </row>
    <row r="15" spans="1:19" ht="29" x14ac:dyDescent="0.35">
      <c r="A15" s="764" t="s">
        <v>318</v>
      </c>
      <c r="B15" s="347" t="s">
        <v>340</v>
      </c>
      <c r="C15" s="462">
        <v>864632733</v>
      </c>
      <c r="D15" s="462">
        <v>306100000</v>
      </c>
      <c r="E15" s="462">
        <v>0</v>
      </c>
      <c r="F15" s="462">
        <v>1170732733</v>
      </c>
      <c r="G15" s="462">
        <f>60000000+1243748484</f>
        <v>1303748484</v>
      </c>
      <c r="H15" s="462">
        <v>400183756</v>
      </c>
      <c r="I15" s="462">
        <v>0</v>
      </c>
      <c r="J15" s="462">
        <f>60000000+1643932240</f>
        <v>1703932240</v>
      </c>
      <c r="K15" s="462">
        <f>SUM(K16:K18)</f>
        <v>72565503</v>
      </c>
      <c r="L15" s="462">
        <f>SUM(L16:L18)</f>
        <v>13045190</v>
      </c>
      <c r="M15" s="462">
        <f>SUM(M16:M18)</f>
        <v>0</v>
      </c>
      <c r="N15" s="462">
        <f>SUM(K15:M15)</f>
        <v>85610693</v>
      </c>
      <c r="O15" s="462">
        <f>SUM(O16:O18)</f>
        <v>0</v>
      </c>
      <c r="P15" s="462">
        <f>SUM(P16:P18)</f>
        <v>900000</v>
      </c>
      <c r="Q15" s="462">
        <f>SUM(Q16:Q18)</f>
        <v>0</v>
      </c>
      <c r="R15" s="462">
        <f>SUM(O15:Q15)</f>
        <v>900000</v>
      </c>
      <c r="S15" s="767"/>
    </row>
    <row r="16" spans="1:19" x14ac:dyDescent="0.35">
      <c r="A16" s="765" t="s">
        <v>311</v>
      </c>
      <c r="B16" s="766" t="s">
        <v>351</v>
      </c>
      <c r="C16" s="512">
        <v>753077820</v>
      </c>
      <c r="D16" s="512">
        <v>306100000</v>
      </c>
      <c r="E16" s="512">
        <v>0</v>
      </c>
      <c r="F16" s="512">
        <v>1059177820</v>
      </c>
      <c r="G16" s="512">
        <f>60000000+1074581320</f>
        <v>1134581320</v>
      </c>
      <c r="H16" s="512">
        <v>275183756</v>
      </c>
      <c r="I16" s="512">
        <v>0</v>
      </c>
      <c r="J16" s="512">
        <f>60000000+1349765076</f>
        <v>1409765076</v>
      </c>
      <c r="K16" s="512">
        <f>'2.2 melléklet'!K22+'3.1 melléklet'!K46+'4.8 melléklet'!K43+'4.1 melléklet'!K43+'4.2 melléklet'!K43+'4.3 melléklet'!K43+'4.4 melléklet'!K43+'4.5 melléklet'!K43+'4.6 melléklet'!K43+'4.7 melléklet'!K43</f>
        <v>19418578</v>
      </c>
      <c r="L16" s="512">
        <f>'2.2 melléklet'!L22+'3.1 melléklet'!L46+'4.8 melléklet'!L43+'4.1 melléklet'!L43+'4.2 melléklet'!L43+'4.3 melléklet'!L43+'4.4 melléklet'!L43+'4.5 melléklet'!L43+'4.6 melléklet'!L43+'4.7 melléklet'!L43</f>
        <v>13045190</v>
      </c>
      <c r="M16" s="512">
        <f>'2.2 melléklet'!M22+'3.1 melléklet'!M46</f>
        <v>0</v>
      </c>
      <c r="N16" s="512">
        <f>SUM(K16:M16)</f>
        <v>32463768</v>
      </c>
      <c r="O16" s="512">
        <f>'2.2 melléklet'!O22+'3.1 melléklet'!O46+'4.8 melléklet'!L43+'4.1 melléklet'!L43+'4.2 melléklet'!L43+'4.3 melléklet'!L43+'4.4 melléklet'!L43+'4.5 melléklet'!L43+'4.6 melléklet'!L43+'4.7 melléklet'!L43</f>
        <v>0</v>
      </c>
      <c r="P16" s="512">
        <f>'2.2 melléklet'!P22+'3.1 melléklet'!P46+'4.8 melléklet'!M43+'4.1 melléklet'!M43+'4.2 melléklet'!M43+'4.3 melléklet'!M43+'4.4 melléklet'!M43+'4.5 melléklet'!M43+'4.6 melléklet'!M43+'4.7 melléklet'!M43</f>
        <v>900000</v>
      </c>
      <c r="Q16" s="512">
        <f>'2.2 melléklet'!Q22+'3.1 melléklet'!Q46</f>
        <v>0</v>
      </c>
      <c r="R16" s="512">
        <f>SUM(O16:Q16)</f>
        <v>900000</v>
      </c>
      <c r="S16" s="767"/>
    </row>
    <row r="17" spans="1:19" x14ac:dyDescent="0.35">
      <c r="A17" s="765" t="s">
        <v>322</v>
      </c>
      <c r="B17" s="766" t="s">
        <v>342</v>
      </c>
      <c r="C17" s="512">
        <v>111554913</v>
      </c>
      <c r="D17" s="512">
        <v>0</v>
      </c>
      <c r="E17" s="512">
        <v>0</v>
      </c>
      <c r="F17" s="512">
        <v>111554913</v>
      </c>
      <c r="G17" s="512">
        <v>168467164</v>
      </c>
      <c r="H17" s="512">
        <v>40000000</v>
      </c>
      <c r="I17" s="512">
        <v>0</v>
      </c>
      <c r="J17" s="512">
        <v>208467164</v>
      </c>
      <c r="K17" s="512">
        <f>'2.2 melléklet'!K23+'3.1 melléklet'!K47+'4.8 melléklet'!K44+'4.1 melléklet'!K44+'4.2 melléklet'!K44+'4.3 melléklet'!K44+'4.4 melléklet'!K44+'4.5 melléklet'!K44+'4.6 melléklet'!K44+'4.7 melléklet'!K44</f>
        <v>53146925</v>
      </c>
      <c r="L17" s="512">
        <f>'2.2 melléklet'!L23+'3.1 melléklet'!L47+'4.8 melléklet'!L44+'4.1 melléklet'!L44+'4.2 melléklet'!L44+'4.3 melléklet'!L44+'4.4 melléklet'!L44+'4.5 melléklet'!L44+'4.6 melléklet'!L44+'4.7 melléklet'!L44</f>
        <v>0</v>
      </c>
      <c r="M17" s="512">
        <f>'2.2 melléklet'!M23+'3.1 melléklet'!M47</f>
        <v>0</v>
      </c>
      <c r="N17" s="512">
        <f t="shared" ref="N17:N23" si="2">SUM(K17:M17)</f>
        <v>53146925</v>
      </c>
      <c r="O17" s="512">
        <f>'2.2 melléklet'!O23+'3.1 melléklet'!O47+'4.8 melléklet'!L44+'4.1 melléklet'!L44+'4.2 melléklet'!L44+'4.3 melléklet'!L44+'4.4 melléklet'!L44+'4.5 melléklet'!L44+'4.6 melléklet'!L44+'4.7 melléklet'!L44</f>
        <v>0</v>
      </c>
      <c r="P17" s="512">
        <f>'2.2 melléklet'!P23+'3.1 melléklet'!P47+'4.8 melléklet'!M44+'4.1 melléklet'!M44+'4.2 melléklet'!M44+'4.3 melléklet'!M44+'4.4 melléklet'!M44+'4.5 melléklet'!M44+'4.6 melléklet'!M44+'4.7 melléklet'!M44</f>
        <v>0</v>
      </c>
      <c r="Q17" s="512">
        <f>'2.2 melléklet'!Q23+'3.1 melléklet'!Q47</f>
        <v>0</v>
      </c>
      <c r="R17" s="512">
        <f t="shared" ref="R17:R23" si="3">SUM(O17:Q17)</f>
        <v>0</v>
      </c>
      <c r="S17" s="767"/>
    </row>
    <row r="18" spans="1:19" x14ac:dyDescent="0.35">
      <c r="A18" s="765" t="s">
        <v>315</v>
      </c>
      <c r="B18" s="766" t="s">
        <v>343</v>
      </c>
      <c r="C18" s="512">
        <v>0</v>
      </c>
      <c r="D18" s="512">
        <v>0</v>
      </c>
      <c r="E18" s="512">
        <v>0</v>
      </c>
      <c r="F18" s="512">
        <v>0</v>
      </c>
      <c r="G18" s="512">
        <v>700000</v>
      </c>
      <c r="H18" s="512">
        <v>85000000</v>
      </c>
      <c r="I18" s="512">
        <v>0</v>
      </c>
      <c r="J18" s="512">
        <v>85700000</v>
      </c>
      <c r="K18" s="512">
        <f>'2.2 melléklet'!K24+'3.1 melléklet'!K48</f>
        <v>0</v>
      </c>
      <c r="L18" s="512">
        <f>'2.2 melléklet'!L24+'3.1 melléklet'!L48+'4.8 melléklet'!L45+'4.1 melléklet'!L45+'4.2 melléklet'!L45+'4.3 melléklet'!L45+'4.4 melléklet'!L45+'4.5 melléklet'!L45+'4.6 melléklet'!L45+'4.7 melléklet'!L45</f>
        <v>0</v>
      </c>
      <c r="M18" s="512">
        <f>'2.2 melléklet'!M24+'3.1 melléklet'!M48</f>
        <v>0</v>
      </c>
      <c r="N18" s="512">
        <f t="shared" si="2"/>
        <v>0</v>
      </c>
      <c r="O18" s="512">
        <f>'2.2 melléklet'!O24+'3.1 melléklet'!O48</f>
        <v>0</v>
      </c>
      <c r="P18" s="512">
        <f>'2.2 melléklet'!P24+'3.1 melléklet'!P48+'4.8 melléklet'!M45+'4.1 melléklet'!M45+'4.2 melléklet'!M45+'4.3 melléklet'!M45+'4.4 melléklet'!M45+'4.5 melléklet'!M45+'4.6 melléklet'!M45+'4.7 melléklet'!M45</f>
        <v>0</v>
      </c>
      <c r="Q18" s="512">
        <f>'2.2 melléklet'!Q24+'3.1 melléklet'!Q48</f>
        <v>0</v>
      </c>
      <c r="R18" s="512">
        <f t="shared" si="3"/>
        <v>0</v>
      </c>
      <c r="S18" s="767"/>
    </row>
    <row r="19" spans="1:19" ht="28.5" hidden="1" customHeight="1" x14ac:dyDescent="0.35">
      <c r="A19" s="747"/>
      <c r="B19" s="768" t="s">
        <v>667</v>
      </c>
      <c r="C19" s="468"/>
      <c r="D19" s="468"/>
      <c r="E19" s="468"/>
      <c r="F19" s="468">
        <v>0</v>
      </c>
      <c r="G19" s="468"/>
      <c r="H19" s="468"/>
      <c r="I19" s="468"/>
      <c r="J19" s="468">
        <v>0</v>
      </c>
      <c r="K19" s="468"/>
      <c r="L19" s="468"/>
      <c r="M19" s="468"/>
      <c r="N19" s="468">
        <f t="shared" si="2"/>
        <v>0</v>
      </c>
      <c r="O19" s="468"/>
      <c r="P19" s="468"/>
      <c r="Q19" s="468"/>
      <c r="R19" s="468">
        <f t="shared" si="3"/>
        <v>0</v>
      </c>
      <c r="S19" s="767"/>
    </row>
    <row r="20" spans="1:19" ht="28.5" hidden="1" customHeight="1" x14ac:dyDescent="0.35">
      <c r="A20" s="747"/>
      <c r="B20" s="768" t="s">
        <v>668</v>
      </c>
      <c r="C20" s="468"/>
      <c r="D20" s="468"/>
      <c r="E20" s="468"/>
      <c r="F20" s="468">
        <v>0</v>
      </c>
      <c r="G20" s="468"/>
      <c r="H20" s="468"/>
      <c r="I20" s="468"/>
      <c r="J20" s="468">
        <v>0</v>
      </c>
      <c r="K20" s="468"/>
      <c r="L20" s="468"/>
      <c r="M20" s="468"/>
      <c r="N20" s="468">
        <f t="shared" si="2"/>
        <v>0</v>
      </c>
      <c r="O20" s="468"/>
      <c r="P20" s="468"/>
      <c r="Q20" s="468"/>
      <c r="R20" s="468">
        <f t="shared" si="3"/>
        <v>0</v>
      </c>
      <c r="S20" s="767"/>
    </row>
    <row r="21" spans="1:19" ht="14.25" hidden="1" customHeight="1" x14ac:dyDescent="0.35">
      <c r="A21" s="747"/>
      <c r="B21" s="768" t="s">
        <v>669</v>
      </c>
      <c r="C21" s="468"/>
      <c r="D21" s="468"/>
      <c r="E21" s="468"/>
      <c r="F21" s="468">
        <v>0</v>
      </c>
      <c r="G21" s="468"/>
      <c r="H21" s="468"/>
      <c r="I21" s="468"/>
      <c r="J21" s="468">
        <v>0</v>
      </c>
      <c r="K21" s="468"/>
      <c r="L21" s="468"/>
      <c r="M21" s="468"/>
      <c r="N21" s="468">
        <f t="shared" si="2"/>
        <v>0</v>
      </c>
      <c r="O21" s="468"/>
      <c r="P21" s="468"/>
      <c r="Q21" s="468"/>
      <c r="R21" s="468">
        <f t="shared" si="3"/>
        <v>0</v>
      </c>
      <c r="S21" s="767"/>
    </row>
    <row r="22" spans="1:19" ht="28.5" hidden="1" customHeight="1" x14ac:dyDescent="0.35">
      <c r="A22" s="747"/>
      <c r="B22" s="768" t="s">
        <v>670</v>
      </c>
      <c r="C22" s="468"/>
      <c r="D22" s="468"/>
      <c r="E22" s="468"/>
      <c r="F22" s="468">
        <v>0</v>
      </c>
      <c r="G22" s="468"/>
      <c r="H22" s="468"/>
      <c r="I22" s="468"/>
      <c r="J22" s="468">
        <v>0</v>
      </c>
      <c r="K22" s="468"/>
      <c r="L22" s="468"/>
      <c r="M22" s="468"/>
      <c r="N22" s="468">
        <f t="shared" si="2"/>
        <v>0</v>
      </c>
      <c r="O22" s="468"/>
      <c r="P22" s="468"/>
      <c r="Q22" s="468"/>
      <c r="R22" s="468">
        <f t="shared" si="3"/>
        <v>0</v>
      </c>
      <c r="S22" s="767"/>
    </row>
    <row r="23" spans="1:19" ht="28.5" hidden="1" customHeight="1" x14ac:dyDescent="0.35">
      <c r="A23" s="747"/>
      <c r="B23" s="768" t="s">
        <v>671</v>
      </c>
      <c r="C23" s="468"/>
      <c r="D23" s="468"/>
      <c r="E23" s="468"/>
      <c r="F23" s="468">
        <v>0</v>
      </c>
      <c r="G23" s="468"/>
      <c r="H23" s="468"/>
      <c r="I23" s="468"/>
      <c r="J23" s="468">
        <v>0</v>
      </c>
      <c r="K23" s="468"/>
      <c r="L23" s="468"/>
      <c r="M23" s="468"/>
      <c r="N23" s="468">
        <f t="shared" si="2"/>
        <v>0</v>
      </c>
      <c r="O23" s="468"/>
      <c r="P23" s="468"/>
      <c r="Q23" s="468"/>
      <c r="R23" s="468">
        <f t="shared" si="3"/>
        <v>0</v>
      </c>
      <c r="S23" s="767"/>
    </row>
    <row r="24" spans="1:19" ht="29" x14ac:dyDescent="0.35">
      <c r="A24" s="769"/>
      <c r="B24" s="770" t="s">
        <v>583</v>
      </c>
      <c r="C24" s="517">
        <v>5142160318</v>
      </c>
      <c r="D24" s="517">
        <v>850308715</v>
      </c>
      <c r="E24" s="517">
        <v>1229000</v>
      </c>
      <c r="F24" s="517">
        <v>5993698033</v>
      </c>
      <c r="G24" s="517">
        <v>5863936835</v>
      </c>
      <c r="H24" s="517">
        <v>996125239</v>
      </c>
      <c r="I24" s="517">
        <v>1316430</v>
      </c>
      <c r="J24" s="517">
        <v>6861378504</v>
      </c>
      <c r="K24" s="517">
        <f>K4+K15</f>
        <v>1274344931</v>
      </c>
      <c r="L24" s="517">
        <f>L4+L15</f>
        <v>148425486</v>
      </c>
      <c r="M24" s="517">
        <f>M4+M15</f>
        <v>89891</v>
      </c>
      <c r="N24" s="517">
        <f>SUM(K24:M24)</f>
        <v>1422860308</v>
      </c>
      <c r="O24" s="517">
        <f>O4+O15</f>
        <v>0</v>
      </c>
      <c r="P24" s="517">
        <f>P4+P15</f>
        <v>900000</v>
      </c>
      <c r="Q24" s="517">
        <f>Q4+Q15</f>
        <v>0</v>
      </c>
      <c r="R24" s="517">
        <f>SUM(O24:Q24)</f>
        <v>900000</v>
      </c>
      <c r="S24" s="767"/>
    </row>
    <row r="25" spans="1:19" x14ac:dyDescent="0.35">
      <c r="A25" s="764" t="s">
        <v>328</v>
      </c>
      <c r="B25" s="347" t="s">
        <v>586</v>
      </c>
      <c r="C25" s="462">
        <v>180645200</v>
      </c>
      <c r="D25" s="462">
        <v>0</v>
      </c>
      <c r="E25" s="462">
        <v>40497942</v>
      </c>
      <c r="F25" s="462">
        <v>221143142</v>
      </c>
      <c r="G25" s="462">
        <v>180645200</v>
      </c>
      <c r="H25" s="462">
        <v>0</v>
      </c>
      <c r="I25" s="462">
        <v>226332654</v>
      </c>
      <c r="J25" s="462">
        <v>406977854</v>
      </c>
      <c r="K25" s="462">
        <f>K26+K32</f>
        <v>45161289</v>
      </c>
      <c r="L25" s="462">
        <f>L26+L32</f>
        <v>0</v>
      </c>
      <c r="M25" s="462">
        <f>M26+M32</f>
        <v>226332654</v>
      </c>
      <c r="N25" s="462">
        <f t="shared" ref="N25:N34" si="4">SUM(K25:M25)</f>
        <v>271493943</v>
      </c>
      <c r="O25" s="462">
        <f>O26+O32</f>
        <v>0</v>
      </c>
      <c r="P25" s="462">
        <f>P26+P32</f>
        <v>0</v>
      </c>
      <c r="Q25" s="462">
        <f>Q26+Q32</f>
        <v>0</v>
      </c>
      <c r="R25" s="462">
        <f t="shared" ref="R25:R34" si="5">SUM(O25:Q25)</f>
        <v>0</v>
      </c>
      <c r="S25" s="767"/>
    </row>
    <row r="26" spans="1:19" x14ac:dyDescent="0.35">
      <c r="A26" s="765" t="s">
        <v>311</v>
      </c>
      <c r="B26" s="766" t="s">
        <v>589</v>
      </c>
      <c r="C26" s="771">
        <v>180645200</v>
      </c>
      <c r="D26" s="771">
        <v>0</v>
      </c>
      <c r="E26" s="771">
        <v>40497942</v>
      </c>
      <c r="F26" s="771">
        <v>221143142</v>
      </c>
      <c r="G26" s="771">
        <v>180645200</v>
      </c>
      <c r="H26" s="771">
        <v>0</v>
      </c>
      <c r="I26" s="771">
        <v>226332654</v>
      </c>
      <c r="J26" s="771">
        <v>406977854</v>
      </c>
      <c r="K26" s="771">
        <f>SUM(K27:K31)</f>
        <v>45161289</v>
      </c>
      <c r="L26" s="771">
        <f>SUM(L27:L31)</f>
        <v>0</v>
      </c>
      <c r="M26" s="771">
        <f>SUM(M27:M31)</f>
        <v>226332654</v>
      </c>
      <c r="N26" s="771">
        <f t="shared" si="4"/>
        <v>271493943</v>
      </c>
      <c r="O26" s="771">
        <f>SUM(O27:O31)</f>
        <v>0</v>
      </c>
      <c r="P26" s="771">
        <f>SUM(P27:P31)</f>
        <v>0</v>
      </c>
      <c r="Q26" s="771">
        <f>SUM(Q27:Q31)</f>
        <v>0</v>
      </c>
      <c r="R26" s="771">
        <f t="shared" si="5"/>
        <v>0</v>
      </c>
      <c r="S26" s="767"/>
    </row>
    <row r="27" spans="1:19" ht="29" x14ac:dyDescent="0.35">
      <c r="A27" s="747"/>
      <c r="B27" s="772" t="s">
        <v>672</v>
      </c>
      <c r="C27" s="450">
        <v>180645200</v>
      </c>
      <c r="D27" s="450">
        <v>0</v>
      </c>
      <c r="E27" s="450">
        <v>0</v>
      </c>
      <c r="F27" s="450">
        <v>180645200</v>
      </c>
      <c r="G27" s="450">
        <v>180645200</v>
      </c>
      <c r="H27" s="450">
        <v>0</v>
      </c>
      <c r="I27" s="450">
        <v>0</v>
      </c>
      <c r="J27" s="450">
        <v>180645200</v>
      </c>
      <c r="K27" s="450">
        <f>'2.2 melléklet'!K33</f>
        <v>45161289</v>
      </c>
      <c r="L27" s="450">
        <f>'2.2 melléklet'!L33</f>
        <v>0</v>
      </c>
      <c r="M27" s="450">
        <f>'2.2 melléklet'!M33</f>
        <v>0</v>
      </c>
      <c r="N27" s="450">
        <f t="shared" si="4"/>
        <v>45161289</v>
      </c>
      <c r="O27" s="450">
        <f>'2.2 melléklet'!O33</f>
        <v>0</v>
      </c>
      <c r="P27" s="450">
        <f>'2.2 melléklet'!P33</f>
        <v>0</v>
      </c>
      <c r="Q27" s="450">
        <f>'2.2 melléklet'!Q33</f>
        <v>0</v>
      </c>
      <c r="R27" s="450">
        <f t="shared" si="5"/>
        <v>0</v>
      </c>
      <c r="S27" s="767"/>
    </row>
    <row r="28" spans="1:19" x14ac:dyDescent="0.35">
      <c r="A28" s="747"/>
      <c r="B28" s="772" t="s">
        <v>675</v>
      </c>
      <c r="C28" s="450">
        <v>0</v>
      </c>
      <c r="D28" s="450">
        <v>0</v>
      </c>
      <c r="E28" s="450">
        <v>0</v>
      </c>
      <c r="F28" s="450">
        <v>0</v>
      </c>
      <c r="G28" s="450">
        <v>0</v>
      </c>
      <c r="H28" s="450">
        <v>0</v>
      </c>
      <c r="I28" s="450">
        <v>0</v>
      </c>
      <c r="J28" s="450">
        <v>0</v>
      </c>
      <c r="K28" s="450">
        <f>'2.2 melléklet'!K36</f>
        <v>0</v>
      </c>
      <c r="L28" s="450">
        <f>'2.2 melléklet'!L36</f>
        <v>0</v>
      </c>
      <c r="M28" s="450">
        <f>'2.2 melléklet'!M36</f>
        <v>0</v>
      </c>
      <c r="N28" s="450">
        <f t="shared" si="4"/>
        <v>0</v>
      </c>
      <c r="O28" s="450">
        <f>'2.2 melléklet'!O36</f>
        <v>0</v>
      </c>
      <c r="P28" s="450">
        <f>'2.2 melléklet'!P36</f>
        <v>0</v>
      </c>
      <c r="Q28" s="450">
        <f>'2.2 melléklet'!Q36</f>
        <v>0</v>
      </c>
      <c r="R28" s="450">
        <f t="shared" si="5"/>
        <v>0</v>
      </c>
      <c r="S28" s="767"/>
    </row>
    <row r="29" spans="1:19" ht="29" x14ac:dyDescent="0.35">
      <c r="A29" s="747"/>
      <c r="B29" s="772" t="s">
        <v>682</v>
      </c>
      <c r="C29" s="450">
        <v>0</v>
      </c>
      <c r="D29" s="450">
        <v>0</v>
      </c>
      <c r="E29" s="450">
        <v>40497942</v>
      </c>
      <c r="F29" s="450">
        <v>40497942</v>
      </c>
      <c r="G29" s="450">
        <v>0</v>
      </c>
      <c r="H29" s="450">
        <v>0</v>
      </c>
      <c r="I29" s="450">
        <v>226332654</v>
      </c>
      <c r="J29" s="450">
        <v>226332654</v>
      </c>
      <c r="K29" s="450">
        <f>'2.2 melléklet'!K37</f>
        <v>0</v>
      </c>
      <c r="L29" s="450">
        <f>'2.2 melléklet'!L37</f>
        <v>0</v>
      </c>
      <c r="M29" s="450">
        <f>'2.2 melléklet'!M37</f>
        <v>226332654</v>
      </c>
      <c r="N29" s="450">
        <f t="shared" si="4"/>
        <v>226332654</v>
      </c>
      <c r="O29" s="450">
        <f>'2.2 melléklet'!O37</f>
        <v>0</v>
      </c>
      <c r="P29" s="450">
        <f>'2.2 melléklet'!P37</f>
        <v>0</v>
      </c>
      <c r="Q29" s="450">
        <f>'2.2 melléklet'!Q37</f>
        <v>0</v>
      </c>
      <c r="R29" s="450">
        <f t="shared" si="5"/>
        <v>0</v>
      </c>
      <c r="S29" s="767"/>
    </row>
    <row r="30" spans="1:19" ht="29" x14ac:dyDescent="0.35">
      <c r="A30" s="747"/>
      <c r="B30" s="772" t="s">
        <v>683</v>
      </c>
      <c r="C30" s="450">
        <v>0</v>
      </c>
      <c r="D30" s="450">
        <v>0</v>
      </c>
      <c r="E30" s="450">
        <v>0</v>
      </c>
      <c r="F30" s="450">
        <v>0</v>
      </c>
      <c r="G30" s="450">
        <v>0</v>
      </c>
      <c r="H30" s="450">
        <v>0</v>
      </c>
      <c r="I30" s="450">
        <v>0</v>
      </c>
      <c r="J30" s="450">
        <v>0</v>
      </c>
      <c r="K30" s="450">
        <f>'2.2 melléklet'!K39</f>
        <v>0</v>
      </c>
      <c r="L30" s="450">
        <f>'2.2 melléklet'!L39</f>
        <v>0</v>
      </c>
      <c r="M30" s="450">
        <f>'2.2 melléklet'!M39</f>
        <v>0</v>
      </c>
      <c r="N30" s="450">
        <f t="shared" si="4"/>
        <v>0</v>
      </c>
      <c r="O30" s="450">
        <f>'2.2 melléklet'!O39</f>
        <v>0</v>
      </c>
      <c r="P30" s="450">
        <f>'2.2 melléklet'!P39</f>
        <v>0</v>
      </c>
      <c r="Q30" s="450">
        <f>'2.2 melléklet'!Q39</f>
        <v>0</v>
      </c>
      <c r="R30" s="450">
        <f t="shared" si="5"/>
        <v>0</v>
      </c>
      <c r="S30" s="767"/>
    </row>
    <row r="31" spans="1:19" x14ac:dyDescent="0.35">
      <c r="A31" s="747"/>
      <c r="B31" s="772" t="s">
        <v>684</v>
      </c>
      <c r="C31" s="450">
        <v>0</v>
      </c>
      <c r="D31" s="450">
        <v>0</v>
      </c>
      <c r="E31" s="450">
        <v>0</v>
      </c>
      <c r="F31" s="450">
        <v>0</v>
      </c>
      <c r="G31" s="450">
        <v>0</v>
      </c>
      <c r="H31" s="450">
        <v>0</v>
      </c>
      <c r="I31" s="450">
        <v>0</v>
      </c>
      <c r="J31" s="450">
        <v>0</v>
      </c>
      <c r="K31" s="450">
        <f>'2.2 melléklet'!K40</f>
        <v>0</v>
      </c>
      <c r="L31" s="450">
        <f>'2.2 melléklet'!L40</f>
        <v>0</v>
      </c>
      <c r="M31" s="450">
        <f>'2.2 melléklet'!M40</f>
        <v>0</v>
      </c>
      <c r="N31" s="450">
        <f t="shared" si="4"/>
        <v>0</v>
      </c>
      <c r="O31" s="450">
        <f>'2.2 melléklet'!O40</f>
        <v>0</v>
      </c>
      <c r="P31" s="450">
        <f>'2.2 melléklet'!P40</f>
        <v>0</v>
      </c>
      <c r="Q31" s="450">
        <f>'2.2 melléklet'!Q40</f>
        <v>0</v>
      </c>
      <c r="R31" s="450">
        <f t="shared" si="5"/>
        <v>0</v>
      </c>
      <c r="S31" s="767"/>
    </row>
    <row r="32" spans="1:19" x14ac:dyDescent="0.35">
      <c r="A32" s="765" t="s">
        <v>322</v>
      </c>
      <c r="B32" s="766" t="s">
        <v>590</v>
      </c>
      <c r="C32" s="771">
        <v>0</v>
      </c>
      <c r="D32" s="771">
        <v>0</v>
      </c>
      <c r="E32" s="771">
        <v>0</v>
      </c>
      <c r="F32" s="771">
        <v>0</v>
      </c>
      <c r="G32" s="771">
        <v>0</v>
      </c>
      <c r="H32" s="771">
        <v>0</v>
      </c>
      <c r="I32" s="771">
        <v>0</v>
      </c>
      <c r="J32" s="771">
        <v>0</v>
      </c>
      <c r="K32" s="771">
        <f>SUM(K33:K34)</f>
        <v>0</v>
      </c>
      <c r="L32" s="771">
        <f>SUM(L33:L34)</f>
        <v>0</v>
      </c>
      <c r="M32" s="771">
        <f>SUM(M33:M34)</f>
        <v>0</v>
      </c>
      <c r="N32" s="771">
        <f t="shared" si="4"/>
        <v>0</v>
      </c>
      <c r="O32" s="771">
        <f>SUM(O33:O34)</f>
        <v>0</v>
      </c>
      <c r="P32" s="771">
        <f>SUM(P33:P34)</f>
        <v>0</v>
      </c>
      <c r="Q32" s="771">
        <f>SUM(Q33:Q34)</f>
        <v>0</v>
      </c>
      <c r="R32" s="771">
        <f t="shared" si="5"/>
        <v>0</v>
      </c>
      <c r="S32" s="767"/>
    </row>
    <row r="33" spans="1:19" x14ac:dyDescent="0.35">
      <c r="A33" s="747"/>
      <c r="B33" s="772" t="s">
        <v>680</v>
      </c>
      <c r="C33" s="450">
        <v>0</v>
      </c>
      <c r="D33" s="450">
        <v>0</v>
      </c>
      <c r="E33" s="450">
        <v>0</v>
      </c>
      <c r="F33" s="450">
        <v>0</v>
      </c>
      <c r="G33" s="450">
        <v>0</v>
      </c>
      <c r="H33" s="450">
        <v>0</v>
      </c>
      <c r="I33" s="450">
        <v>0</v>
      </c>
      <c r="J33" s="450">
        <v>0</v>
      </c>
      <c r="K33" s="450">
        <f>'2.2 melléklet'!K42</f>
        <v>0</v>
      </c>
      <c r="L33" s="450">
        <f>'2.2 melléklet'!L42</f>
        <v>0</v>
      </c>
      <c r="M33" s="450">
        <f>'2.2 melléklet'!M42</f>
        <v>0</v>
      </c>
      <c r="N33" s="450">
        <f t="shared" si="4"/>
        <v>0</v>
      </c>
      <c r="O33" s="450">
        <f>'2.2 melléklet'!O42</f>
        <v>0</v>
      </c>
      <c r="P33" s="450">
        <f>'2.2 melléklet'!P42</f>
        <v>0</v>
      </c>
      <c r="Q33" s="450">
        <f>'2.2 melléklet'!Q42</f>
        <v>0</v>
      </c>
      <c r="R33" s="450">
        <f t="shared" si="5"/>
        <v>0</v>
      </c>
      <c r="S33" s="767"/>
    </row>
    <row r="34" spans="1:19" x14ac:dyDescent="0.35">
      <c r="A34" s="747"/>
      <c r="B34" s="772" t="s">
        <v>681</v>
      </c>
      <c r="C34" s="450">
        <v>0</v>
      </c>
      <c r="D34" s="450">
        <v>0</v>
      </c>
      <c r="E34" s="450">
        <v>0</v>
      </c>
      <c r="F34" s="450">
        <v>0</v>
      </c>
      <c r="G34" s="450">
        <v>0</v>
      </c>
      <c r="H34" s="450">
        <v>0</v>
      </c>
      <c r="I34" s="450">
        <v>0</v>
      </c>
      <c r="J34" s="450">
        <v>0</v>
      </c>
      <c r="K34" s="450">
        <f>'2.2 melléklet'!K43</f>
        <v>0</v>
      </c>
      <c r="L34" s="450">
        <f>'2.2 melléklet'!L43</f>
        <v>0</v>
      </c>
      <c r="M34" s="450">
        <f>'2.2 melléklet'!M43</f>
        <v>0</v>
      </c>
      <c r="N34" s="450">
        <f t="shared" si="4"/>
        <v>0</v>
      </c>
      <c r="O34" s="450">
        <f>'2.2 melléklet'!O43</f>
        <v>0</v>
      </c>
      <c r="P34" s="450">
        <f>'2.2 melléklet'!P43</f>
        <v>0</v>
      </c>
      <c r="Q34" s="450">
        <f>'2.2 melléklet'!Q43</f>
        <v>0</v>
      </c>
      <c r="R34" s="450">
        <f t="shared" si="5"/>
        <v>0</v>
      </c>
      <c r="S34" s="767"/>
    </row>
    <row r="35" spans="1:19" x14ac:dyDescent="0.35">
      <c r="A35" s="773"/>
      <c r="B35" s="774" t="s">
        <v>344</v>
      </c>
      <c r="C35" s="460">
        <v>5322805518</v>
      </c>
      <c r="D35" s="460">
        <v>850308715</v>
      </c>
      <c r="E35" s="460">
        <v>41726942</v>
      </c>
      <c r="F35" s="460">
        <v>6214841175</v>
      </c>
      <c r="G35" s="460">
        <v>6044582035</v>
      </c>
      <c r="H35" s="460">
        <v>996125239</v>
      </c>
      <c r="I35" s="460">
        <v>227649084</v>
      </c>
      <c r="J35" s="460">
        <v>7268356358</v>
      </c>
      <c r="K35" s="460">
        <f>K24+K25</f>
        <v>1319506220</v>
      </c>
      <c r="L35" s="460">
        <f>L24+L25</f>
        <v>148425486</v>
      </c>
      <c r="M35" s="460">
        <f>M24+M25</f>
        <v>226422545</v>
      </c>
      <c r="N35" s="460">
        <f>SUM(K35:M35)</f>
        <v>1694354251</v>
      </c>
      <c r="O35" s="460">
        <f>O24+O25</f>
        <v>0</v>
      </c>
      <c r="P35" s="460">
        <f>P24+P25</f>
        <v>900000</v>
      </c>
      <c r="Q35" s="460">
        <f>Q24+Q25</f>
        <v>0</v>
      </c>
      <c r="R35" s="460">
        <f>SUM(O35:Q35)</f>
        <v>900000</v>
      </c>
      <c r="S35" s="767"/>
    </row>
    <row r="36" spans="1:19" x14ac:dyDescent="0.35">
      <c r="C36" s="767"/>
      <c r="G36" s="767"/>
      <c r="J36" s="767"/>
      <c r="K36" s="767"/>
      <c r="N36" s="767"/>
      <c r="O36" s="767"/>
      <c r="R36" s="767">
        <f>+R35-N35</f>
        <v>-1693454251</v>
      </c>
    </row>
    <row r="37" spans="1:19" x14ac:dyDescent="0.35">
      <c r="J37" s="767"/>
      <c r="R37" s="767"/>
      <c r="S37" s="767"/>
    </row>
    <row r="38" spans="1:19" x14ac:dyDescent="0.35">
      <c r="N38" s="767"/>
      <c r="R38" s="767">
        <f>+R36-R37</f>
        <v>-1693454251</v>
      </c>
      <c r="S38" s="767"/>
    </row>
    <row r="39" spans="1:19" x14ac:dyDescent="0.35">
      <c r="J39" s="767"/>
    </row>
    <row r="40" spans="1:19" x14ac:dyDescent="0.35">
      <c r="J40" s="767"/>
      <c r="K40" s="767"/>
    </row>
    <row r="41" spans="1:19" x14ac:dyDescent="0.35">
      <c r="J41" s="767"/>
      <c r="K41" s="767"/>
      <c r="S41" s="767"/>
    </row>
    <row r="42" spans="1:19" x14ac:dyDescent="0.35">
      <c r="J42" s="767"/>
      <c r="K42" s="767"/>
    </row>
    <row r="43" spans="1:19" x14ac:dyDescent="0.35">
      <c r="J43" s="767"/>
    </row>
    <row r="44" spans="1:19" x14ac:dyDescent="0.35">
      <c r="J44" s="767"/>
    </row>
    <row r="45" spans="1:19" x14ac:dyDescent="0.35">
      <c r="J45" s="767"/>
    </row>
    <row r="46" spans="1:19" x14ac:dyDescent="0.35">
      <c r="J46" s="767"/>
    </row>
    <row r="47" spans="1:19" x14ac:dyDescent="0.35">
      <c r="J47" s="767"/>
    </row>
    <row r="48" spans="1:19" x14ac:dyDescent="0.35">
      <c r="J48" s="767"/>
    </row>
    <row r="49" spans="3:15" x14ac:dyDescent="0.35">
      <c r="J49" s="767"/>
    </row>
    <row r="50" spans="3:15" x14ac:dyDescent="0.35">
      <c r="C50" s="767"/>
      <c r="G50" s="767"/>
      <c r="J50" s="767"/>
      <c r="K50" s="767"/>
      <c r="O50" s="767"/>
    </row>
    <row r="51" spans="3:15" x14ac:dyDescent="0.35">
      <c r="C51" s="767"/>
      <c r="G51" s="767"/>
      <c r="J51" s="767"/>
      <c r="K51" s="767"/>
      <c r="O51" s="767"/>
    </row>
    <row r="52" spans="3:15" x14ac:dyDescent="0.35">
      <c r="C52" s="767"/>
      <c r="G52" s="767"/>
      <c r="J52" s="767"/>
      <c r="O52" s="767"/>
    </row>
    <row r="53" spans="3:15" x14ac:dyDescent="0.35">
      <c r="C53" s="767"/>
      <c r="G53" s="767"/>
      <c r="J53" s="767"/>
      <c r="K53" s="767"/>
      <c r="O53" s="767"/>
    </row>
    <row r="54" spans="3:15" x14ac:dyDescent="0.35">
      <c r="C54" s="767"/>
      <c r="G54" s="767"/>
      <c r="J54" s="767"/>
      <c r="K54" s="767"/>
      <c r="O54" s="767"/>
    </row>
    <row r="55" spans="3:15" x14ac:dyDescent="0.35">
      <c r="J55" s="767"/>
    </row>
    <row r="56" spans="3:15" x14ac:dyDescent="0.35">
      <c r="J56" s="767"/>
    </row>
    <row r="57" spans="3:15" x14ac:dyDescent="0.35">
      <c r="J57" s="767"/>
    </row>
    <row r="58" spans="3:15" x14ac:dyDescent="0.35">
      <c r="J58" s="767"/>
    </row>
    <row r="59" spans="3:15" x14ac:dyDescent="0.35">
      <c r="J59" s="767"/>
    </row>
    <row r="60" spans="3:15" x14ac:dyDescent="0.35">
      <c r="J60" s="767"/>
      <c r="K60" s="767">
        <f>+S35-J60</f>
        <v>0</v>
      </c>
    </row>
    <row r="61" spans="3:15" x14ac:dyDescent="0.35">
      <c r="J61" s="767"/>
    </row>
  </sheetData>
  <mergeCells count="6">
    <mergeCell ref="O2:R2"/>
    <mergeCell ref="A2:A3"/>
    <mergeCell ref="C2:F2"/>
    <mergeCell ref="B2:B3"/>
    <mergeCell ref="G2:J2"/>
    <mergeCell ref="K2:N2"/>
  </mergeCells>
  <printOptions horizontalCentered="1"/>
  <pageMargins left="0.23622047244094491" right="0.15748031496062992" top="1.1811023622047245" bottom="0.74803149606299213" header="0.31496062992125984" footer="0.31496062992125984"/>
  <pageSetup paperSize="9" scale="40" fitToWidth="0" fitToHeight="0" orientation="portrait" r:id="rId1"/>
  <headerFooter>
    <oddHeader>&amp;L1.2  melléklet
&amp;C&amp;"-,Félkövér"&amp;16
Az Önkormányzat 2021. évi összevont kiadásai jogcímenként és feladatonként</oddHeader>
    <oddFooter>&amp;C&amp;P</oddFooter>
  </headerFooter>
  <colBreaks count="1" manualBreakCount="1">
    <brk id="14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75"/>
  <sheetViews>
    <sheetView view="pageBreakPreview" topLeftCell="A4" zoomScale="84" zoomScaleNormal="100" zoomScaleSheetLayoutView="84" workbookViewId="0">
      <selection activeCell="J17" sqref="J16:J17"/>
    </sheetView>
  </sheetViews>
  <sheetFormatPr defaultRowHeight="14.5" x14ac:dyDescent="0.35"/>
  <cols>
    <col min="1" max="1" width="5.1796875" style="40" customWidth="1"/>
    <col min="2" max="2" width="34.81640625" style="41" customWidth="1"/>
    <col min="3" max="3" width="8.81640625" style="723" customWidth="1"/>
    <col min="4" max="4" width="8.7265625" customWidth="1"/>
    <col min="5" max="5" width="8.26953125" customWidth="1"/>
    <col min="6" max="6" width="15.26953125" style="395" customWidth="1"/>
    <col min="7" max="7" width="9.26953125" style="723" customWidth="1"/>
    <col min="8" max="9" width="8.26953125" customWidth="1"/>
    <col min="10" max="10" width="15.26953125" style="395" customWidth="1"/>
    <col min="11" max="11" width="9.26953125" style="723" hidden="1" customWidth="1"/>
    <col min="12" max="13" width="8.26953125" hidden="1" customWidth="1"/>
    <col min="14" max="14" width="15.26953125" style="395" hidden="1" customWidth="1"/>
    <col min="15" max="15" width="9.26953125" style="723" hidden="1" customWidth="1"/>
    <col min="16" max="17" width="8.26953125" hidden="1" customWidth="1"/>
    <col min="18" max="18" width="15.26953125" style="395" hidden="1" customWidth="1"/>
    <col min="19" max="19" width="14.1796875" customWidth="1"/>
    <col min="20" max="20" width="11.453125" bestFit="1" customWidth="1"/>
  </cols>
  <sheetData>
    <row r="1" spans="1:21" x14ac:dyDescent="0.35">
      <c r="F1" s="646"/>
      <c r="J1" s="646" t="s">
        <v>1734</v>
      </c>
      <c r="N1" s="646" t="s">
        <v>1734</v>
      </c>
    </row>
    <row r="2" spans="1:21" s="30" customFormat="1" ht="63" customHeight="1" x14ac:dyDescent="0.35">
      <c r="A2" s="1070" t="s">
        <v>305</v>
      </c>
      <c r="B2" s="1072" t="s">
        <v>306</v>
      </c>
      <c r="C2" s="736" t="s">
        <v>1350</v>
      </c>
      <c r="D2" s="371" t="s">
        <v>1351</v>
      </c>
      <c r="E2" s="371" t="s">
        <v>1352</v>
      </c>
      <c r="F2" s="476" t="s">
        <v>345</v>
      </c>
      <c r="G2" s="736" t="s">
        <v>1350</v>
      </c>
      <c r="H2" s="371" t="s">
        <v>1351</v>
      </c>
      <c r="I2" s="371" t="s">
        <v>1352</v>
      </c>
      <c r="J2" s="476" t="s">
        <v>345</v>
      </c>
      <c r="K2" s="736" t="s">
        <v>1350</v>
      </c>
      <c r="L2" s="371" t="s">
        <v>1351</v>
      </c>
      <c r="M2" s="371" t="s">
        <v>1352</v>
      </c>
      <c r="N2" s="476" t="s">
        <v>345</v>
      </c>
      <c r="O2" s="736" t="s">
        <v>1350</v>
      </c>
      <c r="P2" s="371" t="s">
        <v>1351</v>
      </c>
      <c r="Q2" s="371" t="s">
        <v>1352</v>
      </c>
      <c r="R2" s="476" t="s">
        <v>345</v>
      </c>
    </row>
    <row r="3" spans="1:21" s="30" customFormat="1" ht="50.25" customHeight="1" x14ac:dyDescent="0.35">
      <c r="A3" s="1071"/>
      <c r="B3" s="1073"/>
      <c r="C3" s="1067" t="s">
        <v>1794</v>
      </c>
      <c r="D3" s="1064"/>
      <c r="E3" s="1064"/>
      <c r="F3" s="1068"/>
      <c r="G3" s="1063" t="s">
        <v>1796</v>
      </c>
      <c r="H3" s="1064"/>
      <c r="I3" s="1064"/>
      <c r="J3" s="1065"/>
      <c r="K3" s="1063" t="s">
        <v>1798</v>
      </c>
      <c r="L3" s="1064"/>
      <c r="M3" s="1064"/>
      <c r="N3" s="1065"/>
      <c r="O3" s="1063"/>
      <c r="P3" s="1064"/>
      <c r="Q3" s="1064"/>
      <c r="R3" s="1065"/>
    </row>
    <row r="4" spans="1:21" s="30" customFormat="1" x14ac:dyDescent="0.35">
      <c r="A4" s="314"/>
      <c r="B4" s="315" t="s">
        <v>1024</v>
      </c>
      <c r="C4" s="726">
        <v>328.25</v>
      </c>
      <c r="D4" s="388"/>
      <c r="E4" s="388"/>
      <c r="F4" s="375">
        <v>6214841175</v>
      </c>
      <c r="G4" s="726">
        <v>329.25</v>
      </c>
      <c r="H4" s="388"/>
      <c r="I4" s="388"/>
      <c r="J4" s="375">
        <v>7268356358</v>
      </c>
      <c r="K4" s="726">
        <f>K5+K42+K89+K92</f>
        <v>329.25</v>
      </c>
      <c r="L4" s="388"/>
      <c r="M4" s="388"/>
      <c r="N4" s="375">
        <f>N5+N42+N89+N92</f>
        <v>1960085042</v>
      </c>
      <c r="O4" s="726">
        <f>O5+O42+O89+O92</f>
        <v>327.75</v>
      </c>
      <c r="P4" s="388"/>
      <c r="Q4" s="388"/>
      <c r="R4" s="375">
        <f>R5+R42+R89+R92</f>
        <v>900000</v>
      </c>
      <c r="S4" s="931"/>
      <c r="T4" s="931"/>
      <c r="U4" s="931"/>
    </row>
    <row r="5" spans="1:21" x14ac:dyDescent="0.35">
      <c r="A5" s="317" t="s">
        <v>309</v>
      </c>
      <c r="B5" s="318" t="s">
        <v>348</v>
      </c>
      <c r="C5" s="795">
        <v>322.75</v>
      </c>
      <c r="D5" s="355"/>
      <c r="E5" s="355"/>
      <c r="F5" s="775">
        <v>5142160318</v>
      </c>
      <c r="G5" s="795">
        <v>323.75</v>
      </c>
      <c r="H5" s="355"/>
      <c r="I5" s="355"/>
      <c r="J5" s="775">
        <v>5863936835</v>
      </c>
      <c r="K5" s="795">
        <f>SUM(K6:K40)</f>
        <v>323.75</v>
      </c>
      <c r="L5" s="355"/>
      <c r="M5" s="355"/>
      <c r="N5" s="775">
        <f>SUM(N6:N41)</f>
        <v>1536534332</v>
      </c>
      <c r="O5" s="795">
        <f>SUM(O6:O40)</f>
        <v>322.25</v>
      </c>
      <c r="P5" s="355"/>
      <c r="Q5" s="355"/>
      <c r="R5" s="775">
        <f>SUM(R6:R41)</f>
        <v>0</v>
      </c>
      <c r="S5" s="1056"/>
      <c r="T5" s="39"/>
    </row>
    <row r="6" spans="1:21" x14ac:dyDescent="0.35">
      <c r="A6" s="403" t="s">
        <v>1025</v>
      </c>
      <c r="B6" s="323" t="s">
        <v>686</v>
      </c>
      <c r="C6" s="738"/>
      <c r="D6" s="356"/>
      <c r="E6" s="356"/>
      <c r="F6" s="404">
        <v>4540000</v>
      </c>
      <c r="G6" s="738"/>
      <c r="H6" s="356"/>
      <c r="I6" s="356"/>
      <c r="J6" s="535">
        <v>11189300</v>
      </c>
      <c r="K6" s="738"/>
      <c r="L6" s="356"/>
      <c r="M6" s="356"/>
      <c r="N6" s="535">
        <f>'2.3 melléklet'!K7</f>
        <v>364639</v>
      </c>
      <c r="O6" s="738"/>
      <c r="P6" s="356"/>
      <c r="Q6" s="356"/>
      <c r="R6" s="535">
        <f>'2.3 melléklet'!N7</f>
        <v>0</v>
      </c>
      <c r="S6" s="1057"/>
      <c r="T6" s="39"/>
    </row>
    <row r="7" spans="1:21" x14ac:dyDescent="0.35">
      <c r="A7" s="403" t="s">
        <v>1026</v>
      </c>
      <c r="B7" s="323" t="s">
        <v>687</v>
      </c>
      <c r="C7" s="738"/>
      <c r="D7" s="356"/>
      <c r="E7" s="356"/>
      <c r="F7" s="404">
        <v>5000000</v>
      </c>
      <c r="G7" s="738"/>
      <c r="H7" s="356"/>
      <c r="I7" s="356"/>
      <c r="J7" s="535">
        <v>7500000</v>
      </c>
      <c r="K7" s="738"/>
      <c r="L7" s="356"/>
      <c r="M7" s="356"/>
      <c r="N7" s="535">
        <f>'2.3 melléklet'!K13</f>
        <v>1000000</v>
      </c>
      <c r="O7" s="738"/>
      <c r="P7" s="356"/>
      <c r="Q7" s="356"/>
      <c r="R7" s="535">
        <f>'2.3 melléklet'!N13</f>
        <v>0</v>
      </c>
      <c r="S7" s="1057"/>
    </row>
    <row r="8" spans="1:21" x14ac:dyDescent="0.35">
      <c r="A8" s="403" t="s">
        <v>1027</v>
      </c>
      <c r="B8" s="323" t="s">
        <v>688</v>
      </c>
      <c r="C8" s="793"/>
      <c r="D8" s="356"/>
      <c r="E8" s="356"/>
      <c r="F8" s="404">
        <v>53236500</v>
      </c>
      <c r="G8" s="793"/>
      <c r="H8" s="356"/>
      <c r="I8" s="356"/>
      <c r="J8" s="535">
        <v>53529561</v>
      </c>
      <c r="K8" s="793"/>
      <c r="L8" s="356"/>
      <c r="M8" s="356"/>
      <c r="N8" s="535">
        <f>'2.3 melléklet'!K16</f>
        <v>16209652</v>
      </c>
      <c r="O8" s="793"/>
      <c r="P8" s="356"/>
      <c r="Q8" s="356"/>
      <c r="R8" s="535">
        <f>'2.3 melléklet'!N16</f>
        <v>0</v>
      </c>
      <c r="S8" s="1057"/>
    </row>
    <row r="9" spans="1:21" x14ac:dyDescent="0.35">
      <c r="A9" s="403" t="s">
        <v>1028</v>
      </c>
      <c r="B9" s="323" t="s">
        <v>648</v>
      </c>
      <c r="C9" s="793">
        <v>7</v>
      </c>
      <c r="D9" s="356"/>
      <c r="E9" s="356"/>
      <c r="F9" s="404">
        <v>63387885</v>
      </c>
      <c r="G9" s="793">
        <v>7</v>
      </c>
      <c r="H9" s="356"/>
      <c r="I9" s="356"/>
      <c r="J9" s="535">
        <v>63432432</v>
      </c>
      <c r="K9" s="793">
        <v>7</v>
      </c>
      <c r="L9" s="356"/>
      <c r="M9" s="356"/>
      <c r="N9" s="535">
        <f>'2.3 melléklet'!K21</f>
        <v>24671911</v>
      </c>
      <c r="O9" s="793">
        <v>7</v>
      </c>
      <c r="P9" s="356"/>
      <c r="Q9" s="356"/>
      <c r="R9" s="535">
        <f>'2.3 melléklet'!N21</f>
        <v>0</v>
      </c>
      <c r="S9" s="1057"/>
    </row>
    <row r="10" spans="1:21" x14ac:dyDescent="0.35">
      <c r="A10" s="403" t="s">
        <v>1029</v>
      </c>
      <c r="B10" s="323" t="s">
        <v>1254</v>
      </c>
      <c r="C10" s="793"/>
      <c r="D10" s="356"/>
      <c r="E10" s="356"/>
      <c r="F10" s="404">
        <v>1000000</v>
      </c>
      <c r="G10" s="793"/>
      <c r="H10" s="356"/>
      <c r="I10" s="356"/>
      <c r="J10" s="535">
        <v>1000000</v>
      </c>
      <c r="K10" s="793"/>
      <c r="L10" s="356"/>
      <c r="M10" s="356"/>
      <c r="N10" s="535">
        <f>'2.3 melléklet'!K26</f>
        <v>0</v>
      </c>
      <c r="O10" s="793"/>
      <c r="P10" s="356"/>
      <c r="Q10" s="356"/>
      <c r="R10" s="535">
        <f>'2.3 melléklet'!N26</f>
        <v>0</v>
      </c>
      <c r="S10" s="1056"/>
    </row>
    <row r="11" spans="1:21" x14ac:dyDescent="0.35">
      <c r="A11" s="403" t="s">
        <v>1030</v>
      </c>
      <c r="B11" s="323" t="s">
        <v>1593</v>
      </c>
      <c r="C11" s="793"/>
      <c r="D11" s="356"/>
      <c r="E11" s="356"/>
      <c r="F11" s="404">
        <v>500000</v>
      </c>
      <c r="G11" s="793"/>
      <c r="H11" s="356"/>
      <c r="I11" s="356"/>
      <c r="J11" s="535">
        <v>500000</v>
      </c>
      <c r="K11" s="793"/>
      <c r="L11" s="356"/>
      <c r="M11" s="356"/>
      <c r="N11" s="535">
        <f>'2.3 melléklet'!K28</f>
        <v>0</v>
      </c>
      <c r="O11" s="793"/>
      <c r="P11" s="356"/>
      <c r="Q11" s="356"/>
      <c r="R11" s="535">
        <f>'2.3 melléklet'!N28</f>
        <v>0</v>
      </c>
      <c r="S11" s="1056"/>
    </row>
    <row r="12" spans="1:21" x14ac:dyDescent="0.35">
      <c r="A12" s="403" t="s">
        <v>1031</v>
      </c>
      <c r="B12" s="323" t="s">
        <v>689</v>
      </c>
      <c r="C12" s="793"/>
      <c r="D12" s="356"/>
      <c r="E12" s="356"/>
      <c r="F12" s="404">
        <v>0</v>
      </c>
      <c r="G12" s="793"/>
      <c r="H12" s="356"/>
      <c r="I12" s="356"/>
      <c r="J12" s="535">
        <v>0</v>
      </c>
      <c r="K12" s="793"/>
      <c r="L12" s="356"/>
      <c r="M12" s="356"/>
      <c r="N12" s="535">
        <f>+'3.2 melléklet'!N12</f>
        <v>0</v>
      </c>
      <c r="O12" s="793"/>
      <c r="P12" s="356"/>
      <c r="Q12" s="356"/>
      <c r="R12" s="535">
        <f>+'3.2 melléklet'!R12</f>
        <v>0</v>
      </c>
      <c r="S12" s="1056"/>
    </row>
    <row r="13" spans="1:21" x14ac:dyDescent="0.35">
      <c r="A13" s="403" t="s">
        <v>1032</v>
      </c>
      <c r="B13" s="323" t="s">
        <v>690</v>
      </c>
      <c r="C13" s="793"/>
      <c r="D13" s="356"/>
      <c r="E13" s="356"/>
      <c r="F13" s="404">
        <v>29835995</v>
      </c>
      <c r="G13" s="793"/>
      <c r="H13" s="356"/>
      <c r="I13" s="356"/>
      <c r="J13" s="535">
        <v>30207831</v>
      </c>
      <c r="K13" s="793"/>
      <c r="L13" s="356"/>
      <c r="M13" s="356"/>
      <c r="N13" s="535">
        <f>'2.3 melléklet'!K30+'5. melléklet'!K183</f>
        <v>4527972</v>
      </c>
      <c r="O13" s="793"/>
      <c r="P13" s="356"/>
      <c r="Q13" s="356"/>
      <c r="R13" s="535">
        <f>'2.3 melléklet'!N30+'5. melléklet'!N183</f>
        <v>0</v>
      </c>
      <c r="S13" s="1056"/>
    </row>
    <row r="14" spans="1:21" x14ac:dyDescent="0.35">
      <c r="A14" s="403" t="s">
        <v>1033</v>
      </c>
      <c r="B14" s="352" t="s">
        <v>691</v>
      </c>
      <c r="C14" s="793"/>
      <c r="D14" s="356"/>
      <c r="E14" s="356"/>
      <c r="F14" s="404">
        <v>9040000</v>
      </c>
      <c r="G14" s="793"/>
      <c r="H14" s="356"/>
      <c r="I14" s="356"/>
      <c r="J14" s="535">
        <v>12540000</v>
      </c>
      <c r="K14" s="793"/>
      <c r="L14" s="356"/>
      <c r="M14" s="356"/>
      <c r="N14" s="535">
        <f>'2.3 melléklet'!K34</f>
        <v>773430</v>
      </c>
      <c r="O14" s="793"/>
      <c r="P14" s="356"/>
      <c r="Q14" s="356"/>
      <c r="R14" s="535">
        <f>'2.3 melléklet'!N34</f>
        <v>0</v>
      </c>
      <c r="S14" s="1056"/>
    </row>
    <row r="15" spans="1:21" x14ac:dyDescent="0.35">
      <c r="A15" s="403" t="s">
        <v>1034</v>
      </c>
      <c r="B15" s="323" t="s">
        <v>692</v>
      </c>
      <c r="C15" s="793"/>
      <c r="D15" s="356"/>
      <c r="E15" s="356"/>
      <c r="F15" s="404">
        <v>7000800</v>
      </c>
      <c r="G15" s="793"/>
      <c r="H15" s="356"/>
      <c r="I15" s="356"/>
      <c r="J15" s="535">
        <v>8990890</v>
      </c>
      <c r="K15" s="793"/>
      <c r="L15" s="356"/>
      <c r="M15" s="356"/>
      <c r="N15" s="535">
        <f>'2.3 melléklet'!K37</f>
        <v>152400</v>
      </c>
      <c r="O15" s="793"/>
      <c r="P15" s="356"/>
      <c r="Q15" s="356"/>
      <c r="R15" s="535">
        <f>'2.3 melléklet'!N37</f>
        <v>0</v>
      </c>
      <c r="S15" s="1056"/>
    </row>
    <row r="16" spans="1:21" x14ac:dyDescent="0.35">
      <c r="A16" s="403" t="s">
        <v>1035</v>
      </c>
      <c r="B16" s="323" t="s">
        <v>693</v>
      </c>
      <c r="C16" s="793">
        <v>24</v>
      </c>
      <c r="D16" s="356"/>
      <c r="E16" s="356"/>
      <c r="F16" s="404">
        <v>1401310040</v>
      </c>
      <c r="G16" s="793">
        <v>24</v>
      </c>
      <c r="H16" s="356"/>
      <c r="I16" s="356"/>
      <c r="J16" s="535">
        <f>1535999806-60000000</f>
        <v>1475999806</v>
      </c>
      <c r="K16" s="793">
        <v>24</v>
      </c>
      <c r="L16" s="356"/>
      <c r="M16" s="356"/>
      <c r="N16" s="535">
        <f>'2.3 melléklet'!K43+'5. melléklet'!K187+'5. melléklet'!K194</f>
        <v>461791554</v>
      </c>
      <c r="O16" s="793">
        <v>24</v>
      </c>
      <c r="P16" s="356"/>
      <c r="Q16" s="356"/>
      <c r="R16" s="535">
        <f>'2.3 melléklet'!N43+'5. melléklet'!N187+'5. melléklet'!N194</f>
        <v>0</v>
      </c>
      <c r="S16" s="1056"/>
    </row>
    <row r="17" spans="1:19" x14ac:dyDescent="0.35">
      <c r="A17" s="403" t="s">
        <v>1036</v>
      </c>
      <c r="B17" s="323" t="s">
        <v>1469</v>
      </c>
      <c r="C17" s="793"/>
      <c r="D17" s="356"/>
      <c r="E17" s="356"/>
      <c r="F17" s="404">
        <v>838556318</v>
      </c>
      <c r="G17" s="793"/>
      <c r="H17" s="356"/>
      <c r="I17" s="356"/>
      <c r="J17" s="535">
        <f>1208428859+60000000</f>
        <v>1268428859</v>
      </c>
      <c r="K17" s="793"/>
      <c r="L17" s="356"/>
      <c r="M17" s="356"/>
      <c r="N17" s="535">
        <f>+'2.3 melléklet'!K51</f>
        <v>53672820</v>
      </c>
      <c r="O17" s="793"/>
      <c r="P17" s="356"/>
      <c r="Q17" s="356"/>
      <c r="R17" s="535">
        <f>+'2.3 melléklet'!N51</f>
        <v>0</v>
      </c>
      <c r="S17" s="1056"/>
    </row>
    <row r="18" spans="1:19" x14ac:dyDescent="0.35">
      <c r="A18" s="403" t="s">
        <v>1037</v>
      </c>
      <c r="B18" s="323" t="s">
        <v>595</v>
      </c>
      <c r="C18" s="793"/>
      <c r="D18" s="356"/>
      <c r="E18" s="356"/>
      <c r="F18" s="404">
        <v>2921000</v>
      </c>
      <c r="G18" s="793"/>
      <c r="H18" s="356"/>
      <c r="I18" s="356"/>
      <c r="J18" s="535">
        <v>2921000</v>
      </c>
      <c r="K18" s="793"/>
      <c r="L18" s="356"/>
      <c r="M18" s="356"/>
      <c r="N18" s="535">
        <f>'2.3 melléklet'!K57+'5. melléklet'!K72</f>
        <v>0</v>
      </c>
      <c r="O18" s="793"/>
      <c r="P18" s="356"/>
      <c r="Q18" s="356"/>
      <c r="R18" s="535">
        <f>'2.3 melléklet'!N57+'5. melléklet'!N72</f>
        <v>0</v>
      </c>
      <c r="S18" s="1056"/>
    </row>
    <row r="19" spans="1:19" s="45" customFormat="1" x14ac:dyDescent="0.35">
      <c r="A19" s="403" t="s">
        <v>1039</v>
      </c>
      <c r="B19" s="323" t="s">
        <v>605</v>
      </c>
      <c r="C19" s="793"/>
      <c r="D19" s="356"/>
      <c r="E19" s="356"/>
      <c r="F19" s="404">
        <v>18000000</v>
      </c>
      <c r="G19" s="793"/>
      <c r="H19" s="356"/>
      <c r="I19" s="356"/>
      <c r="J19" s="535">
        <v>18056521</v>
      </c>
      <c r="K19" s="793"/>
      <c r="L19" s="356"/>
      <c r="M19" s="356"/>
      <c r="N19" s="535">
        <f>'2.3 melléklet'!K61</f>
        <v>7952685</v>
      </c>
      <c r="O19" s="793"/>
      <c r="P19" s="356"/>
      <c r="Q19" s="356"/>
      <c r="R19" s="535">
        <f>'2.3 melléklet'!N61</f>
        <v>0</v>
      </c>
      <c r="S19" s="1056"/>
    </row>
    <row r="20" spans="1:19" s="45" customFormat="1" x14ac:dyDescent="0.35">
      <c r="A20" s="403" t="s">
        <v>1040</v>
      </c>
      <c r="B20" s="323" t="s">
        <v>1038</v>
      </c>
      <c r="C20" s="793">
        <v>79</v>
      </c>
      <c r="D20" s="356"/>
      <c r="E20" s="356">
        <v>7</v>
      </c>
      <c r="F20" s="404">
        <v>702747200</v>
      </c>
      <c r="G20" s="793">
        <v>79</v>
      </c>
      <c r="H20" s="356"/>
      <c r="I20" s="356">
        <v>7</v>
      </c>
      <c r="J20" s="535">
        <v>819683067</v>
      </c>
      <c r="K20" s="793">
        <f>'3.2 melléklet'!K6</f>
        <v>79</v>
      </c>
      <c r="L20" s="356"/>
      <c r="M20" s="356">
        <v>7</v>
      </c>
      <c r="N20" s="535">
        <f>'3.2 melléklet'!N6</f>
        <v>270809766</v>
      </c>
      <c r="O20" s="793">
        <f>'3.2 melléklet'!O6</f>
        <v>79</v>
      </c>
      <c r="P20" s="356"/>
      <c r="Q20" s="356">
        <v>7</v>
      </c>
      <c r="R20" s="535">
        <f>'3.2 melléklet'!R6</f>
        <v>0</v>
      </c>
      <c r="S20" s="1056"/>
    </row>
    <row r="21" spans="1:19" s="45" customFormat="1" x14ac:dyDescent="0.35">
      <c r="A21" s="403" t="s">
        <v>1041</v>
      </c>
      <c r="B21" s="323" t="s">
        <v>601</v>
      </c>
      <c r="C21" s="793"/>
      <c r="D21" s="356">
        <v>10</v>
      </c>
      <c r="E21" s="356"/>
      <c r="F21" s="404">
        <v>0</v>
      </c>
      <c r="G21" s="793"/>
      <c r="H21" s="356">
        <v>0</v>
      </c>
      <c r="I21" s="356"/>
      <c r="J21" s="535">
        <v>0</v>
      </c>
      <c r="K21" s="793"/>
      <c r="L21" s="356">
        <v>0</v>
      </c>
      <c r="M21" s="356"/>
      <c r="N21" s="535">
        <f>'2.3 melléklet'!K65</f>
        <v>0</v>
      </c>
      <c r="O21" s="793"/>
      <c r="P21" s="356">
        <v>0</v>
      </c>
      <c r="Q21" s="356"/>
      <c r="R21" s="535">
        <f>'2.3 melléklet'!N65</f>
        <v>0</v>
      </c>
      <c r="S21" s="1056"/>
    </row>
    <row r="22" spans="1:19" s="45" customFormat="1" x14ac:dyDescent="0.35">
      <c r="A22" s="403" t="s">
        <v>1042</v>
      </c>
      <c r="B22" s="323" t="s">
        <v>551</v>
      </c>
      <c r="C22" s="793">
        <v>5</v>
      </c>
      <c r="D22" s="356"/>
      <c r="E22" s="356"/>
      <c r="F22" s="404">
        <v>93743300</v>
      </c>
      <c r="G22" s="793">
        <v>5</v>
      </c>
      <c r="H22" s="356"/>
      <c r="I22" s="356"/>
      <c r="J22" s="535">
        <v>93053300</v>
      </c>
      <c r="K22" s="793">
        <v>5</v>
      </c>
      <c r="L22" s="356"/>
      <c r="M22" s="356"/>
      <c r="N22" s="535">
        <f>+'5. melléklet'!K152</f>
        <v>22075367</v>
      </c>
      <c r="O22" s="793">
        <v>5</v>
      </c>
      <c r="P22" s="356"/>
      <c r="Q22" s="356"/>
      <c r="R22" s="535">
        <f>+'5. melléklet'!N152</f>
        <v>0</v>
      </c>
      <c r="S22" s="1056"/>
    </row>
    <row r="23" spans="1:19" s="45" customFormat="1" x14ac:dyDescent="0.35">
      <c r="A23" s="403" t="s">
        <v>1043</v>
      </c>
      <c r="B23" s="323" t="s">
        <v>552</v>
      </c>
      <c r="C23" s="793">
        <v>21</v>
      </c>
      <c r="D23" s="356"/>
      <c r="E23" s="356"/>
      <c r="F23" s="404">
        <v>113433600</v>
      </c>
      <c r="G23" s="793">
        <v>21</v>
      </c>
      <c r="H23" s="356"/>
      <c r="I23" s="356"/>
      <c r="J23" s="535">
        <v>113509600</v>
      </c>
      <c r="K23" s="793">
        <v>21</v>
      </c>
      <c r="L23" s="356"/>
      <c r="M23" s="356"/>
      <c r="N23" s="535">
        <f>+'5. melléklet'!K157</f>
        <v>41889045</v>
      </c>
      <c r="O23" s="793">
        <v>21</v>
      </c>
      <c r="P23" s="356"/>
      <c r="Q23" s="356"/>
      <c r="R23" s="535">
        <f>+'5. melléklet'!N157</f>
        <v>0</v>
      </c>
      <c r="S23" s="1056"/>
    </row>
    <row r="24" spans="1:19" s="45" customFormat="1" x14ac:dyDescent="0.35">
      <c r="A24" s="403" t="s">
        <v>1044</v>
      </c>
      <c r="B24" s="323" t="s">
        <v>553</v>
      </c>
      <c r="C24" s="793"/>
      <c r="D24" s="356"/>
      <c r="E24" s="356"/>
      <c r="F24" s="404">
        <v>61800400</v>
      </c>
      <c r="G24" s="793"/>
      <c r="H24" s="356"/>
      <c r="I24" s="356"/>
      <c r="J24" s="535">
        <v>65610400</v>
      </c>
      <c r="K24" s="793"/>
      <c r="L24" s="356"/>
      <c r="M24" s="356"/>
      <c r="N24" s="535">
        <f>+'5. melléklet'!K163</f>
        <v>22134562</v>
      </c>
      <c r="O24" s="793"/>
      <c r="P24" s="356"/>
      <c r="Q24" s="356"/>
      <c r="R24" s="535">
        <f>+'5. melléklet'!N163</f>
        <v>0</v>
      </c>
      <c r="S24" s="1056"/>
    </row>
    <row r="25" spans="1:19" s="45" customFormat="1" x14ac:dyDescent="0.35">
      <c r="A25" s="403" t="s">
        <v>1046</v>
      </c>
      <c r="B25" s="323" t="s">
        <v>554</v>
      </c>
      <c r="C25" s="793"/>
      <c r="D25" s="356"/>
      <c r="E25" s="356"/>
      <c r="F25" s="404">
        <v>117577200</v>
      </c>
      <c r="G25" s="793"/>
      <c r="H25" s="356"/>
      <c r="I25" s="356"/>
      <c r="J25" s="535">
        <v>119773443</v>
      </c>
      <c r="K25" s="793"/>
      <c r="L25" s="356"/>
      <c r="M25" s="356"/>
      <c r="N25" s="535">
        <f>+'5. melléklet'!K166+'2.3 melléklet'!K69</f>
        <v>21269354</v>
      </c>
      <c r="O25" s="793"/>
      <c r="P25" s="356"/>
      <c r="Q25" s="356"/>
      <c r="R25" s="535">
        <f>+'5. melléklet'!N166+'2.3 melléklet'!N69</f>
        <v>0</v>
      </c>
      <c r="S25" s="1056"/>
    </row>
    <row r="26" spans="1:19" s="45" customFormat="1" x14ac:dyDescent="0.35">
      <c r="A26" s="403" t="s">
        <v>1047</v>
      </c>
      <c r="B26" s="323" t="s">
        <v>1045</v>
      </c>
      <c r="C26" s="793"/>
      <c r="D26" s="356"/>
      <c r="E26" s="356"/>
      <c r="F26" s="404">
        <v>10290400</v>
      </c>
      <c r="G26" s="793"/>
      <c r="H26" s="356"/>
      <c r="I26" s="356"/>
      <c r="J26" s="535">
        <v>10290400</v>
      </c>
      <c r="K26" s="793"/>
      <c r="L26" s="356"/>
      <c r="M26" s="356"/>
      <c r="N26" s="535">
        <f>+'5. melléklet'!K170</f>
        <v>3082935</v>
      </c>
      <c r="O26" s="793"/>
      <c r="P26" s="356"/>
      <c r="Q26" s="356"/>
      <c r="R26" s="535">
        <f>+'5. melléklet'!N170</f>
        <v>0</v>
      </c>
      <c r="S26" s="1056"/>
    </row>
    <row r="27" spans="1:19" s="45" customFormat="1" x14ac:dyDescent="0.35">
      <c r="A27" s="403" t="s">
        <v>1048</v>
      </c>
      <c r="B27" s="323" t="s">
        <v>557</v>
      </c>
      <c r="C27" s="793">
        <v>1.75</v>
      </c>
      <c r="D27" s="356"/>
      <c r="E27" s="356"/>
      <c r="F27" s="404">
        <v>12375550</v>
      </c>
      <c r="G27" s="793">
        <v>1.75</v>
      </c>
      <c r="H27" s="356"/>
      <c r="I27" s="356"/>
      <c r="J27" s="535">
        <v>12375550</v>
      </c>
      <c r="K27" s="793">
        <f>+'5. melléklet'!I173</f>
        <v>1.75</v>
      </c>
      <c r="L27" s="356"/>
      <c r="M27" s="356"/>
      <c r="N27" s="535">
        <f>+'5. melléklet'!K173</f>
        <v>4222091</v>
      </c>
      <c r="O27" s="793">
        <f>+'5. melléklet'!L173</f>
        <v>1.75</v>
      </c>
      <c r="P27" s="356"/>
      <c r="Q27" s="356"/>
      <c r="R27" s="535">
        <f>+'5. melléklet'!N173</f>
        <v>0</v>
      </c>
      <c r="S27" s="1056"/>
    </row>
    <row r="28" spans="1:19" s="45" customFormat="1" x14ac:dyDescent="0.35">
      <c r="A28" s="403" t="s">
        <v>1049</v>
      </c>
      <c r="B28" s="323" t="s">
        <v>559</v>
      </c>
      <c r="C28" s="793">
        <v>2</v>
      </c>
      <c r="D28" s="356"/>
      <c r="E28" s="356"/>
      <c r="F28" s="404">
        <v>17118200</v>
      </c>
      <c r="G28" s="793">
        <v>2</v>
      </c>
      <c r="H28" s="356"/>
      <c r="I28" s="356"/>
      <c r="J28" s="535">
        <v>17118200</v>
      </c>
      <c r="K28" s="793">
        <v>2</v>
      </c>
      <c r="L28" s="356"/>
      <c r="M28" s="356"/>
      <c r="N28" s="535">
        <f>+'5. melléklet'!K178</f>
        <v>5583624</v>
      </c>
      <c r="O28" s="793">
        <v>2</v>
      </c>
      <c r="P28" s="356"/>
      <c r="Q28" s="356"/>
      <c r="R28" s="535">
        <f>+'5. melléklet'!N178</f>
        <v>0</v>
      </c>
      <c r="S28" s="1056"/>
    </row>
    <row r="29" spans="1:19" s="45" customFormat="1" x14ac:dyDescent="0.35">
      <c r="A29" s="403" t="s">
        <v>1050</v>
      </c>
      <c r="B29" s="323" t="s">
        <v>571</v>
      </c>
      <c r="C29" s="793">
        <v>19</v>
      </c>
      <c r="D29" s="356"/>
      <c r="E29" s="356"/>
      <c r="F29" s="404">
        <v>354053340</v>
      </c>
      <c r="G29" s="793">
        <v>19</v>
      </c>
      <c r="H29" s="356"/>
      <c r="I29" s="356"/>
      <c r="J29" s="535">
        <v>354165340</v>
      </c>
      <c r="K29" s="793">
        <v>19</v>
      </c>
      <c r="L29" s="356"/>
      <c r="M29" s="356"/>
      <c r="N29" s="535">
        <f>+'5. melléklet'!K199</f>
        <v>110519450</v>
      </c>
      <c r="O29" s="793">
        <v>19</v>
      </c>
      <c r="P29" s="356"/>
      <c r="Q29" s="356"/>
      <c r="R29" s="535">
        <f>+'5. melléklet'!N199</f>
        <v>0</v>
      </c>
      <c r="S29" s="1056"/>
    </row>
    <row r="30" spans="1:19" s="45" customFormat="1" x14ac:dyDescent="0.35">
      <c r="A30" s="403" t="s">
        <v>1051</v>
      </c>
      <c r="B30" s="323" t="s">
        <v>349</v>
      </c>
      <c r="C30" s="793">
        <v>100.5</v>
      </c>
      <c r="D30" s="356"/>
      <c r="E30" s="356"/>
      <c r="F30" s="404">
        <v>537219270</v>
      </c>
      <c r="G30" s="793">
        <v>100.5</v>
      </c>
      <c r="H30" s="356"/>
      <c r="I30" s="356"/>
      <c r="J30" s="535">
        <v>557033806</v>
      </c>
      <c r="K30" s="793">
        <v>100.5</v>
      </c>
      <c r="L30" s="356"/>
      <c r="M30" s="356"/>
      <c r="N30" s="535">
        <f>'5. melléklet'!K8+'5. melléklet'!K25+'5. melléklet'!K41</f>
        <v>206944663</v>
      </c>
      <c r="O30" s="793">
        <v>100.5</v>
      </c>
      <c r="P30" s="356"/>
      <c r="Q30" s="356"/>
      <c r="R30" s="535">
        <f>'5. melléklet'!N8+'5. melléklet'!N25+'5. melléklet'!N41</f>
        <v>0</v>
      </c>
      <c r="S30" s="1056"/>
    </row>
    <row r="31" spans="1:19" s="45" customFormat="1" x14ac:dyDescent="0.35">
      <c r="A31" s="403" t="s">
        <v>1052</v>
      </c>
      <c r="B31" s="323" t="s">
        <v>352</v>
      </c>
      <c r="C31" s="793"/>
      <c r="D31" s="356"/>
      <c r="E31" s="356"/>
      <c r="F31" s="404">
        <v>78487000</v>
      </c>
      <c r="G31" s="793"/>
      <c r="H31" s="356"/>
      <c r="I31" s="356"/>
      <c r="J31" s="535">
        <v>78487000</v>
      </c>
      <c r="K31" s="793"/>
      <c r="L31" s="356"/>
      <c r="M31" s="356"/>
      <c r="N31" s="535">
        <f>'5. melléklet'!K15+'5. melléklet'!K31+'5. melléklet'!K47</f>
        <v>25193425</v>
      </c>
      <c r="O31" s="793"/>
      <c r="P31" s="356"/>
      <c r="Q31" s="356"/>
      <c r="R31" s="535">
        <f>'5. melléklet'!N15+'5. melléklet'!N31+'5. melléklet'!N47</f>
        <v>0</v>
      </c>
      <c r="S31" s="1056"/>
    </row>
    <row r="32" spans="1:19" s="45" customFormat="1" x14ac:dyDescent="0.35">
      <c r="A32" s="403" t="s">
        <v>1053</v>
      </c>
      <c r="B32" s="323" t="s">
        <v>357</v>
      </c>
      <c r="C32" s="793">
        <v>17</v>
      </c>
      <c r="D32" s="356"/>
      <c r="E32" s="356"/>
      <c r="F32" s="404">
        <v>56025500</v>
      </c>
      <c r="G32" s="793">
        <v>17</v>
      </c>
      <c r="H32" s="356"/>
      <c r="I32" s="356"/>
      <c r="J32" s="535">
        <v>67476883</v>
      </c>
      <c r="K32" s="793">
        <v>17</v>
      </c>
      <c r="L32" s="356"/>
      <c r="M32" s="356"/>
      <c r="N32" s="535">
        <f>'5. melléklet'!K58</f>
        <v>15852694</v>
      </c>
      <c r="O32" s="793">
        <v>15.5</v>
      </c>
      <c r="P32" s="356"/>
      <c r="Q32" s="356"/>
      <c r="R32" s="535">
        <f>'5. melléklet'!N58</f>
        <v>0</v>
      </c>
      <c r="S32" s="1056"/>
    </row>
    <row r="33" spans="1:19" s="45" customFormat="1" x14ac:dyDescent="0.35">
      <c r="A33" s="403" t="s">
        <v>1055</v>
      </c>
      <c r="B33" s="323" t="s">
        <v>1054</v>
      </c>
      <c r="C33" s="793"/>
      <c r="D33" s="356"/>
      <c r="E33" s="356"/>
      <c r="F33" s="404">
        <v>180180800</v>
      </c>
      <c r="G33" s="793"/>
      <c r="H33" s="356"/>
      <c r="I33" s="356"/>
      <c r="J33" s="535">
        <v>203008107</v>
      </c>
      <c r="K33" s="793"/>
      <c r="L33" s="356"/>
      <c r="M33" s="356"/>
      <c r="N33" s="535">
        <f>'5. melléklet'!K65</f>
        <v>79683504</v>
      </c>
      <c r="O33" s="793"/>
      <c r="P33" s="356"/>
      <c r="Q33" s="356"/>
      <c r="R33" s="535">
        <f>'5. melléklet'!N65</f>
        <v>0</v>
      </c>
      <c r="S33" s="1056"/>
    </row>
    <row r="34" spans="1:19" s="45" customFormat="1" x14ac:dyDescent="0.35">
      <c r="A34" s="403" t="s">
        <v>1056</v>
      </c>
      <c r="B34" s="323" t="s">
        <v>360</v>
      </c>
      <c r="C34" s="793">
        <v>4.5</v>
      </c>
      <c r="D34" s="356"/>
      <c r="E34" s="356"/>
      <c r="F34" s="404">
        <v>41459240</v>
      </c>
      <c r="G34" s="793">
        <v>4.5</v>
      </c>
      <c r="H34" s="356"/>
      <c r="I34" s="356"/>
      <c r="J34" s="535">
        <v>50650021</v>
      </c>
      <c r="K34" s="793">
        <v>4.5</v>
      </c>
      <c r="L34" s="356"/>
      <c r="M34" s="356"/>
      <c r="N34" s="535">
        <f>'5. melléklet'!K88</f>
        <v>12509279</v>
      </c>
      <c r="O34" s="793">
        <v>4.5</v>
      </c>
      <c r="P34" s="356"/>
      <c r="Q34" s="356"/>
      <c r="R34" s="535">
        <f>'5. melléklet'!N88</f>
        <v>0</v>
      </c>
      <c r="S34" s="1056"/>
    </row>
    <row r="35" spans="1:19" s="45" customFormat="1" ht="29" x14ac:dyDescent="0.35">
      <c r="A35" s="403" t="s">
        <v>1059</v>
      </c>
      <c r="B35" s="491" t="s">
        <v>1419</v>
      </c>
      <c r="C35" s="793"/>
      <c r="D35" s="356"/>
      <c r="E35" s="356"/>
      <c r="F35" s="404">
        <v>2667000</v>
      </c>
      <c r="G35" s="793"/>
      <c r="H35" s="356"/>
      <c r="I35" s="356"/>
      <c r="J35" s="535">
        <v>2870000</v>
      </c>
      <c r="K35" s="793"/>
      <c r="L35" s="356"/>
      <c r="M35" s="356"/>
      <c r="N35" s="535">
        <f>'5. melléklet'!K95</f>
        <v>652259</v>
      </c>
      <c r="O35" s="793"/>
      <c r="P35" s="356"/>
      <c r="Q35" s="356"/>
      <c r="R35" s="535">
        <f>'5. melléklet'!N95</f>
        <v>0</v>
      </c>
      <c r="S35" s="1056"/>
    </row>
    <row r="36" spans="1:19" s="45" customFormat="1" x14ac:dyDescent="0.35">
      <c r="A36" s="403" t="s">
        <v>1060</v>
      </c>
      <c r="B36" s="323" t="s">
        <v>363</v>
      </c>
      <c r="C36" s="793">
        <v>12</v>
      </c>
      <c r="D36" s="356"/>
      <c r="E36" s="356"/>
      <c r="F36" s="404">
        <v>115412300</v>
      </c>
      <c r="G36" s="793">
        <v>13</v>
      </c>
      <c r="H36" s="356"/>
      <c r="I36" s="356"/>
      <c r="J36" s="535">
        <v>119242584</v>
      </c>
      <c r="K36" s="793">
        <v>13</v>
      </c>
      <c r="L36" s="356"/>
      <c r="M36" s="356"/>
      <c r="N36" s="535">
        <f>'5. melléklet'!K110</f>
        <v>38656566</v>
      </c>
      <c r="O36" s="793">
        <v>13</v>
      </c>
      <c r="P36" s="356"/>
      <c r="Q36" s="356"/>
      <c r="R36" s="535">
        <f>'5. melléklet'!N110</f>
        <v>0</v>
      </c>
      <c r="S36" s="1056"/>
    </row>
    <row r="37" spans="1:19" s="45" customFormat="1" x14ac:dyDescent="0.35">
      <c r="A37" s="403" t="s">
        <v>1061</v>
      </c>
      <c r="B37" s="323" t="s">
        <v>364</v>
      </c>
      <c r="C37" s="793">
        <v>6</v>
      </c>
      <c r="D37" s="356"/>
      <c r="E37" s="356"/>
      <c r="F37" s="404">
        <v>35980200</v>
      </c>
      <c r="G37" s="793">
        <v>6</v>
      </c>
      <c r="H37" s="356"/>
      <c r="I37" s="356"/>
      <c r="J37" s="535">
        <v>38941300</v>
      </c>
      <c r="K37" s="793">
        <v>6</v>
      </c>
      <c r="L37" s="356"/>
      <c r="M37" s="356"/>
      <c r="N37" s="535">
        <f>'5. melléklet'!K116</f>
        <v>15346019</v>
      </c>
      <c r="O37" s="793">
        <v>6</v>
      </c>
      <c r="P37" s="356"/>
      <c r="Q37" s="356"/>
      <c r="R37" s="535">
        <f>'5. melléklet'!N116</f>
        <v>0</v>
      </c>
      <c r="S37" s="1056"/>
    </row>
    <row r="38" spans="1:19" s="45" customFormat="1" x14ac:dyDescent="0.35">
      <c r="A38" s="403" t="s">
        <v>1062</v>
      </c>
      <c r="B38" s="323" t="s">
        <v>365</v>
      </c>
      <c r="C38" s="793"/>
      <c r="D38" s="356"/>
      <c r="E38" s="356"/>
      <c r="F38" s="404">
        <v>19050000</v>
      </c>
      <c r="G38" s="793"/>
      <c r="H38" s="356"/>
      <c r="I38" s="356"/>
      <c r="J38" s="535">
        <v>19593000</v>
      </c>
      <c r="K38" s="793"/>
      <c r="L38" s="356"/>
      <c r="M38" s="356"/>
      <c r="N38" s="535">
        <f>'5. melléklet'!K121</f>
        <v>9068136</v>
      </c>
      <c r="O38" s="793"/>
      <c r="P38" s="356"/>
      <c r="Q38" s="356"/>
      <c r="R38" s="535">
        <f>'5. melléklet'!N121</f>
        <v>0</v>
      </c>
      <c r="S38" s="1056"/>
    </row>
    <row r="39" spans="1:19" s="45" customFormat="1" x14ac:dyDescent="0.35">
      <c r="A39" s="403" t="s">
        <v>1063</v>
      </c>
      <c r="B39" s="323" t="s">
        <v>366</v>
      </c>
      <c r="C39" s="793">
        <v>24</v>
      </c>
      <c r="D39" s="356"/>
      <c r="E39" s="356"/>
      <c r="F39" s="404">
        <v>148051280</v>
      </c>
      <c r="G39" s="793">
        <v>24</v>
      </c>
      <c r="H39" s="356"/>
      <c r="I39" s="356"/>
      <c r="J39" s="535">
        <v>155390933</v>
      </c>
      <c r="K39" s="793">
        <v>24</v>
      </c>
      <c r="L39" s="356"/>
      <c r="M39" s="356"/>
      <c r="N39" s="535">
        <f>'5. melléklet'!K136</f>
        <v>56668983</v>
      </c>
      <c r="O39" s="793">
        <v>24</v>
      </c>
      <c r="P39" s="356"/>
      <c r="Q39" s="356"/>
      <c r="R39" s="535">
        <f>'5. melléklet'!N136</f>
        <v>0</v>
      </c>
      <c r="S39" s="1056"/>
    </row>
    <row r="40" spans="1:19" s="45" customFormat="1" x14ac:dyDescent="0.35">
      <c r="A40" s="403" t="s">
        <v>1470</v>
      </c>
      <c r="B40" s="323" t="s">
        <v>367</v>
      </c>
      <c r="C40" s="794"/>
      <c r="D40" s="356"/>
      <c r="E40" s="356"/>
      <c r="F40" s="404">
        <v>10160000</v>
      </c>
      <c r="G40" s="794"/>
      <c r="H40" s="356"/>
      <c r="I40" s="356"/>
      <c r="J40" s="535">
        <v>10160000</v>
      </c>
      <c r="K40" s="794"/>
      <c r="L40" s="356"/>
      <c r="M40" s="356"/>
      <c r="N40" s="535">
        <f>'5. melléklet'!K142</f>
        <v>2681713</v>
      </c>
      <c r="O40" s="794"/>
      <c r="P40" s="356"/>
      <c r="Q40" s="356"/>
      <c r="R40" s="535">
        <f>'5. melléklet'!N142</f>
        <v>0</v>
      </c>
      <c r="S40" s="1056"/>
    </row>
    <row r="41" spans="1:19" s="45" customFormat="1" x14ac:dyDescent="0.35">
      <c r="A41" s="403" t="s">
        <v>1762</v>
      </c>
      <c r="B41" s="323" t="s">
        <v>1729</v>
      </c>
      <c r="C41" s="794"/>
      <c r="D41" s="356"/>
      <c r="E41" s="356"/>
      <c r="F41" s="535"/>
      <c r="G41" s="794"/>
      <c r="H41" s="356"/>
      <c r="I41" s="356"/>
      <c r="J41" s="535">
        <v>1207701</v>
      </c>
      <c r="K41" s="794"/>
      <c r="L41" s="356"/>
      <c r="M41" s="356"/>
      <c r="N41" s="535">
        <f>'5. melléklet'!K20+'5. melléklet'!K36+'5. melléklet'!K52+'5. melléklet'!K77+'5. melléklet'!K126+'5. melléklet'!K147+'5. melléklet'!K204+'5. melléklet'!K100+'3.2 melléklet'!N17</f>
        <v>573834</v>
      </c>
      <c r="O41" s="794"/>
      <c r="P41" s="356"/>
      <c r="Q41" s="356"/>
      <c r="R41" s="535">
        <f>'5. melléklet'!N20+'5. melléklet'!N36+'5. melléklet'!N52+'5. melléklet'!N77+'5. melléklet'!N126+'5. melléklet'!N147+'5. melléklet'!N204+'5. melléklet'!N100+'3.2 melléklet'!R17</f>
        <v>0</v>
      </c>
      <c r="S41" s="1056"/>
    </row>
    <row r="42" spans="1:19" x14ac:dyDescent="0.35">
      <c r="A42" s="346" t="s">
        <v>318</v>
      </c>
      <c r="B42" s="318" t="s">
        <v>353</v>
      </c>
      <c r="C42" s="355">
        <v>5.5</v>
      </c>
      <c r="D42" s="355"/>
      <c r="E42" s="355"/>
      <c r="F42" s="775">
        <v>850308715</v>
      </c>
      <c r="G42" s="355">
        <v>5.5</v>
      </c>
      <c r="H42" s="355"/>
      <c r="I42" s="355"/>
      <c r="J42" s="775">
        <v>996125239</v>
      </c>
      <c r="K42" s="355">
        <f>SUM(K43:K82)</f>
        <v>5.5</v>
      </c>
      <c r="L42" s="355"/>
      <c r="M42" s="355"/>
      <c r="N42" s="775">
        <f>SUM(N43:N88)</f>
        <v>151966876</v>
      </c>
      <c r="O42" s="355">
        <f>SUM(O43:O82)</f>
        <v>5.5</v>
      </c>
      <c r="P42" s="355"/>
      <c r="Q42" s="355"/>
      <c r="R42" s="775">
        <f>SUM(R43:R88)</f>
        <v>900000</v>
      </c>
      <c r="S42" s="1056"/>
    </row>
    <row r="43" spans="1:19" s="45" customFormat="1" x14ac:dyDescent="0.35">
      <c r="A43" s="403" t="s">
        <v>1064</v>
      </c>
      <c r="B43" s="323" t="s">
        <v>695</v>
      </c>
      <c r="C43" s="738"/>
      <c r="D43" s="356"/>
      <c r="E43" s="356"/>
      <c r="F43" s="404">
        <v>5660000</v>
      </c>
      <c r="G43" s="738"/>
      <c r="H43" s="356"/>
      <c r="I43" s="356"/>
      <c r="J43" s="535">
        <v>5660000</v>
      </c>
      <c r="K43" s="738"/>
      <c r="L43" s="356"/>
      <c r="M43" s="356"/>
      <c r="N43" s="535">
        <f>'2.3 melléklet'!K74</f>
        <v>2160200</v>
      </c>
      <c r="O43" s="738"/>
      <c r="P43" s="356"/>
      <c r="Q43" s="356"/>
      <c r="R43" s="535">
        <f>'2.3 melléklet'!N74</f>
        <v>0</v>
      </c>
      <c r="S43" s="1056"/>
    </row>
    <row r="44" spans="1:19" s="45" customFormat="1" x14ac:dyDescent="0.35">
      <c r="A44" s="403" t="s">
        <v>1065</v>
      </c>
      <c r="B44" s="323" t="s">
        <v>696</v>
      </c>
      <c r="C44" s="738"/>
      <c r="D44" s="356"/>
      <c r="E44" s="356"/>
      <c r="F44" s="404">
        <v>1000000</v>
      </c>
      <c r="G44" s="738"/>
      <c r="H44" s="356"/>
      <c r="I44" s="356"/>
      <c r="J44" s="535">
        <v>1000000</v>
      </c>
      <c r="K44" s="738"/>
      <c r="L44" s="356"/>
      <c r="M44" s="356"/>
      <c r="N44" s="535">
        <f>'2.3 melléklet'!K77</f>
        <v>0</v>
      </c>
      <c r="O44" s="738"/>
      <c r="P44" s="356"/>
      <c r="Q44" s="356"/>
      <c r="R44" s="535">
        <f>'2.3 melléklet'!N77</f>
        <v>0</v>
      </c>
      <c r="S44" s="1056"/>
    </row>
    <row r="45" spans="1:19" s="45" customFormat="1" x14ac:dyDescent="0.35">
      <c r="A45" s="403" t="s">
        <v>1066</v>
      </c>
      <c r="B45" s="324" t="s">
        <v>1069</v>
      </c>
      <c r="C45" s="739"/>
      <c r="D45" s="357"/>
      <c r="E45" s="357"/>
      <c r="F45" s="326">
        <v>242500</v>
      </c>
      <c r="G45" s="739"/>
      <c r="H45" s="357"/>
      <c r="I45" s="357"/>
      <c r="J45" s="326">
        <v>242500</v>
      </c>
      <c r="K45" s="739"/>
      <c r="L45" s="357"/>
      <c r="M45" s="357"/>
      <c r="N45" s="326">
        <f>'2.3 melléklet'!K80</f>
        <v>0</v>
      </c>
      <c r="O45" s="739"/>
      <c r="P45" s="357"/>
      <c r="Q45" s="357"/>
      <c r="R45" s="326">
        <f>'2.3 melléklet'!N80</f>
        <v>0</v>
      </c>
      <c r="S45" s="1056"/>
    </row>
    <row r="46" spans="1:19" s="45" customFormat="1" x14ac:dyDescent="0.35">
      <c r="A46" s="403" t="s">
        <v>1067</v>
      </c>
      <c r="B46" s="323" t="s">
        <v>1070</v>
      </c>
      <c r="C46" s="738"/>
      <c r="D46" s="356"/>
      <c r="E46" s="356"/>
      <c r="F46" s="404">
        <v>6620000</v>
      </c>
      <c r="G46" s="738"/>
      <c r="H46" s="356"/>
      <c r="I46" s="356"/>
      <c r="J46" s="535">
        <v>6620000</v>
      </c>
      <c r="K46" s="738"/>
      <c r="L46" s="356"/>
      <c r="M46" s="356"/>
      <c r="N46" s="535">
        <f>'2.3 melléklet'!K84</f>
        <v>585000</v>
      </c>
      <c r="O46" s="738"/>
      <c r="P46" s="356"/>
      <c r="Q46" s="356"/>
      <c r="R46" s="535">
        <f>'2.3 melléklet'!N84</f>
        <v>0</v>
      </c>
      <c r="S46" s="1056"/>
    </row>
    <row r="47" spans="1:19" s="45" customFormat="1" x14ac:dyDescent="0.35">
      <c r="A47" s="403" t="s">
        <v>1068</v>
      </c>
      <c r="B47" s="323" t="s">
        <v>1073</v>
      </c>
      <c r="C47" s="738"/>
      <c r="D47" s="356"/>
      <c r="E47" s="356"/>
      <c r="F47" s="404">
        <v>6307200</v>
      </c>
      <c r="G47" s="738"/>
      <c r="H47" s="356"/>
      <c r="I47" s="356"/>
      <c r="J47" s="535">
        <v>6307200</v>
      </c>
      <c r="K47" s="738"/>
      <c r="L47" s="356"/>
      <c r="M47" s="356"/>
      <c r="N47" s="535">
        <f>'2.3 melléklet'!K88</f>
        <v>471560</v>
      </c>
      <c r="O47" s="738"/>
      <c r="P47" s="356"/>
      <c r="Q47" s="356"/>
      <c r="R47" s="535">
        <f>'2.3 melléklet'!N88</f>
        <v>0</v>
      </c>
      <c r="S47" s="1056"/>
    </row>
    <row r="48" spans="1:19" s="45" customFormat="1" x14ac:dyDescent="0.35">
      <c r="A48" s="403" t="s">
        <v>1071</v>
      </c>
      <c r="B48" s="323" t="s">
        <v>1075</v>
      </c>
      <c r="C48" s="738"/>
      <c r="D48" s="356"/>
      <c r="E48" s="356"/>
      <c r="F48" s="404">
        <v>5000000</v>
      </c>
      <c r="G48" s="738"/>
      <c r="H48" s="356"/>
      <c r="I48" s="356"/>
      <c r="J48" s="535">
        <v>5000000</v>
      </c>
      <c r="K48" s="738"/>
      <c r="L48" s="356"/>
      <c r="M48" s="356"/>
      <c r="N48" s="535">
        <f>'2.3 melléklet'!K90</f>
        <v>1650000</v>
      </c>
      <c r="O48" s="738"/>
      <c r="P48" s="356"/>
      <c r="Q48" s="356"/>
      <c r="R48" s="535">
        <f>'2.3 melléklet'!N90</f>
        <v>0</v>
      </c>
      <c r="S48" s="1056"/>
    </row>
    <row r="49" spans="1:19" s="45" customFormat="1" x14ac:dyDescent="0.35">
      <c r="A49" s="403" t="s">
        <v>1072</v>
      </c>
      <c r="B49" s="323" t="s">
        <v>1077</v>
      </c>
      <c r="C49" s="738"/>
      <c r="D49" s="356"/>
      <c r="E49" s="356"/>
      <c r="F49" s="404">
        <v>0</v>
      </c>
      <c r="G49" s="738"/>
      <c r="H49" s="356"/>
      <c r="I49" s="356"/>
      <c r="J49" s="535">
        <v>0</v>
      </c>
      <c r="K49" s="738"/>
      <c r="L49" s="356"/>
      <c r="M49" s="356"/>
      <c r="N49" s="535">
        <f>'2.3 melléklet'!K92</f>
        <v>0</v>
      </c>
      <c r="O49" s="738"/>
      <c r="P49" s="356"/>
      <c r="Q49" s="356"/>
      <c r="R49" s="535">
        <f>'2.3 melléklet'!N92</f>
        <v>0</v>
      </c>
      <c r="S49" s="1056"/>
    </row>
    <row r="50" spans="1:19" s="158" customFormat="1" x14ac:dyDescent="0.35">
      <c r="A50" s="403" t="s">
        <v>1074</v>
      </c>
      <c r="B50" s="324" t="s">
        <v>701</v>
      </c>
      <c r="C50" s="739"/>
      <c r="D50" s="357"/>
      <c r="E50" s="357"/>
      <c r="F50" s="326">
        <v>1080000</v>
      </c>
      <c r="G50" s="739"/>
      <c r="H50" s="357"/>
      <c r="I50" s="357"/>
      <c r="J50" s="326">
        <v>1080000</v>
      </c>
      <c r="K50" s="739"/>
      <c r="L50" s="357"/>
      <c r="M50" s="357"/>
      <c r="N50" s="326">
        <f>'2.3 melléklet'!K94</f>
        <v>0</v>
      </c>
      <c r="O50" s="739"/>
      <c r="P50" s="357"/>
      <c r="Q50" s="357"/>
      <c r="R50" s="326">
        <f>'2.3 melléklet'!N94</f>
        <v>0</v>
      </c>
      <c r="S50" s="1056"/>
    </row>
    <row r="51" spans="1:19" s="45" customFormat="1" x14ac:dyDescent="0.35">
      <c r="A51" s="403" t="s">
        <v>1076</v>
      </c>
      <c r="B51" s="323" t="s">
        <v>702</v>
      </c>
      <c r="C51" s="738"/>
      <c r="D51" s="356"/>
      <c r="E51" s="356"/>
      <c r="F51" s="404">
        <v>0</v>
      </c>
      <c r="G51" s="738"/>
      <c r="H51" s="356"/>
      <c r="I51" s="356"/>
      <c r="J51" s="535">
        <v>0</v>
      </c>
      <c r="K51" s="738"/>
      <c r="L51" s="356"/>
      <c r="M51" s="356"/>
      <c r="N51" s="535">
        <f>'2.3 melléklet'!K96</f>
        <v>0</v>
      </c>
      <c r="O51" s="738"/>
      <c r="P51" s="356"/>
      <c r="Q51" s="356"/>
      <c r="R51" s="535">
        <f>'2.3 melléklet'!N96</f>
        <v>0</v>
      </c>
      <c r="S51" s="1056"/>
    </row>
    <row r="52" spans="1:19" s="45" customFormat="1" x14ac:dyDescent="0.35">
      <c r="A52" s="403" t="s">
        <v>1078</v>
      </c>
      <c r="B52" s="323" t="s">
        <v>703</v>
      </c>
      <c r="C52" s="738"/>
      <c r="D52" s="356"/>
      <c r="E52" s="356"/>
      <c r="F52" s="404">
        <v>2286000</v>
      </c>
      <c r="G52" s="738"/>
      <c r="H52" s="356"/>
      <c r="I52" s="356"/>
      <c r="J52" s="535">
        <v>2286000</v>
      </c>
      <c r="K52" s="738"/>
      <c r="L52" s="356"/>
      <c r="M52" s="356"/>
      <c r="N52" s="535">
        <f>'2.3 melléklet'!K98</f>
        <v>952500</v>
      </c>
      <c r="O52" s="738"/>
      <c r="P52" s="356"/>
      <c r="Q52" s="356"/>
      <c r="R52" s="535">
        <f>'2.3 melléklet'!N98</f>
        <v>0</v>
      </c>
      <c r="S52" s="1056"/>
    </row>
    <row r="53" spans="1:19" s="45" customFormat="1" x14ac:dyDescent="0.35">
      <c r="A53" s="403" t="s">
        <v>1079</v>
      </c>
      <c r="B53" s="323" t="s">
        <v>704</v>
      </c>
      <c r="C53" s="738"/>
      <c r="D53" s="356"/>
      <c r="E53" s="356"/>
      <c r="F53" s="404">
        <v>2421000</v>
      </c>
      <c r="G53" s="738"/>
      <c r="H53" s="356"/>
      <c r="I53" s="356"/>
      <c r="J53" s="535">
        <v>2421000</v>
      </c>
      <c r="K53" s="738"/>
      <c r="L53" s="356"/>
      <c r="M53" s="356"/>
      <c r="N53" s="535">
        <f>'2.3 melléklet'!K100</f>
        <v>1008170</v>
      </c>
      <c r="O53" s="738"/>
      <c r="P53" s="356"/>
      <c r="Q53" s="356"/>
      <c r="R53" s="535">
        <f>'2.3 melléklet'!N100</f>
        <v>0</v>
      </c>
      <c r="S53" s="1056"/>
    </row>
    <row r="54" spans="1:19" s="45" customFormat="1" x14ac:dyDescent="0.35">
      <c r="A54" s="403" t="s">
        <v>1080</v>
      </c>
      <c r="B54" s="323" t="s">
        <v>705</v>
      </c>
      <c r="C54" s="738"/>
      <c r="D54" s="356"/>
      <c r="E54" s="356"/>
      <c r="F54" s="404">
        <v>2400000</v>
      </c>
      <c r="G54" s="738"/>
      <c r="H54" s="356"/>
      <c r="I54" s="356"/>
      <c r="J54" s="535">
        <v>2400000</v>
      </c>
      <c r="K54" s="738"/>
      <c r="L54" s="356"/>
      <c r="M54" s="356"/>
      <c r="N54" s="535">
        <f>'2.3 melléklet'!K102</f>
        <v>105600</v>
      </c>
      <c r="O54" s="738"/>
      <c r="P54" s="356"/>
      <c r="Q54" s="356"/>
      <c r="R54" s="535">
        <f>'2.3 melléklet'!N102</f>
        <v>0</v>
      </c>
      <c r="S54" s="1056"/>
    </row>
    <row r="55" spans="1:19" s="45" customFormat="1" x14ac:dyDescent="0.35">
      <c r="A55" s="403" t="s">
        <v>1081</v>
      </c>
      <c r="B55" s="323" t="s">
        <v>1084</v>
      </c>
      <c r="C55" s="738"/>
      <c r="D55" s="356"/>
      <c r="E55" s="356"/>
      <c r="F55" s="404">
        <v>2540000</v>
      </c>
      <c r="G55" s="738"/>
      <c r="H55" s="356"/>
      <c r="I55" s="356"/>
      <c r="J55" s="535">
        <v>2540000</v>
      </c>
      <c r="K55" s="738"/>
      <c r="L55" s="356"/>
      <c r="M55" s="356"/>
      <c r="N55" s="535">
        <f>'2.3 melléklet'!K104</f>
        <v>0</v>
      </c>
      <c r="O55" s="738"/>
      <c r="P55" s="356"/>
      <c r="Q55" s="356"/>
      <c r="R55" s="535">
        <f>'2.3 melléklet'!N104</f>
        <v>0</v>
      </c>
      <c r="S55" s="1056"/>
    </row>
    <row r="56" spans="1:19" s="45" customFormat="1" x14ac:dyDescent="0.35">
      <c r="A56" s="403" t="s">
        <v>1082</v>
      </c>
      <c r="B56" s="323" t="s">
        <v>707</v>
      </c>
      <c r="C56" s="738"/>
      <c r="D56" s="356"/>
      <c r="E56" s="356"/>
      <c r="F56" s="404">
        <v>12604000</v>
      </c>
      <c r="G56" s="738"/>
      <c r="H56" s="356"/>
      <c r="I56" s="356"/>
      <c r="J56" s="535">
        <v>12604000</v>
      </c>
      <c r="K56" s="738"/>
      <c r="L56" s="356"/>
      <c r="M56" s="356"/>
      <c r="N56" s="535">
        <f>'2.3 melléklet'!K108</f>
        <v>5165725</v>
      </c>
      <c r="O56" s="738"/>
      <c r="P56" s="356"/>
      <c r="Q56" s="356"/>
      <c r="R56" s="535">
        <f>'2.3 melléklet'!N108</f>
        <v>0</v>
      </c>
      <c r="S56" s="1056"/>
    </row>
    <row r="57" spans="1:19" s="158" customFormat="1" ht="29" x14ac:dyDescent="0.35">
      <c r="A57" s="403" t="s">
        <v>1083</v>
      </c>
      <c r="B57" s="324" t="s">
        <v>1357</v>
      </c>
      <c r="C57" s="739"/>
      <c r="D57" s="357"/>
      <c r="E57" s="357"/>
      <c r="F57" s="326">
        <v>8163000</v>
      </c>
      <c r="G57" s="739"/>
      <c r="H57" s="357"/>
      <c r="I57" s="357"/>
      <c r="J57" s="326">
        <v>8163000</v>
      </c>
      <c r="K57" s="739"/>
      <c r="L57" s="357"/>
      <c r="M57" s="357"/>
      <c r="N57" s="326">
        <f>'2.3 melléklet'!K113</f>
        <v>4081500</v>
      </c>
      <c r="O57" s="739"/>
      <c r="P57" s="357"/>
      <c r="Q57" s="357"/>
      <c r="R57" s="326">
        <f>'2.3 melléklet'!N113</f>
        <v>0</v>
      </c>
      <c r="S57" s="1056"/>
    </row>
    <row r="58" spans="1:19" s="45" customFormat="1" x14ac:dyDescent="0.35">
      <c r="A58" s="403" t="s">
        <v>1085</v>
      </c>
      <c r="B58" s="323" t="s">
        <v>1088</v>
      </c>
      <c r="C58" s="738"/>
      <c r="D58" s="356"/>
      <c r="E58" s="356"/>
      <c r="F58" s="404">
        <v>3024000</v>
      </c>
      <c r="G58" s="738"/>
      <c r="H58" s="356"/>
      <c r="I58" s="356"/>
      <c r="J58" s="535">
        <v>3024000</v>
      </c>
      <c r="K58" s="738"/>
      <c r="L58" s="356"/>
      <c r="M58" s="356"/>
      <c r="N58" s="535">
        <f>'2.3 melléklet'!K115</f>
        <v>3024000</v>
      </c>
      <c r="O58" s="738"/>
      <c r="P58" s="356"/>
      <c r="Q58" s="356"/>
      <c r="R58" s="535">
        <f>'2.3 melléklet'!N115</f>
        <v>0</v>
      </c>
      <c r="S58" s="1056"/>
    </row>
    <row r="59" spans="1:19" s="45" customFormat="1" x14ac:dyDescent="0.35">
      <c r="A59" s="403" t="s">
        <v>1086</v>
      </c>
      <c r="B59" s="390" t="s">
        <v>1334</v>
      </c>
      <c r="C59" s="738"/>
      <c r="D59" s="356"/>
      <c r="E59" s="356"/>
      <c r="F59" s="404">
        <v>34600000</v>
      </c>
      <c r="G59" s="738"/>
      <c r="H59" s="356"/>
      <c r="I59" s="356"/>
      <c r="J59" s="535">
        <v>36985000</v>
      </c>
      <c r="K59" s="738"/>
      <c r="L59" s="356"/>
      <c r="M59" s="356"/>
      <c r="N59" s="535">
        <f>'2.3 melléklet'!K118</f>
        <v>14320000</v>
      </c>
      <c r="O59" s="738"/>
      <c r="P59" s="356"/>
      <c r="Q59" s="356"/>
      <c r="R59" s="535">
        <f>'2.3 melléklet'!N118</f>
        <v>0</v>
      </c>
      <c r="S59" s="1057"/>
    </row>
    <row r="60" spans="1:19" s="45" customFormat="1" x14ac:dyDescent="0.35">
      <c r="A60" s="403" t="s">
        <v>1087</v>
      </c>
      <c r="B60" s="323" t="s">
        <v>1092</v>
      </c>
      <c r="C60" s="738"/>
      <c r="D60" s="356"/>
      <c r="E60" s="356"/>
      <c r="F60" s="404">
        <v>2000000</v>
      </c>
      <c r="G60" s="738"/>
      <c r="H60" s="356"/>
      <c r="I60" s="356"/>
      <c r="J60" s="535">
        <v>2000000</v>
      </c>
      <c r="K60" s="738"/>
      <c r="L60" s="356"/>
      <c r="M60" s="356"/>
      <c r="N60" s="535">
        <f>'2.3 melléklet'!K122</f>
        <v>1000000</v>
      </c>
      <c r="O60" s="738"/>
      <c r="P60" s="356"/>
      <c r="Q60" s="356"/>
      <c r="R60" s="535">
        <f>'2.3 melléklet'!N122</f>
        <v>0</v>
      </c>
      <c r="S60" s="1056"/>
    </row>
    <row r="61" spans="1:19" s="45" customFormat="1" x14ac:dyDescent="0.35">
      <c r="A61" s="403" t="s">
        <v>1089</v>
      </c>
      <c r="B61" s="323" t="s">
        <v>1094</v>
      </c>
      <c r="C61" s="738"/>
      <c r="D61" s="356"/>
      <c r="E61" s="356"/>
      <c r="F61" s="404">
        <v>200000</v>
      </c>
      <c r="G61" s="738"/>
      <c r="H61" s="356"/>
      <c r="I61" s="356"/>
      <c r="J61" s="535">
        <v>200000</v>
      </c>
      <c r="K61" s="738"/>
      <c r="L61" s="356"/>
      <c r="M61" s="356"/>
      <c r="N61" s="535">
        <f>'2.3 melléklet'!K124</f>
        <v>100000</v>
      </c>
      <c r="O61" s="738"/>
      <c r="P61" s="356"/>
      <c r="Q61" s="356"/>
      <c r="R61" s="535">
        <f>'2.3 melléklet'!N124</f>
        <v>0</v>
      </c>
      <c r="S61" s="1056"/>
    </row>
    <row r="62" spans="1:19" s="45" customFormat="1" x14ac:dyDescent="0.35">
      <c r="A62" s="403" t="s">
        <v>1090</v>
      </c>
      <c r="B62" s="323" t="s">
        <v>719</v>
      </c>
      <c r="C62" s="738"/>
      <c r="D62" s="356"/>
      <c r="E62" s="356"/>
      <c r="F62" s="404">
        <v>3000000</v>
      </c>
      <c r="G62" s="738"/>
      <c r="H62" s="356"/>
      <c r="I62" s="356"/>
      <c r="J62" s="535">
        <v>3000000</v>
      </c>
      <c r="K62" s="738"/>
      <c r="L62" s="356"/>
      <c r="M62" s="356"/>
      <c r="N62" s="535">
        <f>'2.3 melléklet'!K126</f>
        <v>0</v>
      </c>
      <c r="O62" s="738"/>
      <c r="P62" s="356"/>
      <c r="Q62" s="356"/>
      <c r="R62" s="535">
        <f>'2.3 melléklet'!N126</f>
        <v>0</v>
      </c>
      <c r="S62" s="1056"/>
    </row>
    <row r="63" spans="1:19" s="45" customFormat="1" x14ac:dyDescent="0.35">
      <c r="A63" s="403" t="s">
        <v>1091</v>
      </c>
      <c r="B63" s="323" t="s">
        <v>721</v>
      </c>
      <c r="C63" s="738"/>
      <c r="D63" s="356"/>
      <c r="E63" s="356"/>
      <c r="F63" s="404">
        <v>5400000</v>
      </c>
      <c r="G63" s="738"/>
      <c r="H63" s="356"/>
      <c r="I63" s="356"/>
      <c r="J63" s="535">
        <v>5400000</v>
      </c>
      <c r="K63" s="738"/>
      <c r="L63" s="356"/>
      <c r="M63" s="356"/>
      <c r="N63" s="535">
        <f>'2.3 melléklet'!K128</f>
        <v>5400000</v>
      </c>
      <c r="O63" s="738"/>
      <c r="P63" s="356"/>
      <c r="Q63" s="356"/>
      <c r="R63" s="535">
        <f>'2.3 melléklet'!N128</f>
        <v>0</v>
      </c>
      <c r="S63" s="1056"/>
    </row>
    <row r="64" spans="1:19" s="45" customFormat="1" x14ac:dyDescent="0.35">
      <c r="A64" s="403" t="s">
        <v>1093</v>
      </c>
      <c r="B64" s="323" t="s">
        <v>723</v>
      </c>
      <c r="C64" s="738"/>
      <c r="D64" s="356"/>
      <c r="E64" s="356"/>
      <c r="F64" s="404">
        <v>400000</v>
      </c>
      <c r="G64" s="738"/>
      <c r="H64" s="356"/>
      <c r="I64" s="356"/>
      <c r="J64" s="535">
        <v>400000</v>
      </c>
      <c r="K64" s="738"/>
      <c r="L64" s="356"/>
      <c r="M64" s="356"/>
      <c r="N64" s="535">
        <f>'2.3 melléklet'!K130</f>
        <v>400000</v>
      </c>
      <c r="O64" s="738"/>
      <c r="P64" s="356"/>
      <c r="Q64" s="356"/>
      <c r="R64" s="535">
        <f>'2.3 melléklet'!N130</f>
        <v>0</v>
      </c>
      <c r="S64" s="1056"/>
    </row>
    <row r="65" spans="1:19" s="45" customFormat="1" x14ac:dyDescent="0.35">
      <c r="A65" s="403" t="s">
        <v>1095</v>
      </c>
      <c r="B65" s="323" t="s">
        <v>1358</v>
      </c>
      <c r="C65" s="738"/>
      <c r="D65" s="356"/>
      <c r="E65" s="356"/>
      <c r="F65" s="404">
        <v>88000000</v>
      </c>
      <c r="G65" s="738"/>
      <c r="H65" s="356"/>
      <c r="I65" s="356"/>
      <c r="J65" s="535">
        <v>88000000</v>
      </c>
      <c r="K65" s="738"/>
      <c r="L65" s="356"/>
      <c r="M65" s="356"/>
      <c r="N65" s="535">
        <f>'2.3 melléklet'!K132</f>
        <v>0</v>
      </c>
      <c r="O65" s="738"/>
      <c r="P65" s="356"/>
      <c r="Q65" s="356"/>
      <c r="R65" s="535">
        <f>'2.3 melléklet'!N132</f>
        <v>0</v>
      </c>
      <c r="S65" s="1056"/>
    </row>
    <row r="66" spans="1:19" s="45" customFormat="1" x14ac:dyDescent="0.35">
      <c r="A66" s="403" t="s">
        <v>1096</v>
      </c>
      <c r="B66" s="323" t="s">
        <v>726</v>
      </c>
      <c r="C66" s="738"/>
      <c r="D66" s="356"/>
      <c r="E66" s="356"/>
      <c r="F66" s="404">
        <v>48000000</v>
      </c>
      <c r="G66" s="738"/>
      <c r="H66" s="356"/>
      <c r="I66" s="356"/>
      <c r="J66" s="535">
        <v>51781667</v>
      </c>
      <c r="K66" s="738"/>
      <c r="L66" s="356"/>
      <c r="M66" s="356"/>
      <c r="N66" s="535">
        <f>'2.3 melléklet'!K135</f>
        <v>19740303</v>
      </c>
      <c r="O66" s="738"/>
      <c r="P66" s="356"/>
      <c r="Q66" s="356"/>
      <c r="R66" s="535">
        <f>'2.3 melléklet'!N135</f>
        <v>0</v>
      </c>
      <c r="S66" s="1057"/>
    </row>
    <row r="67" spans="1:19" s="45" customFormat="1" x14ac:dyDescent="0.35">
      <c r="A67" s="403" t="s">
        <v>1097</v>
      </c>
      <c r="B67" s="323" t="s">
        <v>729</v>
      </c>
      <c r="C67" s="738"/>
      <c r="D67" s="356"/>
      <c r="E67" s="356"/>
      <c r="F67" s="404">
        <v>6500000</v>
      </c>
      <c r="G67" s="738"/>
      <c r="H67" s="356"/>
      <c r="I67" s="356"/>
      <c r="J67" s="535">
        <v>6700000</v>
      </c>
      <c r="K67" s="738"/>
      <c r="L67" s="356"/>
      <c r="M67" s="356"/>
      <c r="N67" s="535">
        <f>'2.3 melléklet'!K138</f>
        <v>100000</v>
      </c>
      <c r="O67" s="738"/>
      <c r="P67" s="356"/>
      <c r="Q67" s="356"/>
      <c r="R67" s="535">
        <f>'2.3 melléklet'!N138</f>
        <v>0</v>
      </c>
      <c r="S67" s="1057"/>
    </row>
    <row r="68" spans="1:19" s="45" customFormat="1" x14ac:dyDescent="0.35">
      <c r="A68" s="403" t="s">
        <v>1098</v>
      </c>
      <c r="B68" s="323" t="s">
        <v>1104</v>
      </c>
      <c r="C68" s="738"/>
      <c r="D68" s="356"/>
      <c r="E68" s="356"/>
      <c r="F68" s="404">
        <v>2000000</v>
      </c>
      <c r="G68" s="738"/>
      <c r="H68" s="356"/>
      <c r="I68" s="356"/>
      <c r="J68" s="535">
        <v>2000000</v>
      </c>
      <c r="K68" s="738"/>
      <c r="L68" s="356"/>
      <c r="M68" s="356"/>
      <c r="N68" s="535">
        <f>'2.3 melléklet'!K141</f>
        <v>0</v>
      </c>
      <c r="O68" s="738"/>
      <c r="P68" s="356"/>
      <c r="Q68" s="356"/>
      <c r="R68" s="535">
        <f>'2.3 melléklet'!N141</f>
        <v>0</v>
      </c>
      <c r="S68" s="1056"/>
    </row>
    <row r="69" spans="1:19" s="45" customFormat="1" x14ac:dyDescent="0.35">
      <c r="A69" s="403" t="s">
        <v>1099</v>
      </c>
      <c r="B69" s="323" t="s">
        <v>733</v>
      </c>
      <c r="C69" s="738"/>
      <c r="D69" s="356"/>
      <c r="E69" s="356"/>
      <c r="F69" s="404">
        <v>41500000</v>
      </c>
      <c r="G69" s="738"/>
      <c r="H69" s="356"/>
      <c r="I69" s="356"/>
      <c r="J69" s="535">
        <v>41500000</v>
      </c>
      <c r="K69" s="738"/>
      <c r="L69" s="356"/>
      <c r="M69" s="356"/>
      <c r="N69" s="535">
        <f>'2.3 melléklet'!K143</f>
        <v>0</v>
      </c>
      <c r="O69" s="738"/>
      <c r="P69" s="356"/>
      <c r="Q69" s="356"/>
      <c r="R69" s="535">
        <f>'2.3 melléklet'!N143</f>
        <v>0</v>
      </c>
      <c r="S69" s="1056"/>
    </row>
    <row r="70" spans="1:19" s="45" customFormat="1" x14ac:dyDescent="0.35">
      <c r="A70" s="403" t="s">
        <v>1748</v>
      </c>
      <c r="B70" s="390" t="s">
        <v>1747</v>
      </c>
      <c r="C70" s="738"/>
      <c r="D70" s="356"/>
      <c r="E70" s="356"/>
      <c r="F70" s="535"/>
      <c r="G70" s="738"/>
      <c r="H70" s="356"/>
      <c r="I70" s="356"/>
      <c r="J70" s="535">
        <v>0</v>
      </c>
      <c r="K70" s="738"/>
      <c r="L70" s="356"/>
      <c r="M70" s="356"/>
      <c r="N70" s="535">
        <f>+'2.3 melléklet'!K146</f>
        <v>0</v>
      </c>
      <c r="O70" s="738"/>
      <c r="P70" s="356"/>
      <c r="Q70" s="356"/>
      <c r="R70" s="535">
        <f>+'2.3 melléklet'!N146</f>
        <v>0</v>
      </c>
      <c r="S70" s="1056"/>
    </row>
    <row r="71" spans="1:19" s="45" customFormat="1" x14ac:dyDescent="0.35">
      <c r="A71" s="403" t="s">
        <v>1100</v>
      </c>
      <c r="B71" s="323" t="s">
        <v>1108</v>
      </c>
      <c r="C71" s="738"/>
      <c r="D71" s="356"/>
      <c r="E71" s="356"/>
      <c r="F71" s="404">
        <v>12600000</v>
      </c>
      <c r="G71" s="738"/>
      <c r="H71" s="356"/>
      <c r="I71" s="356"/>
      <c r="J71" s="535">
        <v>12600000</v>
      </c>
      <c r="K71" s="738"/>
      <c r="L71" s="356"/>
      <c r="M71" s="356"/>
      <c r="N71" s="535">
        <f>'2.3 melléklet'!K148</f>
        <v>0</v>
      </c>
      <c r="O71" s="738"/>
      <c r="P71" s="356"/>
      <c r="Q71" s="356"/>
      <c r="R71" s="535">
        <f>'2.3 melléklet'!N148</f>
        <v>0</v>
      </c>
      <c r="S71" s="1056"/>
    </row>
    <row r="72" spans="1:19" s="45" customFormat="1" x14ac:dyDescent="0.35">
      <c r="A72" s="403" t="s">
        <v>1101</v>
      </c>
      <c r="B72" s="323" t="s">
        <v>736</v>
      </c>
      <c r="C72" s="738"/>
      <c r="D72" s="356"/>
      <c r="E72" s="356"/>
      <c r="F72" s="404">
        <v>2470000</v>
      </c>
      <c r="G72" s="738"/>
      <c r="H72" s="356"/>
      <c r="I72" s="356"/>
      <c r="J72" s="535">
        <v>2470000</v>
      </c>
      <c r="K72" s="738"/>
      <c r="L72" s="356"/>
      <c r="M72" s="356"/>
      <c r="N72" s="535">
        <f>'2.3 melléklet'!K150</f>
        <v>0</v>
      </c>
      <c r="O72" s="738"/>
      <c r="P72" s="356"/>
      <c r="Q72" s="356"/>
      <c r="R72" s="535">
        <f>'2.3 melléklet'!N150</f>
        <v>0</v>
      </c>
      <c r="S72" s="1056"/>
    </row>
    <row r="73" spans="1:19" s="45" customFormat="1" x14ac:dyDescent="0.35">
      <c r="A73" s="403" t="s">
        <v>1102</v>
      </c>
      <c r="B73" s="323" t="s">
        <v>738</v>
      </c>
      <c r="C73" s="738"/>
      <c r="D73" s="356"/>
      <c r="E73" s="356"/>
      <c r="F73" s="404">
        <v>24000000</v>
      </c>
      <c r="G73" s="738"/>
      <c r="H73" s="356"/>
      <c r="I73" s="356"/>
      <c r="J73" s="535">
        <v>24319201</v>
      </c>
      <c r="K73" s="738"/>
      <c r="L73" s="356"/>
      <c r="M73" s="356"/>
      <c r="N73" s="535">
        <f>'2.3 melléklet'!K152</f>
        <v>2701223</v>
      </c>
      <c r="O73" s="738"/>
      <c r="P73" s="356"/>
      <c r="Q73" s="356"/>
      <c r="R73" s="535">
        <f>'2.3 melléklet'!N152</f>
        <v>0</v>
      </c>
      <c r="S73" s="1057"/>
    </row>
    <row r="74" spans="1:19" s="149" customFormat="1" x14ac:dyDescent="0.35">
      <c r="A74" s="403" t="s">
        <v>1103</v>
      </c>
      <c r="B74" s="323" t="s">
        <v>1111</v>
      </c>
      <c r="C74" s="738"/>
      <c r="D74" s="356"/>
      <c r="E74" s="356"/>
      <c r="F74" s="404">
        <v>55314000</v>
      </c>
      <c r="G74" s="738"/>
      <c r="H74" s="356"/>
      <c r="I74" s="356"/>
      <c r="J74" s="535">
        <v>144103990</v>
      </c>
      <c r="K74" s="738"/>
      <c r="L74" s="356"/>
      <c r="M74" s="356"/>
      <c r="N74" s="535">
        <f>'2.3 melléklet'!K155</f>
        <v>8421324</v>
      </c>
      <c r="O74" s="738"/>
      <c r="P74" s="356"/>
      <c r="Q74" s="356"/>
      <c r="R74" s="535">
        <f>'2.3 melléklet'!N155</f>
        <v>0</v>
      </c>
      <c r="S74" s="1057"/>
    </row>
    <row r="75" spans="1:19" s="149" customFormat="1" x14ac:dyDescent="0.35">
      <c r="A75" s="403" t="s">
        <v>1106</v>
      </c>
      <c r="B75" s="323" t="s">
        <v>1471</v>
      </c>
      <c r="C75" s="738"/>
      <c r="D75" s="356"/>
      <c r="E75" s="356"/>
      <c r="F75" s="404">
        <v>307100000</v>
      </c>
      <c r="G75" s="738"/>
      <c r="H75" s="356"/>
      <c r="I75" s="356"/>
      <c r="J75" s="535">
        <v>353537166</v>
      </c>
      <c r="K75" s="738"/>
      <c r="L75" s="356"/>
      <c r="M75" s="356"/>
      <c r="N75" s="535">
        <f>'2.3 melléklet'!K163</f>
        <v>13035800</v>
      </c>
      <c r="O75" s="738"/>
      <c r="P75" s="356"/>
      <c r="Q75" s="356"/>
      <c r="R75" s="535">
        <f>'2.3 melléklet'!N163</f>
        <v>900000</v>
      </c>
      <c r="S75" s="1057"/>
    </row>
    <row r="76" spans="1:19" s="149" customFormat="1" x14ac:dyDescent="0.35">
      <c r="A76" s="403" t="s">
        <v>1107</v>
      </c>
      <c r="B76" s="323" t="s">
        <v>1114</v>
      </c>
      <c r="C76" s="356">
        <v>4.5</v>
      </c>
      <c r="D76" s="356"/>
      <c r="E76" s="356"/>
      <c r="F76" s="404">
        <v>39690320</v>
      </c>
      <c r="G76" s="356">
        <v>4.5</v>
      </c>
      <c r="H76" s="356"/>
      <c r="I76" s="356"/>
      <c r="J76" s="535">
        <v>39690320</v>
      </c>
      <c r="K76" s="356">
        <v>4.5</v>
      </c>
      <c r="L76" s="356"/>
      <c r="M76" s="356"/>
      <c r="N76" s="535">
        <f>+'3.2 melléklet'!N21+'3.2 melléklet'!N26</f>
        <v>18270189</v>
      </c>
      <c r="O76" s="356">
        <v>4.5</v>
      </c>
      <c r="P76" s="356"/>
      <c r="Q76" s="356"/>
      <c r="R76" s="535">
        <f>+'3.2 melléklet'!R21+'3.2 melléklet'!R26</f>
        <v>0</v>
      </c>
      <c r="S76" s="1056"/>
    </row>
    <row r="77" spans="1:19" s="149" customFormat="1" x14ac:dyDescent="0.35">
      <c r="A77" s="403" t="s">
        <v>1105</v>
      </c>
      <c r="B77" s="323" t="s">
        <v>649</v>
      </c>
      <c r="C77" s="738"/>
      <c r="D77" s="356"/>
      <c r="E77" s="356"/>
      <c r="F77" s="404">
        <v>9240000</v>
      </c>
      <c r="G77" s="738"/>
      <c r="H77" s="356"/>
      <c r="I77" s="356"/>
      <c r="J77" s="535">
        <v>9240000</v>
      </c>
      <c r="K77" s="738"/>
      <c r="L77" s="356"/>
      <c r="M77" s="356"/>
      <c r="N77" s="535">
        <f>'2.3 melléklet'!K183</f>
        <v>0</v>
      </c>
      <c r="O77" s="738"/>
      <c r="P77" s="356"/>
      <c r="Q77" s="356"/>
      <c r="R77" s="535">
        <f>'2.3 melléklet'!N183</f>
        <v>0</v>
      </c>
      <c r="S77" s="1056"/>
    </row>
    <row r="78" spans="1:19" s="149" customFormat="1" x14ac:dyDescent="0.35">
      <c r="A78" s="403" t="s">
        <v>1109</v>
      </c>
      <c r="B78" s="323" t="s">
        <v>1639</v>
      </c>
      <c r="C78" s="738"/>
      <c r="D78" s="356"/>
      <c r="E78" s="356"/>
      <c r="F78" s="404">
        <v>0</v>
      </c>
      <c r="G78" s="738"/>
      <c r="H78" s="356"/>
      <c r="I78" s="356"/>
      <c r="J78" s="535">
        <v>0</v>
      </c>
      <c r="K78" s="738"/>
      <c r="L78" s="356"/>
      <c r="M78" s="356"/>
      <c r="N78" s="535">
        <f>'2.3 melléklet'!K170</f>
        <v>0</v>
      </c>
      <c r="O78" s="738"/>
      <c r="P78" s="356"/>
      <c r="Q78" s="356"/>
      <c r="R78" s="535">
        <f>'2.3 melléklet'!N170</f>
        <v>0</v>
      </c>
      <c r="S78" s="1056"/>
    </row>
    <row r="79" spans="1:19" s="149" customFormat="1" x14ac:dyDescent="0.35">
      <c r="A79" s="403" t="s">
        <v>1110</v>
      </c>
      <c r="B79" s="323" t="s">
        <v>744</v>
      </c>
      <c r="C79" s="738"/>
      <c r="D79" s="356"/>
      <c r="E79" s="356"/>
      <c r="F79" s="404">
        <v>13860000</v>
      </c>
      <c r="G79" s="738"/>
      <c r="H79" s="356"/>
      <c r="I79" s="356"/>
      <c r="J79" s="535">
        <v>13860000</v>
      </c>
      <c r="K79" s="738"/>
      <c r="L79" s="356"/>
      <c r="M79" s="356"/>
      <c r="N79" s="535">
        <f>'2.3 melléklet'!K177</f>
        <v>5911840</v>
      </c>
      <c r="O79" s="738"/>
      <c r="P79" s="356"/>
      <c r="Q79" s="356"/>
      <c r="R79" s="535">
        <f>'2.3 melléklet'!N177</f>
        <v>0</v>
      </c>
      <c r="S79" s="1056"/>
    </row>
    <row r="80" spans="1:19" s="149" customFormat="1" x14ac:dyDescent="0.35">
      <c r="A80" s="403" t="s">
        <v>1112</v>
      </c>
      <c r="B80" s="323" t="s">
        <v>1058</v>
      </c>
      <c r="C80" s="356">
        <v>1</v>
      </c>
      <c r="D80" s="356"/>
      <c r="E80" s="356"/>
      <c r="F80" s="404">
        <v>9376695</v>
      </c>
      <c r="G80" s="356">
        <v>1</v>
      </c>
      <c r="H80" s="356"/>
      <c r="I80" s="356"/>
      <c r="J80" s="535">
        <v>9376695</v>
      </c>
      <c r="K80" s="356">
        <v>1</v>
      </c>
      <c r="L80" s="356"/>
      <c r="M80" s="356"/>
      <c r="N80" s="535">
        <f>'5. melléklet'!K103</f>
        <v>3541390</v>
      </c>
      <c r="O80" s="356">
        <v>1</v>
      </c>
      <c r="P80" s="356"/>
      <c r="Q80" s="356"/>
      <c r="R80" s="535">
        <f>'5. melléklet'!N103</f>
        <v>0</v>
      </c>
      <c r="S80" s="1056"/>
    </row>
    <row r="81" spans="1:19" s="149" customFormat="1" x14ac:dyDescent="0.35">
      <c r="A81" s="403" t="s">
        <v>1113</v>
      </c>
      <c r="B81" s="610" t="s">
        <v>1697</v>
      </c>
      <c r="C81" s="738"/>
      <c r="D81" s="356"/>
      <c r="E81" s="356"/>
      <c r="F81" s="404"/>
      <c r="G81" s="738"/>
      <c r="H81" s="356"/>
      <c r="I81" s="356"/>
      <c r="J81" s="535">
        <v>89000</v>
      </c>
      <c r="K81" s="738"/>
      <c r="L81" s="356"/>
      <c r="M81" s="356"/>
      <c r="N81" s="535">
        <f>+'2.3 melléklet'!K213+'2.3 melléklet'!K209+'2.3 melléklet'!K207+'2.3 melléklet'!K203+'2.3 melléklet'!K199+'2.3 melléklet'!K217</f>
        <v>0</v>
      </c>
      <c r="O81" s="738"/>
      <c r="P81" s="356"/>
      <c r="Q81" s="356"/>
      <c r="R81" s="535">
        <f>+'2.3 melléklet'!N213+'2.3 melléklet'!N209+'2.3 melléklet'!N207+'2.3 melléklet'!N203+'2.3 melléklet'!N199+'2.3 melléklet'!N217</f>
        <v>0</v>
      </c>
      <c r="S81" s="1057"/>
    </row>
    <row r="82" spans="1:19" s="149" customFormat="1" x14ac:dyDescent="0.35">
      <c r="A82" s="403" t="s">
        <v>1115</v>
      </c>
      <c r="B82" s="323" t="s">
        <v>1389</v>
      </c>
      <c r="C82" s="738"/>
      <c r="D82" s="356"/>
      <c r="E82" s="356"/>
      <c r="F82" s="404">
        <v>60000000</v>
      </c>
      <c r="G82" s="738"/>
      <c r="H82" s="356"/>
      <c r="I82" s="356"/>
      <c r="J82" s="535">
        <v>60000000</v>
      </c>
      <c r="K82" s="738"/>
      <c r="L82" s="356"/>
      <c r="M82" s="356"/>
      <c r="N82" s="535">
        <f>'2.3 melléklet'!K187</f>
        <v>30000000</v>
      </c>
      <c r="O82" s="738"/>
      <c r="P82" s="356"/>
      <c r="Q82" s="356"/>
      <c r="R82" s="535">
        <f>'2.3 melléklet'!N187</f>
        <v>0</v>
      </c>
      <c r="S82" s="1056"/>
    </row>
    <row r="83" spans="1:19" s="149" customFormat="1" x14ac:dyDescent="0.35">
      <c r="A83" s="408" t="s">
        <v>1116</v>
      </c>
      <c r="B83" s="323" t="s">
        <v>1333</v>
      </c>
      <c r="C83" s="738"/>
      <c r="D83" s="356"/>
      <c r="E83" s="356"/>
      <c r="F83" s="404">
        <v>5309000</v>
      </c>
      <c r="G83" s="738"/>
      <c r="H83" s="356"/>
      <c r="I83" s="356"/>
      <c r="J83" s="535">
        <v>5309000</v>
      </c>
      <c r="K83" s="738"/>
      <c r="L83" s="356"/>
      <c r="M83" s="356"/>
      <c r="N83" s="535">
        <f>'2.3 melléklet'!K181</f>
        <v>3575000</v>
      </c>
      <c r="O83" s="738"/>
      <c r="P83" s="356"/>
      <c r="Q83" s="356"/>
      <c r="R83" s="535">
        <f>'2.3 melléklet'!N181</f>
        <v>0</v>
      </c>
      <c r="S83" s="1056"/>
    </row>
    <row r="84" spans="1:19" s="149" customFormat="1" x14ac:dyDescent="0.35">
      <c r="A84" s="408" t="s">
        <v>1117</v>
      </c>
      <c r="B84" s="390" t="s">
        <v>1455</v>
      </c>
      <c r="C84" s="738"/>
      <c r="D84" s="356"/>
      <c r="E84" s="356"/>
      <c r="F84" s="404">
        <v>0</v>
      </c>
      <c r="G84" s="738"/>
      <c r="H84" s="356"/>
      <c r="I84" s="356"/>
      <c r="J84" s="535">
        <v>0</v>
      </c>
      <c r="K84" s="738"/>
      <c r="L84" s="356"/>
      <c r="M84" s="356"/>
      <c r="N84" s="535">
        <v>0</v>
      </c>
      <c r="O84" s="738"/>
      <c r="P84" s="356"/>
      <c r="Q84" s="356"/>
      <c r="R84" s="535">
        <v>0</v>
      </c>
      <c r="S84" s="1056"/>
    </row>
    <row r="85" spans="1:19" s="149" customFormat="1" ht="29" x14ac:dyDescent="0.35">
      <c r="A85" s="408" t="s">
        <v>1426</v>
      </c>
      <c r="B85" s="610" t="s">
        <v>1666</v>
      </c>
      <c r="C85" s="738"/>
      <c r="D85" s="356"/>
      <c r="E85" s="356"/>
      <c r="F85" s="404">
        <v>0</v>
      </c>
      <c r="G85" s="738"/>
      <c r="H85" s="356"/>
      <c r="I85" s="356"/>
      <c r="J85" s="535">
        <v>3550000</v>
      </c>
      <c r="K85" s="738"/>
      <c r="L85" s="356"/>
      <c r="M85" s="356"/>
      <c r="N85" s="535">
        <f>+'2.3 melléklet'!K220</f>
        <v>0</v>
      </c>
      <c r="O85" s="738"/>
      <c r="P85" s="356"/>
      <c r="Q85" s="356"/>
      <c r="R85" s="535">
        <f>+'2.3 melléklet'!N220</f>
        <v>0</v>
      </c>
      <c r="S85" s="1057"/>
    </row>
    <row r="86" spans="1:19" s="149" customFormat="1" x14ac:dyDescent="0.35">
      <c r="A86" s="408" t="s">
        <v>1667</v>
      </c>
      <c r="B86" s="610" t="s">
        <v>1668</v>
      </c>
      <c r="C86" s="738"/>
      <c r="D86" s="356"/>
      <c r="E86" s="356"/>
      <c r="F86" s="404">
        <v>401000</v>
      </c>
      <c r="G86" s="738"/>
      <c r="H86" s="356"/>
      <c r="I86" s="356"/>
      <c r="J86" s="535">
        <v>401000</v>
      </c>
      <c r="K86" s="738"/>
      <c r="L86" s="356"/>
      <c r="M86" s="356"/>
      <c r="N86" s="535">
        <f>+'2.3 melléklet'!K195</f>
        <v>0</v>
      </c>
      <c r="O86" s="738"/>
      <c r="P86" s="356"/>
      <c r="Q86" s="356"/>
      <c r="R86" s="535">
        <f>+'2.3 melléklet'!N195</f>
        <v>0</v>
      </c>
      <c r="S86" s="1056"/>
    </row>
    <row r="87" spans="1:19" s="149" customFormat="1" x14ac:dyDescent="0.35">
      <c r="A87" s="408" t="s">
        <v>1669</v>
      </c>
      <c r="B87" s="323" t="s">
        <v>1645</v>
      </c>
      <c r="C87" s="738"/>
      <c r="D87" s="356"/>
      <c r="E87" s="356"/>
      <c r="F87" s="404">
        <v>0</v>
      </c>
      <c r="G87" s="738"/>
      <c r="H87" s="356"/>
      <c r="I87" s="356"/>
      <c r="J87" s="535">
        <v>0</v>
      </c>
      <c r="K87" s="738"/>
      <c r="L87" s="356"/>
      <c r="M87" s="356"/>
      <c r="N87" s="535">
        <f>+'2.3 melléklet'!K191</f>
        <v>0</v>
      </c>
      <c r="O87" s="738"/>
      <c r="P87" s="356"/>
      <c r="Q87" s="356"/>
      <c r="R87" s="535">
        <f>+'2.3 melléklet'!N191</f>
        <v>0</v>
      </c>
      <c r="S87" s="1056"/>
    </row>
    <row r="88" spans="1:19" s="521" customFormat="1" x14ac:dyDescent="0.35">
      <c r="A88" s="408" t="s">
        <v>1731</v>
      </c>
      <c r="B88" s="401" t="s">
        <v>1729</v>
      </c>
      <c r="C88" s="738"/>
      <c r="D88" s="356"/>
      <c r="E88" s="356"/>
      <c r="F88" s="535">
        <v>20000000</v>
      </c>
      <c r="G88" s="738"/>
      <c r="H88" s="356"/>
      <c r="I88" s="356"/>
      <c r="J88" s="535">
        <v>20264500</v>
      </c>
      <c r="K88" s="738"/>
      <c r="L88" s="356"/>
      <c r="M88" s="356"/>
      <c r="N88" s="535">
        <f>+'2.3 melléklet'!K223</f>
        <v>6245552</v>
      </c>
      <c r="O88" s="738"/>
      <c r="P88" s="356"/>
      <c r="Q88" s="356"/>
      <c r="R88" s="535">
        <f>+'2.3 melléklet'!N223</f>
        <v>0</v>
      </c>
      <c r="S88" s="1057"/>
    </row>
    <row r="89" spans="1:19" x14ac:dyDescent="0.35">
      <c r="A89" s="346" t="s">
        <v>328</v>
      </c>
      <c r="B89" s="318" t="s">
        <v>650</v>
      </c>
      <c r="C89" s="737"/>
      <c r="D89" s="355"/>
      <c r="E89" s="355"/>
      <c r="F89" s="775">
        <v>1229000</v>
      </c>
      <c r="G89" s="737"/>
      <c r="H89" s="355"/>
      <c r="I89" s="355"/>
      <c r="J89" s="775">
        <v>1316430</v>
      </c>
      <c r="K89" s="737"/>
      <c r="L89" s="355"/>
      <c r="M89" s="355"/>
      <c r="N89" s="775">
        <f>SUM(N90:N91)</f>
        <v>89891</v>
      </c>
      <c r="O89" s="737"/>
      <c r="P89" s="355"/>
      <c r="Q89" s="355"/>
      <c r="R89" s="775">
        <f>SUM(R90:R91)</f>
        <v>0</v>
      </c>
      <c r="S89" s="1057"/>
    </row>
    <row r="90" spans="1:19" x14ac:dyDescent="0.35">
      <c r="A90" s="403" t="s">
        <v>1118</v>
      </c>
      <c r="B90" s="323" t="s">
        <v>1119</v>
      </c>
      <c r="C90" s="738"/>
      <c r="D90" s="358"/>
      <c r="E90" s="358"/>
      <c r="F90" s="404">
        <v>0</v>
      </c>
      <c r="G90" s="738"/>
      <c r="H90" s="358"/>
      <c r="I90" s="358"/>
      <c r="J90" s="535">
        <v>0</v>
      </c>
      <c r="K90" s="738"/>
      <c r="L90" s="358"/>
      <c r="M90" s="358"/>
      <c r="N90" s="535">
        <v>0</v>
      </c>
      <c r="O90" s="738"/>
      <c r="P90" s="358"/>
      <c r="Q90" s="358"/>
      <c r="R90" s="535">
        <v>0</v>
      </c>
      <c r="S90" s="1056"/>
    </row>
    <row r="91" spans="1:19" x14ac:dyDescent="0.35">
      <c r="A91" s="403" t="s">
        <v>1120</v>
      </c>
      <c r="B91" s="323" t="s">
        <v>606</v>
      </c>
      <c r="C91" s="738"/>
      <c r="D91" s="358"/>
      <c r="E91" s="358"/>
      <c r="F91" s="404">
        <v>1229000</v>
      </c>
      <c r="G91" s="738"/>
      <c r="H91" s="358"/>
      <c r="I91" s="358"/>
      <c r="J91" s="535">
        <v>1316430</v>
      </c>
      <c r="K91" s="738"/>
      <c r="L91" s="358"/>
      <c r="M91" s="358"/>
      <c r="N91" s="535">
        <f>'3.2 melléklet'!N34</f>
        <v>89891</v>
      </c>
      <c r="O91" s="738"/>
      <c r="P91" s="358"/>
      <c r="Q91" s="358"/>
      <c r="R91" s="535">
        <f>'3.2 melléklet'!R34</f>
        <v>0</v>
      </c>
      <c r="S91" s="1057"/>
    </row>
    <row r="92" spans="1:19" x14ac:dyDescent="0.35">
      <c r="A92" s="346" t="s">
        <v>1121</v>
      </c>
      <c r="B92" s="318" t="s">
        <v>586</v>
      </c>
      <c r="C92" s="737"/>
      <c r="D92" s="355"/>
      <c r="E92" s="355"/>
      <c r="F92" s="775">
        <v>221143142</v>
      </c>
      <c r="G92" s="737"/>
      <c r="H92" s="355"/>
      <c r="I92" s="355"/>
      <c r="J92" s="775">
        <v>406977854</v>
      </c>
      <c r="K92" s="737"/>
      <c r="L92" s="355"/>
      <c r="M92" s="355"/>
      <c r="N92" s="775">
        <f>N93+N94+N95</f>
        <v>271493943</v>
      </c>
      <c r="O92" s="737"/>
      <c r="P92" s="355"/>
      <c r="Q92" s="355"/>
      <c r="R92" s="775">
        <f>R93+R94+R95</f>
        <v>0</v>
      </c>
      <c r="S92" s="1057"/>
    </row>
    <row r="93" spans="1:19" x14ac:dyDescent="0.35">
      <c r="A93" s="403" t="s">
        <v>1122</v>
      </c>
      <c r="B93" s="323" t="s">
        <v>1123</v>
      </c>
      <c r="C93" s="738"/>
      <c r="D93" s="358"/>
      <c r="E93" s="358"/>
      <c r="F93" s="404">
        <v>180645200</v>
      </c>
      <c r="G93" s="738"/>
      <c r="H93" s="358"/>
      <c r="I93" s="358"/>
      <c r="J93" s="535">
        <v>180645200</v>
      </c>
      <c r="K93" s="738"/>
      <c r="L93" s="358"/>
      <c r="M93" s="358"/>
      <c r="N93" s="535">
        <f>'2.3 melléklet'!K233</f>
        <v>45161289</v>
      </c>
      <c r="O93" s="738"/>
      <c r="P93" s="358"/>
      <c r="Q93" s="358"/>
      <c r="R93" s="535">
        <f>'2.3 melléklet'!N233</f>
        <v>0</v>
      </c>
      <c r="S93" s="1056"/>
    </row>
    <row r="94" spans="1:19" x14ac:dyDescent="0.35">
      <c r="A94" s="403" t="s">
        <v>1124</v>
      </c>
      <c r="B94" s="323" t="s">
        <v>748</v>
      </c>
      <c r="C94" s="738"/>
      <c r="D94" s="358"/>
      <c r="E94" s="358"/>
      <c r="F94" s="404">
        <v>0</v>
      </c>
      <c r="G94" s="738"/>
      <c r="H94" s="358"/>
      <c r="I94" s="358"/>
      <c r="J94" s="535">
        <v>0</v>
      </c>
      <c r="K94" s="738"/>
      <c r="L94" s="358"/>
      <c r="M94" s="358"/>
      <c r="N94" s="535">
        <f>'2.3 melléklet'!K234</f>
        <v>0</v>
      </c>
      <c r="O94" s="738"/>
      <c r="P94" s="358"/>
      <c r="Q94" s="358"/>
      <c r="R94" s="535">
        <f>'2.3 melléklet'!N234</f>
        <v>0</v>
      </c>
      <c r="S94" s="1056"/>
    </row>
    <row r="95" spans="1:19" x14ac:dyDescent="0.35">
      <c r="A95" s="403" t="s">
        <v>1125</v>
      </c>
      <c r="B95" s="323" t="s">
        <v>746</v>
      </c>
      <c r="C95" s="738"/>
      <c r="D95" s="358"/>
      <c r="E95" s="358"/>
      <c r="F95" s="404">
        <v>40497942</v>
      </c>
      <c r="G95" s="738"/>
      <c r="H95" s="358"/>
      <c r="I95" s="358"/>
      <c r="J95" s="535">
        <v>226332654</v>
      </c>
      <c r="K95" s="738"/>
      <c r="L95" s="358"/>
      <c r="M95" s="358"/>
      <c r="N95" s="535">
        <f>'2.3 melléklet'!K232</f>
        <v>226332654</v>
      </c>
      <c r="O95" s="738"/>
      <c r="P95" s="358"/>
      <c r="Q95" s="358"/>
      <c r="R95" s="535">
        <f>'2.3 melléklet'!N232</f>
        <v>0</v>
      </c>
      <c r="S95" s="1057"/>
    </row>
    <row r="96" spans="1:19" x14ac:dyDescent="0.35">
      <c r="A96" s="391"/>
      <c r="J96" s="802"/>
    </row>
    <row r="97" spans="1:10" x14ac:dyDescent="0.35">
      <c r="A97" s="391"/>
    </row>
    <row r="98" spans="1:10" x14ac:dyDescent="0.35">
      <c r="A98" s="391"/>
    </row>
    <row r="99" spans="1:10" x14ac:dyDescent="0.35">
      <c r="A99" s="391"/>
      <c r="J99" s="802"/>
    </row>
    <row r="100" spans="1:10" x14ac:dyDescent="0.35">
      <c r="A100" s="391"/>
    </row>
    <row r="101" spans="1:10" x14ac:dyDescent="0.35">
      <c r="A101" s="391"/>
    </row>
    <row r="102" spans="1:10" x14ac:dyDescent="0.35">
      <c r="A102" s="391"/>
    </row>
    <row r="103" spans="1:10" x14ac:dyDescent="0.35">
      <c r="A103" s="391"/>
    </row>
    <row r="104" spans="1:10" x14ac:dyDescent="0.35">
      <c r="A104" s="391"/>
    </row>
    <row r="105" spans="1:10" x14ac:dyDescent="0.35">
      <c r="A105" s="391"/>
    </row>
    <row r="106" spans="1:10" x14ac:dyDescent="0.35">
      <c r="A106" s="391"/>
    </row>
    <row r="107" spans="1:10" x14ac:dyDescent="0.35">
      <c r="A107" s="391"/>
    </row>
    <row r="108" spans="1:10" x14ac:dyDescent="0.35">
      <c r="A108" s="391"/>
    </row>
    <row r="109" spans="1:10" x14ac:dyDescent="0.35">
      <c r="A109" s="391"/>
    </row>
    <row r="110" spans="1:10" x14ac:dyDescent="0.35">
      <c r="A110" s="391"/>
    </row>
    <row r="111" spans="1:10" x14ac:dyDescent="0.35">
      <c r="A111" s="391"/>
    </row>
    <row r="112" spans="1:10" x14ac:dyDescent="0.35">
      <c r="A112" s="391"/>
    </row>
    <row r="113" spans="1:1" x14ac:dyDescent="0.35">
      <c r="A113" s="391"/>
    </row>
    <row r="114" spans="1:1" x14ac:dyDescent="0.35">
      <c r="A114" s="391"/>
    </row>
    <row r="115" spans="1:1" x14ac:dyDescent="0.35">
      <c r="A115" s="391"/>
    </row>
    <row r="116" spans="1:1" x14ac:dyDescent="0.35">
      <c r="A116" s="391"/>
    </row>
    <row r="117" spans="1:1" x14ac:dyDescent="0.35">
      <c r="A117" s="391"/>
    </row>
    <row r="118" spans="1:1" x14ac:dyDescent="0.35">
      <c r="A118" s="391"/>
    </row>
    <row r="119" spans="1:1" x14ac:dyDescent="0.35">
      <c r="A119" s="391"/>
    </row>
    <row r="120" spans="1:1" x14ac:dyDescent="0.35">
      <c r="A120" s="391"/>
    </row>
    <row r="121" spans="1:1" x14ac:dyDescent="0.35">
      <c r="A121" s="391"/>
    </row>
    <row r="122" spans="1:1" x14ac:dyDescent="0.35">
      <c r="A122" s="391"/>
    </row>
    <row r="123" spans="1:1" x14ac:dyDescent="0.35">
      <c r="A123" s="391"/>
    </row>
    <row r="124" spans="1:1" x14ac:dyDescent="0.35">
      <c r="A124" s="391"/>
    </row>
    <row r="125" spans="1:1" x14ac:dyDescent="0.35">
      <c r="A125" s="391"/>
    </row>
    <row r="126" spans="1:1" x14ac:dyDescent="0.35">
      <c r="A126" s="391"/>
    </row>
    <row r="127" spans="1:1" x14ac:dyDescent="0.35">
      <c r="A127" s="391"/>
    </row>
    <row r="128" spans="1:1" x14ac:dyDescent="0.35">
      <c r="A128" s="391"/>
    </row>
    <row r="129" spans="1:1" x14ac:dyDescent="0.35">
      <c r="A129" s="391"/>
    </row>
    <row r="130" spans="1:1" x14ac:dyDescent="0.35">
      <c r="A130" s="391"/>
    </row>
    <row r="131" spans="1:1" x14ac:dyDescent="0.35">
      <c r="A131" s="391"/>
    </row>
    <row r="132" spans="1:1" x14ac:dyDescent="0.35">
      <c r="A132" s="391"/>
    </row>
    <row r="133" spans="1:1" x14ac:dyDescent="0.35">
      <c r="A133" s="391"/>
    </row>
    <row r="134" spans="1:1" x14ac:dyDescent="0.35">
      <c r="A134" s="391"/>
    </row>
    <row r="135" spans="1:1" x14ac:dyDescent="0.35">
      <c r="A135" s="391"/>
    </row>
    <row r="136" spans="1:1" x14ac:dyDescent="0.35">
      <c r="A136" s="391"/>
    </row>
    <row r="137" spans="1:1" x14ac:dyDescent="0.35">
      <c r="A137" s="391"/>
    </row>
    <row r="138" spans="1:1" x14ac:dyDescent="0.35">
      <c r="A138" s="391"/>
    </row>
    <row r="139" spans="1:1" x14ac:dyDescent="0.35">
      <c r="A139" s="391"/>
    </row>
    <row r="140" spans="1:1" x14ac:dyDescent="0.35">
      <c r="A140" s="391"/>
    </row>
    <row r="141" spans="1:1" x14ac:dyDescent="0.35">
      <c r="A141" s="391"/>
    </row>
    <row r="142" spans="1:1" x14ac:dyDescent="0.35">
      <c r="A142" s="391"/>
    </row>
    <row r="143" spans="1:1" x14ac:dyDescent="0.35">
      <c r="A143" s="391"/>
    </row>
    <row r="144" spans="1:1" x14ac:dyDescent="0.35">
      <c r="A144" s="391"/>
    </row>
    <row r="145" spans="1:1" x14ac:dyDescent="0.35">
      <c r="A145" s="391"/>
    </row>
    <row r="146" spans="1:1" x14ac:dyDescent="0.35">
      <c r="A146" s="391"/>
    </row>
    <row r="147" spans="1:1" x14ac:dyDescent="0.35">
      <c r="A147" s="391"/>
    </row>
    <row r="148" spans="1:1" x14ac:dyDescent="0.35">
      <c r="A148" s="391"/>
    </row>
    <row r="149" spans="1:1" x14ac:dyDescent="0.35">
      <c r="A149" s="391"/>
    </row>
    <row r="150" spans="1:1" x14ac:dyDescent="0.35">
      <c r="A150" s="391"/>
    </row>
    <row r="151" spans="1:1" x14ac:dyDescent="0.35">
      <c r="A151" s="391"/>
    </row>
    <row r="152" spans="1:1" x14ac:dyDescent="0.35">
      <c r="A152" s="391"/>
    </row>
    <row r="153" spans="1:1" x14ac:dyDescent="0.35">
      <c r="A153" s="391"/>
    </row>
    <row r="154" spans="1:1" x14ac:dyDescent="0.35">
      <c r="A154" s="391"/>
    </row>
    <row r="155" spans="1:1" x14ac:dyDescent="0.35">
      <c r="A155" s="391"/>
    </row>
    <row r="156" spans="1:1" x14ac:dyDescent="0.35">
      <c r="A156" s="391"/>
    </row>
    <row r="157" spans="1:1" x14ac:dyDescent="0.35">
      <c r="A157" s="391"/>
    </row>
    <row r="158" spans="1:1" x14ac:dyDescent="0.35">
      <c r="A158" s="391"/>
    </row>
    <row r="159" spans="1:1" x14ac:dyDescent="0.35">
      <c r="A159" s="391"/>
    </row>
    <row r="160" spans="1:1" x14ac:dyDescent="0.35">
      <c r="A160" s="391"/>
    </row>
    <row r="161" spans="1:1" x14ac:dyDescent="0.35">
      <c r="A161" s="391"/>
    </row>
    <row r="162" spans="1:1" x14ac:dyDescent="0.35">
      <c r="A162" s="391"/>
    </row>
    <row r="163" spans="1:1" x14ac:dyDescent="0.35">
      <c r="A163" s="391"/>
    </row>
    <row r="164" spans="1:1" x14ac:dyDescent="0.35">
      <c r="A164" s="391"/>
    </row>
    <row r="165" spans="1:1" x14ac:dyDescent="0.35">
      <c r="A165" s="391"/>
    </row>
    <row r="166" spans="1:1" x14ac:dyDescent="0.35">
      <c r="A166" s="391"/>
    </row>
    <row r="167" spans="1:1" x14ac:dyDescent="0.35">
      <c r="A167" s="391"/>
    </row>
    <row r="168" spans="1:1" x14ac:dyDescent="0.35">
      <c r="A168" s="391"/>
    </row>
    <row r="169" spans="1:1" x14ac:dyDescent="0.35">
      <c r="A169" s="391"/>
    </row>
    <row r="170" spans="1:1" x14ac:dyDescent="0.35">
      <c r="A170" s="391"/>
    </row>
    <row r="171" spans="1:1" x14ac:dyDescent="0.35">
      <c r="A171" s="391"/>
    </row>
    <row r="172" spans="1:1" x14ac:dyDescent="0.35">
      <c r="A172" s="391"/>
    </row>
    <row r="173" spans="1:1" x14ac:dyDescent="0.35">
      <c r="A173" s="391"/>
    </row>
    <row r="174" spans="1:1" x14ac:dyDescent="0.35">
      <c r="A174" s="391"/>
    </row>
    <row r="175" spans="1:1" x14ac:dyDescent="0.35">
      <c r="A175" s="391"/>
    </row>
    <row r="176" spans="1:1" x14ac:dyDescent="0.35">
      <c r="A176" s="391"/>
    </row>
    <row r="177" spans="1:1" x14ac:dyDescent="0.35">
      <c r="A177" s="391"/>
    </row>
    <row r="178" spans="1:1" x14ac:dyDescent="0.35">
      <c r="A178" s="391"/>
    </row>
    <row r="179" spans="1:1" x14ac:dyDescent="0.35">
      <c r="A179" s="391"/>
    </row>
    <row r="180" spans="1:1" x14ac:dyDescent="0.35">
      <c r="A180" s="391"/>
    </row>
    <row r="181" spans="1:1" x14ac:dyDescent="0.35">
      <c r="A181" s="391"/>
    </row>
    <row r="182" spans="1:1" x14ac:dyDescent="0.35">
      <c r="A182" s="391"/>
    </row>
    <row r="183" spans="1:1" x14ac:dyDescent="0.35">
      <c r="A183" s="391"/>
    </row>
    <row r="184" spans="1:1" x14ac:dyDescent="0.35">
      <c r="A184" s="391"/>
    </row>
    <row r="185" spans="1:1" x14ac:dyDescent="0.35">
      <c r="A185" s="391"/>
    </row>
    <row r="186" spans="1:1" x14ac:dyDescent="0.35">
      <c r="A186" s="391"/>
    </row>
    <row r="187" spans="1:1" x14ac:dyDescent="0.35">
      <c r="A187" s="391"/>
    </row>
    <row r="188" spans="1:1" x14ac:dyDescent="0.35">
      <c r="A188" s="391"/>
    </row>
    <row r="189" spans="1:1" x14ac:dyDescent="0.35">
      <c r="A189" s="391"/>
    </row>
    <row r="190" spans="1:1" x14ac:dyDescent="0.35">
      <c r="A190" s="391"/>
    </row>
    <row r="191" spans="1:1" x14ac:dyDescent="0.35">
      <c r="A191" s="391"/>
    </row>
    <row r="192" spans="1:1" x14ac:dyDescent="0.35">
      <c r="A192" s="391"/>
    </row>
    <row r="193" spans="1:1" x14ac:dyDescent="0.35">
      <c r="A193" s="391"/>
    </row>
    <row r="194" spans="1:1" x14ac:dyDescent="0.35">
      <c r="A194" s="391"/>
    </row>
    <row r="195" spans="1:1" x14ac:dyDescent="0.35">
      <c r="A195" s="391"/>
    </row>
    <row r="196" spans="1:1" x14ac:dyDescent="0.35">
      <c r="A196" s="391"/>
    </row>
    <row r="197" spans="1:1" x14ac:dyDescent="0.35">
      <c r="A197" s="391"/>
    </row>
    <row r="198" spans="1:1" x14ac:dyDescent="0.35">
      <c r="A198" s="391"/>
    </row>
    <row r="199" spans="1:1" x14ac:dyDescent="0.35">
      <c r="A199" s="391"/>
    </row>
    <row r="200" spans="1:1" x14ac:dyDescent="0.35">
      <c r="A200" s="391"/>
    </row>
    <row r="201" spans="1:1" x14ac:dyDescent="0.35">
      <c r="A201" s="391"/>
    </row>
    <row r="202" spans="1:1" x14ac:dyDescent="0.35">
      <c r="A202" s="391"/>
    </row>
    <row r="203" spans="1:1" x14ac:dyDescent="0.35">
      <c r="A203" s="391"/>
    </row>
    <row r="204" spans="1:1" x14ac:dyDescent="0.35">
      <c r="A204" s="391"/>
    </row>
    <row r="205" spans="1:1" x14ac:dyDescent="0.35">
      <c r="A205" s="391"/>
    </row>
    <row r="206" spans="1:1" x14ac:dyDescent="0.35">
      <c r="A206" s="391"/>
    </row>
    <row r="207" spans="1:1" x14ac:dyDescent="0.35">
      <c r="A207" s="391"/>
    </row>
    <row r="208" spans="1:1" x14ac:dyDescent="0.35">
      <c r="A208" s="391"/>
    </row>
    <row r="209" spans="1:1" x14ac:dyDescent="0.35">
      <c r="A209" s="391"/>
    </row>
    <row r="210" spans="1:1" x14ac:dyDescent="0.35">
      <c r="A210" s="391"/>
    </row>
    <row r="211" spans="1:1" x14ac:dyDescent="0.35">
      <c r="A211" s="391"/>
    </row>
    <row r="212" spans="1:1" x14ac:dyDescent="0.35">
      <c r="A212" s="391"/>
    </row>
    <row r="213" spans="1:1" x14ac:dyDescent="0.35">
      <c r="A213" s="391"/>
    </row>
    <row r="214" spans="1:1" x14ac:dyDescent="0.35">
      <c r="A214" s="391"/>
    </row>
    <row r="215" spans="1:1" x14ac:dyDescent="0.35">
      <c r="A215" s="391"/>
    </row>
    <row r="216" spans="1:1" x14ac:dyDescent="0.35">
      <c r="A216" s="391"/>
    </row>
    <row r="217" spans="1:1" x14ac:dyDescent="0.35">
      <c r="A217" s="391"/>
    </row>
    <row r="218" spans="1:1" x14ac:dyDescent="0.35">
      <c r="A218" s="391"/>
    </row>
    <row r="219" spans="1:1" x14ac:dyDescent="0.35">
      <c r="A219" s="391"/>
    </row>
    <row r="220" spans="1:1" x14ac:dyDescent="0.35">
      <c r="A220" s="391"/>
    </row>
    <row r="221" spans="1:1" x14ac:dyDescent="0.35">
      <c r="A221" s="391"/>
    </row>
    <row r="222" spans="1:1" x14ac:dyDescent="0.35">
      <c r="A222" s="391"/>
    </row>
    <row r="223" spans="1:1" x14ac:dyDescent="0.35">
      <c r="A223" s="391"/>
    </row>
    <row r="224" spans="1:1" x14ac:dyDescent="0.35">
      <c r="A224" s="391"/>
    </row>
    <row r="225" spans="1:1" x14ac:dyDescent="0.35">
      <c r="A225" s="391"/>
    </row>
    <row r="226" spans="1:1" x14ac:dyDescent="0.35">
      <c r="A226" s="391"/>
    </row>
    <row r="227" spans="1:1" x14ac:dyDescent="0.35">
      <c r="A227" s="391"/>
    </row>
    <row r="228" spans="1:1" x14ac:dyDescent="0.35">
      <c r="A228" s="391"/>
    </row>
    <row r="229" spans="1:1" x14ac:dyDescent="0.35">
      <c r="A229" s="391"/>
    </row>
    <row r="230" spans="1:1" x14ac:dyDescent="0.35">
      <c r="A230" s="391"/>
    </row>
    <row r="231" spans="1:1" x14ac:dyDescent="0.35">
      <c r="A231" s="391"/>
    </row>
    <row r="232" spans="1:1" x14ac:dyDescent="0.35">
      <c r="A232" s="391"/>
    </row>
    <row r="233" spans="1:1" x14ac:dyDescent="0.35">
      <c r="A233" s="391"/>
    </row>
    <row r="234" spans="1:1" x14ac:dyDescent="0.35">
      <c r="A234" s="391"/>
    </row>
    <row r="235" spans="1:1" x14ac:dyDescent="0.35">
      <c r="A235" s="391"/>
    </row>
    <row r="236" spans="1:1" x14ac:dyDescent="0.35">
      <c r="A236" s="391"/>
    </row>
    <row r="237" spans="1:1" x14ac:dyDescent="0.35">
      <c r="A237" s="391"/>
    </row>
    <row r="238" spans="1:1" x14ac:dyDescent="0.35">
      <c r="A238" s="391"/>
    </row>
    <row r="239" spans="1:1" x14ac:dyDescent="0.35">
      <c r="A239" s="391"/>
    </row>
    <row r="240" spans="1:1" x14ac:dyDescent="0.35">
      <c r="A240" s="391"/>
    </row>
    <row r="241" spans="1:1" x14ac:dyDescent="0.35">
      <c r="A241" s="391"/>
    </row>
    <row r="242" spans="1:1" x14ac:dyDescent="0.35">
      <c r="A242" s="391"/>
    </row>
    <row r="243" spans="1:1" x14ac:dyDescent="0.35">
      <c r="A243" s="391"/>
    </row>
    <row r="244" spans="1:1" x14ac:dyDescent="0.35">
      <c r="A244" s="391"/>
    </row>
    <row r="245" spans="1:1" x14ac:dyDescent="0.35">
      <c r="A245" s="391"/>
    </row>
    <row r="246" spans="1:1" x14ac:dyDescent="0.35">
      <c r="A246" s="391"/>
    </row>
    <row r="247" spans="1:1" x14ac:dyDescent="0.35">
      <c r="A247" s="391"/>
    </row>
    <row r="248" spans="1:1" x14ac:dyDescent="0.35">
      <c r="A248" s="391"/>
    </row>
    <row r="249" spans="1:1" x14ac:dyDescent="0.35">
      <c r="A249" s="391"/>
    </row>
    <row r="250" spans="1:1" x14ac:dyDescent="0.35">
      <c r="A250" s="391"/>
    </row>
    <row r="251" spans="1:1" x14ac:dyDescent="0.35">
      <c r="A251" s="391"/>
    </row>
    <row r="252" spans="1:1" x14ac:dyDescent="0.35">
      <c r="A252" s="391"/>
    </row>
    <row r="253" spans="1:1" x14ac:dyDescent="0.35">
      <c r="A253" s="391"/>
    </row>
    <row r="254" spans="1:1" x14ac:dyDescent="0.35">
      <c r="A254" s="391"/>
    </row>
    <row r="255" spans="1:1" x14ac:dyDescent="0.35">
      <c r="A255" s="391"/>
    </row>
    <row r="256" spans="1:1" x14ac:dyDescent="0.35">
      <c r="A256" s="391"/>
    </row>
    <row r="257" spans="1:1" x14ac:dyDescent="0.35">
      <c r="A257" s="391"/>
    </row>
    <row r="258" spans="1:1" x14ac:dyDescent="0.35">
      <c r="A258" s="391"/>
    </row>
    <row r="259" spans="1:1" x14ac:dyDescent="0.35">
      <c r="A259" s="391"/>
    </row>
    <row r="260" spans="1:1" x14ac:dyDescent="0.35">
      <c r="A260" s="391"/>
    </row>
    <row r="261" spans="1:1" x14ac:dyDescent="0.35">
      <c r="A261" s="391"/>
    </row>
    <row r="262" spans="1:1" x14ac:dyDescent="0.35">
      <c r="A262" s="391"/>
    </row>
    <row r="263" spans="1:1" x14ac:dyDescent="0.35">
      <c r="A263" s="391"/>
    </row>
    <row r="264" spans="1:1" x14ac:dyDescent="0.35">
      <c r="A264" s="391"/>
    </row>
    <row r="265" spans="1:1" x14ac:dyDescent="0.35">
      <c r="A265" s="391"/>
    </row>
    <row r="266" spans="1:1" x14ac:dyDescent="0.35">
      <c r="A266" s="391"/>
    </row>
    <row r="267" spans="1:1" x14ac:dyDescent="0.35">
      <c r="A267" s="391"/>
    </row>
    <row r="268" spans="1:1" x14ac:dyDescent="0.35">
      <c r="A268" s="391"/>
    </row>
    <row r="269" spans="1:1" x14ac:dyDescent="0.35">
      <c r="A269" s="391"/>
    </row>
    <row r="270" spans="1:1" x14ac:dyDescent="0.35">
      <c r="A270" s="391"/>
    </row>
    <row r="271" spans="1:1" x14ac:dyDescent="0.35">
      <c r="A271" s="391"/>
    </row>
    <row r="272" spans="1:1" x14ac:dyDescent="0.35">
      <c r="A272" s="391"/>
    </row>
    <row r="273" spans="1:1" x14ac:dyDescent="0.35">
      <c r="A273" s="391"/>
    </row>
    <row r="274" spans="1:1" x14ac:dyDescent="0.35">
      <c r="A274" s="391"/>
    </row>
    <row r="275" spans="1:1" x14ac:dyDescent="0.35">
      <c r="A275" s="391"/>
    </row>
  </sheetData>
  <mergeCells count="6">
    <mergeCell ref="O3:R3"/>
    <mergeCell ref="C3:F3"/>
    <mergeCell ref="A2:A3"/>
    <mergeCell ref="B2:B3"/>
    <mergeCell ref="G3:J3"/>
    <mergeCell ref="K3:N3"/>
  </mergeCells>
  <printOptions horizontalCentered="1"/>
  <pageMargins left="0.19685039370078741" right="0.19685039370078741" top="0.51181102362204722" bottom="0.43307086614173229" header="0.15748031496062992" footer="0.15748031496062992"/>
  <pageSetup paperSize="9" scale="49" fitToWidth="0" fitToHeight="0" pageOrder="overThenDown" orientation="portrait" r:id="rId1"/>
  <headerFooter>
    <oddHeader xml:space="preserve">&amp;L1.3  melléklet &amp;C&amp;"-,Félkövér"&amp;16
Az Önkormányzat 2021. évi összevont kiadásai feladatonként részletes bontásban
</oddHeader>
    <oddFooter>&amp;C&amp;P</oddFooter>
  </headerFooter>
  <colBreaks count="1" manualBreakCount="1">
    <brk id="14" max="9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6"/>
  <sheetViews>
    <sheetView view="pageBreakPreview" topLeftCell="A41" zoomScale="93" zoomScaleNormal="100" zoomScaleSheetLayoutView="93" workbookViewId="0">
      <selection activeCell="J81" sqref="J81"/>
    </sheetView>
  </sheetViews>
  <sheetFormatPr defaultColWidth="9.1796875" defaultRowHeight="14.5" x14ac:dyDescent="0.35"/>
  <cols>
    <col min="1" max="1" width="5.7265625" style="520" customWidth="1"/>
    <col min="2" max="2" width="53.7265625" style="521" customWidth="1"/>
    <col min="3" max="3" width="14.1796875" style="521" customWidth="1"/>
    <col min="4" max="4" width="11.26953125" style="521" customWidth="1"/>
    <col min="5" max="5" width="9.7265625" style="521" customWidth="1"/>
    <col min="6" max="6" width="15.81640625" style="521" customWidth="1"/>
    <col min="7" max="7" width="14.1796875" style="521" customWidth="1"/>
    <col min="8" max="8" width="11.26953125" style="521" customWidth="1"/>
    <col min="9" max="9" width="9.7265625" style="521" customWidth="1"/>
    <col min="10" max="10" width="15.81640625" style="521" customWidth="1"/>
    <col min="11" max="12" width="17.26953125" style="521" hidden="1" customWidth="1"/>
    <col min="13" max="13" width="9.7265625" style="521" hidden="1" customWidth="1"/>
    <col min="14" max="14" width="15.81640625" style="521" hidden="1" customWidth="1"/>
    <col min="15" max="15" width="14.1796875" style="521" hidden="1" customWidth="1"/>
    <col min="16" max="16" width="11.26953125" style="521" hidden="1" customWidth="1"/>
    <col min="17" max="17" width="9.7265625" style="521" hidden="1" customWidth="1"/>
    <col min="18" max="18" width="15.81640625" style="521" hidden="1" customWidth="1"/>
    <col min="19" max="19" width="16" style="521" customWidth="1"/>
    <col min="20" max="16384" width="9.1796875" style="521"/>
  </cols>
  <sheetData>
    <row r="1" spans="1:19" ht="15" thickBot="1" x14ac:dyDescent="0.4">
      <c r="F1" s="720"/>
      <c r="J1" s="720" t="s">
        <v>1638</v>
      </c>
    </row>
    <row r="2" spans="1:19" x14ac:dyDescent="0.35">
      <c r="A2" s="522" t="s">
        <v>468</v>
      </c>
      <c r="B2" s="810" t="s">
        <v>469</v>
      </c>
      <c r="C2" s="819"/>
      <c r="D2" s="820"/>
      <c r="E2" s="820"/>
      <c r="F2" s="858"/>
      <c r="G2" s="819"/>
      <c r="H2" s="820"/>
      <c r="I2" s="820"/>
      <c r="J2" s="858"/>
      <c r="K2" s="819"/>
      <c r="L2" s="820"/>
      <c r="M2" s="820"/>
      <c r="N2" s="945"/>
      <c r="O2" s="950"/>
      <c r="P2" s="951"/>
      <c r="Q2" s="951"/>
      <c r="R2" s="952"/>
    </row>
    <row r="3" spans="1:19" ht="30.4" customHeight="1" x14ac:dyDescent="0.35">
      <c r="A3" s="1066" t="s">
        <v>305</v>
      </c>
      <c r="B3" s="1076" t="s">
        <v>470</v>
      </c>
      <c r="C3" s="1067" t="s">
        <v>1794</v>
      </c>
      <c r="D3" s="1064"/>
      <c r="E3" s="1064"/>
      <c r="F3" s="1068"/>
      <c r="G3" s="1063" t="s">
        <v>1796</v>
      </c>
      <c r="H3" s="1064"/>
      <c r="I3" s="1064"/>
      <c r="J3" s="1065"/>
      <c r="K3" s="1063" t="s">
        <v>1798</v>
      </c>
      <c r="L3" s="1064"/>
      <c r="M3" s="1064"/>
      <c r="N3" s="1065"/>
      <c r="O3" s="1074"/>
      <c r="P3" s="1064"/>
      <c r="Q3" s="1064"/>
      <c r="R3" s="1075"/>
    </row>
    <row r="4" spans="1:19" ht="43.5" x14ac:dyDescent="0.35">
      <c r="A4" s="1066"/>
      <c r="B4" s="1076"/>
      <c r="C4" s="822" t="s">
        <v>1289</v>
      </c>
      <c r="D4" s="719" t="s">
        <v>1290</v>
      </c>
      <c r="E4" s="719" t="s">
        <v>1291</v>
      </c>
      <c r="F4" s="859" t="s">
        <v>549</v>
      </c>
      <c r="G4" s="822" t="s">
        <v>1289</v>
      </c>
      <c r="H4" s="719" t="s">
        <v>1290</v>
      </c>
      <c r="I4" s="719" t="s">
        <v>1291</v>
      </c>
      <c r="J4" s="859" t="s">
        <v>549</v>
      </c>
      <c r="K4" s="822" t="s">
        <v>1289</v>
      </c>
      <c r="L4" s="719" t="s">
        <v>1290</v>
      </c>
      <c r="M4" s="719" t="s">
        <v>1291</v>
      </c>
      <c r="N4" s="933" t="s">
        <v>549</v>
      </c>
      <c r="O4" s="953" t="s">
        <v>1289</v>
      </c>
      <c r="P4" s="719" t="s">
        <v>1290</v>
      </c>
      <c r="Q4" s="719" t="s">
        <v>1291</v>
      </c>
      <c r="R4" s="954" t="s">
        <v>549</v>
      </c>
    </row>
    <row r="5" spans="1:19" x14ac:dyDescent="0.35">
      <c r="A5" s="523" t="s">
        <v>309</v>
      </c>
      <c r="B5" s="849" t="s">
        <v>310</v>
      </c>
      <c r="C5" s="860">
        <v>4287848560</v>
      </c>
      <c r="D5" s="524">
        <v>49236960</v>
      </c>
      <c r="E5" s="524">
        <v>0</v>
      </c>
      <c r="F5" s="861">
        <v>4337085520</v>
      </c>
      <c r="G5" s="860">
        <v>4782681659</v>
      </c>
      <c r="H5" s="524">
        <v>49236960</v>
      </c>
      <c r="I5" s="524">
        <v>0</v>
      </c>
      <c r="J5" s="861">
        <v>4831918619</v>
      </c>
      <c r="K5" s="860">
        <f>K6+K27+K44+K58</f>
        <v>2907257234</v>
      </c>
      <c r="L5" s="524">
        <f>L6+L27+L44+L58</f>
        <v>21389890</v>
      </c>
      <c r="M5" s="524">
        <f>M6+M27+M44+M58</f>
        <v>0</v>
      </c>
      <c r="N5" s="861">
        <f>SUM(K5:M5)</f>
        <v>2928647124</v>
      </c>
      <c r="O5" s="955">
        <f>O6+O27+O44+O58</f>
        <v>0</v>
      </c>
      <c r="P5" s="524">
        <f>P6+P27+P44+P58</f>
        <v>0</v>
      </c>
      <c r="Q5" s="524">
        <f>Q6+Q27+Q44+Q58</f>
        <v>0</v>
      </c>
      <c r="R5" s="956">
        <f t="shared" ref="R5:R16" si="0">SUM(O5:Q5)</f>
        <v>0</v>
      </c>
      <c r="S5" s="538"/>
    </row>
    <row r="6" spans="1:19" x14ac:dyDescent="0.35">
      <c r="A6" s="525" t="s">
        <v>311</v>
      </c>
      <c r="B6" s="850" t="s">
        <v>312</v>
      </c>
      <c r="C6" s="862">
        <v>1762448560</v>
      </c>
      <c r="D6" s="526">
        <v>12600000</v>
      </c>
      <c r="E6" s="526">
        <v>0</v>
      </c>
      <c r="F6" s="863">
        <v>1775048560</v>
      </c>
      <c r="G6" s="862">
        <v>1557281659</v>
      </c>
      <c r="H6" s="526">
        <v>12600000</v>
      </c>
      <c r="I6" s="526">
        <v>0</v>
      </c>
      <c r="J6" s="863">
        <v>1569881659</v>
      </c>
      <c r="K6" s="862">
        <f>K7+K17+K18+K19</f>
        <v>499438002</v>
      </c>
      <c r="L6" s="526">
        <f>L7+L17+L18+L19</f>
        <v>0</v>
      </c>
      <c r="M6" s="526">
        <f>M7+M17+M18+M19</f>
        <v>0</v>
      </c>
      <c r="N6" s="863">
        <f t="shared" ref="N6:N24" si="1">SUM(K6:M6)</f>
        <v>499438002</v>
      </c>
      <c r="O6" s="957">
        <f>O7+O17+O18+O19</f>
        <v>0</v>
      </c>
      <c r="P6" s="526">
        <f>P7+P17+P18+P19</f>
        <v>0</v>
      </c>
      <c r="Q6" s="526">
        <f>Q7+Q17+Q18+Q19</f>
        <v>0</v>
      </c>
      <c r="R6" s="958">
        <f t="shared" si="0"/>
        <v>0</v>
      </c>
      <c r="S6" s="538"/>
    </row>
    <row r="7" spans="1:19" s="529" customFormat="1" x14ac:dyDescent="0.35">
      <c r="A7" s="527"/>
      <c r="B7" s="814" t="s">
        <v>471</v>
      </c>
      <c r="C7" s="864">
        <v>1712448560</v>
      </c>
      <c r="D7" s="528">
        <v>12600000</v>
      </c>
      <c r="E7" s="528">
        <v>0</v>
      </c>
      <c r="F7" s="865">
        <v>1725048560</v>
      </c>
      <c r="G7" s="864">
        <v>1413571586</v>
      </c>
      <c r="H7" s="864">
        <v>12600000</v>
      </c>
      <c r="I7" s="528">
        <v>0</v>
      </c>
      <c r="J7" s="865">
        <v>1426171586</v>
      </c>
      <c r="K7" s="864">
        <f>SUM(K8:K16)</f>
        <v>472436398</v>
      </c>
      <c r="L7" s="528">
        <f>SUM(L8:L15)</f>
        <v>0</v>
      </c>
      <c r="M7" s="528">
        <f>SUM(M8:M15)</f>
        <v>0</v>
      </c>
      <c r="N7" s="865">
        <f t="shared" si="1"/>
        <v>472436398</v>
      </c>
      <c r="O7" s="959">
        <f>SUM(O8:O16)</f>
        <v>0</v>
      </c>
      <c r="P7" s="864">
        <f>SUM(P8:P16)</f>
        <v>0</v>
      </c>
      <c r="Q7" s="528">
        <f>SUM(Q8:Q15)</f>
        <v>0</v>
      </c>
      <c r="R7" s="960">
        <f t="shared" si="0"/>
        <v>0</v>
      </c>
      <c r="S7" s="538"/>
    </row>
    <row r="8" spans="1:19" s="529" customFormat="1" ht="29" x14ac:dyDescent="0.35">
      <c r="A8" s="527"/>
      <c r="B8" s="851" t="s">
        <v>472</v>
      </c>
      <c r="C8" s="866">
        <v>312205133</v>
      </c>
      <c r="D8" s="721"/>
      <c r="E8" s="721">
        <v>0</v>
      </c>
      <c r="F8" s="867">
        <v>312205133</v>
      </c>
      <c r="G8" s="866">
        <v>312205133</v>
      </c>
      <c r="H8" s="721"/>
      <c r="I8" s="721">
        <v>0</v>
      </c>
      <c r="J8" s="867">
        <v>312205133</v>
      </c>
      <c r="K8" s="866">
        <v>137370260</v>
      </c>
      <c r="L8" s="721"/>
      <c r="M8" s="721">
        <v>0</v>
      </c>
      <c r="N8" s="867">
        <f t="shared" si="1"/>
        <v>137370260</v>
      </c>
      <c r="O8" s="961"/>
      <c r="P8" s="721"/>
      <c r="Q8" s="721">
        <v>0</v>
      </c>
      <c r="R8" s="962">
        <f t="shared" si="0"/>
        <v>0</v>
      </c>
      <c r="S8" s="538"/>
    </row>
    <row r="9" spans="1:19" s="529" customFormat="1" x14ac:dyDescent="0.35">
      <c r="A9" s="527"/>
      <c r="B9" s="851" t="s">
        <v>473</v>
      </c>
      <c r="C9" s="868">
        <v>357932100</v>
      </c>
      <c r="D9" s="721"/>
      <c r="E9" s="721">
        <v>0</v>
      </c>
      <c r="F9" s="867">
        <v>357932100</v>
      </c>
      <c r="G9" s="868">
        <v>357932100</v>
      </c>
      <c r="H9" s="721"/>
      <c r="I9" s="721">
        <v>0</v>
      </c>
      <c r="J9" s="867">
        <v>357932100</v>
      </c>
      <c r="K9" s="868">
        <v>157490124</v>
      </c>
      <c r="L9" s="721"/>
      <c r="M9" s="721">
        <v>0</v>
      </c>
      <c r="N9" s="867">
        <f t="shared" si="1"/>
        <v>157490124</v>
      </c>
      <c r="O9" s="961"/>
      <c r="P9" s="325"/>
      <c r="Q9" s="721">
        <v>0</v>
      </c>
      <c r="R9" s="962">
        <f t="shared" si="0"/>
        <v>0</v>
      </c>
      <c r="S9" s="538"/>
    </row>
    <row r="10" spans="1:19" s="529" customFormat="1" x14ac:dyDescent="0.35">
      <c r="A10" s="527"/>
      <c r="B10" s="851" t="s">
        <v>1811</v>
      </c>
      <c r="C10" s="868">
        <v>94204600</v>
      </c>
      <c r="D10" s="721"/>
      <c r="E10" s="721">
        <v>0</v>
      </c>
      <c r="F10" s="867">
        <v>94204600</v>
      </c>
      <c r="G10" s="868">
        <v>103229590</v>
      </c>
      <c r="H10" s="721"/>
      <c r="I10" s="721">
        <v>0</v>
      </c>
      <c r="J10" s="867">
        <v>103229590</v>
      </c>
      <c r="K10" s="868">
        <v>50475014</v>
      </c>
      <c r="L10" s="721"/>
      <c r="M10" s="721">
        <v>0</v>
      </c>
      <c r="N10" s="867">
        <f t="shared" si="1"/>
        <v>50475014</v>
      </c>
      <c r="O10" s="961"/>
      <c r="P10" s="325"/>
      <c r="Q10" s="721">
        <v>0</v>
      </c>
      <c r="R10" s="962">
        <f t="shared" si="0"/>
        <v>0</v>
      </c>
      <c r="S10" s="538"/>
    </row>
    <row r="11" spans="1:19" s="529" customFormat="1" x14ac:dyDescent="0.35">
      <c r="A11" s="527"/>
      <c r="B11" s="851" t="s">
        <v>1812</v>
      </c>
      <c r="C11" s="868">
        <v>216910807</v>
      </c>
      <c r="D11" s="721"/>
      <c r="E11" s="721"/>
      <c r="F11" s="867">
        <v>216910807</v>
      </c>
      <c r="G11" s="868">
        <v>216910807</v>
      </c>
      <c r="H11" s="721"/>
      <c r="I11" s="721"/>
      <c r="J11" s="867">
        <v>216910807</v>
      </c>
      <c r="K11" s="868">
        <v>95440757</v>
      </c>
      <c r="L11" s="721"/>
      <c r="M11" s="721"/>
      <c r="N11" s="867">
        <f t="shared" si="1"/>
        <v>95440757</v>
      </c>
      <c r="O11" s="961"/>
      <c r="P11" s="325"/>
      <c r="Q11" s="721"/>
      <c r="R11" s="962"/>
      <c r="S11" s="538"/>
    </row>
    <row r="12" spans="1:19" s="529" customFormat="1" x14ac:dyDescent="0.35">
      <c r="A12" s="527"/>
      <c r="B12" s="851" t="s">
        <v>474</v>
      </c>
      <c r="C12" s="868">
        <v>31195920</v>
      </c>
      <c r="D12" s="721">
        <v>12600000</v>
      </c>
      <c r="E12" s="721">
        <v>0</v>
      </c>
      <c r="F12" s="867">
        <v>43795920</v>
      </c>
      <c r="G12" s="868">
        <v>31195920</v>
      </c>
      <c r="H12" s="721">
        <v>12600000</v>
      </c>
      <c r="I12" s="721">
        <v>0</v>
      </c>
      <c r="J12" s="867">
        <v>43795920</v>
      </c>
      <c r="K12" s="868">
        <v>19562207</v>
      </c>
      <c r="L12" s="721"/>
      <c r="M12" s="721">
        <v>0</v>
      </c>
      <c r="N12" s="867">
        <f t="shared" si="1"/>
        <v>19562207</v>
      </c>
      <c r="O12" s="961"/>
      <c r="P12" s="326"/>
      <c r="Q12" s="721">
        <v>0</v>
      </c>
      <c r="R12" s="962">
        <f t="shared" si="0"/>
        <v>0</v>
      </c>
      <c r="S12" s="538"/>
    </row>
    <row r="13" spans="1:19" x14ac:dyDescent="0.35">
      <c r="A13" s="527"/>
      <c r="B13" s="851" t="s">
        <v>475</v>
      </c>
      <c r="C13" s="869"/>
      <c r="D13" s="722"/>
      <c r="E13" s="722">
        <v>0</v>
      </c>
      <c r="F13" s="870">
        <v>0</v>
      </c>
      <c r="G13" s="869"/>
      <c r="H13" s="722"/>
      <c r="I13" s="722">
        <v>0</v>
      </c>
      <c r="J13" s="870">
        <v>0</v>
      </c>
      <c r="K13" s="869"/>
      <c r="L13" s="722"/>
      <c r="M13" s="722">
        <v>0</v>
      </c>
      <c r="N13" s="870">
        <f t="shared" si="1"/>
        <v>0</v>
      </c>
      <c r="O13" s="963"/>
      <c r="P13" s="722"/>
      <c r="Q13" s="722">
        <v>0</v>
      </c>
      <c r="R13" s="964">
        <f t="shared" si="0"/>
        <v>0</v>
      </c>
      <c r="S13" s="538"/>
    </row>
    <row r="14" spans="1:19" ht="15.75" customHeight="1" x14ac:dyDescent="0.35">
      <c r="A14" s="527"/>
      <c r="B14" s="851" t="s">
        <v>476</v>
      </c>
      <c r="C14" s="869"/>
      <c r="D14" s="722"/>
      <c r="E14" s="722">
        <v>0</v>
      </c>
      <c r="F14" s="870">
        <v>0</v>
      </c>
      <c r="G14" s="869"/>
      <c r="H14" s="722"/>
      <c r="I14" s="722">
        <v>0</v>
      </c>
      <c r="J14" s="870">
        <v>0</v>
      </c>
      <c r="K14" s="869"/>
      <c r="L14" s="722"/>
      <c r="M14" s="722">
        <v>0</v>
      </c>
      <c r="N14" s="870">
        <f t="shared" si="1"/>
        <v>0</v>
      </c>
      <c r="O14" s="963"/>
      <c r="P14" s="722"/>
      <c r="Q14" s="722">
        <v>0</v>
      </c>
      <c r="R14" s="964">
        <f t="shared" si="0"/>
        <v>0</v>
      </c>
      <c r="S14" s="538"/>
    </row>
    <row r="15" spans="1:19" s="1039" customFormat="1" x14ac:dyDescent="0.35">
      <c r="A15" s="1035"/>
      <c r="B15" s="1036" t="s">
        <v>477</v>
      </c>
      <c r="C15" s="1037">
        <v>700000000</v>
      </c>
      <c r="D15" s="779"/>
      <c r="E15" s="779">
        <v>0</v>
      </c>
      <c r="F15" s="1038">
        <v>700000000</v>
      </c>
      <c r="G15" s="1037">
        <v>380000000</v>
      </c>
      <c r="H15" s="779"/>
      <c r="I15" s="779">
        <v>0</v>
      </c>
      <c r="J15" s="1038">
        <v>380000000</v>
      </c>
      <c r="K15" s="1037"/>
      <c r="L15" s="779"/>
      <c r="M15" s="779">
        <v>0</v>
      </c>
      <c r="N15" s="1038">
        <f t="shared" si="1"/>
        <v>0</v>
      </c>
      <c r="O15" s="1037"/>
      <c r="P15" s="779"/>
      <c r="Q15" s="779">
        <v>0</v>
      </c>
      <c r="R15" s="1009">
        <f t="shared" si="0"/>
        <v>0</v>
      </c>
      <c r="S15" s="538"/>
    </row>
    <row r="16" spans="1:19" x14ac:dyDescent="0.35">
      <c r="A16" s="527"/>
      <c r="B16" s="851" t="s">
        <v>1437</v>
      </c>
      <c r="C16" s="869">
        <v>0</v>
      </c>
      <c r="D16" s="722"/>
      <c r="E16" s="722"/>
      <c r="F16" s="870">
        <v>0</v>
      </c>
      <c r="G16" s="869">
        <v>12098036</v>
      </c>
      <c r="H16" s="722"/>
      <c r="I16" s="722"/>
      <c r="J16" s="870">
        <v>12098036</v>
      </c>
      <c r="K16" s="869">
        <v>12098036</v>
      </c>
      <c r="L16" s="722"/>
      <c r="M16" s="722"/>
      <c r="N16" s="870">
        <f t="shared" si="1"/>
        <v>12098036</v>
      </c>
      <c r="O16" s="963"/>
      <c r="P16" s="722"/>
      <c r="Q16" s="722"/>
      <c r="R16" s="964">
        <f t="shared" si="0"/>
        <v>0</v>
      </c>
      <c r="S16" s="538"/>
    </row>
    <row r="17" spans="1:19" x14ac:dyDescent="0.35">
      <c r="A17" s="527"/>
      <c r="B17" s="814" t="s">
        <v>478</v>
      </c>
      <c r="C17" s="871">
        <v>0</v>
      </c>
      <c r="D17" s="530">
        <v>0</v>
      </c>
      <c r="E17" s="530">
        <v>0</v>
      </c>
      <c r="F17" s="872">
        <v>0</v>
      </c>
      <c r="G17" s="871">
        <v>92080073</v>
      </c>
      <c r="H17" s="530">
        <v>0</v>
      </c>
      <c r="I17" s="530">
        <v>0</v>
      </c>
      <c r="J17" s="872">
        <v>92080073</v>
      </c>
      <c r="K17" s="871">
        <v>0</v>
      </c>
      <c r="L17" s="530">
        <v>0</v>
      </c>
      <c r="M17" s="530">
        <v>0</v>
      </c>
      <c r="N17" s="872">
        <f t="shared" si="1"/>
        <v>0</v>
      </c>
      <c r="O17" s="965"/>
      <c r="P17" s="530">
        <v>0</v>
      </c>
      <c r="Q17" s="530">
        <v>0</v>
      </c>
      <c r="R17" s="966">
        <f t="shared" ref="R17:R27" si="2">SUM(O17:Q17)</f>
        <v>0</v>
      </c>
      <c r="S17" s="538"/>
    </row>
    <row r="18" spans="1:19" ht="29" x14ac:dyDescent="0.35">
      <c r="A18" s="527"/>
      <c r="B18" s="814" t="s">
        <v>479</v>
      </c>
      <c r="C18" s="871">
        <v>0</v>
      </c>
      <c r="D18" s="530">
        <v>0</v>
      </c>
      <c r="E18" s="530">
        <v>0</v>
      </c>
      <c r="F18" s="872">
        <v>0</v>
      </c>
      <c r="G18" s="871">
        <v>0</v>
      </c>
      <c r="H18" s="530">
        <v>0</v>
      </c>
      <c r="I18" s="530">
        <v>0</v>
      </c>
      <c r="J18" s="872">
        <v>0</v>
      </c>
      <c r="K18" s="871">
        <v>0</v>
      </c>
      <c r="L18" s="530">
        <v>0</v>
      </c>
      <c r="M18" s="530">
        <v>0</v>
      </c>
      <c r="N18" s="872">
        <f t="shared" si="1"/>
        <v>0</v>
      </c>
      <c r="O18" s="965">
        <v>0</v>
      </c>
      <c r="P18" s="530">
        <v>0</v>
      </c>
      <c r="Q18" s="530">
        <v>0</v>
      </c>
      <c r="R18" s="966">
        <f t="shared" si="2"/>
        <v>0</v>
      </c>
      <c r="S18" s="538"/>
    </row>
    <row r="19" spans="1:19" ht="29" x14ac:dyDescent="0.35">
      <c r="A19" s="527"/>
      <c r="B19" s="814" t="s">
        <v>480</v>
      </c>
      <c r="C19" s="871">
        <v>50000000</v>
      </c>
      <c r="D19" s="530">
        <v>0</v>
      </c>
      <c r="E19" s="530">
        <v>0</v>
      </c>
      <c r="F19" s="872">
        <v>50000000</v>
      </c>
      <c r="G19" s="871">
        <v>51630000</v>
      </c>
      <c r="H19" s="530">
        <v>0</v>
      </c>
      <c r="I19" s="530">
        <v>0</v>
      </c>
      <c r="J19" s="872">
        <v>51630000</v>
      </c>
      <c r="K19" s="871">
        <f>K20+K21+K24+K26+K25</f>
        <v>27001604</v>
      </c>
      <c r="L19" s="530">
        <f>L20+L21+L24+L26</f>
        <v>0</v>
      </c>
      <c r="M19" s="530">
        <f>M20+M21+M24+M26</f>
        <v>0</v>
      </c>
      <c r="N19" s="872">
        <f t="shared" si="1"/>
        <v>27001604</v>
      </c>
      <c r="O19" s="965">
        <f>O20+O21+O24+O26+O25</f>
        <v>0</v>
      </c>
      <c r="P19" s="871">
        <f>P20+P21+P24+P26+P25</f>
        <v>0</v>
      </c>
      <c r="Q19" s="530">
        <f>Q20+Q21+Q24+Q26</f>
        <v>0</v>
      </c>
      <c r="R19" s="966">
        <f t="shared" si="2"/>
        <v>0</v>
      </c>
      <c r="S19" s="538"/>
    </row>
    <row r="20" spans="1:19" ht="29" x14ac:dyDescent="0.35">
      <c r="A20" s="527"/>
      <c r="B20" s="851" t="s">
        <v>1678</v>
      </c>
      <c r="C20" s="963">
        <v>50000000</v>
      </c>
      <c r="D20" s="722">
        <v>0</v>
      </c>
      <c r="E20" s="722">
        <v>0</v>
      </c>
      <c r="F20" s="870">
        <v>50000000</v>
      </c>
      <c r="G20" s="963">
        <v>51630000</v>
      </c>
      <c r="H20" s="722">
        <v>0</v>
      </c>
      <c r="I20" s="722">
        <v>0</v>
      </c>
      <c r="J20" s="870">
        <v>51630000</v>
      </c>
      <c r="K20" s="963">
        <v>26166200</v>
      </c>
      <c r="L20" s="722">
        <v>0</v>
      </c>
      <c r="M20" s="722">
        <v>0</v>
      </c>
      <c r="N20" s="870">
        <f t="shared" si="1"/>
        <v>26166200</v>
      </c>
      <c r="O20" s="963"/>
      <c r="P20" s="722">
        <v>0</v>
      </c>
      <c r="Q20" s="722">
        <v>0</v>
      </c>
      <c r="R20" s="964">
        <f t="shared" si="2"/>
        <v>0</v>
      </c>
      <c r="S20" s="538"/>
    </row>
    <row r="21" spans="1:19" x14ac:dyDescent="0.35">
      <c r="A21" s="527"/>
      <c r="B21" s="851" t="s">
        <v>481</v>
      </c>
      <c r="C21" s="869">
        <v>0</v>
      </c>
      <c r="D21" s="722"/>
      <c r="E21" s="722">
        <v>0</v>
      </c>
      <c r="F21" s="870">
        <v>0</v>
      </c>
      <c r="G21" s="869">
        <v>0</v>
      </c>
      <c r="H21" s="722"/>
      <c r="I21" s="722">
        <v>0</v>
      </c>
      <c r="J21" s="870">
        <v>0</v>
      </c>
      <c r="K21" s="869">
        <v>0</v>
      </c>
      <c r="L21" s="722"/>
      <c r="M21" s="722">
        <f>M22+M23</f>
        <v>0</v>
      </c>
      <c r="N21" s="870">
        <f t="shared" si="1"/>
        <v>0</v>
      </c>
      <c r="O21" s="963">
        <v>0</v>
      </c>
      <c r="P21" s="722"/>
      <c r="Q21" s="722">
        <f>Q22+Q23</f>
        <v>0</v>
      </c>
      <c r="R21" s="964">
        <f t="shared" si="2"/>
        <v>0</v>
      </c>
      <c r="S21" s="538"/>
    </row>
    <row r="22" spans="1:19" ht="15" customHeight="1" x14ac:dyDescent="0.35">
      <c r="A22" s="527"/>
      <c r="B22" s="852" t="s">
        <v>482</v>
      </c>
      <c r="C22" s="869"/>
      <c r="D22" s="722"/>
      <c r="E22" s="722">
        <v>0</v>
      </c>
      <c r="F22" s="870">
        <v>0</v>
      </c>
      <c r="G22" s="869"/>
      <c r="H22" s="722"/>
      <c r="I22" s="722">
        <v>0</v>
      </c>
      <c r="J22" s="870">
        <v>0</v>
      </c>
      <c r="K22" s="869"/>
      <c r="L22" s="722"/>
      <c r="M22" s="722">
        <v>0</v>
      </c>
      <c r="N22" s="870">
        <f t="shared" si="1"/>
        <v>0</v>
      </c>
      <c r="O22" s="963"/>
      <c r="P22" s="722"/>
      <c r="Q22" s="722">
        <v>0</v>
      </c>
      <c r="R22" s="964">
        <f t="shared" si="2"/>
        <v>0</v>
      </c>
      <c r="S22" s="538"/>
    </row>
    <row r="23" spans="1:19" ht="15" customHeight="1" x14ac:dyDescent="0.35">
      <c r="A23" s="527"/>
      <c r="B23" s="852" t="s">
        <v>483</v>
      </c>
      <c r="C23" s="869"/>
      <c r="D23" s="722">
        <v>0</v>
      </c>
      <c r="E23" s="722">
        <v>0</v>
      </c>
      <c r="F23" s="870">
        <v>0</v>
      </c>
      <c r="G23" s="869"/>
      <c r="H23" s="722">
        <v>0</v>
      </c>
      <c r="I23" s="722">
        <v>0</v>
      </c>
      <c r="J23" s="870">
        <v>0</v>
      </c>
      <c r="K23" s="869"/>
      <c r="L23" s="722">
        <v>0</v>
      </c>
      <c r="M23" s="722">
        <v>0</v>
      </c>
      <c r="N23" s="870">
        <f t="shared" si="1"/>
        <v>0</v>
      </c>
      <c r="O23" s="963"/>
      <c r="P23" s="722">
        <v>0</v>
      </c>
      <c r="Q23" s="722">
        <v>0</v>
      </c>
      <c r="R23" s="964">
        <f t="shared" si="2"/>
        <v>0</v>
      </c>
      <c r="S23" s="538"/>
    </row>
    <row r="24" spans="1:19" x14ac:dyDescent="0.35">
      <c r="A24" s="527"/>
      <c r="B24" s="851" t="s">
        <v>1766</v>
      </c>
      <c r="C24" s="869">
        <v>0</v>
      </c>
      <c r="D24" s="722">
        <v>0</v>
      </c>
      <c r="E24" s="722">
        <v>0</v>
      </c>
      <c r="F24" s="870">
        <v>0</v>
      </c>
      <c r="G24" s="869">
        <v>0</v>
      </c>
      <c r="H24" s="722">
        <v>0</v>
      </c>
      <c r="I24" s="722">
        <v>0</v>
      </c>
      <c r="J24" s="870">
        <v>0</v>
      </c>
      <c r="K24" s="869">
        <v>0</v>
      </c>
      <c r="L24" s="722">
        <v>0</v>
      </c>
      <c r="M24" s="722">
        <v>0</v>
      </c>
      <c r="N24" s="870">
        <f t="shared" si="1"/>
        <v>0</v>
      </c>
      <c r="O24" s="963">
        <v>0</v>
      </c>
      <c r="P24" s="722">
        <v>0</v>
      </c>
      <c r="Q24" s="722">
        <v>0</v>
      </c>
      <c r="R24" s="964">
        <f t="shared" si="2"/>
        <v>0</v>
      </c>
      <c r="S24" s="538"/>
    </row>
    <row r="25" spans="1:19" x14ac:dyDescent="0.35">
      <c r="A25" s="527"/>
      <c r="B25" s="851" t="s">
        <v>1769</v>
      </c>
      <c r="C25" s="869"/>
      <c r="D25" s="722"/>
      <c r="E25" s="722"/>
      <c r="F25" s="870"/>
      <c r="G25" s="869"/>
      <c r="H25" s="722"/>
      <c r="I25" s="722"/>
      <c r="J25" s="870"/>
      <c r="K25" s="869">
        <v>270000</v>
      </c>
      <c r="L25" s="722"/>
      <c r="M25" s="722"/>
      <c r="N25" s="870">
        <f t="shared" ref="N25:N27" si="3">SUM(K25:M25)</f>
        <v>270000</v>
      </c>
      <c r="O25" s="963">
        <v>0</v>
      </c>
      <c r="P25" s="722"/>
      <c r="Q25" s="722"/>
      <c r="R25" s="964">
        <f t="shared" si="2"/>
        <v>0</v>
      </c>
      <c r="S25" s="538"/>
    </row>
    <row r="26" spans="1:19" x14ac:dyDescent="0.35">
      <c r="A26" s="527"/>
      <c r="B26" s="851" t="s">
        <v>1765</v>
      </c>
      <c r="C26" s="869">
        <v>0</v>
      </c>
      <c r="D26" s="722">
        <v>0</v>
      </c>
      <c r="E26" s="722">
        <v>0</v>
      </c>
      <c r="F26" s="870">
        <v>0</v>
      </c>
      <c r="G26" s="869">
        <v>0</v>
      </c>
      <c r="H26" s="722">
        <v>0</v>
      </c>
      <c r="I26" s="722">
        <v>0</v>
      </c>
      <c r="J26" s="870">
        <v>0</v>
      </c>
      <c r="K26" s="869">
        <v>565404</v>
      </c>
      <c r="L26" s="722">
        <v>0</v>
      </c>
      <c r="M26" s="722">
        <v>0</v>
      </c>
      <c r="N26" s="870">
        <f t="shared" si="3"/>
        <v>565404</v>
      </c>
      <c r="O26" s="963">
        <v>0</v>
      </c>
      <c r="P26" s="722">
        <v>0</v>
      </c>
      <c r="Q26" s="722">
        <v>0</v>
      </c>
      <c r="R26" s="964">
        <f t="shared" si="2"/>
        <v>0</v>
      </c>
      <c r="S26" s="538"/>
    </row>
    <row r="27" spans="1:19" x14ac:dyDescent="0.35">
      <c r="A27" s="525" t="s">
        <v>322</v>
      </c>
      <c r="B27" s="850" t="s">
        <v>484</v>
      </c>
      <c r="C27" s="862">
        <v>2500000000</v>
      </c>
      <c r="D27" s="526">
        <v>0</v>
      </c>
      <c r="E27" s="526">
        <v>0</v>
      </c>
      <c r="F27" s="863">
        <v>2500000000</v>
      </c>
      <c r="G27" s="862">
        <v>3200000000</v>
      </c>
      <c r="H27" s="526">
        <v>0</v>
      </c>
      <c r="I27" s="526">
        <v>0</v>
      </c>
      <c r="J27" s="863">
        <v>3200000000</v>
      </c>
      <c r="K27" s="862">
        <f>K29+K32+K35+K39</f>
        <v>2390394071</v>
      </c>
      <c r="L27" s="526">
        <f>L29+L32+L35+L39</f>
        <v>0</v>
      </c>
      <c r="M27" s="526">
        <f>M29+M32+M35+M39</f>
        <v>0</v>
      </c>
      <c r="N27" s="863">
        <f t="shared" si="3"/>
        <v>2390394071</v>
      </c>
      <c r="O27" s="957">
        <f>O29+O32+O35+O39</f>
        <v>0</v>
      </c>
      <c r="P27" s="526">
        <f>P29+P32+P35+P39</f>
        <v>0</v>
      </c>
      <c r="Q27" s="526">
        <f>Q29+Q32+Q35+Q39</f>
        <v>0</v>
      </c>
      <c r="R27" s="958">
        <f t="shared" si="2"/>
        <v>0</v>
      </c>
      <c r="S27" s="538"/>
    </row>
    <row r="28" spans="1:19" x14ac:dyDescent="0.35">
      <c r="A28" s="608"/>
      <c r="B28" s="814" t="s">
        <v>1745</v>
      </c>
      <c r="C28" s="871"/>
      <c r="D28" s="530"/>
      <c r="E28" s="530"/>
      <c r="F28" s="872"/>
      <c r="G28" s="871"/>
      <c r="H28" s="530"/>
      <c r="I28" s="530"/>
      <c r="J28" s="872"/>
      <c r="K28" s="871"/>
      <c r="L28" s="530"/>
      <c r="M28" s="530"/>
      <c r="N28" s="872"/>
      <c r="O28" s="965"/>
      <c r="P28" s="530"/>
      <c r="Q28" s="530"/>
      <c r="R28" s="966"/>
      <c r="S28" s="538"/>
    </row>
    <row r="29" spans="1:19" x14ac:dyDescent="0.35">
      <c r="A29" s="531"/>
      <c r="B29" s="814" t="s">
        <v>485</v>
      </c>
      <c r="C29" s="871">
        <v>1100000000</v>
      </c>
      <c r="D29" s="530">
        <v>0</v>
      </c>
      <c r="E29" s="530">
        <v>0</v>
      </c>
      <c r="F29" s="872">
        <v>1100000000</v>
      </c>
      <c r="G29" s="871">
        <v>1100000000</v>
      </c>
      <c r="H29" s="530">
        <v>0</v>
      </c>
      <c r="I29" s="530">
        <v>0</v>
      </c>
      <c r="J29" s="872">
        <v>1100000000</v>
      </c>
      <c r="K29" s="871">
        <f>SUM(K30:K31)</f>
        <v>495863795</v>
      </c>
      <c r="L29" s="530">
        <f>SUM(L30:L31)</f>
        <v>0</v>
      </c>
      <c r="M29" s="530">
        <f>SUM(M30:M31)</f>
        <v>0</v>
      </c>
      <c r="N29" s="872">
        <f t="shared" ref="N29:N60" si="4">SUM(K29:M29)</f>
        <v>495863795</v>
      </c>
      <c r="O29" s="965">
        <f>SUM(O30:O31)</f>
        <v>0</v>
      </c>
      <c r="P29" s="530">
        <f>SUM(P30:P31)</f>
        <v>0</v>
      </c>
      <c r="Q29" s="530">
        <f>SUM(Q30:Q31)</f>
        <v>0</v>
      </c>
      <c r="R29" s="966">
        <f t="shared" ref="R29:R59" si="5">SUM(O29:Q29)</f>
        <v>0</v>
      </c>
      <c r="S29" s="538"/>
    </row>
    <row r="30" spans="1:19" x14ac:dyDescent="0.35">
      <c r="A30" s="527"/>
      <c r="B30" s="851" t="s">
        <v>486</v>
      </c>
      <c r="C30" s="967">
        <v>690000000</v>
      </c>
      <c r="D30" s="722">
        <v>0</v>
      </c>
      <c r="E30" s="722">
        <v>0</v>
      </c>
      <c r="F30" s="870">
        <v>690000000</v>
      </c>
      <c r="G30" s="967">
        <v>690000000</v>
      </c>
      <c r="H30" s="722">
        <v>0</v>
      </c>
      <c r="I30" s="722">
        <v>0</v>
      </c>
      <c r="J30" s="870">
        <v>690000000</v>
      </c>
      <c r="K30" s="967">
        <v>325147304</v>
      </c>
      <c r="L30" s="722">
        <v>0</v>
      </c>
      <c r="M30" s="722">
        <v>0</v>
      </c>
      <c r="N30" s="870">
        <f t="shared" si="4"/>
        <v>325147304</v>
      </c>
      <c r="O30" s="967"/>
      <c r="P30" s="722">
        <v>0</v>
      </c>
      <c r="Q30" s="722">
        <v>0</v>
      </c>
      <c r="R30" s="964">
        <f t="shared" si="5"/>
        <v>0</v>
      </c>
      <c r="S30" s="538"/>
    </row>
    <row r="31" spans="1:19" x14ac:dyDescent="0.35">
      <c r="A31" s="527"/>
      <c r="B31" s="851" t="s">
        <v>487</v>
      </c>
      <c r="C31" s="967">
        <v>410000000</v>
      </c>
      <c r="D31" s="722">
        <v>0</v>
      </c>
      <c r="E31" s="722">
        <v>0</v>
      </c>
      <c r="F31" s="870">
        <v>410000000</v>
      </c>
      <c r="G31" s="967">
        <v>410000000</v>
      </c>
      <c r="H31" s="722">
        <v>0</v>
      </c>
      <c r="I31" s="722">
        <v>0</v>
      </c>
      <c r="J31" s="870">
        <v>410000000</v>
      </c>
      <c r="K31" s="967">
        <v>170716491</v>
      </c>
      <c r="L31" s="722">
        <v>0</v>
      </c>
      <c r="M31" s="722">
        <v>0</v>
      </c>
      <c r="N31" s="870">
        <f t="shared" si="4"/>
        <v>170716491</v>
      </c>
      <c r="O31" s="967"/>
      <c r="P31" s="722">
        <v>0</v>
      </c>
      <c r="Q31" s="722">
        <v>0</v>
      </c>
      <c r="R31" s="964">
        <f t="shared" si="5"/>
        <v>0</v>
      </c>
      <c r="S31" s="538"/>
    </row>
    <row r="32" spans="1:19" x14ac:dyDescent="0.35">
      <c r="A32" s="527"/>
      <c r="B32" s="814" t="s">
        <v>488</v>
      </c>
      <c r="C32" s="871">
        <v>1400000000</v>
      </c>
      <c r="D32" s="530">
        <v>0</v>
      </c>
      <c r="E32" s="530">
        <v>0</v>
      </c>
      <c r="F32" s="872">
        <v>1400000000</v>
      </c>
      <c r="G32" s="871">
        <v>2100000000</v>
      </c>
      <c r="H32" s="530">
        <v>0</v>
      </c>
      <c r="I32" s="530">
        <v>0</v>
      </c>
      <c r="J32" s="872">
        <v>2100000000</v>
      </c>
      <c r="K32" s="871">
        <f>SUM(K33:K34)</f>
        <v>1886204413</v>
      </c>
      <c r="L32" s="530">
        <f>SUM(L33:L34)</f>
        <v>0</v>
      </c>
      <c r="M32" s="530">
        <f>SUM(M33:M34)</f>
        <v>0</v>
      </c>
      <c r="N32" s="872">
        <f t="shared" si="4"/>
        <v>1886204413</v>
      </c>
      <c r="O32" s="965">
        <f>SUM(O33:O34)</f>
        <v>0</v>
      </c>
      <c r="P32" s="530">
        <f>SUM(P33:P34)</f>
        <v>0</v>
      </c>
      <c r="Q32" s="530">
        <f>SUM(Q33:Q34)</f>
        <v>0</v>
      </c>
      <c r="R32" s="966">
        <f t="shared" si="5"/>
        <v>0</v>
      </c>
      <c r="S32" s="538"/>
    </row>
    <row r="33" spans="1:19" x14ac:dyDescent="0.35">
      <c r="A33" s="527"/>
      <c r="B33" s="851" t="s">
        <v>489</v>
      </c>
      <c r="C33" s="963">
        <v>1400000000</v>
      </c>
      <c r="D33" s="722">
        <v>0</v>
      </c>
      <c r="E33" s="722">
        <v>0</v>
      </c>
      <c r="F33" s="870">
        <v>1400000000</v>
      </c>
      <c r="G33" s="963">
        <v>2100000000</v>
      </c>
      <c r="H33" s="722">
        <v>0</v>
      </c>
      <c r="I33" s="722">
        <v>0</v>
      </c>
      <c r="J33" s="870">
        <v>2100000000</v>
      </c>
      <c r="K33" s="963">
        <v>1886204413</v>
      </c>
      <c r="L33" s="722">
        <v>0</v>
      </c>
      <c r="M33" s="722">
        <v>0</v>
      </c>
      <c r="N33" s="870">
        <f t="shared" si="4"/>
        <v>1886204413</v>
      </c>
      <c r="O33" s="963"/>
      <c r="P33" s="722">
        <v>0</v>
      </c>
      <c r="Q33" s="722">
        <v>0</v>
      </c>
      <c r="R33" s="964">
        <f t="shared" si="5"/>
        <v>0</v>
      </c>
      <c r="S33" s="538"/>
    </row>
    <row r="34" spans="1:19" x14ac:dyDescent="0.35">
      <c r="A34" s="527"/>
      <c r="B34" s="851" t="s">
        <v>490</v>
      </c>
      <c r="C34" s="869">
        <v>0</v>
      </c>
      <c r="D34" s="722">
        <v>0</v>
      </c>
      <c r="E34" s="722">
        <v>0</v>
      </c>
      <c r="F34" s="870">
        <v>0</v>
      </c>
      <c r="G34" s="869">
        <v>0</v>
      </c>
      <c r="H34" s="722">
        <v>0</v>
      </c>
      <c r="I34" s="722">
        <v>0</v>
      </c>
      <c r="J34" s="870">
        <v>0</v>
      </c>
      <c r="K34" s="869">
        <v>0</v>
      </c>
      <c r="L34" s="722">
        <v>0</v>
      </c>
      <c r="M34" s="722">
        <v>0</v>
      </c>
      <c r="N34" s="870">
        <f t="shared" si="4"/>
        <v>0</v>
      </c>
      <c r="O34" s="963">
        <f>67000000+3000000-70000000</f>
        <v>0</v>
      </c>
      <c r="P34" s="722">
        <v>0</v>
      </c>
      <c r="Q34" s="722">
        <v>0</v>
      </c>
      <c r="R34" s="964">
        <f t="shared" si="5"/>
        <v>0</v>
      </c>
      <c r="S34" s="538"/>
    </row>
    <row r="35" spans="1:19" x14ac:dyDescent="0.35">
      <c r="A35" s="527"/>
      <c r="B35" s="814" t="s">
        <v>491</v>
      </c>
      <c r="C35" s="871">
        <v>0</v>
      </c>
      <c r="D35" s="530">
        <v>0</v>
      </c>
      <c r="E35" s="530">
        <v>0</v>
      </c>
      <c r="F35" s="872">
        <v>0</v>
      </c>
      <c r="G35" s="871">
        <v>0</v>
      </c>
      <c r="H35" s="530">
        <v>0</v>
      </c>
      <c r="I35" s="530">
        <v>0</v>
      </c>
      <c r="J35" s="872">
        <v>0</v>
      </c>
      <c r="K35" s="871">
        <f>SUM(K36:K38)</f>
        <v>2361442</v>
      </c>
      <c r="L35" s="530">
        <f>SUM(L36:L38)</f>
        <v>0</v>
      </c>
      <c r="M35" s="530">
        <f>SUM(M36:M38)</f>
        <v>0</v>
      </c>
      <c r="N35" s="872">
        <f t="shared" si="4"/>
        <v>2361442</v>
      </c>
      <c r="O35" s="965">
        <f>SUM(O36:O38)</f>
        <v>0</v>
      </c>
      <c r="P35" s="530">
        <f>SUM(P36:P38)</f>
        <v>0</v>
      </c>
      <c r="Q35" s="530">
        <f>SUM(Q36:Q38)</f>
        <v>0</v>
      </c>
      <c r="R35" s="966">
        <f t="shared" si="5"/>
        <v>0</v>
      </c>
      <c r="S35" s="538"/>
    </row>
    <row r="36" spans="1:19" x14ac:dyDescent="0.35">
      <c r="A36" s="527"/>
      <c r="B36" s="851" t="s">
        <v>492</v>
      </c>
      <c r="C36" s="869">
        <v>0</v>
      </c>
      <c r="D36" s="722">
        <v>0</v>
      </c>
      <c r="E36" s="722">
        <v>0</v>
      </c>
      <c r="F36" s="870">
        <v>0</v>
      </c>
      <c r="G36" s="869">
        <v>0</v>
      </c>
      <c r="H36" s="722">
        <v>0</v>
      </c>
      <c r="I36" s="722">
        <v>0</v>
      </c>
      <c r="J36" s="870">
        <v>0</v>
      </c>
      <c r="K36" s="869">
        <v>174600</v>
      </c>
      <c r="L36" s="722">
        <v>0</v>
      </c>
      <c r="M36" s="722">
        <v>0</v>
      </c>
      <c r="N36" s="870">
        <f t="shared" si="4"/>
        <v>174600</v>
      </c>
      <c r="O36" s="963">
        <v>0</v>
      </c>
      <c r="P36" s="722">
        <v>0</v>
      </c>
      <c r="Q36" s="722">
        <v>0</v>
      </c>
      <c r="R36" s="964">
        <f t="shared" si="5"/>
        <v>0</v>
      </c>
      <c r="S36" s="538"/>
    </row>
    <row r="37" spans="1:19" x14ac:dyDescent="0.35">
      <c r="A37" s="527"/>
      <c r="B37" s="851" t="s">
        <v>493</v>
      </c>
      <c r="C37" s="869">
        <v>0</v>
      </c>
      <c r="D37" s="722">
        <v>0</v>
      </c>
      <c r="E37" s="722">
        <v>0</v>
      </c>
      <c r="F37" s="870">
        <v>0</v>
      </c>
      <c r="G37" s="869">
        <v>0</v>
      </c>
      <c r="H37" s="722">
        <v>0</v>
      </c>
      <c r="I37" s="722">
        <v>0</v>
      </c>
      <c r="J37" s="870">
        <v>0</v>
      </c>
      <c r="K37" s="869">
        <v>22800</v>
      </c>
      <c r="L37" s="722">
        <v>0</v>
      </c>
      <c r="M37" s="722">
        <v>0</v>
      </c>
      <c r="N37" s="870">
        <f t="shared" si="4"/>
        <v>22800</v>
      </c>
      <c r="O37" s="963"/>
      <c r="P37" s="722">
        <v>0</v>
      </c>
      <c r="Q37" s="722">
        <v>0</v>
      </c>
      <c r="R37" s="964">
        <f t="shared" si="5"/>
        <v>0</v>
      </c>
      <c r="S37" s="538"/>
    </row>
    <row r="38" spans="1:19" x14ac:dyDescent="0.35">
      <c r="A38" s="527"/>
      <c r="B38" s="851" t="s">
        <v>494</v>
      </c>
      <c r="C38" s="869">
        <v>0</v>
      </c>
      <c r="D38" s="722">
        <v>0</v>
      </c>
      <c r="E38" s="722">
        <v>0</v>
      </c>
      <c r="F38" s="870">
        <v>0</v>
      </c>
      <c r="G38" s="869">
        <v>0</v>
      </c>
      <c r="H38" s="722">
        <v>0</v>
      </c>
      <c r="I38" s="722">
        <v>0</v>
      </c>
      <c r="J38" s="870">
        <v>0</v>
      </c>
      <c r="K38" s="869">
        <v>2164042</v>
      </c>
      <c r="L38" s="722">
        <v>0</v>
      </c>
      <c r="M38" s="722">
        <v>0</v>
      </c>
      <c r="N38" s="870">
        <f t="shared" si="4"/>
        <v>2164042</v>
      </c>
      <c r="O38" s="963">
        <v>0</v>
      </c>
      <c r="P38" s="722">
        <v>0</v>
      </c>
      <c r="Q38" s="722">
        <v>0</v>
      </c>
      <c r="R38" s="964">
        <f t="shared" si="5"/>
        <v>0</v>
      </c>
      <c r="S38" s="538"/>
    </row>
    <row r="39" spans="1:19" x14ac:dyDescent="0.35">
      <c r="A39" s="527"/>
      <c r="B39" s="814" t="s">
        <v>495</v>
      </c>
      <c r="C39" s="871">
        <v>0</v>
      </c>
      <c r="D39" s="530">
        <v>0</v>
      </c>
      <c r="E39" s="530">
        <v>0</v>
      </c>
      <c r="F39" s="872">
        <v>0</v>
      </c>
      <c r="G39" s="871">
        <v>0</v>
      </c>
      <c r="H39" s="530">
        <v>0</v>
      </c>
      <c r="I39" s="530">
        <v>0</v>
      </c>
      <c r="J39" s="872">
        <v>0</v>
      </c>
      <c r="K39" s="871">
        <f>SUM(K40:K43)</f>
        <v>5964421</v>
      </c>
      <c r="L39" s="530">
        <f>SUM(L40:L43)</f>
        <v>0</v>
      </c>
      <c r="M39" s="530">
        <f>SUM(M40:M43)</f>
        <v>0</v>
      </c>
      <c r="N39" s="872">
        <f t="shared" si="4"/>
        <v>5964421</v>
      </c>
      <c r="O39" s="965">
        <f>SUM(O40:O43)</f>
        <v>0</v>
      </c>
      <c r="P39" s="530">
        <f>SUM(P40:P43)</f>
        <v>0</v>
      </c>
      <c r="Q39" s="530">
        <f>SUM(Q40:Q43)</f>
        <v>0</v>
      </c>
      <c r="R39" s="966">
        <f t="shared" si="5"/>
        <v>0</v>
      </c>
      <c r="S39" s="538"/>
    </row>
    <row r="40" spans="1:19" x14ac:dyDescent="0.35">
      <c r="A40" s="527"/>
      <c r="B40" s="851" t="s">
        <v>496</v>
      </c>
      <c r="C40" s="869">
        <v>0</v>
      </c>
      <c r="D40" s="722">
        <v>0</v>
      </c>
      <c r="E40" s="722">
        <v>0</v>
      </c>
      <c r="F40" s="870">
        <v>0</v>
      </c>
      <c r="G40" s="869">
        <v>0</v>
      </c>
      <c r="H40" s="722">
        <v>0</v>
      </c>
      <c r="I40" s="722">
        <v>0</v>
      </c>
      <c r="J40" s="870">
        <v>0</v>
      </c>
      <c r="K40" s="869">
        <v>5704421</v>
      </c>
      <c r="L40" s="722">
        <v>0</v>
      </c>
      <c r="M40" s="722">
        <v>0</v>
      </c>
      <c r="N40" s="870">
        <f t="shared" si="4"/>
        <v>5704421</v>
      </c>
      <c r="O40" s="963">
        <v>0</v>
      </c>
      <c r="P40" s="722">
        <v>0</v>
      </c>
      <c r="Q40" s="722">
        <v>0</v>
      </c>
      <c r="R40" s="964">
        <f t="shared" si="5"/>
        <v>0</v>
      </c>
      <c r="S40" s="538"/>
    </row>
    <row r="41" spans="1:19" x14ac:dyDescent="0.35">
      <c r="A41" s="527"/>
      <c r="B41" s="851" t="s">
        <v>497</v>
      </c>
      <c r="C41" s="869"/>
      <c r="D41" s="722">
        <v>0</v>
      </c>
      <c r="E41" s="722">
        <v>0</v>
      </c>
      <c r="F41" s="870">
        <v>0</v>
      </c>
      <c r="G41" s="869"/>
      <c r="H41" s="722">
        <v>0</v>
      </c>
      <c r="I41" s="722">
        <v>0</v>
      </c>
      <c r="J41" s="870">
        <v>0</v>
      </c>
      <c r="K41" s="869"/>
      <c r="L41" s="722">
        <v>0</v>
      </c>
      <c r="M41" s="722">
        <v>0</v>
      </c>
      <c r="N41" s="870">
        <f t="shared" si="4"/>
        <v>0</v>
      </c>
      <c r="O41" s="963"/>
      <c r="P41" s="722">
        <v>0</v>
      </c>
      <c r="Q41" s="722">
        <v>0</v>
      </c>
      <c r="R41" s="964">
        <f t="shared" si="5"/>
        <v>0</v>
      </c>
      <c r="S41" s="538"/>
    </row>
    <row r="42" spans="1:19" x14ac:dyDescent="0.35">
      <c r="A42" s="527"/>
      <c r="B42" s="851" t="s">
        <v>498</v>
      </c>
      <c r="C42" s="869"/>
      <c r="D42" s="722">
        <v>0</v>
      </c>
      <c r="E42" s="722">
        <v>0</v>
      </c>
      <c r="F42" s="870">
        <v>0</v>
      </c>
      <c r="G42" s="869"/>
      <c r="H42" s="722">
        <v>0</v>
      </c>
      <c r="I42" s="722">
        <v>0</v>
      </c>
      <c r="J42" s="870">
        <v>0</v>
      </c>
      <c r="K42" s="869">
        <f>90000+170000</f>
        <v>260000</v>
      </c>
      <c r="L42" s="722">
        <v>0</v>
      </c>
      <c r="M42" s="722">
        <v>0</v>
      </c>
      <c r="N42" s="870">
        <f t="shared" si="4"/>
        <v>260000</v>
      </c>
      <c r="O42" s="963"/>
      <c r="P42" s="722">
        <v>0</v>
      </c>
      <c r="Q42" s="722">
        <v>0</v>
      </c>
      <c r="R42" s="964">
        <f t="shared" si="5"/>
        <v>0</v>
      </c>
      <c r="S42" s="538"/>
    </row>
    <row r="43" spans="1:19" x14ac:dyDescent="0.35">
      <c r="A43" s="527"/>
      <c r="B43" s="851" t="s">
        <v>499</v>
      </c>
      <c r="C43" s="869">
        <v>0</v>
      </c>
      <c r="D43" s="722">
        <v>0</v>
      </c>
      <c r="E43" s="722">
        <v>0</v>
      </c>
      <c r="F43" s="870">
        <v>0</v>
      </c>
      <c r="G43" s="869">
        <v>0</v>
      </c>
      <c r="H43" s="722">
        <v>0</v>
      </c>
      <c r="I43" s="722">
        <v>0</v>
      </c>
      <c r="J43" s="870">
        <v>0</v>
      </c>
      <c r="K43" s="869">
        <v>0</v>
      </c>
      <c r="L43" s="722">
        <v>0</v>
      </c>
      <c r="M43" s="722">
        <v>0</v>
      </c>
      <c r="N43" s="870">
        <f t="shared" si="4"/>
        <v>0</v>
      </c>
      <c r="O43" s="963"/>
      <c r="P43" s="722">
        <v>0</v>
      </c>
      <c r="Q43" s="722">
        <v>0</v>
      </c>
      <c r="R43" s="964">
        <f t="shared" si="5"/>
        <v>0</v>
      </c>
      <c r="S43" s="538"/>
    </row>
    <row r="44" spans="1:19" x14ac:dyDescent="0.35">
      <c r="A44" s="525" t="s">
        <v>315</v>
      </c>
      <c r="B44" s="850" t="s">
        <v>314</v>
      </c>
      <c r="C44" s="862">
        <v>25400000</v>
      </c>
      <c r="D44" s="526">
        <v>36636960</v>
      </c>
      <c r="E44" s="526">
        <v>0</v>
      </c>
      <c r="F44" s="863">
        <v>62036960</v>
      </c>
      <c r="G44" s="862">
        <v>25400000</v>
      </c>
      <c r="H44" s="526">
        <v>36636960</v>
      </c>
      <c r="I44" s="526">
        <v>0</v>
      </c>
      <c r="J44" s="863">
        <v>62036960</v>
      </c>
      <c r="K44" s="862">
        <f>K45+K46+K49+K53+K54+K55+K56+K57</f>
        <v>14663444</v>
      </c>
      <c r="L44" s="526">
        <f>L45+L46+L49+L53+L54+L55+L56+L57</f>
        <v>21389890</v>
      </c>
      <c r="M44" s="526">
        <f>M45+M46+M49+M53+M54+M55+M56+M57</f>
        <v>0</v>
      </c>
      <c r="N44" s="863">
        <f t="shared" si="4"/>
        <v>36053334</v>
      </c>
      <c r="O44" s="957">
        <f>O45+O46+O49+O53+O54+O55+O56+O57</f>
        <v>0</v>
      </c>
      <c r="P44" s="526">
        <f>P45+P46+P49+P53+P54+P55+P56+P57</f>
        <v>0</v>
      </c>
      <c r="Q44" s="526">
        <f>Q45+Q46+Q49+Q53+Q54+Q55+Q56+Q57</f>
        <v>0</v>
      </c>
      <c r="R44" s="958">
        <f t="shared" si="5"/>
        <v>0</v>
      </c>
      <c r="S44" s="538"/>
    </row>
    <row r="45" spans="1:19" x14ac:dyDescent="0.35">
      <c r="A45" s="527"/>
      <c r="B45" s="814" t="s">
        <v>500</v>
      </c>
      <c r="C45" s="871">
        <v>0</v>
      </c>
      <c r="D45" s="530">
        <v>0</v>
      </c>
      <c r="E45" s="530">
        <v>0</v>
      </c>
      <c r="F45" s="872">
        <v>0</v>
      </c>
      <c r="G45" s="871">
        <v>0</v>
      </c>
      <c r="H45" s="530">
        <v>0</v>
      </c>
      <c r="I45" s="530">
        <v>0</v>
      </c>
      <c r="J45" s="872">
        <v>0</v>
      </c>
      <c r="K45" s="871">
        <v>0</v>
      </c>
      <c r="L45" s="530">
        <v>0</v>
      </c>
      <c r="M45" s="530">
        <v>0</v>
      </c>
      <c r="N45" s="872">
        <f t="shared" si="4"/>
        <v>0</v>
      </c>
      <c r="O45" s="965">
        <v>0</v>
      </c>
      <c r="P45" s="530">
        <v>0</v>
      </c>
      <c r="Q45" s="530">
        <v>0</v>
      </c>
      <c r="R45" s="966">
        <f t="shared" si="5"/>
        <v>0</v>
      </c>
      <c r="S45" s="538"/>
    </row>
    <row r="46" spans="1:19" x14ac:dyDescent="0.35">
      <c r="A46" s="527"/>
      <c r="B46" s="814" t="s">
        <v>501</v>
      </c>
      <c r="C46" s="871">
        <v>19400000</v>
      </c>
      <c r="D46" s="530">
        <v>0</v>
      </c>
      <c r="E46" s="530">
        <v>0</v>
      </c>
      <c r="F46" s="872">
        <v>19400000</v>
      </c>
      <c r="G46" s="871">
        <v>19400000</v>
      </c>
      <c r="H46" s="530">
        <v>0</v>
      </c>
      <c r="I46" s="530">
        <v>0</v>
      </c>
      <c r="J46" s="872">
        <v>19400000</v>
      </c>
      <c r="K46" s="871">
        <f>SUM(K47:K48)</f>
        <v>11570681</v>
      </c>
      <c r="L46" s="530">
        <f>SUM(L47:L48)</f>
        <v>0</v>
      </c>
      <c r="M46" s="530">
        <f>SUM(M47:M48)</f>
        <v>0</v>
      </c>
      <c r="N46" s="872">
        <f t="shared" si="4"/>
        <v>11570681</v>
      </c>
      <c r="O46" s="965">
        <f>SUM(O47:O48)</f>
        <v>0</v>
      </c>
      <c r="P46" s="530">
        <f>SUM(P47:P48)</f>
        <v>0</v>
      </c>
      <c r="Q46" s="530">
        <f>SUM(Q47:Q48)</f>
        <v>0</v>
      </c>
      <c r="R46" s="966">
        <f t="shared" si="5"/>
        <v>0</v>
      </c>
      <c r="S46" s="538"/>
    </row>
    <row r="47" spans="1:19" x14ac:dyDescent="0.35">
      <c r="A47" s="527"/>
      <c r="B47" s="851" t="s">
        <v>502</v>
      </c>
      <c r="C47" s="967">
        <v>5400000</v>
      </c>
      <c r="D47" s="722">
        <v>0</v>
      </c>
      <c r="E47" s="722">
        <v>0</v>
      </c>
      <c r="F47" s="870">
        <v>5400000</v>
      </c>
      <c r="G47" s="967">
        <v>5400000</v>
      </c>
      <c r="H47" s="722">
        <v>0</v>
      </c>
      <c r="I47" s="722">
        <v>0</v>
      </c>
      <c r="J47" s="870">
        <v>5400000</v>
      </c>
      <c r="K47" s="967">
        <v>1152568</v>
      </c>
      <c r="L47" s="722">
        <v>0</v>
      </c>
      <c r="M47" s="722">
        <v>0</v>
      </c>
      <c r="N47" s="870">
        <f t="shared" si="4"/>
        <v>1152568</v>
      </c>
      <c r="O47" s="967"/>
      <c r="P47" s="722">
        <v>0</v>
      </c>
      <c r="Q47" s="722">
        <v>0</v>
      </c>
      <c r="R47" s="964">
        <f t="shared" si="5"/>
        <v>0</v>
      </c>
      <c r="S47" s="538"/>
    </row>
    <row r="48" spans="1:19" x14ac:dyDescent="0.35">
      <c r="A48" s="527"/>
      <c r="B48" s="851" t="s">
        <v>503</v>
      </c>
      <c r="C48" s="967">
        <v>14000000</v>
      </c>
      <c r="D48" s="722">
        <v>0</v>
      </c>
      <c r="E48" s="722">
        <v>0</v>
      </c>
      <c r="F48" s="870">
        <v>14000000</v>
      </c>
      <c r="G48" s="967">
        <v>14000000</v>
      </c>
      <c r="H48" s="722">
        <v>0</v>
      </c>
      <c r="I48" s="722">
        <v>0</v>
      </c>
      <c r="J48" s="870">
        <v>14000000</v>
      </c>
      <c r="K48" s="967">
        <v>10418113</v>
      </c>
      <c r="L48" s="722">
        <v>0</v>
      </c>
      <c r="M48" s="722">
        <v>0</v>
      </c>
      <c r="N48" s="870">
        <f t="shared" si="4"/>
        <v>10418113</v>
      </c>
      <c r="O48" s="967"/>
      <c r="P48" s="722">
        <v>0</v>
      </c>
      <c r="Q48" s="722">
        <v>0</v>
      </c>
      <c r="R48" s="964">
        <f t="shared" si="5"/>
        <v>0</v>
      </c>
      <c r="S48" s="538"/>
    </row>
    <row r="49" spans="1:19" x14ac:dyDescent="0.35">
      <c r="A49" s="527"/>
      <c r="B49" s="814" t="s">
        <v>504</v>
      </c>
      <c r="C49" s="871">
        <v>2000000</v>
      </c>
      <c r="D49" s="530">
        <v>28848000</v>
      </c>
      <c r="E49" s="530">
        <v>0</v>
      </c>
      <c r="F49" s="872">
        <v>30848000</v>
      </c>
      <c r="G49" s="871">
        <v>2000000</v>
      </c>
      <c r="H49" s="530">
        <v>28848000</v>
      </c>
      <c r="I49" s="530">
        <v>0</v>
      </c>
      <c r="J49" s="872">
        <v>30848000</v>
      </c>
      <c r="K49" s="871">
        <f>SUM(K50:K52)</f>
        <v>0</v>
      </c>
      <c r="L49" s="530">
        <f>SUM(L50:L52)</f>
        <v>14423774</v>
      </c>
      <c r="M49" s="530">
        <f>SUM(M50:M52)</f>
        <v>0</v>
      </c>
      <c r="N49" s="872">
        <f t="shared" si="4"/>
        <v>14423774</v>
      </c>
      <c r="O49" s="965">
        <f>SUM(O50:O52)</f>
        <v>0</v>
      </c>
      <c r="P49" s="530">
        <f>SUM(P50:P52)</f>
        <v>0</v>
      </c>
      <c r="Q49" s="530">
        <f>SUM(Q50:Q52)</f>
        <v>0</v>
      </c>
      <c r="R49" s="966">
        <f t="shared" si="5"/>
        <v>0</v>
      </c>
      <c r="S49" s="538"/>
    </row>
    <row r="50" spans="1:19" x14ac:dyDescent="0.35">
      <c r="A50" s="527"/>
      <c r="B50" s="851" t="s">
        <v>505</v>
      </c>
      <c r="C50" s="963"/>
      <c r="D50" s="722"/>
      <c r="E50" s="722">
        <v>0</v>
      </c>
      <c r="F50" s="870">
        <v>0</v>
      </c>
      <c r="G50" s="963"/>
      <c r="H50" s="722"/>
      <c r="I50" s="722">
        <v>0</v>
      </c>
      <c r="J50" s="870">
        <v>0</v>
      </c>
      <c r="K50" s="963"/>
      <c r="L50" s="722"/>
      <c r="M50" s="722">
        <v>0</v>
      </c>
      <c r="N50" s="870">
        <f t="shared" si="4"/>
        <v>0</v>
      </c>
      <c r="O50" s="963"/>
      <c r="P50" s="722"/>
      <c r="Q50" s="722">
        <v>0</v>
      </c>
      <c r="R50" s="964">
        <f t="shared" si="5"/>
        <v>0</v>
      </c>
      <c r="S50" s="538"/>
    </row>
    <row r="51" spans="1:19" x14ac:dyDescent="0.35">
      <c r="A51" s="527"/>
      <c r="B51" s="851" t="s">
        <v>506</v>
      </c>
      <c r="C51" s="963">
        <v>0</v>
      </c>
      <c r="D51" s="722">
        <v>28848000</v>
      </c>
      <c r="E51" s="722">
        <v>0</v>
      </c>
      <c r="F51" s="870">
        <v>28848000</v>
      </c>
      <c r="G51" s="963">
        <v>0</v>
      </c>
      <c r="H51" s="722">
        <v>28848000</v>
      </c>
      <c r="I51" s="722">
        <v>0</v>
      </c>
      <c r="J51" s="870">
        <v>28848000</v>
      </c>
      <c r="K51" s="963">
        <v>0</v>
      </c>
      <c r="L51" s="722">
        <f>2*7211887</f>
        <v>14423774</v>
      </c>
      <c r="M51" s="722">
        <v>0</v>
      </c>
      <c r="N51" s="870">
        <f t="shared" si="4"/>
        <v>14423774</v>
      </c>
      <c r="O51" s="963">
        <v>0</v>
      </c>
      <c r="P51" s="722"/>
      <c r="Q51" s="722">
        <v>0</v>
      </c>
      <c r="R51" s="964">
        <f t="shared" si="5"/>
        <v>0</v>
      </c>
      <c r="S51" s="538"/>
    </row>
    <row r="52" spans="1:19" x14ac:dyDescent="0.35">
      <c r="A52" s="527"/>
      <c r="B52" s="851" t="s">
        <v>409</v>
      </c>
      <c r="C52" s="963">
        <v>2000000</v>
      </c>
      <c r="D52" s="722">
        <v>0</v>
      </c>
      <c r="E52" s="722">
        <v>0</v>
      </c>
      <c r="F52" s="870">
        <v>2000000</v>
      </c>
      <c r="G52" s="963">
        <v>2000000</v>
      </c>
      <c r="H52" s="722">
        <v>0</v>
      </c>
      <c r="I52" s="722">
        <v>0</v>
      </c>
      <c r="J52" s="870">
        <v>2000000</v>
      </c>
      <c r="K52" s="963"/>
      <c r="L52" s="722">
        <v>0</v>
      </c>
      <c r="M52" s="722">
        <v>0</v>
      </c>
      <c r="N52" s="870">
        <f t="shared" si="4"/>
        <v>0</v>
      </c>
      <c r="O52" s="963"/>
      <c r="P52" s="722">
        <v>0</v>
      </c>
      <c r="Q52" s="722">
        <v>0</v>
      </c>
      <c r="R52" s="964">
        <f t="shared" si="5"/>
        <v>0</v>
      </c>
      <c r="S52" s="538"/>
    </row>
    <row r="53" spans="1:19" x14ac:dyDescent="0.35">
      <c r="A53" s="527"/>
      <c r="B53" s="814" t="s">
        <v>507</v>
      </c>
      <c r="C53" s="871">
        <v>0</v>
      </c>
      <c r="D53" s="530">
        <v>0</v>
      </c>
      <c r="E53" s="530">
        <v>0</v>
      </c>
      <c r="F53" s="872">
        <v>0</v>
      </c>
      <c r="G53" s="871">
        <v>0</v>
      </c>
      <c r="H53" s="530">
        <v>0</v>
      </c>
      <c r="I53" s="530">
        <v>0</v>
      </c>
      <c r="J53" s="872">
        <v>0</v>
      </c>
      <c r="K53" s="871">
        <v>0</v>
      </c>
      <c r="L53" s="530">
        <v>0</v>
      </c>
      <c r="M53" s="530">
        <v>0</v>
      </c>
      <c r="N53" s="872">
        <f t="shared" si="4"/>
        <v>0</v>
      </c>
      <c r="O53" s="965">
        <v>0</v>
      </c>
      <c r="P53" s="530">
        <v>0</v>
      </c>
      <c r="Q53" s="530">
        <v>0</v>
      </c>
      <c r="R53" s="966">
        <f t="shared" si="5"/>
        <v>0</v>
      </c>
      <c r="S53" s="538"/>
    </row>
    <row r="54" spans="1:19" x14ac:dyDescent="0.35">
      <c r="A54" s="527"/>
      <c r="B54" s="814" t="s">
        <v>508</v>
      </c>
      <c r="C54" s="871">
        <v>0</v>
      </c>
      <c r="D54" s="530">
        <v>7788960</v>
      </c>
      <c r="E54" s="530">
        <v>0</v>
      </c>
      <c r="F54" s="872">
        <v>7788960</v>
      </c>
      <c r="G54" s="871">
        <v>0</v>
      </c>
      <c r="H54" s="530">
        <v>7788960</v>
      </c>
      <c r="I54" s="530">
        <v>0</v>
      </c>
      <c r="J54" s="872">
        <v>7788960</v>
      </c>
      <c r="K54" s="871">
        <v>0</v>
      </c>
      <c r="L54" s="530">
        <v>6966116</v>
      </c>
      <c r="M54" s="530">
        <f>ROUND(M51*0.27,0)</f>
        <v>0</v>
      </c>
      <c r="N54" s="872">
        <f t="shared" si="4"/>
        <v>6966116</v>
      </c>
      <c r="O54" s="965">
        <f>ROUND(O51*0.27,0)</f>
        <v>0</v>
      </c>
      <c r="P54" s="530">
        <f>ROUND(P51*0.27,0)</f>
        <v>0</v>
      </c>
      <c r="Q54" s="530">
        <f>ROUND(Q51*0.27,0)</f>
        <v>0</v>
      </c>
      <c r="R54" s="966">
        <f t="shared" si="5"/>
        <v>0</v>
      </c>
      <c r="S54" s="538"/>
    </row>
    <row r="55" spans="1:19" x14ac:dyDescent="0.35">
      <c r="A55" s="527"/>
      <c r="B55" s="814" t="s">
        <v>509</v>
      </c>
      <c r="C55" s="871">
        <v>0</v>
      </c>
      <c r="D55" s="530">
        <v>0</v>
      </c>
      <c r="E55" s="530">
        <v>0</v>
      </c>
      <c r="F55" s="872">
        <v>0</v>
      </c>
      <c r="G55" s="871">
        <v>0</v>
      </c>
      <c r="H55" s="530">
        <v>0</v>
      </c>
      <c r="I55" s="530">
        <v>0</v>
      </c>
      <c r="J55" s="872">
        <v>0</v>
      </c>
      <c r="K55" s="871">
        <v>0</v>
      </c>
      <c r="L55" s="530">
        <v>0</v>
      </c>
      <c r="M55" s="530">
        <v>0</v>
      </c>
      <c r="N55" s="872">
        <f t="shared" si="4"/>
        <v>0</v>
      </c>
      <c r="O55" s="965">
        <v>0</v>
      </c>
      <c r="P55" s="530">
        <v>0</v>
      </c>
      <c r="Q55" s="530">
        <v>0</v>
      </c>
      <c r="R55" s="966">
        <f t="shared" si="5"/>
        <v>0</v>
      </c>
      <c r="S55" s="538"/>
    </row>
    <row r="56" spans="1:19" x14ac:dyDescent="0.35">
      <c r="A56" s="527"/>
      <c r="B56" s="814" t="s">
        <v>510</v>
      </c>
      <c r="C56" s="871"/>
      <c r="D56" s="530">
        <v>0</v>
      </c>
      <c r="E56" s="530">
        <v>0</v>
      </c>
      <c r="F56" s="872">
        <v>0</v>
      </c>
      <c r="G56" s="871"/>
      <c r="H56" s="530">
        <v>0</v>
      </c>
      <c r="I56" s="530">
        <v>0</v>
      </c>
      <c r="J56" s="872">
        <v>0</v>
      </c>
      <c r="K56" s="871"/>
      <c r="L56" s="530">
        <v>0</v>
      </c>
      <c r="M56" s="530">
        <v>0</v>
      </c>
      <c r="N56" s="872">
        <f t="shared" si="4"/>
        <v>0</v>
      </c>
      <c r="O56" s="965"/>
      <c r="P56" s="530">
        <v>0</v>
      </c>
      <c r="Q56" s="530">
        <v>0</v>
      </c>
      <c r="R56" s="966">
        <f t="shared" si="5"/>
        <v>0</v>
      </c>
      <c r="S56" s="538"/>
    </row>
    <row r="57" spans="1:19" x14ac:dyDescent="0.35">
      <c r="A57" s="527"/>
      <c r="B57" s="814" t="s">
        <v>511</v>
      </c>
      <c r="C57" s="871">
        <v>4000000</v>
      </c>
      <c r="D57" s="530">
        <v>0</v>
      </c>
      <c r="E57" s="530">
        <v>0</v>
      </c>
      <c r="F57" s="872">
        <v>4000000</v>
      </c>
      <c r="G57" s="871">
        <v>4000000</v>
      </c>
      <c r="H57" s="530">
        <v>0</v>
      </c>
      <c r="I57" s="530">
        <v>0</v>
      </c>
      <c r="J57" s="872">
        <v>4000000</v>
      </c>
      <c r="K57" s="871">
        <v>3092763</v>
      </c>
      <c r="L57" s="530">
        <v>0</v>
      </c>
      <c r="M57" s="530">
        <v>0</v>
      </c>
      <c r="N57" s="872">
        <f t="shared" si="4"/>
        <v>3092763</v>
      </c>
      <c r="O57" s="965"/>
      <c r="P57" s="530">
        <v>0</v>
      </c>
      <c r="Q57" s="530">
        <v>0</v>
      </c>
      <c r="R57" s="966">
        <f t="shared" si="5"/>
        <v>0</v>
      </c>
      <c r="S57" s="538"/>
    </row>
    <row r="58" spans="1:19" x14ac:dyDescent="0.35">
      <c r="A58" s="525" t="s">
        <v>336</v>
      </c>
      <c r="B58" s="850" t="s">
        <v>316</v>
      </c>
      <c r="C58" s="862">
        <v>0</v>
      </c>
      <c r="D58" s="526">
        <v>0</v>
      </c>
      <c r="E58" s="526">
        <v>0</v>
      </c>
      <c r="F58" s="863">
        <v>0</v>
      </c>
      <c r="G58" s="862">
        <v>0</v>
      </c>
      <c r="H58" s="526">
        <v>0</v>
      </c>
      <c r="I58" s="526">
        <v>0</v>
      </c>
      <c r="J58" s="863">
        <v>0</v>
      </c>
      <c r="K58" s="862">
        <f>K59+K60</f>
        <v>2761717</v>
      </c>
      <c r="L58" s="526">
        <f>L59+L60</f>
        <v>0</v>
      </c>
      <c r="M58" s="526">
        <f>M59+M60</f>
        <v>0</v>
      </c>
      <c r="N58" s="863">
        <f t="shared" si="4"/>
        <v>2761717</v>
      </c>
      <c r="O58" s="957">
        <f>O59+O60</f>
        <v>0</v>
      </c>
      <c r="P58" s="526">
        <f>P59+P60</f>
        <v>0</v>
      </c>
      <c r="Q58" s="526">
        <f>Q59+Q60</f>
        <v>0</v>
      </c>
      <c r="R58" s="958">
        <f t="shared" si="5"/>
        <v>0</v>
      </c>
      <c r="S58" s="538"/>
    </row>
    <row r="59" spans="1:19" ht="29" x14ac:dyDescent="0.35">
      <c r="A59" s="527"/>
      <c r="B59" s="814" t="s">
        <v>512</v>
      </c>
      <c r="C59" s="871">
        <v>0</v>
      </c>
      <c r="D59" s="530">
        <v>0</v>
      </c>
      <c r="E59" s="530">
        <v>0</v>
      </c>
      <c r="F59" s="872">
        <v>0</v>
      </c>
      <c r="G59" s="871">
        <v>0</v>
      </c>
      <c r="H59" s="530">
        <v>0</v>
      </c>
      <c r="I59" s="530">
        <v>0</v>
      </c>
      <c r="J59" s="872">
        <v>0</v>
      </c>
      <c r="K59" s="871">
        <v>0</v>
      </c>
      <c r="L59" s="530">
        <v>0</v>
      </c>
      <c r="M59" s="530">
        <v>0</v>
      </c>
      <c r="N59" s="872">
        <f t="shared" si="4"/>
        <v>0</v>
      </c>
      <c r="O59" s="965">
        <v>0</v>
      </c>
      <c r="P59" s="530">
        <v>0</v>
      </c>
      <c r="Q59" s="530">
        <v>0</v>
      </c>
      <c r="R59" s="966">
        <f t="shared" si="5"/>
        <v>0</v>
      </c>
      <c r="S59" s="538"/>
    </row>
    <row r="60" spans="1:19" x14ac:dyDescent="0.35">
      <c r="A60" s="527"/>
      <c r="B60" s="814" t="s">
        <v>513</v>
      </c>
      <c r="C60" s="871">
        <v>0</v>
      </c>
      <c r="D60" s="530">
        <v>0</v>
      </c>
      <c r="E60" s="530">
        <v>0</v>
      </c>
      <c r="F60" s="872">
        <v>0</v>
      </c>
      <c r="G60" s="871">
        <v>0</v>
      </c>
      <c r="H60" s="530">
        <v>0</v>
      </c>
      <c r="I60" s="530">
        <v>0</v>
      </c>
      <c r="J60" s="872">
        <v>0</v>
      </c>
      <c r="K60" s="871">
        <v>2761717</v>
      </c>
      <c r="L60" s="530">
        <f>SUM(L61:L63)</f>
        <v>0</v>
      </c>
      <c r="M60" s="530">
        <v>0</v>
      </c>
      <c r="N60" s="872">
        <f t="shared" si="4"/>
        <v>2761717</v>
      </c>
      <c r="O60" s="965"/>
      <c r="P60" s="530">
        <f>SUM(P61:P63)</f>
        <v>0</v>
      </c>
      <c r="Q60" s="530">
        <v>0</v>
      </c>
      <c r="R60" s="966">
        <f>SUM(R61:R63)</f>
        <v>0</v>
      </c>
      <c r="S60" s="538"/>
    </row>
    <row r="61" spans="1:19" ht="15" hidden="1" customHeight="1" x14ac:dyDescent="0.35">
      <c r="A61" s="527"/>
      <c r="B61" s="851" t="s">
        <v>1313</v>
      </c>
      <c r="C61" s="869"/>
      <c r="D61" s="722"/>
      <c r="E61" s="722"/>
      <c r="F61" s="870">
        <v>0</v>
      </c>
      <c r="G61" s="869"/>
      <c r="H61" s="722"/>
      <c r="I61" s="722"/>
      <c r="J61" s="870">
        <v>0</v>
      </c>
      <c r="K61" s="869"/>
      <c r="L61" s="722"/>
      <c r="M61" s="722"/>
      <c r="N61" s="946">
        <f t="shared" ref="N61:N63" si="6">SUM(K61:M61)</f>
        <v>0</v>
      </c>
      <c r="O61" s="963"/>
      <c r="P61" s="722"/>
      <c r="Q61" s="722"/>
      <c r="R61" s="964">
        <f t="shared" ref="R61:R63" si="7">SUM(O61:Q61)</f>
        <v>0</v>
      </c>
      <c r="S61" s="538"/>
    </row>
    <row r="62" spans="1:19" ht="15" hidden="1" customHeight="1" x14ac:dyDescent="0.35">
      <c r="A62" s="527"/>
      <c r="B62" s="851"/>
      <c r="C62" s="869"/>
      <c r="D62" s="722">
        <v>0</v>
      </c>
      <c r="E62" s="722"/>
      <c r="F62" s="870">
        <v>0</v>
      </c>
      <c r="G62" s="869"/>
      <c r="H62" s="722">
        <v>0</v>
      </c>
      <c r="I62" s="722"/>
      <c r="J62" s="870">
        <v>0</v>
      </c>
      <c r="K62" s="869"/>
      <c r="L62" s="722">
        <v>0</v>
      </c>
      <c r="M62" s="722"/>
      <c r="N62" s="946">
        <f t="shared" si="6"/>
        <v>0</v>
      </c>
      <c r="O62" s="963"/>
      <c r="P62" s="722">
        <v>0</v>
      </c>
      <c r="Q62" s="722"/>
      <c r="R62" s="964">
        <f t="shared" si="7"/>
        <v>0</v>
      </c>
      <c r="S62" s="538"/>
    </row>
    <row r="63" spans="1:19" ht="15" hidden="1" customHeight="1" x14ac:dyDescent="0.35">
      <c r="A63" s="527"/>
      <c r="B63" s="851"/>
      <c r="C63" s="869"/>
      <c r="D63" s="722">
        <v>0</v>
      </c>
      <c r="E63" s="722"/>
      <c r="F63" s="870">
        <v>0</v>
      </c>
      <c r="G63" s="869"/>
      <c r="H63" s="722">
        <v>0</v>
      </c>
      <c r="I63" s="722"/>
      <c r="J63" s="870">
        <v>0</v>
      </c>
      <c r="K63" s="869"/>
      <c r="L63" s="722">
        <v>0</v>
      </c>
      <c r="M63" s="722"/>
      <c r="N63" s="946">
        <f t="shared" si="6"/>
        <v>0</v>
      </c>
      <c r="O63" s="963"/>
      <c r="P63" s="722">
        <v>0</v>
      </c>
      <c r="Q63" s="722"/>
      <c r="R63" s="964">
        <f t="shared" si="7"/>
        <v>0</v>
      </c>
      <c r="S63" s="538"/>
    </row>
    <row r="64" spans="1:19" ht="15" hidden="1" customHeight="1" x14ac:dyDescent="0.35">
      <c r="A64" s="527"/>
      <c r="B64" s="851"/>
      <c r="C64" s="869"/>
      <c r="D64" s="722"/>
      <c r="E64" s="722"/>
      <c r="F64" s="870"/>
      <c r="G64" s="869"/>
      <c r="H64" s="722"/>
      <c r="I64" s="722"/>
      <c r="J64" s="870"/>
      <c r="K64" s="869"/>
      <c r="L64" s="722"/>
      <c r="M64" s="722"/>
      <c r="N64" s="946"/>
      <c r="O64" s="963"/>
      <c r="P64" s="722"/>
      <c r="Q64" s="722"/>
      <c r="R64" s="964"/>
      <c r="S64" s="538"/>
    </row>
    <row r="65" spans="1:19" x14ac:dyDescent="0.35">
      <c r="A65" s="523" t="s">
        <v>318</v>
      </c>
      <c r="B65" s="849" t="s">
        <v>319</v>
      </c>
      <c r="C65" s="860">
        <v>100000000</v>
      </c>
      <c r="D65" s="524">
        <v>901655</v>
      </c>
      <c r="E65" s="524">
        <v>0</v>
      </c>
      <c r="F65" s="861">
        <v>100901655</v>
      </c>
      <c r="G65" s="860">
        <v>100000000</v>
      </c>
      <c r="H65" s="524">
        <v>901655</v>
      </c>
      <c r="I65" s="524">
        <v>0</v>
      </c>
      <c r="J65" s="861">
        <v>100901655</v>
      </c>
      <c r="K65" s="860">
        <f>K66+K70+K78</f>
        <v>0</v>
      </c>
      <c r="L65" s="524">
        <f>L66+L70+L78</f>
        <v>12761153</v>
      </c>
      <c r="M65" s="524">
        <f>M66+M70+M78</f>
        <v>0</v>
      </c>
      <c r="N65" s="861">
        <f t="shared" ref="N65:N77" si="8">SUM(K65:M65)</f>
        <v>12761153</v>
      </c>
      <c r="O65" s="955">
        <f>O66+O70+O78</f>
        <v>0</v>
      </c>
      <c r="P65" s="524">
        <f>P66+P70+P78</f>
        <v>0</v>
      </c>
      <c r="Q65" s="524">
        <f>Q66+Q70+Q78</f>
        <v>0</v>
      </c>
      <c r="R65" s="956">
        <f t="shared" ref="R65:R77" si="9">SUM(O65:Q65)</f>
        <v>0</v>
      </c>
      <c r="S65" s="538"/>
    </row>
    <row r="66" spans="1:19" x14ac:dyDescent="0.35">
      <c r="A66" s="525" t="s">
        <v>311</v>
      </c>
      <c r="B66" s="850" t="s">
        <v>320</v>
      </c>
      <c r="C66" s="862">
        <v>0</v>
      </c>
      <c r="D66" s="647">
        <v>0</v>
      </c>
      <c r="E66" s="526">
        <v>0</v>
      </c>
      <c r="F66" s="873">
        <v>0</v>
      </c>
      <c r="G66" s="862">
        <v>0</v>
      </c>
      <c r="H66" s="647">
        <v>0</v>
      </c>
      <c r="I66" s="526">
        <v>0</v>
      </c>
      <c r="J66" s="873">
        <v>0</v>
      </c>
      <c r="K66" s="862">
        <f>K67+K68+K69</f>
        <v>0</v>
      </c>
      <c r="L66" s="647">
        <f>L67+L68+L69</f>
        <v>0</v>
      </c>
      <c r="M66" s="526">
        <f>M67+M68+M69</f>
        <v>0</v>
      </c>
      <c r="N66" s="873">
        <f t="shared" si="8"/>
        <v>0</v>
      </c>
      <c r="O66" s="957">
        <f>O67+O68+O69</f>
        <v>0</v>
      </c>
      <c r="P66" s="647">
        <f>P67+P68+P69</f>
        <v>0</v>
      </c>
      <c r="Q66" s="526">
        <f>Q67+Q68+Q69</f>
        <v>0</v>
      </c>
      <c r="R66" s="968">
        <f t="shared" si="9"/>
        <v>0</v>
      </c>
      <c r="S66" s="538"/>
    </row>
    <row r="67" spans="1:19" x14ac:dyDescent="0.35">
      <c r="A67" s="527"/>
      <c r="B67" s="853" t="s">
        <v>514</v>
      </c>
      <c r="C67" s="871"/>
      <c r="D67" s="532">
        <v>0</v>
      </c>
      <c r="E67" s="530">
        <v>0</v>
      </c>
      <c r="F67" s="874">
        <v>0</v>
      </c>
      <c r="G67" s="871"/>
      <c r="H67" s="532">
        <v>0</v>
      </c>
      <c r="I67" s="530">
        <v>0</v>
      </c>
      <c r="J67" s="874">
        <v>0</v>
      </c>
      <c r="K67" s="871"/>
      <c r="L67" s="532">
        <v>0</v>
      </c>
      <c r="M67" s="530">
        <v>0</v>
      </c>
      <c r="N67" s="874">
        <f t="shared" si="8"/>
        <v>0</v>
      </c>
      <c r="O67" s="965"/>
      <c r="P67" s="532">
        <v>0</v>
      </c>
      <c r="Q67" s="530">
        <v>0</v>
      </c>
      <c r="R67" s="969">
        <f t="shared" si="9"/>
        <v>0</v>
      </c>
      <c r="S67" s="538"/>
    </row>
    <row r="68" spans="1:19" x14ac:dyDescent="0.35">
      <c r="A68" s="527"/>
      <c r="B68" s="853" t="s">
        <v>515</v>
      </c>
      <c r="C68" s="871">
        <v>0</v>
      </c>
      <c r="D68" s="532">
        <v>0</v>
      </c>
      <c r="E68" s="530">
        <v>0</v>
      </c>
      <c r="F68" s="874">
        <v>0</v>
      </c>
      <c r="G68" s="871">
        <v>0</v>
      </c>
      <c r="H68" s="532">
        <v>0</v>
      </c>
      <c r="I68" s="530">
        <v>0</v>
      </c>
      <c r="J68" s="874">
        <v>0</v>
      </c>
      <c r="K68" s="871">
        <v>0</v>
      </c>
      <c r="L68" s="532">
        <v>0</v>
      </c>
      <c r="M68" s="530">
        <v>0</v>
      </c>
      <c r="N68" s="874">
        <f t="shared" si="8"/>
        <v>0</v>
      </c>
      <c r="O68" s="965">
        <v>0</v>
      </c>
      <c r="P68" s="532">
        <v>0</v>
      </c>
      <c r="Q68" s="530">
        <v>0</v>
      </c>
      <c r="R68" s="969">
        <f t="shared" si="9"/>
        <v>0</v>
      </c>
      <c r="S68" s="538"/>
    </row>
    <row r="69" spans="1:19" x14ac:dyDescent="0.35">
      <c r="A69" s="527"/>
      <c r="B69" s="853" t="s">
        <v>516</v>
      </c>
      <c r="C69" s="871">
        <v>0</v>
      </c>
      <c r="D69" s="532">
        <v>0</v>
      </c>
      <c r="E69" s="530">
        <v>0</v>
      </c>
      <c r="F69" s="874">
        <v>0</v>
      </c>
      <c r="G69" s="871">
        <v>0</v>
      </c>
      <c r="H69" s="532">
        <v>0</v>
      </c>
      <c r="I69" s="530">
        <v>0</v>
      </c>
      <c r="J69" s="874">
        <v>0</v>
      </c>
      <c r="K69" s="871">
        <v>0</v>
      </c>
      <c r="L69" s="532">
        <v>0</v>
      </c>
      <c r="M69" s="530">
        <v>0</v>
      </c>
      <c r="N69" s="874">
        <f t="shared" si="8"/>
        <v>0</v>
      </c>
      <c r="O69" s="970"/>
      <c r="P69" s="532">
        <v>0</v>
      </c>
      <c r="Q69" s="530">
        <v>0</v>
      </c>
      <c r="R69" s="969">
        <f t="shared" si="9"/>
        <v>0</v>
      </c>
      <c r="S69" s="538"/>
    </row>
    <row r="70" spans="1:19" x14ac:dyDescent="0.35">
      <c r="A70" s="525" t="s">
        <v>322</v>
      </c>
      <c r="B70" s="850" t="s">
        <v>257</v>
      </c>
      <c r="C70" s="862">
        <v>100000000</v>
      </c>
      <c r="D70" s="526">
        <v>0</v>
      </c>
      <c r="E70" s="526">
        <v>0</v>
      </c>
      <c r="F70" s="863">
        <v>100000000</v>
      </c>
      <c r="G70" s="862">
        <v>100000000</v>
      </c>
      <c r="H70" s="526">
        <v>0</v>
      </c>
      <c r="I70" s="526">
        <v>0</v>
      </c>
      <c r="J70" s="863">
        <v>100000000</v>
      </c>
      <c r="K70" s="862">
        <f>K71+K72+K76+K77</f>
        <v>0</v>
      </c>
      <c r="L70" s="526">
        <f>L71+L72+L76+L77</f>
        <v>822270</v>
      </c>
      <c r="M70" s="526">
        <f>M71+M72+M76+M77</f>
        <v>0</v>
      </c>
      <c r="N70" s="863">
        <f t="shared" si="8"/>
        <v>822270</v>
      </c>
      <c r="O70" s="957">
        <f>O71+O72+O76+O77</f>
        <v>0</v>
      </c>
      <c r="P70" s="526">
        <f>P71+P72+P76+P77</f>
        <v>0</v>
      </c>
      <c r="Q70" s="526">
        <f>Q71+Q72+Q76+Q77</f>
        <v>0</v>
      </c>
      <c r="R70" s="958">
        <f t="shared" si="9"/>
        <v>0</v>
      </c>
      <c r="S70" s="538"/>
    </row>
    <row r="71" spans="1:19" x14ac:dyDescent="0.35">
      <c r="A71" s="527"/>
      <c r="B71" s="853" t="s">
        <v>323</v>
      </c>
      <c r="C71" s="871">
        <v>0</v>
      </c>
      <c r="D71" s="530">
        <v>0</v>
      </c>
      <c r="E71" s="530">
        <v>0</v>
      </c>
      <c r="F71" s="872">
        <v>0</v>
      </c>
      <c r="G71" s="871">
        <v>0</v>
      </c>
      <c r="H71" s="530">
        <v>0</v>
      </c>
      <c r="I71" s="530">
        <v>0</v>
      </c>
      <c r="J71" s="872">
        <v>0</v>
      </c>
      <c r="K71" s="871">
        <v>0</v>
      </c>
      <c r="L71" s="530">
        <v>0</v>
      </c>
      <c r="M71" s="530">
        <v>0</v>
      </c>
      <c r="N71" s="872">
        <f t="shared" si="8"/>
        <v>0</v>
      </c>
      <c r="O71" s="965">
        <v>0</v>
      </c>
      <c r="P71" s="530">
        <v>0</v>
      </c>
      <c r="Q71" s="530">
        <v>0</v>
      </c>
      <c r="R71" s="966">
        <f t="shared" si="9"/>
        <v>0</v>
      </c>
      <c r="S71" s="538"/>
    </row>
    <row r="72" spans="1:19" x14ac:dyDescent="0.35">
      <c r="A72" s="527"/>
      <c r="B72" s="853" t="s">
        <v>517</v>
      </c>
      <c r="C72" s="871">
        <v>100000000</v>
      </c>
      <c r="D72" s="530">
        <v>0</v>
      </c>
      <c r="E72" s="530">
        <v>0</v>
      </c>
      <c r="F72" s="872">
        <v>100000000</v>
      </c>
      <c r="G72" s="871">
        <v>100000000</v>
      </c>
      <c r="H72" s="530">
        <v>0</v>
      </c>
      <c r="I72" s="530">
        <v>0</v>
      </c>
      <c r="J72" s="872">
        <v>100000000</v>
      </c>
      <c r="K72" s="871">
        <f>SUM(K73:K75)</f>
        <v>0</v>
      </c>
      <c r="L72" s="530">
        <f>SUM(L73:L75)</f>
        <v>822270</v>
      </c>
      <c r="M72" s="530">
        <f>SUM(M73:M75)</f>
        <v>0</v>
      </c>
      <c r="N72" s="872">
        <f t="shared" si="8"/>
        <v>822270</v>
      </c>
      <c r="O72" s="965">
        <f>SUM(O73:O75)</f>
        <v>0</v>
      </c>
      <c r="P72" s="530">
        <f>SUM(P73:P75)</f>
        <v>0</v>
      </c>
      <c r="Q72" s="530">
        <f>SUM(Q73:Q75)</f>
        <v>0</v>
      </c>
      <c r="R72" s="966">
        <f t="shared" si="9"/>
        <v>0</v>
      </c>
      <c r="S72" s="538"/>
    </row>
    <row r="73" spans="1:19" x14ac:dyDescent="0.35">
      <c r="A73" s="527"/>
      <c r="B73" s="851" t="s">
        <v>518</v>
      </c>
      <c r="C73" s="869">
        <v>100000000</v>
      </c>
      <c r="D73" s="722"/>
      <c r="E73" s="722">
        <v>0</v>
      </c>
      <c r="F73" s="870">
        <v>100000000</v>
      </c>
      <c r="G73" s="869">
        <v>100000000</v>
      </c>
      <c r="H73" s="722"/>
      <c r="I73" s="722">
        <v>0</v>
      </c>
      <c r="J73" s="870">
        <v>100000000</v>
      </c>
      <c r="K73" s="869"/>
      <c r="L73" s="722"/>
      <c r="M73" s="722">
        <v>0</v>
      </c>
      <c r="N73" s="870">
        <f t="shared" si="8"/>
        <v>0</v>
      </c>
      <c r="O73" s="963"/>
      <c r="P73" s="722"/>
      <c r="Q73" s="722">
        <v>0</v>
      </c>
      <c r="R73" s="964">
        <f t="shared" si="9"/>
        <v>0</v>
      </c>
      <c r="S73" s="538"/>
    </row>
    <row r="74" spans="1:19" x14ac:dyDescent="0.35">
      <c r="A74" s="527"/>
      <c r="B74" s="851" t="s">
        <v>519</v>
      </c>
      <c r="C74" s="869">
        <v>0</v>
      </c>
      <c r="D74" s="722">
        <v>0</v>
      </c>
      <c r="E74" s="722">
        <v>0</v>
      </c>
      <c r="F74" s="870">
        <v>0</v>
      </c>
      <c r="G74" s="869">
        <v>0</v>
      </c>
      <c r="H74" s="722">
        <v>0</v>
      </c>
      <c r="I74" s="722">
        <v>0</v>
      </c>
      <c r="J74" s="870">
        <v>0</v>
      </c>
      <c r="K74" s="869">
        <v>0</v>
      </c>
      <c r="L74" s="722">
        <v>0</v>
      </c>
      <c r="M74" s="722">
        <v>0</v>
      </c>
      <c r="N74" s="870">
        <f t="shared" si="8"/>
        <v>0</v>
      </c>
      <c r="O74" s="963">
        <v>0</v>
      </c>
      <c r="P74" s="722">
        <v>0</v>
      </c>
      <c r="Q74" s="722">
        <v>0</v>
      </c>
      <c r="R74" s="964">
        <f t="shared" si="9"/>
        <v>0</v>
      </c>
      <c r="S74" s="538"/>
    </row>
    <row r="75" spans="1:19" x14ac:dyDescent="0.35">
      <c r="A75" s="563"/>
      <c r="B75" s="854" t="s">
        <v>520</v>
      </c>
      <c r="C75" s="875">
        <v>0</v>
      </c>
      <c r="D75" s="655"/>
      <c r="E75" s="655">
        <v>0</v>
      </c>
      <c r="F75" s="876">
        <v>0</v>
      </c>
      <c r="G75" s="875">
        <v>0</v>
      </c>
      <c r="H75" s="655"/>
      <c r="I75" s="655">
        <v>0</v>
      </c>
      <c r="J75" s="876">
        <v>0</v>
      </c>
      <c r="K75" s="875">
        <v>0</v>
      </c>
      <c r="L75" s="655">
        <v>822270</v>
      </c>
      <c r="M75" s="655">
        <v>0</v>
      </c>
      <c r="N75" s="876">
        <f t="shared" si="8"/>
        <v>822270</v>
      </c>
      <c r="O75" s="971"/>
      <c r="P75" s="655"/>
      <c r="Q75" s="655">
        <v>0</v>
      </c>
      <c r="R75" s="972">
        <f t="shared" si="9"/>
        <v>0</v>
      </c>
      <c r="S75" s="538"/>
    </row>
    <row r="76" spans="1:19" x14ac:dyDescent="0.35">
      <c r="A76" s="527"/>
      <c r="B76" s="853" t="s">
        <v>521</v>
      </c>
      <c r="C76" s="871">
        <v>0</v>
      </c>
      <c r="D76" s="530">
        <v>0</v>
      </c>
      <c r="E76" s="530">
        <v>0</v>
      </c>
      <c r="F76" s="872">
        <v>0</v>
      </c>
      <c r="G76" s="871">
        <v>0</v>
      </c>
      <c r="H76" s="530">
        <v>0</v>
      </c>
      <c r="I76" s="530">
        <v>0</v>
      </c>
      <c r="J76" s="872">
        <v>0</v>
      </c>
      <c r="K76" s="871">
        <v>0</v>
      </c>
      <c r="L76" s="530">
        <v>0</v>
      </c>
      <c r="M76" s="530">
        <v>0</v>
      </c>
      <c r="N76" s="872">
        <f t="shared" si="8"/>
        <v>0</v>
      </c>
      <c r="O76" s="965">
        <v>0</v>
      </c>
      <c r="P76" s="530">
        <v>0</v>
      </c>
      <c r="Q76" s="530">
        <v>0</v>
      </c>
      <c r="R76" s="966">
        <f t="shared" si="9"/>
        <v>0</v>
      </c>
      <c r="S76" s="538"/>
    </row>
    <row r="77" spans="1:19" x14ac:dyDescent="0.35">
      <c r="A77" s="527"/>
      <c r="B77" s="853" t="s">
        <v>522</v>
      </c>
      <c r="C77" s="871">
        <v>0</v>
      </c>
      <c r="D77" s="530">
        <v>0</v>
      </c>
      <c r="E77" s="530">
        <v>0</v>
      </c>
      <c r="F77" s="872">
        <v>0</v>
      </c>
      <c r="G77" s="871">
        <v>0</v>
      </c>
      <c r="H77" s="530">
        <v>0</v>
      </c>
      <c r="I77" s="530">
        <v>0</v>
      </c>
      <c r="J77" s="872">
        <v>0</v>
      </c>
      <c r="K77" s="871">
        <v>0</v>
      </c>
      <c r="L77" s="530">
        <v>0</v>
      </c>
      <c r="M77" s="530">
        <v>0</v>
      </c>
      <c r="N77" s="872">
        <f t="shared" si="8"/>
        <v>0</v>
      </c>
      <c r="O77" s="965">
        <v>0</v>
      </c>
      <c r="P77" s="530">
        <v>0</v>
      </c>
      <c r="Q77" s="530">
        <v>0</v>
      </c>
      <c r="R77" s="966">
        <f t="shared" si="9"/>
        <v>0</v>
      </c>
      <c r="S77" s="538"/>
    </row>
    <row r="78" spans="1:19" x14ac:dyDescent="0.35">
      <c r="A78" s="525" t="s">
        <v>315</v>
      </c>
      <c r="B78" s="850" t="s">
        <v>325</v>
      </c>
      <c r="C78" s="862">
        <v>0</v>
      </c>
      <c r="D78" s="526">
        <v>901655</v>
      </c>
      <c r="E78" s="526">
        <v>0</v>
      </c>
      <c r="F78" s="863">
        <v>901655</v>
      </c>
      <c r="G78" s="862">
        <v>0</v>
      </c>
      <c r="H78" s="526">
        <v>901655</v>
      </c>
      <c r="I78" s="526">
        <v>0</v>
      </c>
      <c r="J78" s="863">
        <v>901655</v>
      </c>
      <c r="K78" s="862">
        <f>K81+K85+K79+K80+K92</f>
        <v>0</v>
      </c>
      <c r="L78" s="526">
        <f>L81+L85+L79+L80</f>
        <v>11938883</v>
      </c>
      <c r="M78" s="526">
        <f>M81+M85+M79+M80</f>
        <v>0</v>
      </c>
      <c r="N78" s="863">
        <f t="shared" ref="N78:N91" si="10">SUM(K78:M78)</f>
        <v>11938883</v>
      </c>
      <c r="O78" s="957">
        <f>O81+O85+O79+O80+O92</f>
        <v>0</v>
      </c>
      <c r="P78" s="526">
        <f>P81+P85+P79+P80</f>
        <v>0</v>
      </c>
      <c r="Q78" s="526">
        <f>Q81+Q85+Q79+Q80</f>
        <v>0</v>
      </c>
      <c r="R78" s="958">
        <f t="shared" ref="R78:R91" si="11">SUM(O78:Q78)</f>
        <v>0</v>
      </c>
      <c r="S78" s="538"/>
    </row>
    <row r="79" spans="1:19" x14ac:dyDescent="0.35">
      <c r="A79" s="527"/>
      <c r="B79" s="853" t="s">
        <v>523</v>
      </c>
      <c r="C79" s="965">
        <v>0</v>
      </c>
      <c r="D79" s="530">
        <v>0</v>
      </c>
      <c r="E79" s="530">
        <v>0</v>
      </c>
      <c r="F79" s="872">
        <v>0</v>
      </c>
      <c r="G79" s="965">
        <v>0</v>
      </c>
      <c r="H79" s="530">
        <v>0</v>
      </c>
      <c r="I79" s="530">
        <v>0</v>
      </c>
      <c r="J79" s="872">
        <v>0</v>
      </c>
      <c r="K79" s="965">
        <v>0</v>
      </c>
      <c r="L79" s="530">
        <v>0</v>
      </c>
      <c r="M79" s="530">
        <v>0</v>
      </c>
      <c r="N79" s="872">
        <f t="shared" si="10"/>
        <v>0</v>
      </c>
      <c r="O79" s="965">
        <v>0</v>
      </c>
      <c r="P79" s="530">
        <v>0</v>
      </c>
      <c r="Q79" s="530">
        <v>0</v>
      </c>
      <c r="R79" s="966">
        <f t="shared" si="11"/>
        <v>0</v>
      </c>
      <c r="S79" s="538"/>
    </row>
    <row r="80" spans="1:19" s="529" customFormat="1" ht="29" x14ac:dyDescent="0.35">
      <c r="A80" s="527"/>
      <c r="B80" s="817" t="s">
        <v>524</v>
      </c>
      <c r="C80" s="959">
        <v>0</v>
      </c>
      <c r="D80" s="528">
        <v>0</v>
      </c>
      <c r="E80" s="528">
        <v>0</v>
      </c>
      <c r="F80" s="865">
        <v>0</v>
      </c>
      <c r="G80" s="959">
        <v>0</v>
      </c>
      <c r="H80" s="528">
        <v>0</v>
      </c>
      <c r="I80" s="528">
        <v>0</v>
      </c>
      <c r="J80" s="865">
        <v>0</v>
      </c>
      <c r="K80" s="959">
        <v>0</v>
      </c>
      <c r="L80" s="528">
        <v>0</v>
      </c>
      <c r="M80" s="528">
        <v>0</v>
      </c>
      <c r="N80" s="865">
        <f t="shared" si="10"/>
        <v>0</v>
      </c>
      <c r="O80" s="959">
        <v>0</v>
      </c>
      <c r="P80" s="528">
        <v>0</v>
      </c>
      <c r="Q80" s="528">
        <v>0</v>
      </c>
      <c r="R80" s="960">
        <f t="shared" si="11"/>
        <v>0</v>
      </c>
      <c r="S80" s="538"/>
    </row>
    <row r="81" spans="1:19" x14ac:dyDescent="0.35">
      <c r="A81" s="527"/>
      <c r="B81" s="853" t="s">
        <v>525</v>
      </c>
      <c r="C81" s="965">
        <v>0</v>
      </c>
      <c r="D81" s="530">
        <v>901655</v>
      </c>
      <c r="E81" s="530">
        <v>0</v>
      </c>
      <c r="F81" s="872">
        <v>901655</v>
      </c>
      <c r="G81" s="965">
        <v>0</v>
      </c>
      <c r="H81" s="530">
        <v>901655</v>
      </c>
      <c r="I81" s="530">
        <v>0</v>
      </c>
      <c r="J81" s="872">
        <v>901655</v>
      </c>
      <c r="K81" s="965">
        <f>SUM(K82:K84)</f>
        <v>0</v>
      </c>
      <c r="L81" s="530">
        <f>+L84</f>
        <v>11938883</v>
      </c>
      <c r="M81" s="530">
        <f>SUM(M82:M84)</f>
        <v>0</v>
      </c>
      <c r="N81" s="872">
        <f t="shared" si="10"/>
        <v>11938883</v>
      </c>
      <c r="O81" s="965">
        <f>SUM(O82:O84)</f>
        <v>0</v>
      </c>
      <c r="P81" s="530">
        <f>+P84</f>
        <v>0</v>
      </c>
      <c r="Q81" s="530">
        <f>SUM(Q82:Q84)</f>
        <v>0</v>
      </c>
      <c r="R81" s="966">
        <f t="shared" si="11"/>
        <v>0</v>
      </c>
      <c r="S81" s="538"/>
    </row>
    <row r="82" spans="1:19" ht="15" customHeight="1" x14ac:dyDescent="0.35">
      <c r="A82" s="527"/>
      <c r="B82" s="851" t="s">
        <v>526</v>
      </c>
      <c r="C82" s="963">
        <v>0</v>
      </c>
      <c r="D82" s="722"/>
      <c r="E82" s="722">
        <v>0</v>
      </c>
      <c r="F82" s="870">
        <v>0</v>
      </c>
      <c r="G82" s="963">
        <v>0</v>
      </c>
      <c r="H82" s="722"/>
      <c r="I82" s="722">
        <v>0</v>
      </c>
      <c r="J82" s="870">
        <v>0</v>
      </c>
      <c r="K82" s="963">
        <v>0</v>
      </c>
      <c r="L82" s="722"/>
      <c r="M82" s="722">
        <v>0</v>
      </c>
      <c r="N82" s="870">
        <f t="shared" si="10"/>
        <v>0</v>
      </c>
      <c r="O82" s="963">
        <v>0</v>
      </c>
      <c r="P82" s="722"/>
      <c r="Q82" s="722">
        <v>0</v>
      </c>
      <c r="R82" s="964">
        <f t="shared" si="11"/>
        <v>0</v>
      </c>
      <c r="S82" s="538"/>
    </row>
    <row r="83" spans="1:19" ht="15" customHeight="1" x14ac:dyDescent="0.35">
      <c r="A83" s="527"/>
      <c r="B83" s="851" t="s">
        <v>527</v>
      </c>
      <c r="C83" s="963">
        <v>0</v>
      </c>
      <c r="D83" s="722"/>
      <c r="E83" s="722">
        <v>0</v>
      </c>
      <c r="F83" s="870">
        <v>0</v>
      </c>
      <c r="G83" s="963">
        <v>0</v>
      </c>
      <c r="H83" s="722"/>
      <c r="I83" s="722">
        <v>0</v>
      </c>
      <c r="J83" s="870">
        <v>0</v>
      </c>
      <c r="K83" s="963">
        <v>0</v>
      </c>
      <c r="L83" s="722"/>
      <c r="M83" s="722">
        <v>0</v>
      </c>
      <c r="N83" s="870">
        <f t="shared" si="10"/>
        <v>0</v>
      </c>
      <c r="O83" s="963">
        <v>0</v>
      </c>
      <c r="P83" s="722"/>
      <c r="Q83" s="722">
        <v>0</v>
      </c>
      <c r="R83" s="964">
        <f t="shared" si="11"/>
        <v>0</v>
      </c>
      <c r="S83" s="538"/>
    </row>
    <row r="84" spans="1:19" ht="30" customHeight="1" x14ac:dyDescent="0.35">
      <c r="A84" s="527"/>
      <c r="B84" s="851" t="s">
        <v>528</v>
      </c>
      <c r="C84" s="963">
        <v>0</v>
      </c>
      <c r="D84" s="722">
        <v>901655</v>
      </c>
      <c r="E84" s="722">
        <v>0</v>
      </c>
      <c r="F84" s="870">
        <v>901655</v>
      </c>
      <c r="G84" s="963">
        <v>0</v>
      </c>
      <c r="H84" s="722">
        <v>901655</v>
      </c>
      <c r="I84" s="722">
        <v>0</v>
      </c>
      <c r="J84" s="870">
        <v>901655</v>
      </c>
      <c r="K84" s="963">
        <v>0</v>
      </c>
      <c r="L84" s="722">
        <v>11938883</v>
      </c>
      <c r="M84" s="722">
        <v>0</v>
      </c>
      <c r="N84" s="870">
        <f t="shared" si="10"/>
        <v>11938883</v>
      </c>
      <c r="O84" s="963">
        <v>0</v>
      </c>
      <c r="P84" s="722"/>
      <c r="Q84" s="722">
        <v>0</v>
      </c>
      <c r="R84" s="964">
        <f t="shared" si="11"/>
        <v>0</v>
      </c>
      <c r="S84" s="538"/>
    </row>
    <row r="85" spans="1:19" x14ac:dyDescent="0.35">
      <c r="A85" s="527"/>
      <c r="B85" s="853" t="s">
        <v>529</v>
      </c>
      <c r="C85" s="965">
        <v>0</v>
      </c>
      <c r="D85" s="530">
        <v>0</v>
      </c>
      <c r="E85" s="530">
        <v>0</v>
      </c>
      <c r="F85" s="872">
        <v>0</v>
      </c>
      <c r="G85" s="965">
        <v>0</v>
      </c>
      <c r="H85" s="530">
        <v>0</v>
      </c>
      <c r="I85" s="530">
        <v>0</v>
      </c>
      <c r="J85" s="872">
        <v>0</v>
      </c>
      <c r="K85" s="965">
        <f>SUM(K86:K91)</f>
        <v>0</v>
      </c>
      <c r="L85" s="530">
        <v>0</v>
      </c>
      <c r="M85" s="530">
        <f>SUM(M86:M91)</f>
        <v>0</v>
      </c>
      <c r="N85" s="872">
        <f t="shared" si="10"/>
        <v>0</v>
      </c>
      <c r="O85" s="965">
        <f>SUM(O86:O91)</f>
        <v>0</v>
      </c>
      <c r="P85" s="530">
        <v>0</v>
      </c>
      <c r="Q85" s="530">
        <f>SUM(Q86:Q91)</f>
        <v>0</v>
      </c>
      <c r="R85" s="966">
        <f t="shared" si="11"/>
        <v>0</v>
      </c>
      <c r="S85" s="538"/>
    </row>
    <row r="86" spans="1:19" ht="15" hidden="1" customHeight="1" x14ac:dyDescent="0.35">
      <c r="A86" s="527"/>
      <c r="B86" s="851" t="s">
        <v>530</v>
      </c>
      <c r="C86" s="869"/>
      <c r="D86" s="722">
        <v>0</v>
      </c>
      <c r="E86" s="722">
        <v>0</v>
      </c>
      <c r="F86" s="870">
        <v>0</v>
      </c>
      <c r="G86" s="869"/>
      <c r="H86" s="722">
        <v>0</v>
      </c>
      <c r="I86" s="722">
        <v>0</v>
      </c>
      <c r="J86" s="870">
        <v>0</v>
      </c>
      <c r="K86" s="869"/>
      <c r="L86" s="722">
        <v>0</v>
      </c>
      <c r="M86" s="722">
        <v>0</v>
      </c>
      <c r="N86" s="870">
        <f t="shared" si="10"/>
        <v>0</v>
      </c>
      <c r="O86" s="963"/>
      <c r="P86" s="722">
        <v>0</v>
      </c>
      <c r="Q86" s="722">
        <v>0</v>
      </c>
      <c r="R86" s="964">
        <f t="shared" si="11"/>
        <v>0</v>
      </c>
      <c r="S86" s="538"/>
    </row>
    <row r="87" spans="1:19" ht="15" hidden="1" customHeight="1" x14ac:dyDescent="0.35">
      <c r="A87" s="527"/>
      <c r="B87" s="851" t="s">
        <v>531</v>
      </c>
      <c r="C87" s="869"/>
      <c r="D87" s="722">
        <v>0</v>
      </c>
      <c r="E87" s="722">
        <v>0</v>
      </c>
      <c r="F87" s="870">
        <v>0</v>
      </c>
      <c r="G87" s="869"/>
      <c r="H87" s="722">
        <v>0</v>
      </c>
      <c r="I87" s="722">
        <v>0</v>
      </c>
      <c r="J87" s="870">
        <v>0</v>
      </c>
      <c r="K87" s="869"/>
      <c r="L87" s="722">
        <v>0</v>
      </c>
      <c r="M87" s="722">
        <v>0</v>
      </c>
      <c r="N87" s="870">
        <f t="shared" si="10"/>
        <v>0</v>
      </c>
      <c r="O87" s="963"/>
      <c r="P87" s="722">
        <v>0</v>
      </c>
      <c r="Q87" s="722">
        <v>0</v>
      </c>
      <c r="R87" s="964">
        <f t="shared" si="11"/>
        <v>0</v>
      </c>
      <c r="S87" s="538"/>
    </row>
    <row r="88" spans="1:19" ht="15" hidden="1" customHeight="1" x14ac:dyDescent="0.35">
      <c r="A88" s="527"/>
      <c r="B88" s="851" t="s">
        <v>532</v>
      </c>
      <c r="C88" s="869"/>
      <c r="D88" s="722">
        <v>0</v>
      </c>
      <c r="E88" s="722">
        <v>0</v>
      </c>
      <c r="F88" s="870">
        <v>0</v>
      </c>
      <c r="G88" s="869"/>
      <c r="H88" s="722">
        <v>0</v>
      </c>
      <c r="I88" s="722">
        <v>0</v>
      </c>
      <c r="J88" s="870">
        <v>0</v>
      </c>
      <c r="K88" s="869"/>
      <c r="L88" s="722">
        <v>0</v>
      </c>
      <c r="M88" s="722">
        <v>0</v>
      </c>
      <c r="N88" s="870">
        <f t="shared" si="10"/>
        <v>0</v>
      </c>
      <c r="O88" s="963"/>
      <c r="P88" s="722">
        <v>0</v>
      </c>
      <c r="Q88" s="722">
        <v>0</v>
      </c>
      <c r="R88" s="964">
        <f t="shared" si="11"/>
        <v>0</v>
      </c>
      <c r="S88" s="538"/>
    </row>
    <row r="89" spans="1:19" ht="15" hidden="1" customHeight="1" x14ac:dyDescent="0.35">
      <c r="A89" s="527"/>
      <c r="B89" s="851" t="s">
        <v>533</v>
      </c>
      <c r="C89" s="869"/>
      <c r="D89" s="722">
        <v>0</v>
      </c>
      <c r="E89" s="722">
        <v>0</v>
      </c>
      <c r="F89" s="870">
        <v>0</v>
      </c>
      <c r="G89" s="869"/>
      <c r="H89" s="722">
        <v>0</v>
      </c>
      <c r="I89" s="722">
        <v>0</v>
      </c>
      <c r="J89" s="870">
        <v>0</v>
      </c>
      <c r="K89" s="869"/>
      <c r="L89" s="722">
        <v>0</v>
      </c>
      <c r="M89" s="722">
        <v>0</v>
      </c>
      <c r="N89" s="870">
        <f t="shared" si="10"/>
        <v>0</v>
      </c>
      <c r="O89" s="963"/>
      <c r="P89" s="722">
        <v>0</v>
      </c>
      <c r="Q89" s="722">
        <v>0</v>
      </c>
      <c r="R89" s="964">
        <f t="shared" si="11"/>
        <v>0</v>
      </c>
      <c r="S89" s="538"/>
    </row>
    <row r="90" spans="1:19" ht="15" hidden="1" customHeight="1" x14ac:dyDescent="0.35">
      <c r="A90" s="527"/>
      <c r="B90" s="851"/>
      <c r="C90" s="869"/>
      <c r="D90" s="722">
        <v>0</v>
      </c>
      <c r="E90" s="722">
        <v>0</v>
      </c>
      <c r="F90" s="870">
        <v>0</v>
      </c>
      <c r="G90" s="869"/>
      <c r="H90" s="722">
        <v>0</v>
      </c>
      <c r="I90" s="722">
        <v>0</v>
      </c>
      <c r="J90" s="870">
        <v>0</v>
      </c>
      <c r="K90" s="869"/>
      <c r="L90" s="722">
        <v>0</v>
      </c>
      <c r="M90" s="722">
        <v>0</v>
      </c>
      <c r="N90" s="870">
        <f t="shared" si="10"/>
        <v>0</v>
      </c>
      <c r="O90" s="963"/>
      <c r="P90" s="722">
        <v>0</v>
      </c>
      <c r="Q90" s="722">
        <v>0</v>
      </c>
      <c r="R90" s="964">
        <f t="shared" si="11"/>
        <v>0</v>
      </c>
      <c r="S90" s="538"/>
    </row>
    <row r="91" spans="1:19" ht="15" hidden="1" customHeight="1" x14ac:dyDescent="0.35">
      <c r="A91" s="527"/>
      <c r="B91" s="851" t="s">
        <v>1640</v>
      </c>
      <c r="C91" s="869"/>
      <c r="D91" s="722">
        <v>0</v>
      </c>
      <c r="E91" s="722">
        <v>0</v>
      </c>
      <c r="F91" s="870">
        <v>0</v>
      </c>
      <c r="G91" s="869"/>
      <c r="H91" s="722">
        <v>0</v>
      </c>
      <c r="I91" s="722">
        <v>0</v>
      </c>
      <c r="J91" s="870">
        <v>0</v>
      </c>
      <c r="K91" s="869"/>
      <c r="L91" s="722">
        <v>0</v>
      </c>
      <c r="M91" s="722">
        <v>0</v>
      </c>
      <c r="N91" s="870">
        <f t="shared" si="10"/>
        <v>0</v>
      </c>
      <c r="O91" s="963"/>
      <c r="P91" s="722">
        <v>0</v>
      </c>
      <c r="Q91" s="722">
        <v>0</v>
      </c>
      <c r="R91" s="964">
        <f t="shared" si="11"/>
        <v>0</v>
      </c>
      <c r="S91" s="538"/>
    </row>
    <row r="92" spans="1:19" s="45" customFormat="1" ht="29" hidden="1" x14ac:dyDescent="0.35">
      <c r="A92" s="608"/>
      <c r="B92" s="855" t="s">
        <v>1427</v>
      </c>
      <c r="C92" s="871"/>
      <c r="D92" s="530"/>
      <c r="E92" s="530"/>
      <c r="F92" s="872"/>
      <c r="G92" s="871"/>
      <c r="H92" s="530"/>
      <c r="I92" s="530"/>
      <c r="J92" s="872"/>
      <c r="K92" s="871"/>
      <c r="L92" s="530"/>
      <c r="M92" s="530"/>
      <c r="N92" s="872"/>
      <c r="O92" s="965"/>
      <c r="P92" s="530"/>
      <c r="Q92" s="530"/>
      <c r="R92" s="966"/>
      <c r="S92" s="538"/>
    </row>
    <row r="93" spans="1:19" ht="15" hidden="1" customHeight="1" x14ac:dyDescent="0.35">
      <c r="A93" s="527"/>
      <c r="B93" s="851" t="s">
        <v>1428</v>
      </c>
      <c r="C93" s="869"/>
      <c r="D93" s="722"/>
      <c r="E93" s="722"/>
      <c r="F93" s="870"/>
      <c r="G93" s="869"/>
      <c r="H93" s="722"/>
      <c r="I93" s="722"/>
      <c r="J93" s="870"/>
      <c r="K93" s="869"/>
      <c r="L93" s="722"/>
      <c r="M93" s="722"/>
      <c r="N93" s="870"/>
      <c r="O93" s="963"/>
      <c r="P93" s="722"/>
      <c r="Q93" s="722"/>
      <c r="R93" s="964"/>
      <c r="S93" s="538"/>
    </row>
    <row r="94" spans="1:19" x14ac:dyDescent="0.35">
      <c r="A94" s="533"/>
      <c r="B94" s="856" t="s">
        <v>327</v>
      </c>
      <c r="C94" s="838">
        <v>4387848560</v>
      </c>
      <c r="D94" s="534">
        <v>50138615</v>
      </c>
      <c r="E94" s="534">
        <v>0</v>
      </c>
      <c r="F94" s="877">
        <v>4437987175</v>
      </c>
      <c r="G94" s="838">
        <v>4882681659</v>
      </c>
      <c r="H94" s="534">
        <v>50138615</v>
      </c>
      <c r="I94" s="534">
        <v>0</v>
      </c>
      <c r="J94" s="877">
        <v>4932820274</v>
      </c>
      <c r="K94" s="838">
        <f>K5+K65</f>
        <v>2907257234</v>
      </c>
      <c r="L94" s="534">
        <f>L5+L65</f>
        <v>34151043</v>
      </c>
      <c r="M94" s="534">
        <f>M5+M65</f>
        <v>0</v>
      </c>
      <c r="N94" s="877">
        <f t="shared" ref="N94:N96" si="12">SUM(K94:M94)</f>
        <v>2941408277</v>
      </c>
      <c r="O94" s="973">
        <f>O5+O65</f>
        <v>0</v>
      </c>
      <c r="P94" s="534">
        <f>P5+P65</f>
        <v>0</v>
      </c>
      <c r="Q94" s="534">
        <f>Q5+Q65</f>
        <v>0</v>
      </c>
      <c r="R94" s="974">
        <f>SUM(O94:Q94)</f>
        <v>0</v>
      </c>
      <c r="S94" s="538"/>
    </row>
    <row r="95" spans="1:19" x14ac:dyDescent="0.35">
      <c r="A95" s="523" t="s">
        <v>328</v>
      </c>
      <c r="B95" s="849" t="s">
        <v>329</v>
      </c>
      <c r="C95" s="860">
        <v>1650000000</v>
      </c>
      <c r="D95" s="524">
        <v>0</v>
      </c>
      <c r="E95" s="524">
        <v>0</v>
      </c>
      <c r="F95" s="861">
        <v>1650000000</v>
      </c>
      <c r="G95" s="860">
        <v>2051316782</v>
      </c>
      <c r="H95" s="524">
        <v>0</v>
      </c>
      <c r="I95" s="524">
        <v>0</v>
      </c>
      <c r="J95" s="861">
        <v>2051316782</v>
      </c>
      <c r="K95" s="860">
        <f>K96+K108</f>
        <v>2051316782</v>
      </c>
      <c r="L95" s="524">
        <f>L96+L108</f>
        <v>0</v>
      </c>
      <c r="M95" s="524">
        <f>M96+M108</f>
        <v>0</v>
      </c>
      <c r="N95" s="861">
        <f t="shared" si="12"/>
        <v>2051316782</v>
      </c>
      <c r="O95" s="955">
        <f>O96+O108</f>
        <v>0</v>
      </c>
      <c r="P95" s="524">
        <f>P96+P108</f>
        <v>0</v>
      </c>
      <c r="Q95" s="524">
        <f>Q96+Q108</f>
        <v>0</v>
      </c>
      <c r="R95" s="956">
        <f>SUM(O95:Q95)</f>
        <v>0</v>
      </c>
      <c r="S95" s="538"/>
    </row>
    <row r="96" spans="1:19" x14ac:dyDescent="0.35">
      <c r="A96" s="525" t="s">
        <v>311</v>
      </c>
      <c r="B96" s="850" t="s">
        <v>330</v>
      </c>
      <c r="C96" s="862">
        <v>1650000000</v>
      </c>
      <c r="D96" s="526">
        <v>0</v>
      </c>
      <c r="E96" s="526">
        <v>0</v>
      </c>
      <c r="F96" s="863">
        <v>1650000000</v>
      </c>
      <c r="G96" s="862">
        <v>2051316782</v>
      </c>
      <c r="H96" s="526">
        <v>0</v>
      </c>
      <c r="I96" s="526">
        <v>0</v>
      </c>
      <c r="J96" s="863">
        <v>2051316782</v>
      </c>
      <c r="K96" s="862">
        <f>K97+K102+K103+K106+K107</f>
        <v>2051316782</v>
      </c>
      <c r="L96" s="526">
        <f>L97+L102+L103+L106+L107</f>
        <v>0</v>
      </c>
      <c r="M96" s="526">
        <f>M97+M102+M103+M106+M107</f>
        <v>0</v>
      </c>
      <c r="N96" s="863">
        <f t="shared" si="12"/>
        <v>2051316782</v>
      </c>
      <c r="O96" s="957">
        <f>O97+O102+O103+O106+O107</f>
        <v>0</v>
      </c>
      <c r="P96" s="526">
        <f>P97+P102+P103+P106+P107</f>
        <v>0</v>
      </c>
      <c r="Q96" s="526">
        <f>Q97+Q102+Q103+Q106+Q107</f>
        <v>0</v>
      </c>
      <c r="R96" s="958">
        <f>SUM(O96:Q96)</f>
        <v>0</v>
      </c>
      <c r="S96" s="538"/>
    </row>
    <row r="97" spans="1:19" x14ac:dyDescent="0.35">
      <c r="A97" s="527"/>
      <c r="B97" s="853" t="s">
        <v>534</v>
      </c>
      <c r="C97" s="871">
        <v>0</v>
      </c>
      <c r="D97" s="530">
        <v>0</v>
      </c>
      <c r="E97" s="530">
        <v>0</v>
      </c>
      <c r="F97" s="872">
        <v>0</v>
      </c>
      <c r="G97" s="871">
        <v>0</v>
      </c>
      <c r="H97" s="530">
        <v>0</v>
      </c>
      <c r="I97" s="530">
        <v>0</v>
      </c>
      <c r="J97" s="872">
        <v>0</v>
      </c>
      <c r="K97" s="871">
        <f t="shared" ref="K97:N97" si="13">SUM(K98:K101)</f>
        <v>0</v>
      </c>
      <c r="L97" s="530">
        <f t="shared" si="13"/>
        <v>0</v>
      </c>
      <c r="M97" s="530">
        <f t="shared" si="13"/>
        <v>0</v>
      </c>
      <c r="N97" s="872">
        <f t="shared" si="13"/>
        <v>0</v>
      </c>
      <c r="O97" s="965">
        <f t="shared" ref="O97:R97" si="14">SUM(O98:O101)</f>
        <v>0</v>
      </c>
      <c r="P97" s="530">
        <f t="shared" si="14"/>
        <v>0</v>
      </c>
      <c r="Q97" s="530">
        <f t="shared" si="14"/>
        <v>0</v>
      </c>
      <c r="R97" s="966">
        <f t="shared" si="14"/>
        <v>0</v>
      </c>
      <c r="S97" s="538"/>
    </row>
    <row r="98" spans="1:19" hidden="1" x14ac:dyDescent="0.35">
      <c r="A98" s="527"/>
      <c r="B98" s="851" t="s">
        <v>535</v>
      </c>
      <c r="C98" s="869">
        <v>0</v>
      </c>
      <c r="D98" s="722"/>
      <c r="E98" s="722">
        <v>0</v>
      </c>
      <c r="F98" s="870">
        <v>0</v>
      </c>
      <c r="G98" s="869">
        <v>0</v>
      </c>
      <c r="H98" s="722"/>
      <c r="I98" s="722">
        <v>0</v>
      </c>
      <c r="J98" s="870">
        <v>0</v>
      </c>
      <c r="K98" s="869">
        <v>0</v>
      </c>
      <c r="L98" s="722"/>
      <c r="M98" s="722">
        <v>0</v>
      </c>
      <c r="N98" s="870">
        <f>SUM(K98:M98)</f>
        <v>0</v>
      </c>
      <c r="O98" s="963">
        <v>0</v>
      </c>
      <c r="P98" s="722"/>
      <c r="Q98" s="722">
        <v>0</v>
      </c>
      <c r="R98" s="964">
        <f>SUM(O98:Q98)</f>
        <v>0</v>
      </c>
      <c r="S98" s="538"/>
    </row>
    <row r="99" spans="1:19" ht="15" hidden="1" customHeight="1" x14ac:dyDescent="0.35">
      <c r="A99" s="527"/>
      <c r="B99" s="851"/>
      <c r="C99" s="869"/>
      <c r="D99" s="722"/>
      <c r="E99" s="722"/>
      <c r="F99" s="870">
        <v>0</v>
      </c>
      <c r="G99" s="869"/>
      <c r="H99" s="722"/>
      <c r="I99" s="722"/>
      <c r="J99" s="870">
        <v>0</v>
      </c>
      <c r="K99" s="869"/>
      <c r="L99" s="722"/>
      <c r="M99" s="722"/>
      <c r="N99" s="870">
        <f>SUM(K99:M99)</f>
        <v>0</v>
      </c>
      <c r="O99" s="963"/>
      <c r="P99" s="722"/>
      <c r="Q99" s="722"/>
      <c r="R99" s="964">
        <f>SUM(O99:Q99)</f>
        <v>0</v>
      </c>
      <c r="S99" s="538"/>
    </row>
    <row r="100" spans="1:19" hidden="1" x14ac:dyDescent="0.35">
      <c r="A100" s="527"/>
      <c r="B100" s="851" t="s">
        <v>536</v>
      </c>
      <c r="C100" s="869">
        <v>0</v>
      </c>
      <c r="D100" s="722">
        <v>0</v>
      </c>
      <c r="E100" s="722">
        <v>0</v>
      </c>
      <c r="F100" s="870">
        <v>0</v>
      </c>
      <c r="G100" s="869">
        <v>0</v>
      </c>
      <c r="H100" s="722">
        <v>0</v>
      </c>
      <c r="I100" s="722">
        <v>0</v>
      </c>
      <c r="J100" s="870">
        <v>0</v>
      </c>
      <c r="K100" s="869">
        <v>0</v>
      </c>
      <c r="L100" s="722">
        <v>0</v>
      </c>
      <c r="M100" s="722">
        <v>0</v>
      </c>
      <c r="N100" s="870">
        <f>SUM(K100:M100)</f>
        <v>0</v>
      </c>
      <c r="O100" s="963">
        <v>0</v>
      </c>
      <c r="P100" s="722">
        <v>0</v>
      </c>
      <c r="Q100" s="722">
        <v>0</v>
      </c>
      <c r="R100" s="964">
        <f>SUM(O100:Q100)</f>
        <v>0</v>
      </c>
      <c r="S100" s="538"/>
    </row>
    <row r="101" spans="1:19" hidden="1" x14ac:dyDescent="0.35">
      <c r="A101" s="527"/>
      <c r="B101" s="851" t="s">
        <v>537</v>
      </c>
      <c r="C101" s="869">
        <v>0</v>
      </c>
      <c r="D101" s="722">
        <v>0</v>
      </c>
      <c r="E101" s="722">
        <v>0</v>
      </c>
      <c r="F101" s="870">
        <v>0</v>
      </c>
      <c r="G101" s="869">
        <v>0</v>
      </c>
      <c r="H101" s="722">
        <v>0</v>
      </c>
      <c r="I101" s="722">
        <v>0</v>
      </c>
      <c r="J101" s="870">
        <v>0</v>
      </c>
      <c r="K101" s="869">
        <v>0</v>
      </c>
      <c r="L101" s="722">
        <v>0</v>
      </c>
      <c r="M101" s="722">
        <v>0</v>
      </c>
      <c r="N101" s="870">
        <f t="shared" ref="N101:N106" si="15">SUM(K101:M101)</f>
        <v>0</v>
      </c>
      <c r="O101" s="963">
        <v>0</v>
      </c>
      <c r="P101" s="722">
        <v>0</v>
      </c>
      <c r="Q101" s="722">
        <v>0</v>
      </c>
      <c r="R101" s="964">
        <f t="shared" ref="R101:R106" si="16">SUM(O101:Q101)</f>
        <v>0</v>
      </c>
      <c r="S101" s="538"/>
    </row>
    <row r="102" spans="1:19" x14ac:dyDescent="0.35">
      <c r="A102" s="527"/>
      <c r="B102" s="853" t="s">
        <v>538</v>
      </c>
      <c r="C102" s="871">
        <v>0</v>
      </c>
      <c r="D102" s="530">
        <v>0</v>
      </c>
      <c r="E102" s="530">
        <v>0</v>
      </c>
      <c r="F102" s="872">
        <v>0</v>
      </c>
      <c r="G102" s="871">
        <v>0</v>
      </c>
      <c r="H102" s="530">
        <v>0</v>
      </c>
      <c r="I102" s="530">
        <v>0</v>
      </c>
      <c r="J102" s="872">
        <v>0</v>
      </c>
      <c r="K102" s="871">
        <v>0</v>
      </c>
      <c r="L102" s="530">
        <v>0</v>
      </c>
      <c r="M102" s="530">
        <v>0</v>
      </c>
      <c r="N102" s="872">
        <f t="shared" si="15"/>
        <v>0</v>
      </c>
      <c r="O102" s="965">
        <v>0</v>
      </c>
      <c r="P102" s="530">
        <v>0</v>
      </c>
      <c r="Q102" s="530">
        <v>0</v>
      </c>
      <c r="R102" s="966">
        <f t="shared" si="16"/>
        <v>0</v>
      </c>
      <c r="S102" s="538"/>
    </row>
    <row r="103" spans="1:19" x14ac:dyDescent="0.35">
      <c r="A103" s="527"/>
      <c r="B103" s="853" t="s">
        <v>539</v>
      </c>
      <c r="C103" s="878">
        <v>1650000000</v>
      </c>
      <c r="D103" s="532">
        <v>0</v>
      </c>
      <c r="E103" s="532">
        <v>0</v>
      </c>
      <c r="F103" s="874">
        <v>1650000000</v>
      </c>
      <c r="G103" s="878">
        <v>1865482070</v>
      </c>
      <c r="H103" s="532">
        <v>0</v>
      </c>
      <c r="I103" s="532">
        <v>0</v>
      </c>
      <c r="J103" s="874">
        <v>1865482070</v>
      </c>
      <c r="K103" s="878">
        <f>K104+K105</f>
        <v>1865482070</v>
      </c>
      <c r="L103" s="532">
        <f>L104+L105</f>
        <v>0</v>
      </c>
      <c r="M103" s="532">
        <f>M104+M105</f>
        <v>0</v>
      </c>
      <c r="N103" s="874">
        <f t="shared" si="15"/>
        <v>1865482070</v>
      </c>
      <c r="O103" s="970">
        <f>O104+O105</f>
        <v>0</v>
      </c>
      <c r="P103" s="532">
        <f>P104+P105</f>
        <v>0</v>
      </c>
      <c r="Q103" s="532">
        <f>Q104+Q105</f>
        <v>0</v>
      </c>
      <c r="R103" s="969">
        <f t="shared" si="16"/>
        <v>0</v>
      </c>
      <c r="S103" s="538"/>
    </row>
    <row r="104" spans="1:19" x14ac:dyDescent="0.35">
      <c r="A104" s="527"/>
      <c r="B104" s="851" t="s">
        <v>540</v>
      </c>
      <c r="C104" s="879">
        <v>0</v>
      </c>
      <c r="D104" s="535">
        <v>0</v>
      </c>
      <c r="E104" s="535">
        <v>0</v>
      </c>
      <c r="F104" s="880">
        <v>0</v>
      </c>
      <c r="G104" s="879">
        <v>0</v>
      </c>
      <c r="H104" s="535">
        <v>0</v>
      </c>
      <c r="I104" s="535">
        <v>0</v>
      </c>
      <c r="J104" s="880">
        <v>0</v>
      </c>
      <c r="K104" s="879">
        <v>0</v>
      </c>
      <c r="L104" s="535">
        <v>0</v>
      </c>
      <c r="M104" s="535">
        <v>0</v>
      </c>
      <c r="N104" s="880">
        <f t="shared" si="15"/>
        <v>0</v>
      </c>
      <c r="O104" s="975"/>
      <c r="P104" s="535">
        <v>0</v>
      </c>
      <c r="Q104" s="535">
        <v>0</v>
      </c>
      <c r="R104" s="976">
        <f t="shared" si="16"/>
        <v>0</v>
      </c>
      <c r="S104" s="538"/>
    </row>
    <row r="105" spans="1:19" x14ac:dyDescent="0.35">
      <c r="A105" s="527"/>
      <c r="B105" s="851" t="s">
        <v>541</v>
      </c>
      <c r="C105" s="869">
        <v>1650000000</v>
      </c>
      <c r="D105" s="722"/>
      <c r="E105" s="722">
        <v>0</v>
      </c>
      <c r="F105" s="870">
        <v>1650000000</v>
      </c>
      <c r="G105" s="869">
        <v>1865482070</v>
      </c>
      <c r="H105" s="722"/>
      <c r="I105" s="722">
        <v>0</v>
      </c>
      <c r="J105" s="870">
        <v>1865482070</v>
      </c>
      <c r="K105" s="869">
        <v>1865482070</v>
      </c>
      <c r="L105" s="722"/>
      <c r="M105" s="722">
        <v>0</v>
      </c>
      <c r="N105" s="870">
        <f t="shared" si="15"/>
        <v>1865482070</v>
      </c>
      <c r="O105" s="963"/>
      <c r="P105" s="722"/>
      <c r="Q105" s="722">
        <v>0</v>
      </c>
      <c r="R105" s="964">
        <f t="shared" si="16"/>
        <v>0</v>
      </c>
      <c r="S105" s="538"/>
    </row>
    <row r="106" spans="1:19" x14ac:dyDescent="0.35">
      <c r="A106" s="527"/>
      <c r="B106" s="853" t="s">
        <v>1435</v>
      </c>
      <c r="C106" s="871"/>
      <c r="D106" s="530">
        <v>0</v>
      </c>
      <c r="E106" s="530">
        <v>0</v>
      </c>
      <c r="F106" s="872">
        <v>0</v>
      </c>
      <c r="G106" s="871">
        <v>185834712</v>
      </c>
      <c r="H106" s="530">
        <v>0</v>
      </c>
      <c r="I106" s="530">
        <v>0</v>
      </c>
      <c r="J106" s="872">
        <v>185834712</v>
      </c>
      <c r="K106" s="871">
        <v>185834712</v>
      </c>
      <c r="L106" s="530">
        <v>0</v>
      </c>
      <c r="M106" s="530">
        <v>0</v>
      </c>
      <c r="N106" s="872">
        <f t="shared" si="15"/>
        <v>185834712</v>
      </c>
      <c r="O106" s="965"/>
      <c r="P106" s="530">
        <v>0</v>
      </c>
      <c r="Q106" s="530">
        <v>0</v>
      </c>
      <c r="R106" s="966">
        <f t="shared" si="16"/>
        <v>0</v>
      </c>
      <c r="S106" s="538"/>
    </row>
    <row r="107" spans="1:19" ht="15" hidden="1" customHeight="1" x14ac:dyDescent="0.35">
      <c r="A107" s="527"/>
      <c r="B107" s="853" t="s">
        <v>543</v>
      </c>
      <c r="C107" s="871">
        <v>0</v>
      </c>
      <c r="D107" s="530"/>
      <c r="E107" s="530">
        <v>0</v>
      </c>
      <c r="F107" s="872"/>
      <c r="G107" s="871">
        <v>0</v>
      </c>
      <c r="H107" s="530"/>
      <c r="I107" s="530">
        <v>0</v>
      </c>
      <c r="J107" s="872"/>
      <c r="K107" s="871">
        <v>0</v>
      </c>
      <c r="L107" s="530"/>
      <c r="M107" s="530">
        <v>0</v>
      </c>
      <c r="N107" s="872"/>
      <c r="O107" s="965">
        <v>0</v>
      </c>
      <c r="P107" s="530"/>
      <c r="Q107" s="530">
        <v>0</v>
      </c>
      <c r="R107" s="966"/>
      <c r="S107" s="538"/>
    </row>
    <row r="108" spans="1:19" x14ac:dyDescent="0.35">
      <c r="A108" s="525" t="s">
        <v>322</v>
      </c>
      <c r="B108" s="850" t="s">
        <v>544</v>
      </c>
      <c r="C108" s="862">
        <v>0</v>
      </c>
      <c r="D108" s="526">
        <v>0</v>
      </c>
      <c r="E108" s="526">
        <v>0</v>
      </c>
      <c r="F108" s="863">
        <v>0</v>
      </c>
      <c r="G108" s="862">
        <v>0</v>
      </c>
      <c r="H108" s="526">
        <v>0</v>
      </c>
      <c r="I108" s="526">
        <v>0</v>
      </c>
      <c r="J108" s="863">
        <v>0</v>
      </c>
      <c r="K108" s="862">
        <f>K109+K110</f>
        <v>0</v>
      </c>
      <c r="L108" s="526">
        <f>L109+L110</f>
        <v>0</v>
      </c>
      <c r="M108" s="526">
        <f>M109+M110</f>
        <v>0</v>
      </c>
      <c r="N108" s="863">
        <f>SUM(K108:M108)</f>
        <v>0</v>
      </c>
      <c r="O108" s="957">
        <f>O109+O110</f>
        <v>0</v>
      </c>
      <c r="P108" s="526">
        <f>P109+P110</f>
        <v>0</v>
      </c>
      <c r="Q108" s="526">
        <f>Q109+Q110</f>
        <v>0</v>
      </c>
      <c r="R108" s="958">
        <f t="shared" ref="R108:R110" si="17">SUM(O108:Q108)</f>
        <v>0</v>
      </c>
      <c r="S108" s="538"/>
    </row>
    <row r="109" spans="1:19" ht="15" hidden="1" customHeight="1" x14ac:dyDescent="0.35">
      <c r="A109" s="527"/>
      <c r="B109" s="853" t="s">
        <v>545</v>
      </c>
      <c r="C109" s="871">
        <v>0</v>
      </c>
      <c r="D109" s="530">
        <v>0</v>
      </c>
      <c r="E109" s="530">
        <v>0</v>
      </c>
      <c r="F109" s="872">
        <v>0</v>
      </c>
      <c r="G109" s="871">
        <v>0</v>
      </c>
      <c r="H109" s="530">
        <v>0</v>
      </c>
      <c r="I109" s="530">
        <v>0</v>
      </c>
      <c r="J109" s="872">
        <v>0</v>
      </c>
      <c r="K109" s="871">
        <v>0</v>
      </c>
      <c r="L109" s="530">
        <v>0</v>
      </c>
      <c r="M109" s="530">
        <v>0</v>
      </c>
      <c r="N109" s="872">
        <f>SUM(K109:M109)</f>
        <v>0</v>
      </c>
      <c r="O109" s="965">
        <v>0</v>
      </c>
      <c r="P109" s="530">
        <v>0</v>
      </c>
      <c r="Q109" s="530">
        <v>0</v>
      </c>
      <c r="R109" s="966">
        <f t="shared" si="17"/>
        <v>0</v>
      </c>
      <c r="S109" s="538"/>
    </row>
    <row r="110" spans="1:19" ht="15" hidden="1" customHeight="1" x14ac:dyDescent="0.35">
      <c r="A110" s="527"/>
      <c r="B110" s="853" t="s">
        <v>546</v>
      </c>
      <c r="C110" s="871">
        <v>0</v>
      </c>
      <c r="D110" s="530">
        <v>0</v>
      </c>
      <c r="E110" s="530">
        <v>0</v>
      </c>
      <c r="F110" s="872">
        <v>0</v>
      </c>
      <c r="G110" s="871">
        <v>0</v>
      </c>
      <c r="H110" s="530">
        <v>0</v>
      </c>
      <c r="I110" s="530">
        <v>0</v>
      </c>
      <c r="J110" s="872">
        <v>0</v>
      </c>
      <c r="K110" s="871">
        <v>0</v>
      </c>
      <c r="L110" s="530">
        <v>0</v>
      </c>
      <c r="M110" s="530">
        <v>0</v>
      </c>
      <c r="N110" s="872">
        <f>SUM(K110:M110)</f>
        <v>0</v>
      </c>
      <c r="O110" s="965">
        <v>0</v>
      </c>
      <c r="P110" s="530">
        <v>0</v>
      </c>
      <c r="Q110" s="530">
        <v>0</v>
      </c>
      <c r="R110" s="966">
        <f t="shared" si="17"/>
        <v>0</v>
      </c>
      <c r="S110" s="538"/>
    </row>
    <row r="111" spans="1:19" ht="15" thickBot="1" x14ac:dyDescent="0.4">
      <c r="A111" s="536"/>
      <c r="B111" s="857" t="s">
        <v>333</v>
      </c>
      <c r="C111" s="846">
        <v>6037848560</v>
      </c>
      <c r="D111" s="847">
        <v>50138615</v>
      </c>
      <c r="E111" s="847">
        <v>0</v>
      </c>
      <c r="F111" s="848">
        <v>6087987175</v>
      </c>
      <c r="G111" s="846">
        <v>6933998441</v>
      </c>
      <c r="H111" s="847">
        <v>50138615</v>
      </c>
      <c r="I111" s="847">
        <v>0</v>
      </c>
      <c r="J111" s="848">
        <v>6984137056</v>
      </c>
      <c r="K111" s="846">
        <f>K95+K65+K5</f>
        <v>4958574016</v>
      </c>
      <c r="L111" s="847">
        <f>L95+L65+L5</f>
        <v>34151043</v>
      </c>
      <c r="M111" s="847">
        <f>M95+M65+M5</f>
        <v>0</v>
      </c>
      <c r="N111" s="848">
        <f>SUM(K111:M111)</f>
        <v>4992725059</v>
      </c>
      <c r="O111" s="977">
        <f>O95+O65+O5</f>
        <v>0</v>
      </c>
      <c r="P111" s="978">
        <f>P95+P65+P5</f>
        <v>0</v>
      </c>
      <c r="Q111" s="978">
        <f>Q95+Q65+Q5</f>
        <v>0</v>
      </c>
      <c r="R111" s="979">
        <f>SUM(O111:Q111)</f>
        <v>0</v>
      </c>
      <c r="S111" s="538"/>
    </row>
    <row r="112" spans="1:19" x14ac:dyDescent="0.35">
      <c r="J112" s="538"/>
      <c r="N112" s="538">
        <f>+N111-J111</f>
        <v>-1991411997</v>
      </c>
      <c r="R112" s="538">
        <f>+R111-N111</f>
        <v>-4992725059</v>
      </c>
    </row>
    <row r="113" spans="6:18" x14ac:dyDescent="0.35">
      <c r="J113" s="538"/>
      <c r="N113" s="538">
        <f>+N111-'2.2 melléklet'!N44</f>
        <v>3037961725</v>
      </c>
      <c r="R113" s="538">
        <f>+R111-'2.2 melléklet'!R44</f>
        <v>-900000</v>
      </c>
    </row>
    <row r="114" spans="6:18" x14ac:dyDescent="0.35">
      <c r="F114" s="538"/>
      <c r="J114" s="538"/>
      <c r="N114" s="538"/>
      <c r="R114" s="538"/>
    </row>
    <row r="115" spans="6:18" x14ac:dyDescent="0.35">
      <c r="J115" s="538"/>
      <c r="N115" s="538"/>
      <c r="R115" s="538"/>
    </row>
    <row r="116" spans="6:18" x14ac:dyDescent="0.35">
      <c r="F116" s="538"/>
      <c r="J116" s="538"/>
      <c r="N116" s="538"/>
      <c r="R116" s="538"/>
    </row>
  </sheetData>
  <mergeCells count="6">
    <mergeCell ref="O3:R3"/>
    <mergeCell ref="C3:F3"/>
    <mergeCell ref="A3:A4"/>
    <mergeCell ref="B3:B4"/>
    <mergeCell ref="G3:J3"/>
    <mergeCell ref="K3:N3"/>
  </mergeCells>
  <printOptions horizontalCentered="1"/>
  <pageMargins left="0.19685039370078741" right="0.19685039370078741" top="0.74803149606299213" bottom="0.43307086614173229" header="0.31496062992125984" footer="0.19685039370078741"/>
  <pageSetup paperSize="9" scale="36" fitToHeight="2" orientation="portrait" r:id="rId1"/>
  <headerFooter>
    <oddHeader>&amp;L2/A.  melléklet a ......./2021. (.................) önkormányzati rendelethez&amp;C&amp;"-,Félkövér"&amp;16
Az Önkormányzat 2021. évi bevételei forrásonként és feladatonként</oddHeader>
    <oddFooter>&amp;C&amp;P</oddFooter>
  </headerFooter>
  <rowBreaks count="1" manualBreakCount="1">
    <brk id="43" max="17" man="1"/>
  </rowBreaks>
  <colBreaks count="1" manualBreakCount="1">
    <brk id="14" max="109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52"/>
  <sheetViews>
    <sheetView view="pageBreakPreview" topLeftCell="B5" zoomScale="78" zoomScaleNormal="100" zoomScaleSheetLayoutView="78" workbookViewId="0">
      <selection activeCell="J10" sqref="J10:J12"/>
    </sheetView>
  </sheetViews>
  <sheetFormatPr defaultColWidth="9.1796875" defaultRowHeight="14.5" x14ac:dyDescent="0.35"/>
  <cols>
    <col min="1" max="1" width="3.81640625" style="232" customWidth="1"/>
    <col min="2" max="2" width="48.7265625" style="92" customWidth="1"/>
    <col min="3" max="3" width="13.7265625" style="268" customWidth="1"/>
    <col min="4" max="4" width="15" style="268" customWidth="1"/>
    <col min="5" max="5" width="14.81640625" style="268" customWidth="1"/>
    <col min="6" max="6" width="14.7265625" style="471" customWidth="1"/>
    <col min="7" max="7" width="13.7265625" style="268" customWidth="1"/>
    <col min="8" max="8" width="15" style="268" customWidth="1"/>
    <col min="9" max="9" width="14.81640625" style="268" customWidth="1"/>
    <col min="10" max="10" width="15.7265625" style="471" customWidth="1"/>
    <col min="11" max="11" width="13.7265625" style="268" hidden="1" customWidth="1"/>
    <col min="12" max="12" width="14" style="268" hidden="1" customWidth="1"/>
    <col min="13" max="13" width="14.26953125" style="268" hidden="1" customWidth="1"/>
    <col min="14" max="14" width="15.54296875" style="471" hidden="1" customWidth="1"/>
    <col min="15" max="15" width="13.7265625" style="268" hidden="1" customWidth="1"/>
    <col min="16" max="16" width="14.54296875" style="268" hidden="1" customWidth="1"/>
    <col min="17" max="17" width="13.54296875" style="268" hidden="1" customWidth="1"/>
    <col min="18" max="18" width="15.7265625" style="471" hidden="1" customWidth="1"/>
    <col min="19" max="19" width="12.7265625" style="268" bestFit="1" customWidth="1"/>
    <col min="20" max="20" width="10" style="268" bestFit="1" customWidth="1"/>
    <col min="21" max="16384" width="9.1796875" style="268"/>
  </cols>
  <sheetData>
    <row r="1" spans="1:20" x14ac:dyDescent="0.35">
      <c r="F1" s="763"/>
      <c r="J1" s="268" t="s">
        <v>1734</v>
      </c>
      <c r="N1" s="268" t="s">
        <v>1734</v>
      </c>
    </row>
    <row r="2" spans="1:20" ht="29" x14ac:dyDescent="0.35">
      <c r="A2" s="328" t="s">
        <v>468</v>
      </c>
      <c r="B2" s="810" t="s">
        <v>469</v>
      </c>
      <c r="C2" s="819"/>
      <c r="D2" s="820"/>
      <c r="E2" s="820"/>
      <c r="F2" s="821"/>
      <c r="G2" s="819"/>
      <c r="H2" s="820"/>
      <c r="I2" s="820"/>
      <c r="J2" s="821"/>
      <c r="K2" s="819"/>
      <c r="L2" s="820"/>
      <c r="M2" s="820"/>
      <c r="N2" s="821"/>
      <c r="O2" s="819"/>
      <c r="P2" s="820"/>
      <c r="Q2" s="820"/>
      <c r="R2" s="821"/>
    </row>
    <row r="3" spans="1:20" ht="48.75" customHeight="1" x14ac:dyDescent="0.35">
      <c r="A3" s="1066" t="s">
        <v>305</v>
      </c>
      <c r="B3" s="1077" t="s">
        <v>576</v>
      </c>
      <c r="C3" s="1067" t="s">
        <v>1794</v>
      </c>
      <c r="D3" s="1064"/>
      <c r="E3" s="1064"/>
      <c r="F3" s="1068"/>
      <c r="G3" s="1063" t="s">
        <v>1796</v>
      </c>
      <c r="H3" s="1064"/>
      <c r="I3" s="1064"/>
      <c r="J3" s="1065"/>
      <c r="K3" s="1063" t="s">
        <v>1798</v>
      </c>
      <c r="L3" s="1064"/>
      <c r="M3" s="1064"/>
      <c r="N3" s="1065"/>
      <c r="O3" s="1067"/>
      <c r="P3" s="1064"/>
      <c r="Q3" s="1064"/>
      <c r="R3" s="1068"/>
    </row>
    <row r="4" spans="1:20" ht="29" x14ac:dyDescent="0.35">
      <c r="A4" s="1066"/>
      <c r="B4" s="1077"/>
      <c r="C4" s="822" t="s">
        <v>1289</v>
      </c>
      <c r="D4" s="719" t="s">
        <v>1290</v>
      </c>
      <c r="E4" s="719" t="s">
        <v>1291</v>
      </c>
      <c r="F4" s="823" t="s">
        <v>549</v>
      </c>
      <c r="G4" s="822" t="s">
        <v>1289</v>
      </c>
      <c r="H4" s="719" t="s">
        <v>1290</v>
      </c>
      <c r="I4" s="719" t="s">
        <v>1291</v>
      </c>
      <c r="J4" s="823" t="s">
        <v>549</v>
      </c>
      <c r="K4" s="822" t="s">
        <v>1289</v>
      </c>
      <c r="L4" s="719" t="s">
        <v>1290</v>
      </c>
      <c r="M4" s="719" t="s">
        <v>1291</v>
      </c>
      <c r="N4" s="823" t="s">
        <v>549</v>
      </c>
      <c r="O4" s="822" t="s">
        <v>1289</v>
      </c>
      <c r="P4" s="719" t="s">
        <v>1290</v>
      </c>
      <c r="Q4" s="719" t="s">
        <v>1760</v>
      </c>
      <c r="R4" s="823" t="s">
        <v>549</v>
      </c>
    </row>
    <row r="5" spans="1:20" x14ac:dyDescent="0.35">
      <c r="A5" s="329"/>
      <c r="B5" s="811" t="s">
        <v>307</v>
      </c>
      <c r="C5" s="824">
        <v>11</v>
      </c>
      <c r="D5" s="331">
        <v>0</v>
      </c>
      <c r="E5" s="331">
        <v>0</v>
      </c>
      <c r="F5" s="825">
        <f>SUM(C5:E5)</f>
        <v>11</v>
      </c>
      <c r="G5" s="824">
        <v>11</v>
      </c>
      <c r="H5" s="331">
        <v>0</v>
      </c>
      <c r="I5" s="331">
        <v>0</v>
      </c>
      <c r="J5" s="825">
        <f t="shared" ref="J5:J6" si="0">SUM(G5:I5)</f>
        <v>11</v>
      </c>
      <c r="K5" s="824">
        <v>11</v>
      </c>
      <c r="L5" s="331">
        <v>0</v>
      </c>
      <c r="M5" s="331">
        <v>0</v>
      </c>
      <c r="N5" s="825">
        <f t="shared" ref="N5:N38" si="1">SUM(K5:M5)</f>
        <v>11</v>
      </c>
      <c r="O5" s="824">
        <v>11</v>
      </c>
      <c r="P5" s="331">
        <v>0</v>
      </c>
      <c r="Q5" s="331">
        <v>0</v>
      </c>
      <c r="R5" s="825">
        <f t="shared" ref="R5:R38" si="2">SUM(O5:Q5)</f>
        <v>11</v>
      </c>
    </row>
    <row r="6" spans="1:20" x14ac:dyDescent="0.35">
      <c r="A6" s="329"/>
      <c r="B6" s="811" t="s">
        <v>308</v>
      </c>
      <c r="C6" s="824">
        <v>0</v>
      </c>
      <c r="D6" s="331">
        <v>0</v>
      </c>
      <c r="E6" s="331">
        <v>0</v>
      </c>
      <c r="F6" s="825">
        <f t="shared" ref="F6" si="3">SUM(C6:E6)</f>
        <v>0</v>
      </c>
      <c r="G6" s="824">
        <v>0</v>
      </c>
      <c r="H6" s="331">
        <v>0</v>
      </c>
      <c r="I6" s="331">
        <v>0</v>
      </c>
      <c r="J6" s="825">
        <f t="shared" si="0"/>
        <v>0</v>
      </c>
      <c r="K6" s="824">
        <v>0</v>
      </c>
      <c r="L6" s="331">
        <v>0</v>
      </c>
      <c r="M6" s="331">
        <v>0</v>
      </c>
      <c r="N6" s="825">
        <f t="shared" si="1"/>
        <v>0</v>
      </c>
      <c r="O6" s="824">
        <v>0</v>
      </c>
      <c r="P6" s="331">
        <v>0</v>
      </c>
      <c r="Q6" s="331">
        <v>0</v>
      </c>
      <c r="R6" s="825">
        <f t="shared" si="2"/>
        <v>0</v>
      </c>
    </row>
    <row r="7" spans="1:20" x14ac:dyDescent="0.35">
      <c r="A7" s="502" t="s">
        <v>309</v>
      </c>
      <c r="B7" s="812" t="s">
        <v>334</v>
      </c>
      <c r="C7" s="826">
        <v>1515928625</v>
      </c>
      <c r="D7" s="485">
        <v>495141700</v>
      </c>
      <c r="E7" s="485">
        <v>0</v>
      </c>
      <c r="F7" s="827">
        <v>2011070325</v>
      </c>
      <c r="G7" s="826">
        <v>1601848112</v>
      </c>
      <c r="H7" s="485">
        <v>546883858</v>
      </c>
      <c r="I7" s="485">
        <v>0</v>
      </c>
      <c r="J7" s="827">
        <v>2148731970</v>
      </c>
      <c r="K7" s="826">
        <f>K8+K9+K10+K11+K12</f>
        <v>481731532</v>
      </c>
      <c r="L7" s="485">
        <f>L8+L9+L10+L11+L12</f>
        <v>117119497</v>
      </c>
      <c r="M7" s="485">
        <f>M8+M9+M10+M11+M12</f>
        <v>0</v>
      </c>
      <c r="N7" s="827">
        <f t="shared" si="1"/>
        <v>598851029</v>
      </c>
      <c r="O7" s="826">
        <f>O8+O9+O10+O11+O12</f>
        <v>0</v>
      </c>
      <c r="P7" s="485">
        <f>P8+P9+P10+P11+P12</f>
        <v>0</v>
      </c>
      <c r="Q7" s="485">
        <f>Q8+Q9+Q10+Q11+Q12</f>
        <v>0</v>
      </c>
      <c r="R7" s="827">
        <f t="shared" si="2"/>
        <v>0</v>
      </c>
      <c r="S7" s="803"/>
    </row>
    <row r="8" spans="1:20" x14ac:dyDescent="0.35">
      <c r="A8" s="505" t="s">
        <v>311</v>
      </c>
      <c r="B8" s="813" t="s">
        <v>286</v>
      </c>
      <c r="C8" s="828">
        <v>145115660</v>
      </c>
      <c r="D8" s="511">
        <v>43500000</v>
      </c>
      <c r="E8" s="511"/>
      <c r="F8" s="829">
        <v>188615660</v>
      </c>
      <c r="G8" s="828">
        <v>145435660</v>
      </c>
      <c r="H8" s="511">
        <v>45585600</v>
      </c>
      <c r="I8" s="511"/>
      <c r="J8" s="829">
        <v>191021260</v>
      </c>
      <c r="K8" s="828">
        <f>+'2.3 melléklet'!K8+'2.3 melléklet'!K17+'2.3 melléklet'!K22+'2.3 melléklet'!K44+'2.3 melléklet'!K66</f>
        <v>52070621</v>
      </c>
      <c r="L8" s="511">
        <f>'2.3 melléklet'!K81+'2.3 melléklet'!K85+'2.3 melléklet'!K109+'2.3 melléklet'!K156+'2.3 melléklet'!K178+'2.3 melléklet'!K184+'2.3 melléklet'!K171+'2.3 melléklet'!K214+'2.3 melléklet'!K196+'2.3 melléklet'!K224+'2.3 melléklet'!K192</f>
        <v>8821109</v>
      </c>
      <c r="M8" s="511"/>
      <c r="N8" s="829">
        <f t="shared" si="1"/>
        <v>60891730</v>
      </c>
      <c r="O8" s="828">
        <f>'2.3 melléklet'!N17+'2.3 melléklet'!N22+'2.3 melléklet'!N44+'2.3 melléklet'!N66</f>
        <v>0</v>
      </c>
      <c r="P8" s="511">
        <f>'2.3 melléklet'!N81+'2.3 melléklet'!N85+'2.3 melléklet'!N109+'2.3 melléklet'!N156+'2.3 melléklet'!N178+'2.3 melléklet'!N184+'2.3 melléklet'!N171+'2.3 melléklet'!N214+'2.3 melléklet'!N196+'2.3 melléklet'!N224+'2.3 melléklet'!N192</f>
        <v>0</v>
      </c>
      <c r="Q8" s="511"/>
      <c r="R8" s="829">
        <f t="shared" si="2"/>
        <v>0</v>
      </c>
      <c r="S8" s="803"/>
    </row>
    <row r="9" spans="1:20" ht="29" x14ac:dyDescent="0.35">
      <c r="A9" s="505" t="s">
        <v>322</v>
      </c>
      <c r="B9" s="813" t="s">
        <v>335</v>
      </c>
      <c r="C9" s="828">
        <v>22493185</v>
      </c>
      <c r="D9" s="511">
        <v>7143500</v>
      </c>
      <c r="E9" s="511"/>
      <c r="F9" s="829">
        <v>29636685</v>
      </c>
      <c r="G9" s="828">
        <v>22537824</v>
      </c>
      <c r="H9" s="511">
        <v>5582900</v>
      </c>
      <c r="I9" s="511"/>
      <c r="J9" s="829">
        <v>28120724</v>
      </c>
      <c r="K9" s="828">
        <f>+'2.3 melléklet'!K9+'2.3 melléklet'!K18+'2.3 melléklet'!K23+'2.3 melléklet'!K45+'2.3 melléklet'!K67</f>
        <v>7298370</v>
      </c>
      <c r="L9" s="511">
        <f>'2.3 melléklet'!K82+'2.3 melléklet'!K86+'2.3 melléklet'!K110+'2.3 melléklet'!K157+'2.3 melléklet'!K179+'2.3 melléklet'!K185+'2.3 melléklet'!K172+'2.3 melléklet'!K215+'2.3 melléklet'!K197+'2.3 melléklet'!K225+'2.3 melléklet'!K193</f>
        <v>327445</v>
      </c>
      <c r="M9" s="511"/>
      <c r="N9" s="829">
        <f t="shared" si="1"/>
        <v>7625815</v>
      </c>
      <c r="O9" s="828">
        <f>'2.3 melléklet'!N18+'2.3 melléklet'!N23+'2.3 melléklet'!N45+'2.3 melléklet'!N67</f>
        <v>0</v>
      </c>
      <c r="P9" s="511"/>
      <c r="Q9" s="511"/>
      <c r="R9" s="829">
        <f t="shared" si="2"/>
        <v>0</v>
      </c>
      <c r="S9" s="803"/>
    </row>
    <row r="10" spans="1:20" x14ac:dyDescent="0.35">
      <c r="A10" s="505" t="s">
        <v>315</v>
      </c>
      <c r="B10" s="813" t="s">
        <v>292</v>
      </c>
      <c r="C10" s="830">
        <v>365630700</v>
      </c>
      <c r="D10" s="512">
        <v>103111200</v>
      </c>
      <c r="E10" s="512"/>
      <c r="F10" s="829">
        <v>468741900</v>
      </c>
      <c r="G10" s="830">
        <v>419828893</v>
      </c>
      <c r="H10" s="512">
        <v>144092490</v>
      </c>
      <c r="I10" s="512"/>
      <c r="J10" s="829">
        <v>563921383</v>
      </c>
      <c r="K10" s="830">
        <f>'2.3 melléklet'!K10+'2.3 melléklet'!K14+'2.3 melléklet'!K19+'2.3 melléklet'!K24+'2.3 melléklet'!K27+'2.3 melléklet'!K29+'2.3 melléklet'!K31+'2.3 melléklet'!K35+'2.3 melléklet'!K40+'2.3 melléklet'!K46+'2.3 melléklet'!K54+'2.3 melléklet'!K60+'2.3 melléklet'!K70</f>
        <v>81038868</v>
      </c>
      <c r="L10" s="512">
        <f>'2.3 melléklet'!K75+'2.3 melléklet'!K78+'2.3 melléklet'!K83+'2.3 melléklet'!K89+'2.3 melléklet'!K91+'2.3 melléklet'!K93+'2.3 melléklet'!K95+'2.3 melléklet'!K97+'2.3 melléklet'!K99+'2.3 melléklet'!K101+'2.3 melléklet'!K103+'2.3 melléklet'!K107+'2.3 melléklet'!K111+'2.3 melléklet'!K133+'2.3 melléklet'!K137+'2.3 melléklet'!K151+'2.3 melléklet'!K158+'2.3 melléklet'!K166+'2.3 melléklet'!K176+'2.3 melléklet'!K182+'2.3 melléklet'!K186+'2.3 melléklet'!K173+'2.3 melléklet'!K189+'2.3 melléklet'!K194+'2.3 melléklet'!K198+'2.3 melléklet'!K216+'2.3 melléklet'!K221+'2.3 melléklet'!K218+'2.3 melléklet'!K212+'2.3 melléklet'!K208+'2.3 melléklet'!K202+'2.3 melléklet'!K226</f>
        <v>26518917</v>
      </c>
      <c r="M10" s="512"/>
      <c r="N10" s="829">
        <f t="shared" si="1"/>
        <v>107557785</v>
      </c>
      <c r="O10" s="830">
        <f>'2.3 melléklet'!N10+'2.3 melléklet'!N14+'2.3 melléklet'!N19+'2.3 melléklet'!N24+'2.3 melléklet'!N27+'2.3 melléklet'!N29+'2.3 melléklet'!N31+'2.3 melléklet'!N35+'2.3 melléklet'!N40+'2.3 melléklet'!N46+'2.3 melléklet'!N54+'2.3 melléklet'!N60+'2.3 melléklet'!N70</f>
        <v>0</v>
      </c>
      <c r="P10" s="512">
        <f>'2.3 melléklet'!N75+'2.3 melléklet'!N78+'2.3 melléklet'!N83+'2.3 melléklet'!N89+'2.3 melléklet'!N91+'2.3 melléklet'!N93+'2.3 melléklet'!N95+'2.3 melléklet'!N97+'2.3 melléklet'!N99+'2.3 melléklet'!N101+'2.3 melléklet'!N103+'2.3 melléklet'!N107+'2.3 melléklet'!N111+'2.3 melléklet'!N133+'2.3 melléklet'!N137+'2.3 melléklet'!N151+'2.3 melléklet'!N158+'2.3 melléklet'!N166+'2.3 melléklet'!N176+'2.3 melléklet'!N182+'2.3 melléklet'!N186+'2.3 melléklet'!N173+'2.3 melléklet'!N189+'2.3 melléklet'!N194+'2.3 melléklet'!N198+'2.3 melléklet'!N216+'2.3 melléklet'!N221+'2.3 melléklet'!N218+'2.3 melléklet'!N212+'2.3 melléklet'!N208+'2.3 melléklet'!N202+'2.3 melléklet'!N226</f>
        <v>0</v>
      </c>
      <c r="Q10" s="512"/>
      <c r="R10" s="829">
        <f t="shared" si="2"/>
        <v>0</v>
      </c>
      <c r="S10" s="803"/>
    </row>
    <row r="11" spans="1:20" x14ac:dyDescent="0.35">
      <c r="A11" s="505" t="s">
        <v>336</v>
      </c>
      <c r="B11" s="813" t="s">
        <v>337</v>
      </c>
      <c r="C11" s="830">
        <v>18000000</v>
      </c>
      <c r="D11" s="512">
        <v>24000000</v>
      </c>
      <c r="E11" s="512"/>
      <c r="F11" s="829">
        <v>42000000</v>
      </c>
      <c r="G11" s="830">
        <v>18056521</v>
      </c>
      <c r="H11" s="512">
        <v>24319201</v>
      </c>
      <c r="I11" s="512"/>
      <c r="J11" s="829">
        <v>42375722</v>
      </c>
      <c r="K11" s="830">
        <f>+'2.3 melléklet'!K63+'2.3 melléklet'!K64</f>
        <v>7952685</v>
      </c>
      <c r="L11" s="512">
        <f>'2.3 melléklet'!K154+'2.3 melléklet'!K227</f>
        <v>2701223</v>
      </c>
      <c r="M11" s="512"/>
      <c r="N11" s="829">
        <f>SUM(K11:M11)</f>
        <v>10653908</v>
      </c>
      <c r="O11" s="830">
        <f>+'2.3 melléklet'!N63+'2.3 melléklet'!N64</f>
        <v>0</v>
      </c>
      <c r="P11" s="512">
        <f>'2.3 melléklet'!N154+'2.3 melléklet'!N227</f>
        <v>0</v>
      </c>
      <c r="Q11" s="512"/>
      <c r="R11" s="829">
        <f t="shared" si="2"/>
        <v>0</v>
      </c>
      <c r="S11" s="803"/>
    </row>
    <row r="12" spans="1:20" x14ac:dyDescent="0.35">
      <c r="A12" s="505" t="s">
        <v>338</v>
      </c>
      <c r="B12" s="813" t="s">
        <v>339</v>
      </c>
      <c r="C12" s="830">
        <v>964689080</v>
      </c>
      <c r="D12" s="512">
        <v>317387000</v>
      </c>
      <c r="E12" s="512">
        <v>0</v>
      </c>
      <c r="F12" s="829">
        <v>1282076080</v>
      </c>
      <c r="G12" s="830">
        <v>995989214</v>
      </c>
      <c r="H12" s="512">
        <v>327303667</v>
      </c>
      <c r="I12" s="512">
        <v>0</v>
      </c>
      <c r="J12" s="829">
        <v>1323292881</v>
      </c>
      <c r="K12" s="830">
        <f>SUM(K13:K17)</f>
        <v>333370988</v>
      </c>
      <c r="L12" s="512">
        <f>SUM(L13:L17)</f>
        <v>78750803</v>
      </c>
      <c r="M12" s="512">
        <f>SUM(M13:M17)</f>
        <v>0</v>
      </c>
      <c r="N12" s="829">
        <f t="shared" ref="N12:N16" si="4">SUM(K12:M12)</f>
        <v>412121791</v>
      </c>
      <c r="O12" s="830"/>
      <c r="P12" s="512">
        <f>SUM(P13:P17)</f>
        <v>0</v>
      </c>
      <c r="Q12" s="512">
        <f>SUM(Q13:Q17)</f>
        <v>0</v>
      </c>
      <c r="R12" s="829">
        <f t="shared" si="2"/>
        <v>0</v>
      </c>
      <c r="S12" s="803"/>
      <c r="T12" s="803"/>
    </row>
    <row r="13" spans="1:20" x14ac:dyDescent="0.35">
      <c r="A13" s="474"/>
      <c r="B13" s="814" t="s">
        <v>660</v>
      </c>
      <c r="C13" s="831">
        <v>769922000</v>
      </c>
      <c r="D13" s="470">
        <v>0</v>
      </c>
      <c r="E13" s="470">
        <v>0</v>
      </c>
      <c r="F13" s="832">
        <v>769922000</v>
      </c>
      <c r="G13" s="831">
        <v>769922000</v>
      </c>
      <c r="H13" s="470">
        <v>0</v>
      </c>
      <c r="I13" s="470">
        <v>0</v>
      </c>
      <c r="J13" s="832">
        <v>769922000</v>
      </c>
      <c r="K13" s="831">
        <f>+'2.3 melléklet'!K47</f>
        <v>333370988</v>
      </c>
      <c r="L13" s="470">
        <v>0</v>
      </c>
      <c r="M13" s="470">
        <v>0</v>
      </c>
      <c r="N13" s="832">
        <f t="shared" si="4"/>
        <v>333370988</v>
      </c>
      <c r="O13" s="831">
        <f>+'2.3 melléklet'!N47</f>
        <v>0</v>
      </c>
      <c r="P13" s="470">
        <v>0</v>
      </c>
      <c r="Q13" s="470">
        <v>0</v>
      </c>
      <c r="R13" s="832">
        <f t="shared" si="2"/>
        <v>0</v>
      </c>
      <c r="S13" s="803"/>
    </row>
    <row r="14" spans="1:20" s="92" customFormat="1" ht="29" x14ac:dyDescent="0.35">
      <c r="A14" s="474"/>
      <c r="B14" s="814" t="s">
        <v>661</v>
      </c>
      <c r="C14" s="831">
        <v>0</v>
      </c>
      <c r="D14" s="470">
        <v>0</v>
      </c>
      <c r="E14" s="470">
        <v>0</v>
      </c>
      <c r="F14" s="832">
        <v>0</v>
      </c>
      <c r="G14" s="831">
        <v>160675</v>
      </c>
      <c r="H14" s="470">
        <v>0</v>
      </c>
      <c r="I14" s="470">
        <v>0</v>
      </c>
      <c r="J14" s="832">
        <v>160675</v>
      </c>
      <c r="K14" s="831">
        <v>0</v>
      </c>
      <c r="L14" s="470">
        <v>0</v>
      </c>
      <c r="M14" s="470">
        <v>0</v>
      </c>
      <c r="N14" s="832">
        <f t="shared" si="4"/>
        <v>0</v>
      </c>
      <c r="O14" s="831">
        <v>0</v>
      </c>
      <c r="P14" s="470">
        <v>0</v>
      </c>
      <c r="Q14" s="470">
        <v>0</v>
      </c>
      <c r="R14" s="832">
        <f t="shared" si="2"/>
        <v>0</v>
      </c>
      <c r="S14" s="803"/>
    </row>
    <row r="15" spans="1:20" s="92" customFormat="1" ht="29" x14ac:dyDescent="0.35">
      <c r="A15" s="474"/>
      <c r="B15" s="814" t="s">
        <v>662</v>
      </c>
      <c r="C15" s="831">
        <v>0</v>
      </c>
      <c r="D15" s="470">
        <v>49987000</v>
      </c>
      <c r="E15" s="470">
        <v>0</v>
      </c>
      <c r="F15" s="832">
        <v>49987000</v>
      </c>
      <c r="G15" s="831">
        <v>0</v>
      </c>
      <c r="H15" s="470">
        <v>52372000</v>
      </c>
      <c r="I15" s="470">
        <v>0</v>
      </c>
      <c r="J15" s="832">
        <v>52372000</v>
      </c>
      <c r="K15" s="831">
        <v>0</v>
      </c>
      <c r="L15" s="470">
        <f>'2.3 melléklet'!K87+'2.3 melléklet'!K114+'2.3 melléklet'!K117+'2.3 melléklet'!K119+'2.3 melléklet'!K123+'2.3 melléklet'!K125</f>
        <v>23110500</v>
      </c>
      <c r="M15" s="470">
        <v>0</v>
      </c>
      <c r="N15" s="832">
        <f t="shared" si="4"/>
        <v>23110500</v>
      </c>
      <c r="O15" s="831">
        <f>'2.3 melléklet'!T87+'2.3 melléklet'!T117+'2.3 melléklet'!T114+'2.3 melléklet'!T119+'2.3 melléklet'!T123+'2.3 melléklet'!T125</f>
        <v>0</v>
      </c>
      <c r="P15" s="470">
        <f>'2.3 melléklet'!N87+'2.3 melléklet'!N114+'2.3 melléklet'!N117+'2.3 melléklet'!N119+'2.3 melléklet'!N123+'2.3 melléklet'!N125</f>
        <v>0</v>
      </c>
      <c r="Q15" s="470">
        <v>0</v>
      </c>
      <c r="R15" s="832">
        <f t="shared" si="2"/>
        <v>0</v>
      </c>
      <c r="S15" s="803"/>
    </row>
    <row r="16" spans="1:20" ht="29" x14ac:dyDescent="0.35">
      <c r="A16" s="474"/>
      <c r="B16" s="814" t="s">
        <v>663</v>
      </c>
      <c r="C16" s="831">
        <v>0</v>
      </c>
      <c r="D16" s="451">
        <v>267400000</v>
      </c>
      <c r="E16" s="451">
        <v>0</v>
      </c>
      <c r="F16" s="833">
        <v>267400000</v>
      </c>
      <c r="G16" s="831">
        <v>1630000</v>
      </c>
      <c r="H16" s="451">
        <v>274931667</v>
      </c>
      <c r="I16" s="451">
        <v>0</v>
      </c>
      <c r="J16" s="833">
        <v>276561667</v>
      </c>
      <c r="K16" s="831">
        <v>0</v>
      </c>
      <c r="L16" s="451">
        <f>'2.3 melléklet'!K127+'2.3 melléklet'!K129+'2.3 melléklet'!K131+'2.3 melléklet'!K134+'2.3 melléklet'!K136+'2.3 melléklet'!K139+'2.3 melléklet'!K142+'2.3 melléklet'!K144+'2.3 melléklet'!K147+'2.3 melléklet'!K149+'2.3 melléklet'!K188+'2.3 melléklet'!K160+'2.3 melléklet'!K174+'2.3 melléklet'!K222</f>
        <v>55640303</v>
      </c>
      <c r="M16" s="451">
        <v>0</v>
      </c>
      <c r="N16" s="832">
        <f t="shared" si="4"/>
        <v>55640303</v>
      </c>
      <c r="O16" s="831">
        <v>0</v>
      </c>
      <c r="P16" s="451">
        <f>'2.3 melléklet'!N127+'2.3 melléklet'!N129+'2.3 melléklet'!N131+'2.3 melléklet'!N134+'2.3 melléklet'!N136+'2.3 melléklet'!N139+'2.3 melléklet'!N142+'2.3 melléklet'!N144+'2.3 melléklet'!N147+'2.3 melléklet'!N149+'2.3 melléklet'!N188+'2.3 melléklet'!N160+'2.3 melléklet'!N174</f>
        <v>0</v>
      </c>
      <c r="Q16" s="451">
        <v>0</v>
      </c>
      <c r="R16" s="833">
        <f t="shared" si="2"/>
        <v>0</v>
      </c>
      <c r="S16" s="803"/>
    </row>
    <row r="17" spans="1:19" x14ac:dyDescent="0.35">
      <c r="A17" s="474"/>
      <c r="B17" s="814" t="s">
        <v>664</v>
      </c>
      <c r="C17" s="831">
        <v>194767080</v>
      </c>
      <c r="D17" s="470">
        <v>0</v>
      </c>
      <c r="E17" s="470">
        <v>0</v>
      </c>
      <c r="F17" s="832">
        <v>194767080</v>
      </c>
      <c r="G17" s="831">
        <v>224276539</v>
      </c>
      <c r="H17" s="470">
        <v>0</v>
      </c>
      <c r="I17" s="470">
        <v>0</v>
      </c>
      <c r="J17" s="832">
        <v>224276539</v>
      </c>
      <c r="K17" s="831">
        <f>K18+K19+K20</f>
        <v>0</v>
      </c>
      <c r="L17" s="470">
        <f>L18+L19+L20</f>
        <v>0</v>
      </c>
      <c r="M17" s="470">
        <f>M18+M19+M20</f>
        <v>0</v>
      </c>
      <c r="N17" s="832">
        <f t="shared" ref="N17:N20" si="5">SUM(K17:M17)</f>
        <v>0</v>
      </c>
      <c r="O17" s="831">
        <f>O18+O19+O20</f>
        <v>0</v>
      </c>
      <c r="P17" s="470">
        <f>P18+P19+P20</f>
        <v>0</v>
      </c>
      <c r="Q17" s="470">
        <f>Q18+Q19+Q20</f>
        <v>0</v>
      </c>
      <c r="R17" s="1032">
        <f t="shared" si="2"/>
        <v>0</v>
      </c>
      <c r="S17" s="803"/>
    </row>
    <row r="18" spans="1:19" x14ac:dyDescent="0.35">
      <c r="A18" s="474"/>
      <c r="B18" s="815" t="s">
        <v>665</v>
      </c>
      <c r="C18" s="834">
        <v>55159862</v>
      </c>
      <c r="D18" s="468">
        <v>0</v>
      </c>
      <c r="E18" s="468">
        <v>0</v>
      </c>
      <c r="F18" s="835">
        <v>55159862</v>
      </c>
      <c r="G18" s="834">
        <v>64842069</v>
      </c>
      <c r="H18" s="468">
        <v>0</v>
      </c>
      <c r="I18" s="468">
        <v>0</v>
      </c>
      <c r="J18" s="835">
        <v>64842069</v>
      </c>
      <c r="K18" s="834">
        <f>'2.4 melléklet'!J3</f>
        <v>0</v>
      </c>
      <c r="L18" s="468">
        <v>0</v>
      </c>
      <c r="M18" s="468">
        <v>0</v>
      </c>
      <c r="N18" s="835">
        <f t="shared" si="5"/>
        <v>0</v>
      </c>
      <c r="O18" s="834"/>
      <c r="P18" s="468">
        <v>0</v>
      </c>
      <c r="Q18" s="468">
        <v>0</v>
      </c>
      <c r="R18" s="1033">
        <f t="shared" si="2"/>
        <v>0</v>
      </c>
      <c r="S18" s="803"/>
    </row>
    <row r="19" spans="1:19" x14ac:dyDescent="0.35">
      <c r="A19" s="474"/>
      <c r="B19" s="815" t="s">
        <v>666</v>
      </c>
      <c r="C19" s="834">
        <v>136607218</v>
      </c>
      <c r="D19" s="468">
        <v>0</v>
      </c>
      <c r="E19" s="468">
        <v>0</v>
      </c>
      <c r="F19" s="835">
        <v>136607218</v>
      </c>
      <c r="G19" s="834">
        <v>110792218</v>
      </c>
      <c r="H19" s="468">
        <v>0</v>
      </c>
      <c r="I19" s="468">
        <v>0</v>
      </c>
      <c r="J19" s="835">
        <v>110792218</v>
      </c>
      <c r="K19" s="834">
        <f>'2.4 melléklet'!J4</f>
        <v>0</v>
      </c>
      <c r="L19" s="468">
        <v>0</v>
      </c>
      <c r="M19" s="468">
        <f>'2.4 melléklet'!N4</f>
        <v>0</v>
      </c>
      <c r="N19" s="835">
        <f t="shared" si="5"/>
        <v>0</v>
      </c>
      <c r="O19" s="834"/>
      <c r="P19" s="468">
        <v>0</v>
      </c>
      <c r="Q19" s="468">
        <f>'2.4 melléklet'!R4</f>
        <v>0</v>
      </c>
      <c r="R19" s="1033">
        <f t="shared" si="2"/>
        <v>0</v>
      </c>
      <c r="S19" s="803"/>
    </row>
    <row r="20" spans="1:19" x14ac:dyDescent="0.35">
      <c r="A20" s="474"/>
      <c r="B20" s="815" t="s">
        <v>1790</v>
      </c>
      <c r="C20" s="836">
        <v>3000000</v>
      </c>
      <c r="D20" s="362">
        <v>0</v>
      </c>
      <c r="E20" s="362">
        <v>0</v>
      </c>
      <c r="F20" s="835">
        <v>3000000</v>
      </c>
      <c r="G20" s="836">
        <v>48642252</v>
      </c>
      <c r="H20" s="362">
        <v>0</v>
      </c>
      <c r="I20" s="362">
        <v>0</v>
      </c>
      <c r="J20" s="835">
        <v>48642252</v>
      </c>
      <c r="K20" s="836">
        <f>'2.4 melléklet'!J26</f>
        <v>0</v>
      </c>
      <c r="L20" s="362">
        <f>'2.4 melléklet'!M26</f>
        <v>0</v>
      </c>
      <c r="M20" s="362">
        <f>'2.4 melléklet'!N26</f>
        <v>0</v>
      </c>
      <c r="N20" s="835">
        <f t="shared" si="5"/>
        <v>0</v>
      </c>
      <c r="O20" s="836"/>
      <c r="P20" s="362">
        <f>'2.4 melléklet'!Q26</f>
        <v>0</v>
      </c>
      <c r="Q20" s="362">
        <f>'2.4 melléklet'!R26</f>
        <v>0</v>
      </c>
      <c r="R20" s="835">
        <f t="shared" si="2"/>
        <v>0</v>
      </c>
      <c r="S20" s="803"/>
    </row>
    <row r="21" spans="1:19" x14ac:dyDescent="0.35">
      <c r="A21" s="502" t="s">
        <v>318</v>
      </c>
      <c r="B21" s="812" t="s">
        <v>340</v>
      </c>
      <c r="C21" s="826">
        <v>839556318</v>
      </c>
      <c r="D21" s="485">
        <v>306100000</v>
      </c>
      <c r="E21" s="485">
        <v>0</v>
      </c>
      <c r="F21" s="827">
        <v>1145656318</v>
      </c>
      <c r="G21" s="826">
        <v>1260470476</v>
      </c>
      <c r="H21" s="485">
        <v>400174366</v>
      </c>
      <c r="I21" s="485">
        <v>0</v>
      </c>
      <c r="J21" s="827">
        <v>1660644842</v>
      </c>
      <c r="K21" s="826">
        <f>K22+K23+K24</f>
        <v>54791892</v>
      </c>
      <c r="L21" s="485">
        <f>L22+L23+L24</f>
        <v>13035800</v>
      </c>
      <c r="M21" s="485">
        <f>M22+M23+M24</f>
        <v>0</v>
      </c>
      <c r="N21" s="827">
        <f t="shared" si="1"/>
        <v>67827692</v>
      </c>
      <c r="O21" s="826">
        <f>O22+O23+O24</f>
        <v>0</v>
      </c>
      <c r="P21" s="485">
        <f>P22+P23+P24</f>
        <v>900000</v>
      </c>
      <c r="Q21" s="485">
        <f>Q22+Q23+Q24</f>
        <v>0</v>
      </c>
      <c r="R21" s="827">
        <f t="shared" si="2"/>
        <v>900000</v>
      </c>
      <c r="S21" s="803"/>
    </row>
    <row r="22" spans="1:19" x14ac:dyDescent="0.35">
      <c r="A22" s="505" t="s">
        <v>311</v>
      </c>
      <c r="B22" s="813" t="s">
        <v>351</v>
      </c>
      <c r="C22" s="1034">
        <v>732000000</v>
      </c>
      <c r="D22" s="512">
        <v>306100000</v>
      </c>
      <c r="E22" s="512"/>
      <c r="F22" s="829">
        <v>1038100000</v>
      </c>
      <c r="G22" s="830">
        <v>1108186057</v>
      </c>
      <c r="H22" s="512">
        <v>275174366</v>
      </c>
      <c r="I22" s="512"/>
      <c r="J22" s="829">
        <v>1383360423</v>
      </c>
      <c r="K22" s="830">
        <f>+'2.3 melléklet'!K11+'2.3 melléklet'!K15+'2.3 melléklet'!K20+'2.3 melléklet'!K25+'2.3 melléklet'!K32+'2.3 melléklet'!K36+'2.3 melléklet'!K42+'2.3 melléklet'!K49+'2.3 melléklet'!K55+'2.3 melléklet'!K71</f>
        <v>16027717</v>
      </c>
      <c r="L22" s="512">
        <f>+'2.3 melléklet'!K76+'2.3 melléklet'!K79+'2.3 melléklet'!K112+'2.3 melléklet'!K162+'2.3 melléklet'!K167+'2.3 melléklet'!K219+'2.3 melléklet'!K228</f>
        <v>13035800</v>
      </c>
      <c r="M22" s="512"/>
      <c r="N22" s="829">
        <f>SUM(K22:M22)</f>
        <v>29063517</v>
      </c>
      <c r="O22" s="830">
        <f>'2.3 melléklet'!N11+'2.3 melléklet'!N15+'2.3 melléklet'!N20+'2.3 melléklet'!N32+'2.3 melléklet'!N36+'2.3 melléklet'!N42+'2.3 melléklet'!N49+'2.3 melléklet'!N55</f>
        <v>0</v>
      </c>
      <c r="P22" s="512">
        <f>'2.3 melléklet'!N76+'2.3 melléklet'!N79+'2.3 melléklet'!N112+'2.3 melléklet'!N167+'2.3 melléklet'!N190+'2.3 melléklet'!N175+'2.3 melléklet'!N162+'2.3 melléklet'!N228+'2.3 melléklet'!N219</f>
        <v>900000</v>
      </c>
      <c r="Q22" s="512"/>
      <c r="R22" s="829">
        <f t="shared" si="2"/>
        <v>900000</v>
      </c>
      <c r="S22" s="803"/>
    </row>
    <row r="23" spans="1:19" x14ac:dyDescent="0.35">
      <c r="A23" s="505" t="s">
        <v>322</v>
      </c>
      <c r="B23" s="813" t="s">
        <v>342</v>
      </c>
      <c r="C23" s="830">
        <v>107556318</v>
      </c>
      <c r="D23" s="512">
        <v>0</v>
      </c>
      <c r="E23" s="512"/>
      <c r="F23" s="829">
        <v>107556318</v>
      </c>
      <c r="G23" s="830">
        <v>151584419</v>
      </c>
      <c r="H23" s="512">
        <v>40000000</v>
      </c>
      <c r="I23" s="512"/>
      <c r="J23" s="829">
        <v>191584419</v>
      </c>
      <c r="K23" s="830">
        <f>+'2.3 melléklet'!K50+'2.3 melléklet'!K56</f>
        <v>38764175</v>
      </c>
      <c r="L23" s="512">
        <f>+'2.3 melléklet'!K168</f>
        <v>0</v>
      </c>
      <c r="M23" s="512"/>
      <c r="N23" s="829">
        <f t="shared" ref="N23:N24" si="6">SUM(K23:M23)</f>
        <v>38764175</v>
      </c>
      <c r="O23" s="830">
        <f>'2.3 melléklet'!N56+'2.3 melléklet'!N72+'2.3 melléklet'!N50</f>
        <v>0</v>
      </c>
      <c r="P23" s="512">
        <f>'2.3 melléklet'!N168+'2.3 melléklet'!N176</f>
        <v>0</v>
      </c>
      <c r="Q23" s="512"/>
      <c r="R23" s="829">
        <f t="shared" si="2"/>
        <v>0</v>
      </c>
      <c r="S23" s="803"/>
    </row>
    <row r="24" spans="1:19" x14ac:dyDescent="0.35">
      <c r="A24" s="505" t="s">
        <v>315</v>
      </c>
      <c r="B24" s="813" t="s">
        <v>343</v>
      </c>
      <c r="C24" s="828">
        <v>0</v>
      </c>
      <c r="D24" s="511">
        <v>0</v>
      </c>
      <c r="E24" s="511">
        <v>0</v>
      </c>
      <c r="F24" s="829">
        <v>0</v>
      </c>
      <c r="G24" s="828">
        <v>700000</v>
      </c>
      <c r="H24" s="828">
        <v>85000000</v>
      </c>
      <c r="I24" s="511">
        <v>0</v>
      </c>
      <c r="J24" s="829">
        <v>85700000</v>
      </c>
      <c r="K24" s="828">
        <f>SUM(K25:K29)</f>
        <v>0</v>
      </c>
      <c r="L24" s="828">
        <f>SUM(L25:L29)</f>
        <v>0</v>
      </c>
      <c r="M24" s="511">
        <v>0</v>
      </c>
      <c r="N24" s="829">
        <f t="shared" si="6"/>
        <v>0</v>
      </c>
      <c r="O24" s="828">
        <f>SUM(O25:O29)</f>
        <v>0</v>
      </c>
      <c r="P24" s="511">
        <f>SUM(P25:P29)</f>
        <v>0</v>
      </c>
      <c r="Q24" s="511">
        <f>SUM(Q25:Q29)</f>
        <v>0</v>
      </c>
      <c r="R24" s="829">
        <f t="shared" si="2"/>
        <v>0</v>
      </c>
      <c r="S24" s="803"/>
    </row>
    <row r="25" spans="1:19" ht="29" x14ac:dyDescent="0.35">
      <c r="A25" s="474"/>
      <c r="B25" s="814" t="s">
        <v>667</v>
      </c>
      <c r="C25" s="837">
        <v>0</v>
      </c>
      <c r="D25" s="513">
        <v>0</v>
      </c>
      <c r="E25" s="513">
        <v>0</v>
      </c>
      <c r="F25" s="832">
        <v>0</v>
      </c>
      <c r="G25" s="837">
        <v>0</v>
      </c>
      <c r="H25" s="513">
        <v>0</v>
      </c>
      <c r="I25" s="513">
        <v>0</v>
      </c>
      <c r="J25" s="832">
        <v>0</v>
      </c>
      <c r="K25" s="837">
        <v>0</v>
      </c>
      <c r="L25" s="513">
        <v>0</v>
      </c>
      <c r="M25" s="513">
        <v>0</v>
      </c>
      <c r="N25" s="832"/>
      <c r="O25" s="837">
        <v>0</v>
      </c>
      <c r="P25" s="513">
        <v>0</v>
      </c>
      <c r="Q25" s="513">
        <v>0</v>
      </c>
      <c r="R25" s="832">
        <f t="shared" si="2"/>
        <v>0</v>
      </c>
      <c r="S25" s="803"/>
    </row>
    <row r="26" spans="1:19" ht="26.25" customHeight="1" x14ac:dyDescent="0.35">
      <c r="A26" s="474"/>
      <c r="B26" s="814" t="s">
        <v>668</v>
      </c>
      <c r="C26" s="837">
        <v>0</v>
      </c>
      <c r="D26" s="513">
        <v>0</v>
      </c>
      <c r="E26" s="513">
        <v>0</v>
      </c>
      <c r="F26" s="832">
        <v>0</v>
      </c>
      <c r="G26" s="837">
        <v>0</v>
      </c>
      <c r="H26" s="513">
        <v>0</v>
      </c>
      <c r="I26" s="513">
        <v>0</v>
      </c>
      <c r="J26" s="832">
        <v>0</v>
      </c>
      <c r="K26" s="837">
        <v>0</v>
      </c>
      <c r="L26" s="513">
        <v>0</v>
      </c>
      <c r="M26" s="513">
        <v>0</v>
      </c>
      <c r="N26" s="832"/>
      <c r="O26" s="837">
        <v>0</v>
      </c>
      <c r="P26" s="513">
        <v>0</v>
      </c>
      <c r="Q26" s="513">
        <v>0</v>
      </c>
      <c r="R26" s="832">
        <f t="shared" si="2"/>
        <v>0</v>
      </c>
      <c r="S26" s="803"/>
    </row>
    <row r="27" spans="1:19" x14ac:dyDescent="0.35">
      <c r="A27" s="474"/>
      <c r="B27" s="814" t="s">
        <v>669</v>
      </c>
      <c r="C27" s="837">
        <v>0</v>
      </c>
      <c r="D27" s="513">
        <v>0</v>
      </c>
      <c r="E27" s="513">
        <v>0</v>
      </c>
      <c r="F27" s="832">
        <v>0</v>
      </c>
      <c r="G27" s="837">
        <v>0</v>
      </c>
      <c r="H27" s="513">
        <v>0</v>
      </c>
      <c r="I27" s="513">
        <v>0</v>
      </c>
      <c r="J27" s="832">
        <v>0</v>
      </c>
      <c r="K27" s="837">
        <v>0</v>
      </c>
      <c r="L27" s="513">
        <v>0</v>
      </c>
      <c r="M27" s="513">
        <v>0</v>
      </c>
      <c r="N27" s="832"/>
      <c r="O27" s="837">
        <v>0</v>
      </c>
      <c r="P27" s="513">
        <v>0</v>
      </c>
      <c r="Q27" s="513">
        <v>0</v>
      </c>
      <c r="R27" s="832">
        <f t="shared" si="2"/>
        <v>0</v>
      </c>
      <c r="S27" s="803"/>
    </row>
    <row r="28" spans="1:19" ht="24" customHeight="1" x14ac:dyDescent="0.35">
      <c r="A28" s="474"/>
      <c r="B28" s="814" t="s">
        <v>670</v>
      </c>
      <c r="C28" s="837">
        <v>0</v>
      </c>
      <c r="D28" s="513">
        <v>0</v>
      </c>
      <c r="E28" s="513">
        <v>0</v>
      </c>
      <c r="F28" s="832">
        <v>0</v>
      </c>
      <c r="G28" s="837">
        <v>0</v>
      </c>
      <c r="H28" s="513">
        <v>85000000</v>
      </c>
      <c r="I28" s="513">
        <v>0</v>
      </c>
      <c r="J28" s="832">
        <v>85000000</v>
      </c>
      <c r="K28" s="837">
        <v>0</v>
      </c>
      <c r="L28" s="513">
        <v>0</v>
      </c>
      <c r="M28" s="513">
        <v>0</v>
      </c>
      <c r="N28" s="832"/>
      <c r="O28" s="837">
        <f>+'2.3 melléklet'!N161</f>
        <v>0</v>
      </c>
      <c r="P28" s="513">
        <v>0</v>
      </c>
      <c r="Q28" s="513">
        <v>0</v>
      </c>
      <c r="R28" s="832">
        <f t="shared" si="2"/>
        <v>0</v>
      </c>
      <c r="S28" s="803"/>
    </row>
    <row r="29" spans="1:19" ht="29" x14ac:dyDescent="0.35">
      <c r="A29" s="474"/>
      <c r="B29" s="814" t="s">
        <v>671</v>
      </c>
      <c r="C29" s="837">
        <v>0</v>
      </c>
      <c r="D29" s="513">
        <v>0</v>
      </c>
      <c r="E29" s="513">
        <v>0</v>
      </c>
      <c r="F29" s="832">
        <v>0</v>
      </c>
      <c r="G29" s="1059">
        <v>700000</v>
      </c>
      <c r="H29" s="513">
        <v>0</v>
      </c>
      <c r="I29" s="513">
        <v>0</v>
      </c>
      <c r="J29" s="832">
        <v>700000</v>
      </c>
      <c r="K29" s="837">
        <f>+'2.3 melléklet'!K12</f>
        <v>0</v>
      </c>
      <c r="L29" s="513">
        <v>0</v>
      </c>
      <c r="M29" s="513">
        <v>0</v>
      </c>
      <c r="N29" s="835">
        <f t="shared" ref="N29" si="7">SUM(K29:M29)</f>
        <v>0</v>
      </c>
      <c r="O29" s="837">
        <f>'2.3 melléklet'!N12</f>
        <v>0</v>
      </c>
      <c r="P29" s="513">
        <f>+'2.3 melléklet'!N145</f>
        <v>0</v>
      </c>
      <c r="Q29" s="513">
        <v>0</v>
      </c>
      <c r="R29" s="832">
        <f t="shared" si="2"/>
        <v>0</v>
      </c>
      <c r="S29" s="803"/>
    </row>
    <row r="30" spans="1:19" x14ac:dyDescent="0.35">
      <c r="A30" s="473"/>
      <c r="B30" s="816" t="s">
        <v>583</v>
      </c>
      <c r="C30" s="838">
        <v>2355484943</v>
      </c>
      <c r="D30" s="534">
        <v>801241700</v>
      </c>
      <c r="E30" s="534">
        <v>0</v>
      </c>
      <c r="F30" s="839">
        <v>3156726643</v>
      </c>
      <c r="G30" s="838">
        <v>2862318588</v>
      </c>
      <c r="H30" s="534">
        <v>947058224</v>
      </c>
      <c r="I30" s="534">
        <v>0</v>
      </c>
      <c r="J30" s="839">
        <v>3809376812</v>
      </c>
      <c r="K30" s="838">
        <f>K21+K7</f>
        <v>536523424</v>
      </c>
      <c r="L30" s="534">
        <f>L21+L7</f>
        <v>130155297</v>
      </c>
      <c r="M30" s="534">
        <f>M21+M7</f>
        <v>0</v>
      </c>
      <c r="N30" s="839">
        <f t="shared" si="1"/>
        <v>666678721</v>
      </c>
      <c r="O30" s="838">
        <f>O21+O7</f>
        <v>0</v>
      </c>
      <c r="P30" s="534">
        <f>P21+P7</f>
        <v>900000</v>
      </c>
      <c r="Q30" s="534">
        <f>Q21+Q7</f>
        <v>0</v>
      </c>
      <c r="R30" s="839">
        <f t="shared" si="2"/>
        <v>900000</v>
      </c>
      <c r="S30" s="803"/>
    </row>
    <row r="31" spans="1:19" x14ac:dyDescent="0.35">
      <c r="A31" s="502" t="s">
        <v>328</v>
      </c>
      <c r="B31" s="812" t="s">
        <v>586</v>
      </c>
      <c r="C31" s="826">
        <v>180645200</v>
      </c>
      <c r="D31" s="485">
        <v>0</v>
      </c>
      <c r="E31" s="485">
        <v>2750615332</v>
      </c>
      <c r="F31" s="827">
        <v>2931260532</v>
      </c>
      <c r="G31" s="826">
        <v>180645200</v>
      </c>
      <c r="H31" s="485">
        <v>0</v>
      </c>
      <c r="I31" s="485">
        <v>2994115044</v>
      </c>
      <c r="J31" s="827">
        <v>3174760244</v>
      </c>
      <c r="K31" s="826">
        <f>K32+K41</f>
        <v>45161289</v>
      </c>
      <c r="L31" s="485">
        <f>L32+L41</f>
        <v>0</v>
      </c>
      <c r="M31" s="485">
        <f>M32+M41</f>
        <v>1242923324</v>
      </c>
      <c r="N31" s="827">
        <f t="shared" si="1"/>
        <v>1288084613</v>
      </c>
      <c r="O31" s="826">
        <f>O32+O41</f>
        <v>0</v>
      </c>
      <c r="P31" s="485">
        <f>P32+P41</f>
        <v>0</v>
      </c>
      <c r="Q31" s="485">
        <f>Q32+Q41</f>
        <v>0</v>
      </c>
      <c r="R31" s="827">
        <f t="shared" si="2"/>
        <v>0</v>
      </c>
      <c r="S31" s="803"/>
    </row>
    <row r="32" spans="1:19" x14ac:dyDescent="0.35">
      <c r="A32" s="505" t="s">
        <v>311</v>
      </c>
      <c r="B32" s="813" t="s">
        <v>589</v>
      </c>
      <c r="C32" s="840">
        <v>180645200</v>
      </c>
      <c r="D32" s="514">
        <v>0</v>
      </c>
      <c r="E32" s="514">
        <v>2750615332</v>
      </c>
      <c r="F32" s="841">
        <v>2931260532</v>
      </c>
      <c r="G32" s="840">
        <v>180645200</v>
      </c>
      <c r="H32" s="514">
        <v>0</v>
      </c>
      <c r="I32" s="514">
        <v>2994115044</v>
      </c>
      <c r="J32" s="841">
        <v>3174760244</v>
      </c>
      <c r="K32" s="840">
        <f>K33+K38+K36+K40+K39+K37</f>
        <v>45161289</v>
      </c>
      <c r="L32" s="514">
        <f>L33+L38+L36+L40+L39+L37</f>
        <v>0</v>
      </c>
      <c r="M32" s="514">
        <f>M33+M38+M36+M40+M39+M37</f>
        <v>1242923324</v>
      </c>
      <c r="N32" s="841">
        <f t="shared" si="1"/>
        <v>1288084613</v>
      </c>
      <c r="O32" s="840">
        <f>O33+O38+O36+O40+O39+O37</f>
        <v>0</v>
      </c>
      <c r="P32" s="514">
        <f>P33+P38+P36+P40+P39+P37</f>
        <v>0</v>
      </c>
      <c r="Q32" s="514">
        <f>Q33+Q38+Q36+Q40+Q39+Q37</f>
        <v>0</v>
      </c>
      <c r="R32" s="841">
        <f t="shared" si="2"/>
        <v>0</v>
      </c>
      <c r="S32" s="803"/>
    </row>
    <row r="33" spans="1:19" x14ac:dyDescent="0.35">
      <c r="A33" s="474"/>
      <c r="B33" s="817" t="s">
        <v>672</v>
      </c>
      <c r="C33" s="842">
        <v>180645200</v>
      </c>
      <c r="D33" s="359"/>
      <c r="E33" s="359"/>
      <c r="F33" s="833">
        <v>180645200</v>
      </c>
      <c r="G33" s="842">
        <v>180645200</v>
      </c>
      <c r="H33" s="359"/>
      <c r="I33" s="359"/>
      <c r="J33" s="833">
        <v>180645200</v>
      </c>
      <c r="K33" s="842">
        <f>SUM(K34:K35)</f>
        <v>45161289</v>
      </c>
      <c r="L33" s="359"/>
      <c r="M33" s="359"/>
      <c r="N33" s="833">
        <f t="shared" si="1"/>
        <v>45161289</v>
      </c>
      <c r="O33" s="842">
        <f>SUM(O34:O35)</f>
        <v>0</v>
      </c>
      <c r="P33" s="359"/>
      <c r="Q33" s="359"/>
      <c r="R33" s="833">
        <f t="shared" si="2"/>
        <v>0</v>
      </c>
      <c r="S33" s="803"/>
    </row>
    <row r="34" spans="1:19" x14ac:dyDescent="0.35">
      <c r="A34" s="474"/>
      <c r="B34" s="815" t="s">
        <v>673</v>
      </c>
      <c r="C34" s="843">
        <v>180645200</v>
      </c>
      <c r="D34" s="339"/>
      <c r="E34" s="339"/>
      <c r="F34" s="844">
        <v>180645200</v>
      </c>
      <c r="G34" s="843">
        <v>180645200</v>
      </c>
      <c r="H34" s="339"/>
      <c r="I34" s="339"/>
      <c r="J34" s="844">
        <v>180645200</v>
      </c>
      <c r="K34" s="843">
        <f>+'2.3 melléklet'!K233</f>
        <v>45161289</v>
      </c>
      <c r="L34" s="339"/>
      <c r="M34" s="339"/>
      <c r="N34" s="844">
        <f t="shared" si="1"/>
        <v>45161289</v>
      </c>
      <c r="O34" s="843">
        <f>+'2.3 melléklet'!N233</f>
        <v>0</v>
      </c>
      <c r="P34" s="339"/>
      <c r="Q34" s="339"/>
      <c r="R34" s="844">
        <f t="shared" si="2"/>
        <v>0</v>
      </c>
      <c r="S34" s="803"/>
    </row>
    <row r="35" spans="1:19" ht="15" customHeight="1" x14ac:dyDescent="0.35">
      <c r="A35" s="474"/>
      <c r="B35" s="815" t="s">
        <v>674</v>
      </c>
      <c r="C35" s="843"/>
      <c r="D35" s="339"/>
      <c r="E35" s="339"/>
      <c r="F35" s="844">
        <v>0</v>
      </c>
      <c r="G35" s="843"/>
      <c r="H35" s="339"/>
      <c r="I35" s="339"/>
      <c r="J35" s="844">
        <v>0</v>
      </c>
      <c r="K35" s="843"/>
      <c r="L35" s="339"/>
      <c r="M35" s="339"/>
      <c r="N35" s="844">
        <f t="shared" si="1"/>
        <v>0</v>
      </c>
      <c r="O35" s="843"/>
      <c r="P35" s="339"/>
      <c r="Q35" s="339"/>
      <c r="R35" s="844">
        <f t="shared" si="2"/>
        <v>0</v>
      </c>
      <c r="S35" s="803"/>
    </row>
    <row r="36" spans="1:19" x14ac:dyDescent="0.35">
      <c r="A36" s="474"/>
      <c r="B36" s="817" t="s">
        <v>675</v>
      </c>
      <c r="C36" s="842"/>
      <c r="D36" s="359"/>
      <c r="E36" s="359"/>
      <c r="F36" s="833">
        <v>0</v>
      </c>
      <c r="G36" s="842"/>
      <c r="H36" s="359"/>
      <c r="I36" s="359"/>
      <c r="J36" s="833">
        <v>0</v>
      </c>
      <c r="K36" s="842"/>
      <c r="L36" s="359"/>
      <c r="M36" s="359"/>
      <c r="N36" s="833">
        <f t="shared" si="1"/>
        <v>0</v>
      </c>
      <c r="O36" s="842"/>
      <c r="P36" s="359"/>
      <c r="Q36" s="359"/>
      <c r="R36" s="833">
        <f t="shared" si="2"/>
        <v>0</v>
      </c>
      <c r="S36" s="803"/>
    </row>
    <row r="37" spans="1:19" ht="25.5" customHeight="1" x14ac:dyDescent="0.35">
      <c r="A37" s="474"/>
      <c r="B37" s="817" t="s">
        <v>676</v>
      </c>
      <c r="C37" s="842"/>
      <c r="D37" s="359">
        <v>0</v>
      </c>
      <c r="E37" s="359">
        <v>40497942</v>
      </c>
      <c r="F37" s="833">
        <v>40497942</v>
      </c>
      <c r="G37" s="842"/>
      <c r="H37" s="359">
        <v>0</v>
      </c>
      <c r="I37" s="359">
        <v>226332654</v>
      </c>
      <c r="J37" s="833">
        <v>226332654</v>
      </c>
      <c r="K37" s="842"/>
      <c r="L37" s="359">
        <v>0</v>
      </c>
      <c r="M37" s="359">
        <f>'2.3 melléklet'!K232</f>
        <v>226332654</v>
      </c>
      <c r="N37" s="833">
        <f t="shared" si="1"/>
        <v>226332654</v>
      </c>
      <c r="O37" s="842"/>
      <c r="P37" s="359">
        <v>0</v>
      </c>
      <c r="Q37" s="359">
        <f>'2.3 melléklet'!N232</f>
        <v>0</v>
      </c>
      <c r="R37" s="833">
        <f t="shared" si="2"/>
        <v>0</v>
      </c>
      <c r="S37" s="803"/>
    </row>
    <row r="38" spans="1:19" x14ac:dyDescent="0.35">
      <c r="A38" s="474"/>
      <c r="B38" s="817" t="s">
        <v>677</v>
      </c>
      <c r="C38" s="842">
        <v>0</v>
      </c>
      <c r="D38" s="359">
        <v>0</v>
      </c>
      <c r="E38" s="359">
        <v>2710117390</v>
      </c>
      <c r="F38" s="833">
        <v>2710117390</v>
      </c>
      <c r="G38" s="842">
        <v>0</v>
      </c>
      <c r="H38" s="359">
        <v>0</v>
      </c>
      <c r="I38" s="359">
        <v>2767782390</v>
      </c>
      <c r="J38" s="833">
        <v>2767782390</v>
      </c>
      <c r="K38" s="842">
        <v>0</v>
      </c>
      <c r="L38" s="359">
        <v>0</v>
      </c>
      <c r="M38" s="359">
        <f>'2.3 melléklet'!K231</f>
        <v>1016590670</v>
      </c>
      <c r="N38" s="833">
        <f t="shared" si="1"/>
        <v>1016590670</v>
      </c>
      <c r="O38" s="842">
        <v>0</v>
      </c>
      <c r="P38" s="359">
        <v>0</v>
      </c>
      <c r="Q38" s="359">
        <f>'2.3 melléklet'!N231</f>
        <v>0</v>
      </c>
      <c r="R38" s="833">
        <f t="shared" si="2"/>
        <v>0</v>
      </c>
      <c r="S38" s="803"/>
    </row>
    <row r="39" spans="1:19" ht="15" customHeight="1" x14ac:dyDescent="0.35">
      <c r="A39" s="474"/>
      <c r="B39" s="817" t="s">
        <v>678</v>
      </c>
      <c r="C39" s="842"/>
      <c r="D39" s="845"/>
      <c r="E39" s="359">
        <v>0</v>
      </c>
      <c r="F39" s="833">
        <v>0</v>
      </c>
      <c r="G39" s="842"/>
      <c r="H39" s="845"/>
      <c r="I39" s="359">
        <v>0</v>
      </c>
      <c r="J39" s="833">
        <v>0</v>
      </c>
      <c r="K39" s="842"/>
      <c r="L39" s="845"/>
      <c r="M39" s="359">
        <f>'2.3 melléklet'!M234</f>
        <v>0</v>
      </c>
      <c r="N39" s="833">
        <f t="shared" ref="N39:N40" si="8">SUM(K39:M39)</f>
        <v>0</v>
      </c>
      <c r="O39" s="842"/>
      <c r="P39" s="845"/>
      <c r="Q39" s="359"/>
      <c r="R39" s="833">
        <f t="shared" ref="R39:R44" si="9">SUM(O39:Q39)</f>
        <v>0</v>
      </c>
      <c r="S39" s="803"/>
    </row>
    <row r="40" spans="1:19" ht="15" customHeight="1" x14ac:dyDescent="0.35">
      <c r="A40" s="474"/>
      <c r="B40" s="817" t="s">
        <v>679</v>
      </c>
      <c r="C40" s="842"/>
      <c r="D40" s="359"/>
      <c r="E40" s="359"/>
      <c r="F40" s="833">
        <v>0</v>
      </c>
      <c r="G40" s="842"/>
      <c r="H40" s="359"/>
      <c r="I40" s="359"/>
      <c r="J40" s="833">
        <v>0</v>
      </c>
      <c r="K40" s="842"/>
      <c r="L40" s="359"/>
      <c r="M40" s="359"/>
      <c r="N40" s="833">
        <f t="shared" si="8"/>
        <v>0</v>
      </c>
      <c r="O40" s="842"/>
      <c r="P40" s="359"/>
      <c r="Q40" s="359"/>
      <c r="R40" s="833">
        <f t="shared" si="9"/>
        <v>0</v>
      </c>
      <c r="S40" s="803"/>
    </row>
    <row r="41" spans="1:19" x14ac:dyDescent="0.35">
      <c r="A41" s="505" t="s">
        <v>322</v>
      </c>
      <c r="B41" s="813" t="s">
        <v>590</v>
      </c>
      <c r="C41" s="840">
        <v>0</v>
      </c>
      <c r="D41" s="514">
        <v>0</v>
      </c>
      <c r="E41" s="514">
        <v>0</v>
      </c>
      <c r="F41" s="841">
        <v>0</v>
      </c>
      <c r="G41" s="840">
        <v>0</v>
      </c>
      <c r="H41" s="514">
        <v>0</v>
      </c>
      <c r="I41" s="514">
        <v>0</v>
      </c>
      <c r="J41" s="841">
        <v>0</v>
      </c>
      <c r="K41" s="840">
        <f>K42+K43</f>
        <v>0</v>
      </c>
      <c r="L41" s="514">
        <f>L42+L43</f>
        <v>0</v>
      </c>
      <c r="M41" s="514">
        <f>M42+M43</f>
        <v>0</v>
      </c>
      <c r="N41" s="841">
        <f t="shared" ref="N41:N44" si="10">SUM(K41:M41)</f>
        <v>0</v>
      </c>
      <c r="O41" s="840">
        <f>O42+O43</f>
        <v>0</v>
      </c>
      <c r="P41" s="514">
        <f>P42+P43</f>
        <v>0</v>
      </c>
      <c r="Q41" s="514">
        <f>Q42+Q43</f>
        <v>0</v>
      </c>
      <c r="R41" s="841">
        <f t="shared" si="9"/>
        <v>0</v>
      </c>
      <c r="S41" s="803"/>
    </row>
    <row r="42" spans="1:19" ht="15" customHeight="1" x14ac:dyDescent="0.35">
      <c r="A42" s="474"/>
      <c r="B42" s="817" t="s">
        <v>680</v>
      </c>
      <c r="C42" s="842"/>
      <c r="D42" s="359"/>
      <c r="E42" s="359"/>
      <c r="F42" s="833">
        <v>0</v>
      </c>
      <c r="G42" s="842"/>
      <c r="H42" s="359"/>
      <c r="I42" s="359"/>
      <c r="J42" s="833">
        <v>0</v>
      </c>
      <c r="K42" s="842"/>
      <c r="L42" s="359"/>
      <c r="M42" s="359"/>
      <c r="N42" s="833">
        <f t="shared" si="10"/>
        <v>0</v>
      </c>
      <c r="O42" s="842"/>
      <c r="P42" s="359"/>
      <c r="Q42" s="359"/>
      <c r="R42" s="833">
        <f t="shared" si="9"/>
        <v>0</v>
      </c>
      <c r="S42" s="803"/>
    </row>
    <row r="43" spans="1:19" ht="15" customHeight="1" x14ac:dyDescent="0.35">
      <c r="A43" s="474"/>
      <c r="B43" s="817" t="s">
        <v>681</v>
      </c>
      <c r="C43" s="842"/>
      <c r="D43" s="359"/>
      <c r="E43" s="359"/>
      <c r="F43" s="833">
        <v>0</v>
      </c>
      <c r="G43" s="842"/>
      <c r="H43" s="359"/>
      <c r="I43" s="359"/>
      <c r="J43" s="833">
        <v>0</v>
      </c>
      <c r="K43" s="842"/>
      <c r="L43" s="359"/>
      <c r="M43" s="359"/>
      <c r="N43" s="833">
        <f t="shared" si="10"/>
        <v>0</v>
      </c>
      <c r="O43" s="842"/>
      <c r="P43" s="359"/>
      <c r="Q43" s="359"/>
      <c r="R43" s="833">
        <f t="shared" si="9"/>
        <v>0</v>
      </c>
      <c r="S43" s="803"/>
    </row>
    <row r="44" spans="1:19" x14ac:dyDescent="0.35">
      <c r="A44" s="509"/>
      <c r="B44" s="818" t="s">
        <v>344</v>
      </c>
      <c r="C44" s="846">
        <v>2536130143</v>
      </c>
      <c r="D44" s="847">
        <v>801241700</v>
      </c>
      <c r="E44" s="847">
        <v>2750615332</v>
      </c>
      <c r="F44" s="848">
        <v>6087987175</v>
      </c>
      <c r="G44" s="846">
        <v>3042963788</v>
      </c>
      <c r="H44" s="847">
        <v>947058224</v>
      </c>
      <c r="I44" s="847">
        <v>2994115044</v>
      </c>
      <c r="J44" s="848">
        <v>6984137056</v>
      </c>
      <c r="K44" s="846">
        <f>K31+K30</f>
        <v>581684713</v>
      </c>
      <c r="L44" s="847">
        <f>L31+L30</f>
        <v>130155297</v>
      </c>
      <c r="M44" s="847">
        <f>M31+M30</f>
        <v>1242923324</v>
      </c>
      <c r="N44" s="848">
        <f t="shared" si="10"/>
        <v>1954763334</v>
      </c>
      <c r="O44" s="846">
        <f>O31+O30</f>
        <v>0</v>
      </c>
      <c r="P44" s="847">
        <f>P31+P30</f>
        <v>900000</v>
      </c>
      <c r="Q44" s="847">
        <f>Q31+Q30</f>
        <v>0</v>
      </c>
      <c r="R44" s="848">
        <f t="shared" si="9"/>
        <v>900000</v>
      </c>
      <c r="S44" s="803"/>
    </row>
    <row r="45" spans="1:19" x14ac:dyDescent="0.35">
      <c r="J45" s="767"/>
      <c r="N45" s="767">
        <f>+N44-J44</f>
        <v>-5029373722</v>
      </c>
      <c r="R45" s="767">
        <f>+R44-N44</f>
        <v>-1953863334</v>
      </c>
    </row>
    <row r="46" spans="1:19" x14ac:dyDescent="0.35">
      <c r="F46" s="767"/>
      <c r="J46" s="767"/>
      <c r="N46" s="767">
        <f>+'2.3 melléklet'!L5</f>
        <v>0</v>
      </c>
      <c r="R46" s="767">
        <f>+'2.3 melléklet'!N5</f>
        <v>900000</v>
      </c>
    </row>
    <row r="47" spans="1:19" x14ac:dyDescent="0.35">
      <c r="F47" s="767"/>
      <c r="J47" s="767"/>
      <c r="N47" s="767">
        <f>+N44-N46</f>
        <v>1954763334</v>
      </c>
      <c r="R47" s="767">
        <f>+R44-R46</f>
        <v>0</v>
      </c>
    </row>
    <row r="48" spans="1:19" x14ac:dyDescent="0.35">
      <c r="F48" s="767"/>
      <c r="J48" s="767"/>
      <c r="N48" s="767"/>
      <c r="R48" s="767"/>
    </row>
    <row r="49" spans="6:18" x14ac:dyDescent="0.35">
      <c r="J49" s="767"/>
    </row>
    <row r="50" spans="6:18" x14ac:dyDescent="0.35">
      <c r="F50" s="767"/>
      <c r="J50" s="767"/>
      <c r="N50" s="767"/>
      <c r="R50" s="767"/>
    </row>
    <row r="51" spans="6:18" x14ac:dyDescent="0.35">
      <c r="J51" s="767"/>
    </row>
    <row r="52" spans="6:18" x14ac:dyDescent="0.35">
      <c r="J52" s="767"/>
    </row>
  </sheetData>
  <mergeCells count="6">
    <mergeCell ref="O3:R3"/>
    <mergeCell ref="C3:F3"/>
    <mergeCell ref="A3:A4"/>
    <mergeCell ref="B3:B4"/>
    <mergeCell ref="G3:J3"/>
    <mergeCell ref="K3:N3"/>
  </mergeCells>
  <printOptions horizontalCentered="1"/>
  <pageMargins left="0.15748031496062992" right="0.19685039370078741" top="0.78740157480314965" bottom="0.15748031496062992" header="0.15748031496062992" footer="0.23622047244094491"/>
  <pageSetup paperSize="9" scale="35" fitToWidth="0" fitToHeight="0" orientation="portrait" copies="4" r:id="rId1"/>
  <headerFooter>
    <oddHeader>&amp;L2.2  melléklet &amp;C&amp;"-,Félkövér"&amp;16
Az Önkormányzat 2021. évi kiadásai jogcímenként és feladatonként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49"/>
  <sheetViews>
    <sheetView view="pageBreakPreview" topLeftCell="A220" zoomScale="87" zoomScaleNormal="100" zoomScaleSheetLayoutView="87" workbookViewId="0">
      <selection activeCell="H232" sqref="H232"/>
    </sheetView>
  </sheetViews>
  <sheetFormatPr defaultColWidth="9.1796875" defaultRowHeight="14.5" x14ac:dyDescent="0.35"/>
  <cols>
    <col min="1" max="1" width="5.81640625" style="391" customWidth="1"/>
    <col min="2" max="2" width="37.81640625" style="392" customWidth="1"/>
    <col min="3" max="4" width="10.81640625" style="395" customWidth="1"/>
    <col min="5" max="5" width="14.1796875" style="395" customWidth="1"/>
    <col min="6" max="6" width="10.81640625" style="395" customWidth="1"/>
    <col min="7" max="7" width="15.26953125" style="395" bestFit="1" customWidth="1"/>
    <col min="8" max="8" width="14" style="395" customWidth="1"/>
    <col min="9" max="9" width="12" style="395" hidden="1" customWidth="1"/>
    <col min="10" max="10" width="15.26953125" style="395" hidden="1" customWidth="1"/>
    <col min="11" max="11" width="13.453125" style="395" hidden="1" customWidth="1"/>
    <col min="12" max="12" width="9.54296875" style="395" hidden="1" customWidth="1"/>
    <col min="13" max="13" width="9.26953125" style="395" hidden="1" customWidth="1"/>
    <col min="14" max="14" width="13.26953125" style="395" hidden="1" customWidth="1"/>
    <col min="15" max="15" width="16.7265625" style="395" customWidth="1"/>
    <col min="16" max="16" width="7.54296875" style="395" customWidth="1"/>
    <col min="17" max="17" width="11.81640625" style="395" bestFit="1" customWidth="1"/>
    <col min="18" max="18" width="13.453125" style="395" bestFit="1" customWidth="1"/>
    <col min="19" max="19" width="9.1796875" style="395" customWidth="1"/>
    <col min="20" max="20" width="11.26953125" style="395" bestFit="1" customWidth="1"/>
    <col min="21" max="16384" width="9.1796875" style="395"/>
  </cols>
  <sheetData>
    <row r="1" spans="1:18" x14ac:dyDescent="0.35">
      <c r="E1" s="394"/>
      <c r="H1" s="394" t="s">
        <v>1638</v>
      </c>
      <c r="K1" s="394" t="s">
        <v>1638</v>
      </c>
    </row>
    <row r="2" spans="1:18" ht="27.75" customHeight="1" x14ac:dyDescent="0.35">
      <c r="A2" s="1085" t="s">
        <v>548</v>
      </c>
      <c r="B2" s="1087" t="s">
        <v>306</v>
      </c>
      <c r="C2" s="1078" t="s">
        <v>1350</v>
      </c>
      <c r="D2" s="1078" t="s">
        <v>1295</v>
      </c>
      <c r="E2" s="1080" t="s">
        <v>1293</v>
      </c>
      <c r="F2" s="1078" t="s">
        <v>1350</v>
      </c>
      <c r="G2" s="1078" t="s">
        <v>1295</v>
      </c>
      <c r="H2" s="1080" t="s">
        <v>1293</v>
      </c>
      <c r="I2" s="1078" t="s">
        <v>1350</v>
      </c>
      <c r="J2" s="1078" t="s">
        <v>1295</v>
      </c>
      <c r="K2" s="1080" t="s">
        <v>1293</v>
      </c>
      <c r="L2" s="1078" t="s">
        <v>1350</v>
      </c>
      <c r="M2" s="1078" t="s">
        <v>1295</v>
      </c>
      <c r="N2" s="1080" t="s">
        <v>1293</v>
      </c>
      <c r="O2" s="1053"/>
    </row>
    <row r="3" spans="1:18" s="43" customFormat="1" ht="27.75" customHeight="1" x14ac:dyDescent="0.35">
      <c r="A3" s="1085"/>
      <c r="B3" s="1087"/>
      <c r="C3" s="1079"/>
      <c r="D3" s="1079"/>
      <c r="E3" s="1081"/>
      <c r="F3" s="1079"/>
      <c r="G3" s="1079"/>
      <c r="H3" s="1081"/>
      <c r="I3" s="1079"/>
      <c r="J3" s="1079"/>
      <c r="K3" s="1081"/>
      <c r="L3" s="1079"/>
      <c r="M3" s="1079"/>
      <c r="N3" s="1081"/>
      <c r="O3" s="1053"/>
    </row>
    <row r="4" spans="1:18" s="43" customFormat="1" ht="53.65" customHeight="1" x14ac:dyDescent="0.35">
      <c r="A4" s="1086"/>
      <c r="B4" s="1088"/>
      <c r="C4" s="1082" t="s">
        <v>1794</v>
      </c>
      <c r="D4" s="1083"/>
      <c r="E4" s="1084"/>
      <c r="F4" s="1082" t="s">
        <v>1796</v>
      </c>
      <c r="G4" s="1083"/>
      <c r="H4" s="1084"/>
      <c r="I4" s="1082" t="s">
        <v>1798</v>
      </c>
      <c r="J4" s="1083"/>
      <c r="K4" s="1084"/>
      <c r="L4" s="1063"/>
      <c r="M4" s="1064"/>
      <c r="N4" s="1065"/>
      <c r="O4" s="1054"/>
    </row>
    <row r="5" spans="1:18" s="43" customFormat="1" x14ac:dyDescent="0.35">
      <c r="A5" s="396" t="s">
        <v>311</v>
      </c>
      <c r="B5" s="397" t="s">
        <v>685</v>
      </c>
      <c r="C5" s="461"/>
      <c r="D5" s="461"/>
      <c r="E5" s="460">
        <v>6087987175</v>
      </c>
      <c r="F5" s="461"/>
      <c r="G5" s="461"/>
      <c r="H5" s="460">
        <v>6984137056</v>
      </c>
      <c r="I5" s="461"/>
      <c r="J5" s="461"/>
      <c r="K5" s="460">
        <f>+K6+K73+K229+K230</f>
        <v>1954763334</v>
      </c>
      <c r="L5" s="461"/>
      <c r="M5" s="461"/>
      <c r="N5" s="460">
        <f>+N6+N73+N229+N230</f>
        <v>900000</v>
      </c>
      <c r="O5" s="1055"/>
      <c r="Q5" s="1050"/>
      <c r="R5" s="1050"/>
    </row>
    <row r="6" spans="1:18" x14ac:dyDescent="0.35">
      <c r="A6" s="346" t="s">
        <v>309</v>
      </c>
      <c r="B6" s="398" t="s">
        <v>348</v>
      </c>
      <c r="C6" s="463">
        <v>11</v>
      </c>
      <c r="D6" s="463"/>
      <c r="E6" s="462">
        <v>2355484943</v>
      </c>
      <c r="F6" s="463">
        <v>11</v>
      </c>
      <c r="G6" s="463"/>
      <c r="H6" s="462">
        <v>2862318588</v>
      </c>
      <c r="I6" s="463">
        <v>11</v>
      </c>
      <c r="J6" s="463"/>
      <c r="K6" s="462">
        <f>+K7+K13+K16+K21+K26+K28+K30+K34+K37+K43+K51+K57+K61+K65+K69</f>
        <v>536523424</v>
      </c>
      <c r="L6" s="463">
        <v>11</v>
      </c>
      <c r="M6" s="463"/>
      <c r="N6" s="462">
        <f>+N7+N13+N16+N21+N26+N28+N30+N34+N37+N43+N51+N57+N61+N65+N69</f>
        <v>0</v>
      </c>
      <c r="O6" s="1055"/>
      <c r="R6" s="802"/>
    </row>
    <row r="7" spans="1:18" s="729" customFormat="1" x14ac:dyDescent="0.35">
      <c r="A7" s="559" t="s">
        <v>311</v>
      </c>
      <c r="B7" s="560" t="s">
        <v>686</v>
      </c>
      <c r="C7" s="561"/>
      <c r="D7" s="561"/>
      <c r="E7" s="558">
        <v>4540000</v>
      </c>
      <c r="F7" s="561"/>
      <c r="G7" s="561"/>
      <c r="H7" s="558">
        <v>11189300</v>
      </c>
      <c r="I7" s="561"/>
      <c r="J7" s="561"/>
      <c r="K7" s="558">
        <f>SUM(K8:K12)</f>
        <v>364639</v>
      </c>
      <c r="L7" s="561"/>
      <c r="M7" s="561"/>
      <c r="N7" s="558">
        <f>SUM(N8:N12)</f>
        <v>0</v>
      </c>
      <c r="O7" s="1055"/>
      <c r="R7" s="1051"/>
    </row>
    <row r="8" spans="1:18" s="729" customFormat="1" x14ac:dyDescent="0.35">
      <c r="A8" s="559"/>
      <c r="B8" s="562" t="s">
        <v>286</v>
      </c>
      <c r="C8" s="561"/>
      <c r="D8" s="561"/>
      <c r="E8" s="558"/>
      <c r="F8" s="561"/>
      <c r="G8" s="561"/>
      <c r="H8" s="518">
        <v>320000</v>
      </c>
      <c r="I8" s="561"/>
      <c r="J8" s="561"/>
      <c r="K8" s="518">
        <v>320000</v>
      </c>
      <c r="L8" s="561"/>
      <c r="M8" s="561"/>
      <c r="N8" s="558"/>
      <c r="O8" s="1055"/>
    </row>
    <row r="9" spans="1:18" s="729" customFormat="1" x14ac:dyDescent="0.35">
      <c r="A9" s="559"/>
      <c r="B9" s="562" t="s">
        <v>287</v>
      </c>
      <c r="C9" s="561"/>
      <c r="D9" s="561"/>
      <c r="E9" s="558"/>
      <c r="F9" s="561"/>
      <c r="G9" s="561"/>
      <c r="H9" s="518">
        <v>44639</v>
      </c>
      <c r="I9" s="561"/>
      <c r="J9" s="561"/>
      <c r="K9" s="518">
        <v>44639</v>
      </c>
      <c r="L9" s="561"/>
      <c r="M9" s="561"/>
      <c r="N9" s="558"/>
      <c r="O9" s="1055"/>
    </row>
    <row r="10" spans="1:18" s="729" customFormat="1" x14ac:dyDescent="0.35">
      <c r="A10" s="731"/>
      <c r="B10" s="562" t="s">
        <v>292</v>
      </c>
      <c r="C10" s="519"/>
      <c r="D10" s="519"/>
      <c r="E10" s="518">
        <v>2540000</v>
      </c>
      <c r="F10" s="519"/>
      <c r="G10" s="519"/>
      <c r="H10" s="518">
        <v>6930861</v>
      </c>
      <c r="I10" s="519"/>
      <c r="J10" s="519"/>
      <c r="K10" s="518"/>
      <c r="L10" s="519"/>
      <c r="M10" s="519"/>
      <c r="N10" s="518"/>
      <c r="O10" s="1055"/>
    </row>
    <row r="11" spans="1:18" s="729" customFormat="1" x14ac:dyDescent="0.35">
      <c r="A11" s="731"/>
      <c r="B11" s="562" t="s">
        <v>351</v>
      </c>
      <c r="C11" s="519"/>
      <c r="D11" s="519"/>
      <c r="E11" s="518">
        <v>2000000</v>
      </c>
      <c r="F11" s="519"/>
      <c r="G11" s="519"/>
      <c r="H11" s="518">
        <v>3193800</v>
      </c>
      <c r="I11" s="519"/>
      <c r="J11" s="519"/>
      <c r="K11" s="518"/>
      <c r="L11" s="519"/>
      <c r="M11" s="519"/>
      <c r="N11" s="518"/>
      <c r="O11" s="1055"/>
    </row>
    <row r="12" spans="1:18" s="729" customFormat="1" x14ac:dyDescent="0.35">
      <c r="A12" s="731"/>
      <c r="B12" s="562" t="s">
        <v>343</v>
      </c>
      <c r="C12" s="519"/>
      <c r="D12" s="519"/>
      <c r="E12" s="518"/>
      <c r="F12" s="519"/>
      <c r="G12" s="519"/>
      <c r="H12" s="518">
        <v>700000</v>
      </c>
      <c r="I12" s="519"/>
      <c r="J12" s="519"/>
      <c r="K12" s="518"/>
      <c r="L12" s="519"/>
      <c r="M12" s="519"/>
      <c r="N12" s="518"/>
      <c r="O12" s="1055"/>
    </row>
    <row r="13" spans="1:18" s="729" customFormat="1" x14ac:dyDescent="0.35">
      <c r="A13" s="559" t="s">
        <v>322</v>
      </c>
      <c r="B13" s="560" t="s">
        <v>687</v>
      </c>
      <c r="C13" s="561"/>
      <c r="D13" s="561"/>
      <c r="E13" s="558">
        <v>5000000</v>
      </c>
      <c r="F13" s="561"/>
      <c r="G13" s="561"/>
      <c r="H13" s="558">
        <v>7500000</v>
      </c>
      <c r="I13" s="561"/>
      <c r="J13" s="561"/>
      <c r="K13" s="558">
        <f>SUM(K14:K15)</f>
        <v>1000000</v>
      </c>
      <c r="L13" s="561"/>
      <c r="M13" s="561"/>
      <c r="N13" s="558">
        <f>SUM(N14:N15)</f>
        <v>0</v>
      </c>
      <c r="O13" s="1055"/>
    </row>
    <row r="14" spans="1:18" s="729" customFormat="1" x14ac:dyDescent="0.35">
      <c r="A14" s="731"/>
      <c r="B14" s="562" t="s">
        <v>292</v>
      </c>
      <c r="C14" s="519"/>
      <c r="D14" s="519"/>
      <c r="E14" s="518">
        <v>5000000</v>
      </c>
      <c r="F14" s="519"/>
      <c r="G14" s="519"/>
      <c r="H14" s="518">
        <v>7500000</v>
      </c>
      <c r="I14" s="519"/>
      <c r="J14" s="519"/>
      <c r="K14" s="518">
        <v>1000000</v>
      </c>
      <c r="L14" s="519"/>
      <c r="M14" s="519"/>
      <c r="N14" s="518"/>
      <c r="O14" s="1055"/>
    </row>
    <row r="15" spans="1:18" s="729" customFormat="1" x14ac:dyDescent="0.35">
      <c r="A15" s="731"/>
      <c r="B15" s="562" t="s">
        <v>351</v>
      </c>
      <c r="C15" s="519"/>
      <c r="D15" s="519"/>
      <c r="E15" s="518"/>
      <c r="F15" s="519"/>
      <c r="G15" s="519"/>
      <c r="H15" s="518"/>
      <c r="I15" s="519"/>
      <c r="J15" s="519"/>
      <c r="K15" s="518"/>
      <c r="L15" s="519"/>
      <c r="M15" s="519"/>
      <c r="N15" s="518"/>
      <c r="O15" s="1055"/>
    </row>
    <row r="16" spans="1:18" s="729" customFormat="1" x14ac:dyDescent="0.35">
      <c r="A16" s="559" t="s">
        <v>315</v>
      </c>
      <c r="B16" s="560" t="s">
        <v>688</v>
      </c>
      <c r="C16" s="561"/>
      <c r="D16" s="561"/>
      <c r="E16" s="558">
        <v>53236500</v>
      </c>
      <c r="F16" s="561"/>
      <c r="G16" s="561"/>
      <c r="H16" s="558">
        <v>53529561</v>
      </c>
      <c r="I16" s="561"/>
      <c r="J16" s="561"/>
      <c r="K16" s="558">
        <f>SUM(K17:K20)</f>
        <v>16209652</v>
      </c>
      <c r="L16" s="561"/>
      <c r="M16" s="561"/>
      <c r="N16" s="558">
        <f>SUM(N17:N20)</f>
        <v>0</v>
      </c>
      <c r="O16" s="1055"/>
    </row>
    <row r="17" spans="1:15" s="729" customFormat="1" x14ac:dyDescent="0.35">
      <c r="A17" s="731"/>
      <c r="B17" s="562" t="s">
        <v>286</v>
      </c>
      <c r="C17" s="519"/>
      <c r="D17" s="519"/>
      <c r="E17" s="518"/>
      <c r="F17" s="519"/>
      <c r="G17" s="519"/>
      <c r="H17" s="518"/>
      <c r="I17" s="519"/>
      <c r="J17" s="519"/>
      <c r="K17" s="518"/>
      <c r="L17" s="519"/>
      <c r="M17" s="519"/>
      <c r="N17" s="518"/>
      <c r="O17" s="1055"/>
    </row>
    <row r="18" spans="1:15" s="729" customFormat="1" x14ac:dyDescent="0.35">
      <c r="A18" s="731"/>
      <c r="B18" s="562" t="s">
        <v>287</v>
      </c>
      <c r="C18" s="519"/>
      <c r="D18" s="519"/>
      <c r="E18" s="518"/>
      <c r="F18" s="519"/>
      <c r="G18" s="519"/>
      <c r="H18" s="518"/>
      <c r="I18" s="519"/>
      <c r="J18" s="519"/>
      <c r="K18" s="518"/>
      <c r="L18" s="519"/>
      <c r="M18" s="519"/>
      <c r="N18" s="518"/>
      <c r="O18" s="1055"/>
    </row>
    <row r="19" spans="1:15" s="729" customFormat="1" x14ac:dyDescent="0.35">
      <c r="A19" s="731"/>
      <c r="B19" s="562" t="s">
        <v>292</v>
      </c>
      <c r="C19" s="519"/>
      <c r="D19" s="519"/>
      <c r="E19" s="518">
        <v>53236500</v>
      </c>
      <c r="F19" s="519"/>
      <c r="G19" s="519"/>
      <c r="H19" s="518">
        <v>53501634</v>
      </c>
      <c r="I19" s="519"/>
      <c r="J19" s="519"/>
      <c r="K19" s="518">
        <v>16181725</v>
      </c>
      <c r="L19" s="519"/>
      <c r="M19" s="519"/>
      <c r="N19" s="518"/>
      <c r="O19" s="1055"/>
    </row>
    <row r="20" spans="1:15" s="729" customFormat="1" x14ac:dyDescent="0.35">
      <c r="A20" s="731"/>
      <c r="B20" s="562" t="s">
        <v>351</v>
      </c>
      <c r="C20" s="519"/>
      <c r="D20" s="519"/>
      <c r="E20" s="518"/>
      <c r="F20" s="519"/>
      <c r="G20" s="519"/>
      <c r="H20" s="518">
        <v>27927</v>
      </c>
      <c r="I20" s="519"/>
      <c r="J20" s="519"/>
      <c r="K20" s="518">
        <v>27927</v>
      </c>
      <c r="L20" s="519"/>
      <c r="M20" s="519"/>
      <c r="N20" s="518"/>
      <c r="O20" s="1055"/>
    </row>
    <row r="21" spans="1:15" s="729" customFormat="1" x14ac:dyDescent="0.35">
      <c r="A21" s="559" t="s">
        <v>336</v>
      </c>
      <c r="B21" s="560" t="s">
        <v>648</v>
      </c>
      <c r="C21" s="561">
        <v>7</v>
      </c>
      <c r="D21" s="561"/>
      <c r="E21" s="558">
        <v>63387885</v>
      </c>
      <c r="F21" s="561">
        <v>7</v>
      </c>
      <c r="G21" s="561"/>
      <c r="H21" s="558">
        <v>63432432</v>
      </c>
      <c r="I21" s="561">
        <v>7</v>
      </c>
      <c r="J21" s="561"/>
      <c r="K21" s="558">
        <f>SUM(K22:K25)</f>
        <v>24671911</v>
      </c>
      <c r="L21" s="561">
        <v>7</v>
      </c>
      <c r="M21" s="561"/>
      <c r="N21" s="558">
        <f>SUM(N22:N25)</f>
        <v>0</v>
      </c>
      <c r="O21" s="1055"/>
    </row>
    <row r="22" spans="1:15" s="729" customFormat="1" x14ac:dyDescent="0.35">
      <c r="A22" s="731"/>
      <c r="B22" s="562" t="s">
        <v>286</v>
      </c>
      <c r="C22" s="519"/>
      <c r="D22" s="519"/>
      <c r="E22" s="518">
        <v>52627000</v>
      </c>
      <c r="F22" s="519"/>
      <c r="G22" s="519"/>
      <c r="H22" s="518">
        <v>52627000</v>
      </c>
      <c r="I22" s="519"/>
      <c r="J22" s="519"/>
      <c r="K22" s="518">
        <v>20839596</v>
      </c>
      <c r="L22" s="519"/>
      <c r="M22" s="519"/>
      <c r="N22" s="518"/>
      <c r="O22" s="1055"/>
    </row>
    <row r="23" spans="1:15" s="729" customFormat="1" x14ac:dyDescent="0.35">
      <c r="A23" s="731"/>
      <c r="B23" s="562" t="s">
        <v>287</v>
      </c>
      <c r="C23" s="519"/>
      <c r="D23" s="519"/>
      <c r="E23" s="518">
        <v>8157185</v>
      </c>
      <c r="F23" s="519"/>
      <c r="G23" s="519"/>
      <c r="H23" s="518">
        <v>8157185</v>
      </c>
      <c r="I23" s="519"/>
      <c r="J23" s="519"/>
      <c r="K23" s="518">
        <v>3211403</v>
      </c>
      <c r="L23" s="519"/>
      <c r="M23" s="519"/>
      <c r="N23" s="518"/>
      <c r="O23" s="1055"/>
    </row>
    <row r="24" spans="1:15" s="729" customFormat="1" x14ac:dyDescent="0.35">
      <c r="A24" s="731"/>
      <c r="B24" s="562" t="s">
        <v>292</v>
      </c>
      <c r="C24" s="519"/>
      <c r="D24" s="519"/>
      <c r="E24" s="518">
        <v>2603700</v>
      </c>
      <c r="F24" s="519"/>
      <c r="G24" s="519"/>
      <c r="H24" s="518">
        <v>2619037</v>
      </c>
      <c r="I24" s="519"/>
      <c r="J24" s="519"/>
      <c r="K24" s="518">
        <v>591702</v>
      </c>
      <c r="L24" s="519"/>
      <c r="M24" s="519"/>
      <c r="N24" s="518"/>
      <c r="O24" s="1055"/>
    </row>
    <row r="25" spans="1:15" s="729" customFormat="1" x14ac:dyDescent="0.35">
      <c r="A25" s="731"/>
      <c r="B25" s="562" t="s">
        <v>351</v>
      </c>
      <c r="C25" s="519"/>
      <c r="D25" s="519"/>
      <c r="E25" s="518"/>
      <c r="F25" s="519"/>
      <c r="G25" s="519"/>
      <c r="H25" s="518">
        <v>29210</v>
      </c>
      <c r="I25" s="519"/>
      <c r="J25" s="519"/>
      <c r="K25" s="518">
        <v>29210</v>
      </c>
      <c r="L25" s="519"/>
      <c r="M25" s="519"/>
      <c r="N25" s="518"/>
      <c r="O25" s="1055"/>
    </row>
    <row r="26" spans="1:15" s="729" customFormat="1" x14ac:dyDescent="0.35">
      <c r="A26" s="559" t="s">
        <v>338</v>
      </c>
      <c r="B26" s="560" t="s">
        <v>1254</v>
      </c>
      <c r="C26" s="561"/>
      <c r="D26" s="561"/>
      <c r="E26" s="558">
        <v>1000000</v>
      </c>
      <c r="F26" s="561"/>
      <c r="G26" s="561"/>
      <c r="H26" s="558">
        <v>1000000</v>
      </c>
      <c r="I26" s="561"/>
      <c r="J26" s="561"/>
      <c r="K26" s="558">
        <v>0</v>
      </c>
      <c r="L26" s="561"/>
      <c r="M26" s="561"/>
      <c r="N26" s="558">
        <f>SUM(N27)</f>
        <v>0</v>
      </c>
      <c r="O26" s="1055"/>
    </row>
    <row r="27" spans="1:15" s="729" customFormat="1" x14ac:dyDescent="0.35">
      <c r="A27" s="731"/>
      <c r="B27" s="732" t="s">
        <v>292</v>
      </c>
      <c r="C27" s="734"/>
      <c r="D27" s="734"/>
      <c r="E27" s="733">
        <v>1000000</v>
      </c>
      <c r="F27" s="734"/>
      <c r="G27" s="734"/>
      <c r="H27" s="733">
        <v>1000000</v>
      </c>
      <c r="I27" s="734"/>
      <c r="J27" s="734"/>
      <c r="K27" s="733"/>
      <c r="L27" s="734"/>
      <c r="M27" s="734"/>
      <c r="N27" s="733"/>
      <c r="O27" s="1055"/>
    </row>
    <row r="28" spans="1:15" s="905" customFormat="1" x14ac:dyDescent="0.35">
      <c r="A28" s="559" t="s">
        <v>556</v>
      </c>
      <c r="B28" s="917" t="s">
        <v>1283</v>
      </c>
      <c r="C28" s="918"/>
      <c r="D28" s="918"/>
      <c r="E28" s="919">
        <v>500000</v>
      </c>
      <c r="F28" s="918"/>
      <c r="G28" s="918"/>
      <c r="H28" s="919">
        <v>500000</v>
      </c>
      <c r="I28" s="918"/>
      <c r="J28" s="918"/>
      <c r="K28" s="919">
        <v>0</v>
      </c>
      <c r="L28" s="918"/>
      <c r="M28" s="918"/>
      <c r="N28" s="919">
        <f>SUM(N29)</f>
        <v>0</v>
      </c>
      <c r="O28" s="1055"/>
    </row>
    <row r="29" spans="1:15" s="729" customFormat="1" x14ac:dyDescent="0.35">
      <c r="A29" s="731"/>
      <c r="B29" s="732" t="s">
        <v>292</v>
      </c>
      <c r="C29" s="734"/>
      <c r="D29" s="734"/>
      <c r="E29" s="733">
        <v>500000</v>
      </c>
      <c r="F29" s="734"/>
      <c r="G29" s="734"/>
      <c r="H29" s="733">
        <v>500000</v>
      </c>
      <c r="I29" s="734"/>
      <c r="J29" s="734"/>
      <c r="K29" s="733"/>
      <c r="L29" s="734"/>
      <c r="M29" s="734"/>
      <c r="N29" s="733"/>
      <c r="O29" s="1055"/>
    </row>
    <row r="30" spans="1:15" s="905" customFormat="1" x14ac:dyDescent="0.35">
      <c r="A30" s="559" t="s">
        <v>558</v>
      </c>
      <c r="B30" s="560" t="s">
        <v>690</v>
      </c>
      <c r="C30" s="561"/>
      <c r="D30" s="561"/>
      <c r="E30" s="558">
        <v>18034000</v>
      </c>
      <c r="F30" s="561"/>
      <c r="G30" s="561"/>
      <c r="H30" s="558">
        <v>18863836</v>
      </c>
      <c r="I30" s="561"/>
      <c r="J30" s="561"/>
      <c r="K30" s="558">
        <f>SUM(K31:K33)</f>
        <v>2657066</v>
      </c>
      <c r="L30" s="561"/>
      <c r="M30" s="561"/>
      <c r="N30" s="558">
        <f>SUM(N31:N33)</f>
        <v>0</v>
      </c>
      <c r="O30" s="1055"/>
    </row>
    <row r="31" spans="1:15" s="729" customFormat="1" x14ac:dyDescent="0.35">
      <c r="A31" s="731"/>
      <c r="B31" s="562" t="s">
        <v>292</v>
      </c>
      <c r="C31" s="519"/>
      <c r="D31" s="519"/>
      <c r="E31" s="518">
        <v>18034000</v>
      </c>
      <c r="F31" s="519"/>
      <c r="G31" s="519"/>
      <c r="H31" s="518">
        <v>18863836</v>
      </c>
      <c r="I31" s="519"/>
      <c r="J31" s="519"/>
      <c r="K31" s="518">
        <v>2657066</v>
      </c>
      <c r="L31" s="519"/>
      <c r="M31" s="519"/>
      <c r="N31" s="518"/>
      <c r="O31" s="1055"/>
    </row>
    <row r="32" spans="1:15" s="729" customFormat="1" x14ac:dyDescent="0.35">
      <c r="A32" s="731"/>
      <c r="B32" s="732" t="s">
        <v>351</v>
      </c>
      <c r="C32" s="519"/>
      <c r="D32" s="519"/>
      <c r="E32" s="518"/>
      <c r="F32" s="519"/>
      <c r="G32" s="519"/>
      <c r="H32" s="518"/>
      <c r="I32" s="519"/>
      <c r="J32" s="519"/>
      <c r="K32" s="518"/>
      <c r="L32" s="519"/>
      <c r="M32" s="519"/>
      <c r="N32" s="518"/>
      <c r="O32" s="1055"/>
    </row>
    <row r="33" spans="1:15" s="729" customFormat="1" x14ac:dyDescent="0.35">
      <c r="A33" s="731"/>
      <c r="B33" s="732" t="s">
        <v>1672</v>
      </c>
      <c r="C33" s="519"/>
      <c r="D33" s="519"/>
      <c r="E33" s="518"/>
      <c r="F33" s="519"/>
      <c r="G33" s="519"/>
      <c r="H33" s="518"/>
      <c r="I33" s="519"/>
      <c r="J33" s="519"/>
      <c r="K33" s="518"/>
      <c r="L33" s="519"/>
      <c r="M33" s="519"/>
      <c r="N33" s="518"/>
      <c r="O33" s="1055"/>
    </row>
    <row r="34" spans="1:15" s="905" customFormat="1" x14ac:dyDescent="0.35">
      <c r="A34" s="559" t="s">
        <v>560</v>
      </c>
      <c r="B34" s="560" t="s">
        <v>691</v>
      </c>
      <c r="C34" s="561"/>
      <c r="D34" s="561"/>
      <c r="E34" s="558">
        <v>9040000</v>
      </c>
      <c r="F34" s="561"/>
      <c r="G34" s="561"/>
      <c r="H34" s="558">
        <v>12540000</v>
      </c>
      <c r="I34" s="561"/>
      <c r="J34" s="561"/>
      <c r="K34" s="558">
        <f>SUM(K35:K36)</f>
        <v>773430</v>
      </c>
      <c r="L34" s="561"/>
      <c r="M34" s="561"/>
      <c r="N34" s="558">
        <f>SUM(N35:N36)</f>
        <v>0</v>
      </c>
      <c r="O34" s="1055"/>
    </row>
    <row r="35" spans="1:15" s="729" customFormat="1" x14ac:dyDescent="0.35">
      <c r="A35" s="731"/>
      <c r="B35" s="562" t="s">
        <v>292</v>
      </c>
      <c r="C35" s="519"/>
      <c r="D35" s="519"/>
      <c r="E35" s="518">
        <v>9040000</v>
      </c>
      <c r="F35" s="519"/>
      <c r="G35" s="519"/>
      <c r="H35" s="518">
        <v>12540000</v>
      </c>
      <c r="I35" s="519"/>
      <c r="J35" s="519"/>
      <c r="K35" s="518">
        <v>773430</v>
      </c>
      <c r="L35" s="519"/>
      <c r="M35" s="519"/>
      <c r="N35" s="518"/>
      <c r="O35" s="1055"/>
    </row>
    <row r="36" spans="1:15" s="729" customFormat="1" x14ac:dyDescent="0.35">
      <c r="A36" s="731"/>
      <c r="B36" s="562" t="s">
        <v>351</v>
      </c>
      <c r="C36" s="519"/>
      <c r="D36" s="519"/>
      <c r="E36" s="518">
        <v>0</v>
      </c>
      <c r="F36" s="519"/>
      <c r="G36" s="519"/>
      <c r="H36" s="518">
        <v>0</v>
      </c>
      <c r="I36" s="519"/>
      <c r="J36" s="519"/>
      <c r="K36" s="518">
        <v>0</v>
      </c>
      <c r="L36" s="519"/>
      <c r="M36" s="519"/>
      <c r="N36" s="518">
        <v>0</v>
      </c>
      <c r="O36" s="1055"/>
    </row>
    <row r="37" spans="1:15" s="905" customFormat="1" x14ac:dyDescent="0.35">
      <c r="A37" s="559" t="s">
        <v>561</v>
      </c>
      <c r="B37" s="560" t="s">
        <v>692</v>
      </c>
      <c r="C37" s="561"/>
      <c r="D37" s="561"/>
      <c r="E37" s="558">
        <v>7000800</v>
      </c>
      <c r="F37" s="561"/>
      <c r="G37" s="561"/>
      <c r="H37" s="558">
        <v>8990890</v>
      </c>
      <c r="I37" s="561"/>
      <c r="J37" s="561"/>
      <c r="K37" s="558">
        <f>SUM(K38:K42)</f>
        <v>152400</v>
      </c>
      <c r="L37" s="561"/>
      <c r="M37" s="561"/>
      <c r="N37" s="558">
        <f>SUM(N38:N42)</f>
        <v>0</v>
      </c>
      <c r="O37" s="1055"/>
    </row>
    <row r="38" spans="1:15" s="729" customFormat="1" x14ac:dyDescent="0.35">
      <c r="A38" s="559"/>
      <c r="B38" s="562" t="s">
        <v>286</v>
      </c>
      <c r="C38" s="561"/>
      <c r="D38" s="561"/>
      <c r="E38" s="558"/>
      <c r="F38" s="561"/>
      <c r="G38" s="561"/>
      <c r="H38" s="518"/>
      <c r="I38" s="561"/>
      <c r="J38" s="561"/>
      <c r="K38" s="518"/>
      <c r="L38" s="561"/>
      <c r="M38" s="561"/>
      <c r="N38" s="558"/>
      <c r="O38" s="1055"/>
    </row>
    <row r="39" spans="1:15" s="729" customFormat="1" x14ac:dyDescent="0.35">
      <c r="A39" s="559"/>
      <c r="B39" s="562" t="s">
        <v>287</v>
      </c>
      <c r="C39" s="561"/>
      <c r="D39" s="561"/>
      <c r="E39" s="558"/>
      <c r="F39" s="561"/>
      <c r="G39" s="561"/>
      <c r="H39" s="558"/>
      <c r="I39" s="561"/>
      <c r="J39" s="561"/>
      <c r="K39" s="558"/>
      <c r="L39" s="561"/>
      <c r="M39" s="561"/>
      <c r="N39" s="558"/>
      <c r="O39" s="1055"/>
    </row>
    <row r="40" spans="1:15" s="729" customFormat="1" x14ac:dyDescent="0.35">
      <c r="A40" s="731"/>
      <c r="B40" s="562" t="s">
        <v>292</v>
      </c>
      <c r="C40" s="519"/>
      <c r="D40" s="519"/>
      <c r="E40" s="518">
        <v>7000800</v>
      </c>
      <c r="F40" s="519"/>
      <c r="G40" s="519"/>
      <c r="H40" s="518">
        <v>8990890</v>
      </c>
      <c r="I40" s="519"/>
      <c r="J40" s="519"/>
      <c r="K40" s="518">
        <v>152400</v>
      </c>
      <c r="L40" s="519"/>
      <c r="M40" s="519"/>
      <c r="N40" s="518"/>
      <c r="O40" s="1055"/>
    </row>
    <row r="41" spans="1:15" s="729" customFormat="1" x14ac:dyDescent="0.35">
      <c r="A41" s="731"/>
      <c r="B41" s="390" t="s">
        <v>1264</v>
      </c>
      <c r="C41" s="519"/>
      <c r="D41" s="519"/>
      <c r="E41" s="518"/>
      <c r="F41" s="519"/>
      <c r="G41" s="519"/>
      <c r="H41" s="518"/>
      <c r="I41" s="519"/>
      <c r="J41" s="519"/>
      <c r="K41" s="518"/>
      <c r="L41" s="519"/>
      <c r="M41" s="519"/>
      <c r="N41" s="518"/>
      <c r="O41" s="1055"/>
    </row>
    <row r="42" spans="1:15" s="729" customFormat="1" x14ac:dyDescent="0.35">
      <c r="A42" s="731"/>
      <c r="B42" s="562" t="s">
        <v>351</v>
      </c>
      <c r="C42" s="519"/>
      <c r="D42" s="519"/>
      <c r="E42" s="518"/>
      <c r="F42" s="519"/>
      <c r="G42" s="519"/>
      <c r="H42" s="518"/>
      <c r="I42" s="519"/>
      <c r="J42" s="519"/>
      <c r="K42" s="518"/>
      <c r="L42" s="519"/>
      <c r="M42" s="519"/>
      <c r="N42" s="518"/>
      <c r="O42" s="1055"/>
    </row>
    <row r="43" spans="1:15" s="905" customFormat="1" x14ac:dyDescent="0.35">
      <c r="A43" s="559" t="s">
        <v>563</v>
      </c>
      <c r="B43" s="560" t="s">
        <v>693</v>
      </c>
      <c r="C43" s="561">
        <v>4</v>
      </c>
      <c r="D43" s="561"/>
      <c r="E43" s="558">
        <v>1241554440</v>
      </c>
      <c r="F43" s="561">
        <v>4</v>
      </c>
      <c r="G43" s="561"/>
      <c r="H43" s="558">
        <v>1301065946</v>
      </c>
      <c r="I43" s="561">
        <v>4</v>
      </c>
      <c r="J43" s="561"/>
      <c r="K43" s="558">
        <f>SUM(K44:K50)</f>
        <v>411561709</v>
      </c>
      <c r="L43" s="561">
        <v>4</v>
      </c>
      <c r="M43" s="561"/>
      <c r="N43" s="558">
        <f>SUM(N44:N50)</f>
        <v>0</v>
      </c>
      <c r="O43" s="1055"/>
    </row>
    <row r="44" spans="1:15" s="729" customFormat="1" x14ac:dyDescent="0.35">
      <c r="A44" s="731"/>
      <c r="B44" s="562" t="s">
        <v>286</v>
      </c>
      <c r="C44" s="519"/>
      <c r="D44" s="519"/>
      <c r="E44" s="518">
        <v>92488660</v>
      </c>
      <c r="F44" s="519"/>
      <c r="G44" s="519"/>
      <c r="H44" s="518">
        <v>92488660</v>
      </c>
      <c r="I44" s="519"/>
      <c r="J44" s="519"/>
      <c r="K44" s="518">
        <v>30911025</v>
      </c>
      <c r="L44" s="519"/>
      <c r="M44" s="519"/>
      <c r="N44" s="518"/>
      <c r="O44" s="1055"/>
    </row>
    <row r="45" spans="1:15" s="729" customFormat="1" x14ac:dyDescent="0.35">
      <c r="A45" s="731"/>
      <c r="B45" s="562" t="s">
        <v>287</v>
      </c>
      <c r="C45" s="519"/>
      <c r="D45" s="519"/>
      <c r="E45" s="518">
        <v>14336000</v>
      </c>
      <c r="F45" s="519"/>
      <c r="G45" s="519"/>
      <c r="H45" s="518">
        <v>14336000</v>
      </c>
      <c r="I45" s="519"/>
      <c r="J45" s="519"/>
      <c r="K45" s="518">
        <v>4042328</v>
      </c>
      <c r="L45" s="519"/>
      <c r="M45" s="519"/>
      <c r="N45" s="518"/>
      <c r="O45" s="1055"/>
    </row>
    <row r="46" spans="1:15" s="729" customFormat="1" x14ac:dyDescent="0.35">
      <c r="A46" s="731"/>
      <c r="B46" s="562" t="s">
        <v>292</v>
      </c>
      <c r="C46" s="519"/>
      <c r="D46" s="519"/>
      <c r="E46" s="518">
        <v>170040700</v>
      </c>
      <c r="F46" s="519"/>
      <c r="G46" s="519"/>
      <c r="H46" s="518">
        <v>191549966</v>
      </c>
      <c r="I46" s="519"/>
      <c r="J46" s="519"/>
      <c r="K46" s="518">
        <v>39434044</v>
      </c>
      <c r="L46" s="519"/>
      <c r="M46" s="519"/>
      <c r="N46" s="518"/>
      <c r="O46" s="1055"/>
    </row>
    <row r="47" spans="1:15" s="729" customFormat="1" x14ac:dyDescent="0.35">
      <c r="A47" s="731"/>
      <c r="B47" s="562" t="s">
        <v>339</v>
      </c>
      <c r="C47" s="519"/>
      <c r="D47" s="519"/>
      <c r="E47" s="518">
        <v>769922000</v>
      </c>
      <c r="F47" s="519"/>
      <c r="G47" s="519"/>
      <c r="H47" s="518">
        <v>771712675</v>
      </c>
      <c r="I47" s="519"/>
      <c r="J47" s="519"/>
      <c r="K47" s="518">
        <f>294694+331285619+160675+1630000</f>
        <v>333370988</v>
      </c>
      <c r="L47" s="519"/>
      <c r="M47" s="519"/>
      <c r="N47" s="518"/>
      <c r="O47" s="1055"/>
    </row>
    <row r="48" spans="1:15" s="729" customFormat="1" x14ac:dyDescent="0.35">
      <c r="A48" s="731"/>
      <c r="B48" s="562" t="s">
        <v>1620</v>
      </c>
      <c r="C48" s="519"/>
      <c r="D48" s="519"/>
      <c r="E48" s="518">
        <v>194767080</v>
      </c>
      <c r="F48" s="519"/>
      <c r="G48" s="519"/>
      <c r="H48" s="518">
        <v>224276539</v>
      </c>
      <c r="I48" s="519"/>
      <c r="J48" s="519"/>
      <c r="K48" s="518">
        <v>0</v>
      </c>
      <c r="L48" s="519"/>
      <c r="M48" s="519"/>
      <c r="N48" s="930">
        <f>+'2.4 melléklet'!E34</f>
        <v>0</v>
      </c>
      <c r="O48" s="1055"/>
    </row>
    <row r="49" spans="1:20" s="729" customFormat="1" ht="15.75" customHeight="1" x14ac:dyDescent="0.35">
      <c r="A49" s="731"/>
      <c r="B49" s="562" t="s">
        <v>351</v>
      </c>
      <c r="C49" s="519"/>
      <c r="D49" s="519"/>
      <c r="E49" s="518"/>
      <c r="F49" s="519"/>
      <c r="G49" s="519"/>
      <c r="H49" s="518">
        <v>4257561</v>
      </c>
      <c r="I49" s="519"/>
      <c r="J49" s="519"/>
      <c r="K49" s="518">
        <v>1858779</v>
      </c>
      <c r="L49" s="519"/>
      <c r="M49" s="519"/>
      <c r="N49" s="518"/>
      <c r="O49" s="1055"/>
      <c r="T49" s="928">
        <f>+'7. melléklet'!Q50+'7. melléklet'!Q53-703850-2539314-3608219-4000822-402778</f>
        <v>-11254983</v>
      </c>
    </row>
    <row r="50" spans="1:20" s="729" customFormat="1" x14ac:dyDescent="0.35">
      <c r="A50" s="731"/>
      <c r="B50" s="562" t="s">
        <v>342</v>
      </c>
      <c r="C50" s="519"/>
      <c r="D50" s="519"/>
      <c r="E50" s="518"/>
      <c r="F50" s="519"/>
      <c r="G50" s="519"/>
      <c r="H50" s="518">
        <v>2444545</v>
      </c>
      <c r="I50" s="519"/>
      <c r="J50" s="519"/>
      <c r="K50" s="518">
        <v>1944545</v>
      </c>
      <c r="L50" s="519"/>
      <c r="M50" s="519"/>
      <c r="N50" s="518"/>
      <c r="O50" s="1055"/>
    </row>
    <row r="51" spans="1:20" s="729" customFormat="1" x14ac:dyDescent="0.35">
      <c r="A51" s="559" t="s">
        <v>565</v>
      </c>
      <c r="B51" s="560" t="s">
        <v>1641</v>
      </c>
      <c r="C51" s="519"/>
      <c r="D51" s="519"/>
      <c r="E51" s="558">
        <v>838556318</v>
      </c>
      <c r="F51" s="519"/>
      <c r="G51" s="519"/>
      <c r="H51" s="558">
        <f>SUM(H52:H56)</f>
        <v>1268428859</v>
      </c>
      <c r="I51" s="519"/>
      <c r="J51" s="519"/>
      <c r="K51" s="558">
        <f>SUM(K52:K56)</f>
        <v>53672820</v>
      </c>
      <c r="L51" s="519"/>
      <c r="M51" s="519"/>
      <c r="N51" s="558">
        <f>SUM(N52:N56)</f>
        <v>0</v>
      </c>
      <c r="O51" s="1055"/>
    </row>
    <row r="52" spans="1:20" s="729" customFormat="1" x14ac:dyDescent="0.35">
      <c r="A52" s="731"/>
      <c r="B52" s="562" t="s">
        <v>286</v>
      </c>
      <c r="C52" s="519"/>
      <c r="D52" s="519"/>
      <c r="E52" s="518"/>
      <c r="F52" s="519"/>
      <c r="G52" s="519"/>
      <c r="H52" s="518"/>
      <c r="I52" s="519"/>
      <c r="J52" s="519"/>
      <c r="K52" s="518"/>
      <c r="L52" s="519"/>
      <c r="M52" s="519"/>
      <c r="N52" s="518"/>
      <c r="O52" s="1055"/>
    </row>
    <row r="53" spans="1:20" s="729" customFormat="1" x14ac:dyDescent="0.35">
      <c r="A53" s="731"/>
      <c r="B53" s="562" t="s">
        <v>287</v>
      </c>
      <c r="C53" s="519"/>
      <c r="D53" s="519"/>
      <c r="E53" s="518"/>
      <c r="F53" s="519"/>
      <c r="G53" s="519"/>
      <c r="H53" s="518"/>
      <c r="I53" s="519"/>
      <c r="J53" s="519"/>
      <c r="K53" s="518"/>
      <c r="L53" s="519"/>
      <c r="M53" s="519"/>
      <c r="N53" s="518"/>
      <c r="O53" s="1055"/>
    </row>
    <row r="54" spans="1:20" s="729" customFormat="1" x14ac:dyDescent="0.35">
      <c r="A54" s="731"/>
      <c r="B54" s="562" t="s">
        <v>292</v>
      </c>
      <c r="C54" s="519"/>
      <c r="D54" s="519"/>
      <c r="E54" s="518">
        <v>1000000</v>
      </c>
      <c r="F54" s="519"/>
      <c r="G54" s="519"/>
      <c r="H54" s="518">
        <v>18611426</v>
      </c>
      <c r="I54" s="519"/>
      <c r="J54" s="519"/>
      <c r="K54" s="518">
        <f>+'7. melléklet'!K6+'7. melléklet'!K53+'7. melléklet'!K46+'7. melléklet'!K66+'7. melléklet'!K72</f>
        <v>2741389</v>
      </c>
      <c r="L54" s="519"/>
      <c r="M54" s="519"/>
      <c r="N54" s="518"/>
      <c r="O54" s="1055"/>
    </row>
    <row r="55" spans="1:20" s="729" customFormat="1" x14ac:dyDescent="0.35">
      <c r="A55" s="731"/>
      <c r="B55" s="562" t="s">
        <v>351</v>
      </c>
      <c r="C55" s="519"/>
      <c r="D55" s="519"/>
      <c r="E55" s="518">
        <v>730000000</v>
      </c>
      <c r="F55" s="519"/>
      <c r="G55" s="519"/>
      <c r="H55" s="518">
        <f>1040677559+60000000</f>
        <v>1100677559</v>
      </c>
      <c r="I55" s="519"/>
      <c r="J55" s="519"/>
      <c r="K55" s="518">
        <f>+'7. melléklet'!L6+'7. melléklet'!L17+'7. melléklet'!L21+'7. melléklet'!L26+'7. melléklet'!L53+'7. melléklet'!L35+'7. melléklet'!L39+'7. melléklet'!L46+'7. melléklet'!L49+'7. melléklet'!L54+'7. melléklet'!L56+'7. melléklet'!L27+'7. melléklet'!L61</f>
        <v>14111801</v>
      </c>
      <c r="L55" s="519"/>
      <c r="M55" s="519"/>
      <c r="N55" s="518"/>
      <c r="O55" s="1055"/>
    </row>
    <row r="56" spans="1:20" s="729" customFormat="1" x14ac:dyDescent="0.35">
      <c r="A56" s="731"/>
      <c r="B56" s="562" t="s">
        <v>342</v>
      </c>
      <c r="C56" s="519"/>
      <c r="D56" s="519"/>
      <c r="E56" s="518">
        <v>107556318</v>
      </c>
      <c r="F56" s="519"/>
      <c r="G56" s="519"/>
      <c r="H56" s="518">
        <v>149139874</v>
      </c>
      <c r="I56" s="519"/>
      <c r="J56" s="519"/>
      <c r="K56" s="518">
        <f>+'7. melléklet'!L78+'7. melléklet'!L66+'7. melléklet'!L68+'7. melléklet'!L69+'7. melléklet'!L72+'7. melléklet'!L74+'7. melléklet'!L75</f>
        <v>36819630</v>
      </c>
      <c r="L56" s="519"/>
      <c r="M56" s="519"/>
      <c r="N56" s="518"/>
      <c r="O56" s="1055"/>
    </row>
    <row r="57" spans="1:20" s="908" customFormat="1" x14ac:dyDescent="0.35">
      <c r="A57" s="559" t="s">
        <v>566</v>
      </c>
      <c r="B57" s="560" t="s">
        <v>595</v>
      </c>
      <c r="C57" s="561"/>
      <c r="D57" s="561"/>
      <c r="E57" s="558">
        <v>635000</v>
      </c>
      <c r="F57" s="561"/>
      <c r="G57" s="561"/>
      <c r="H57" s="558">
        <v>635000</v>
      </c>
      <c r="I57" s="561"/>
      <c r="J57" s="561"/>
      <c r="K57" s="558">
        <v>0</v>
      </c>
      <c r="L57" s="561"/>
      <c r="M57" s="561"/>
      <c r="N57" s="558">
        <f>SUM(N60)</f>
        <v>0</v>
      </c>
      <c r="O57" s="1055"/>
    </row>
    <row r="58" spans="1:20" s="729" customFormat="1" x14ac:dyDescent="0.35">
      <c r="A58" s="559"/>
      <c r="B58" s="562" t="s">
        <v>286</v>
      </c>
      <c r="C58" s="561"/>
      <c r="D58" s="561"/>
      <c r="E58" s="558"/>
      <c r="F58" s="561"/>
      <c r="G58" s="561"/>
      <c r="H58" s="558"/>
      <c r="I58" s="561"/>
      <c r="J58" s="561"/>
      <c r="K58" s="558"/>
      <c r="L58" s="561"/>
      <c r="M58" s="561"/>
      <c r="N58" s="558"/>
      <c r="O58" s="1055"/>
    </row>
    <row r="59" spans="1:20" s="729" customFormat="1" x14ac:dyDescent="0.35">
      <c r="A59" s="559"/>
      <c r="B59" s="562" t="s">
        <v>287</v>
      </c>
      <c r="C59" s="561"/>
      <c r="D59" s="561"/>
      <c r="E59" s="558"/>
      <c r="F59" s="561"/>
      <c r="G59" s="561"/>
      <c r="H59" s="558"/>
      <c r="I59" s="561"/>
      <c r="J59" s="561"/>
      <c r="K59" s="558"/>
      <c r="L59" s="561"/>
      <c r="M59" s="561"/>
      <c r="N59" s="558"/>
      <c r="O59" s="1055"/>
    </row>
    <row r="60" spans="1:20" s="729" customFormat="1" x14ac:dyDescent="0.35">
      <c r="A60" s="731"/>
      <c r="B60" s="562" t="s">
        <v>292</v>
      </c>
      <c r="C60" s="519"/>
      <c r="D60" s="519"/>
      <c r="E60" s="518">
        <v>635000</v>
      </c>
      <c r="F60" s="519"/>
      <c r="G60" s="519"/>
      <c r="H60" s="518">
        <v>635000</v>
      </c>
      <c r="I60" s="519"/>
      <c r="J60" s="519"/>
      <c r="K60" s="518">
        <v>0</v>
      </c>
      <c r="L60" s="519"/>
      <c r="M60" s="519"/>
      <c r="N60" s="518"/>
      <c r="O60" s="1055"/>
    </row>
    <row r="61" spans="1:20" s="908" customFormat="1" x14ac:dyDescent="0.35">
      <c r="A61" s="559" t="s">
        <v>568</v>
      </c>
      <c r="B61" s="560" t="s">
        <v>694</v>
      </c>
      <c r="C61" s="561"/>
      <c r="D61" s="561"/>
      <c r="E61" s="558">
        <v>18000000</v>
      </c>
      <c r="F61" s="561"/>
      <c r="G61" s="561"/>
      <c r="H61" s="558">
        <v>18056521</v>
      </c>
      <c r="I61" s="561"/>
      <c r="J61" s="561"/>
      <c r="K61" s="558">
        <f>SUM(K62:K64)</f>
        <v>7952685</v>
      </c>
      <c r="L61" s="561"/>
      <c r="M61" s="561"/>
      <c r="N61" s="558">
        <f>SUM(N62:N64)</f>
        <v>0</v>
      </c>
      <c r="O61" s="1055"/>
    </row>
    <row r="62" spans="1:20" s="729" customFormat="1" x14ac:dyDescent="0.35">
      <c r="A62" s="559"/>
      <c r="B62" s="562" t="s">
        <v>292</v>
      </c>
      <c r="C62" s="561"/>
      <c r="D62" s="561"/>
      <c r="E62" s="558"/>
      <c r="F62" s="561"/>
      <c r="G62" s="561"/>
      <c r="H62" s="558"/>
      <c r="I62" s="561"/>
      <c r="J62" s="561"/>
      <c r="K62" s="558"/>
      <c r="L62" s="561"/>
      <c r="M62" s="561"/>
      <c r="N62" s="558"/>
      <c r="O62" s="1055"/>
    </row>
    <row r="63" spans="1:20" s="729" customFormat="1" x14ac:dyDescent="0.35">
      <c r="A63" s="731"/>
      <c r="B63" s="562" t="s">
        <v>337</v>
      </c>
      <c r="C63" s="519"/>
      <c r="D63" s="519"/>
      <c r="E63" s="518">
        <v>18000000</v>
      </c>
      <c r="F63" s="519"/>
      <c r="G63" s="519"/>
      <c r="H63" s="518">
        <v>18056521</v>
      </c>
      <c r="I63" s="519"/>
      <c r="J63" s="519"/>
      <c r="K63" s="518">
        <v>7952685</v>
      </c>
      <c r="L63" s="519"/>
      <c r="M63" s="519"/>
      <c r="N63" s="518"/>
      <c r="O63" s="1055"/>
    </row>
    <row r="64" spans="1:20" s="729" customFormat="1" x14ac:dyDescent="0.35">
      <c r="A64" s="731"/>
      <c r="B64" s="562" t="s">
        <v>1730</v>
      </c>
      <c r="C64" s="519"/>
      <c r="D64" s="519"/>
      <c r="E64" s="518"/>
      <c r="F64" s="519"/>
      <c r="G64" s="519"/>
      <c r="H64" s="518"/>
      <c r="I64" s="519"/>
      <c r="J64" s="519"/>
      <c r="K64" s="518"/>
      <c r="L64" s="519"/>
      <c r="M64" s="519"/>
      <c r="N64" s="518"/>
      <c r="O64" s="1055"/>
    </row>
    <row r="65" spans="1:15" s="730" customFormat="1" hidden="1" x14ac:dyDescent="0.35">
      <c r="A65" s="559"/>
      <c r="B65" s="560" t="s">
        <v>1743</v>
      </c>
      <c r="C65" s="561"/>
      <c r="D65" s="561"/>
      <c r="E65" s="558">
        <v>0</v>
      </c>
      <c r="F65" s="561"/>
      <c r="G65" s="561"/>
      <c r="H65" s="558">
        <v>0</v>
      </c>
      <c r="I65" s="561"/>
      <c r="J65" s="561"/>
      <c r="K65" s="558">
        <v>0</v>
      </c>
      <c r="L65" s="561"/>
      <c r="M65" s="561"/>
      <c r="N65" s="558">
        <f>SUM(N66:N68)</f>
        <v>0</v>
      </c>
      <c r="O65" s="1055"/>
    </row>
    <row r="66" spans="1:15" s="729" customFormat="1" ht="15" hidden="1" customHeight="1" x14ac:dyDescent="0.35">
      <c r="A66" s="731"/>
      <c r="B66" s="562"/>
      <c r="C66" s="519"/>
      <c r="D66" s="519"/>
      <c r="E66" s="518"/>
      <c r="F66" s="519"/>
      <c r="G66" s="519"/>
      <c r="H66" s="518"/>
      <c r="I66" s="519"/>
      <c r="J66" s="519"/>
      <c r="K66" s="518"/>
      <c r="L66" s="519"/>
      <c r="M66" s="519"/>
      <c r="N66" s="518"/>
      <c r="O66" s="1055"/>
    </row>
    <row r="67" spans="1:15" s="729" customFormat="1" ht="15" hidden="1" customHeight="1" x14ac:dyDescent="0.35">
      <c r="A67" s="731"/>
      <c r="B67" s="562"/>
      <c r="C67" s="519"/>
      <c r="D67" s="519"/>
      <c r="E67" s="518"/>
      <c r="F67" s="519"/>
      <c r="G67" s="519"/>
      <c r="H67" s="518"/>
      <c r="I67" s="519"/>
      <c r="J67" s="519"/>
      <c r="K67" s="518"/>
      <c r="L67" s="519"/>
      <c r="M67" s="519"/>
      <c r="N67" s="518"/>
      <c r="O67" s="1055"/>
    </row>
    <row r="68" spans="1:15" s="729" customFormat="1" ht="15" hidden="1" customHeight="1" x14ac:dyDescent="0.35">
      <c r="A68" s="731"/>
      <c r="B68" s="562"/>
      <c r="C68" s="519"/>
      <c r="D68" s="519"/>
      <c r="E68" s="518"/>
      <c r="F68" s="519"/>
      <c r="G68" s="519"/>
      <c r="H68" s="518"/>
      <c r="I68" s="519"/>
      <c r="J68" s="519"/>
      <c r="K68" s="518"/>
      <c r="L68" s="519"/>
      <c r="M68" s="519"/>
      <c r="N68" s="518"/>
      <c r="O68" s="1055"/>
    </row>
    <row r="69" spans="1:15" s="908" customFormat="1" x14ac:dyDescent="0.35">
      <c r="A69" s="559" t="s">
        <v>569</v>
      </c>
      <c r="B69" s="560" t="s">
        <v>554</v>
      </c>
      <c r="C69" s="519"/>
      <c r="D69" s="519"/>
      <c r="E69" s="558">
        <v>95000000</v>
      </c>
      <c r="F69" s="519"/>
      <c r="G69" s="519"/>
      <c r="H69" s="558">
        <v>96586243</v>
      </c>
      <c r="I69" s="519"/>
      <c r="J69" s="519"/>
      <c r="K69" s="558">
        <f>SUM(K70:K72)</f>
        <v>17507112</v>
      </c>
      <c r="L69" s="519"/>
      <c r="M69" s="519"/>
      <c r="N69" s="558">
        <f>SUM(N70:N72)</f>
        <v>0</v>
      </c>
      <c r="O69" s="1055"/>
    </row>
    <row r="70" spans="1:15" s="729" customFormat="1" x14ac:dyDescent="0.35">
      <c r="A70" s="731"/>
      <c r="B70" s="562" t="s">
        <v>292</v>
      </c>
      <c r="C70" s="519"/>
      <c r="D70" s="519"/>
      <c r="E70" s="518">
        <v>95000000</v>
      </c>
      <c r="F70" s="519"/>
      <c r="G70" s="519"/>
      <c r="H70" s="518">
        <v>96586243</v>
      </c>
      <c r="I70" s="519"/>
      <c r="J70" s="519"/>
      <c r="K70" s="518">
        <v>17507112</v>
      </c>
      <c r="L70" s="519"/>
      <c r="M70" s="519"/>
      <c r="N70" s="518"/>
      <c r="O70" s="1055"/>
    </row>
    <row r="71" spans="1:15" s="729" customFormat="1" ht="15" customHeight="1" x14ac:dyDescent="0.35">
      <c r="A71" s="731"/>
      <c r="B71" s="562" t="s">
        <v>351</v>
      </c>
      <c r="C71" s="519"/>
      <c r="D71" s="519"/>
      <c r="E71" s="518"/>
      <c r="F71" s="519"/>
      <c r="G71" s="519"/>
      <c r="H71" s="518"/>
      <c r="I71" s="519"/>
      <c r="J71" s="519"/>
      <c r="K71" s="518"/>
      <c r="L71" s="519"/>
      <c r="M71" s="519"/>
      <c r="N71" s="518"/>
      <c r="O71" s="1055"/>
    </row>
    <row r="72" spans="1:15" s="729" customFormat="1" x14ac:dyDescent="0.35">
      <c r="A72" s="731"/>
      <c r="B72" s="562" t="s">
        <v>342</v>
      </c>
      <c r="C72" s="519"/>
      <c r="D72" s="519"/>
      <c r="E72" s="518"/>
      <c r="F72" s="519"/>
      <c r="G72" s="519"/>
      <c r="H72" s="518"/>
      <c r="I72" s="519"/>
      <c r="J72" s="519"/>
      <c r="K72" s="518"/>
      <c r="L72" s="519"/>
      <c r="M72" s="519"/>
      <c r="N72" s="518"/>
      <c r="O72" s="1055"/>
    </row>
    <row r="73" spans="1:15" x14ac:dyDescent="0.35">
      <c r="A73" s="346" t="s">
        <v>318</v>
      </c>
      <c r="B73" s="398" t="s">
        <v>353</v>
      </c>
      <c r="C73" s="463"/>
      <c r="D73" s="463"/>
      <c r="E73" s="462">
        <v>801241700</v>
      </c>
      <c r="F73" s="463"/>
      <c r="G73" s="463"/>
      <c r="H73" s="462">
        <v>947058224</v>
      </c>
      <c r="I73" s="463"/>
      <c r="J73" s="463"/>
      <c r="K73" s="462">
        <f>+K74+K77+K80+K84+K88+K90+K92+K94+K96+K98+K100+K102+K104+K108+K113+K115+K118+K122+K124+K126+K128+K130+K132+K135+K138+K141+K143+K146+K148+K150+K152+K155+K163+K170+K177+K181+K183+K187+K191+K195+K213+K217+K220+K199+K203+K207+K209+K223</f>
        <v>130155297</v>
      </c>
      <c r="L73" s="463"/>
      <c r="M73" s="463"/>
      <c r="N73" s="462">
        <f>+N74+N77+N80+N84+N88+N90+N92+N94+N96+N98+N100+N102+N104+N108+N113+N115+N118+N122+N124+N126+N128+N130+N132+N135+N138+N141+N143+N146+N148+N150+N152+N155+N163+N170+N177+N181+N183+N187+N191+N195+N213+N217+N220+N199+N203+N207+N209+N223</f>
        <v>900000</v>
      </c>
      <c r="O73" s="1055"/>
    </row>
    <row r="74" spans="1:15" s="909" customFormat="1" x14ac:dyDescent="0.35">
      <c r="A74" s="559" t="s">
        <v>311</v>
      </c>
      <c r="B74" s="560" t="s">
        <v>695</v>
      </c>
      <c r="C74" s="561"/>
      <c r="D74" s="561"/>
      <c r="E74" s="558">
        <v>5660000</v>
      </c>
      <c r="F74" s="561"/>
      <c r="G74" s="561"/>
      <c r="H74" s="558">
        <v>5660000</v>
      </c>
      <c r="I74" s="561"/>
      <c r="J74" s="561"/>
      <c r="K74" s="558">
        <f>SUM(K75:K76)</f>
        <v>2160200</v>
      </c>
      <c r="L74" s="561"/>
      <c r="M74" s="561"/>
      <c r="N74" s="558">
        <f>SUM(N75:N76)</f>
        <v>0</v>
      </c>
      <c r="O74" s="1055"/>
    </row>
    <row r="75" spans="1:15" x14ac:dyDescent="0.35">
      <c r="A75" s="403"/>
      <c r="B75" s="390" t="s">
        <v>292</v>
      </c>
      <c r="C75" s="467"/>
      <c r="D75" s="467"/>
      <c r="E75" s="518">
        <v>5660000</v>
      </c>
      <c r="F75" s="467"/>
      <c r="G75" s="467"/>
      <c r="H75" s="466">
        <v>5660000</v>
      </c>
      <c r="I75" s="467"/>
      <c r="J75" s="467"/>
      <c r="K75" s="466">
        <v>2160200</v>
      </c>
      <c r="L75" s="467"/>
      <c r="M75" s="467"/>
      <c r="N75" s="518"/>
      <c r="O75" s="1055"/>
    </row>
    <row r="76" spans="1:15" x14ac:dyDescent="0.35">
      <c r="A76" s="403"/>
      <c r="B76" s="390" t="s">
        <v>351</v>
      </c>
      <c r="C76" s="467"/>
      <c r="D76" s="467"/>
      <c r="E76" s="518"/>
      <c r="F76" s="467"/>
      <c r="G76" s="467"/>
      <c r="H76" s="466"/>
      <c r="I76" s="467"/>
      <c r="J76" s="467"/>
      <c r="K76" s="466"/>
      <c r="L76" s="467"/>
      <c r="M76" s="467"/>
      <c r="N76" s="518"/>
      <c r="O76" s="1055"/>
    </row>
    <row r="77" spans="1:15" s="909" customFormat="1" x14ac:dyDescent="0.35">
      <c r="A77" s="559" t="s">
        <v>322</v>
      </c>
      <c r="B77" s="560" t="s">
        <v>696</v>
      </c>
      <c r="C77" s="561"/>
      <c r="D77" s="561"/>
      <c r="E77" s="558">
        <v>1000000</v>
      </c>
      <c r="F77" s="561"/>
      <c r="G77" s="561"/>
      <c r="H77" s="558">
        <v>1000000</v>
      </c>
      <c r="I77" s="561"/>
      <c r="J77" s="561"/>
      <c r="K77" s="558">
        <v>0</v>
      </c>
      <c r="L77" s="561"/>
      <c r="M77" s="561"/>
      <c r="N77" s="558">
        <f>+N79+N78</f>
        <v>0</v>
      </c>
      <c r="O77" s="1055"/>
    </row>
    <row r="78" spans="1:15" x14ac:dyDescent="0.35">
      <c r="A78" s="403"/>
      <c r="B78" s="390" t="s">
        <v>292</v>
      </c>
      <c r="C78" s="467"/>
      <c r="D78" s="467"/>
      <c r="E78" s="518">
        <v>1000000</v>
      </c>
      <c r="F78" s="467"/>
      <c r="G78" s="467"/>
      <c r="H78" s="466">
        <v>1000000</v>
      </c>
      <c r="I78" s="467"/>
      <c r="J78" s="467"/>
      <c r="K78" s="466"/>
      <c r="L78" s="467"/>
      <c r="M78" s="467"/>
      <c r="N78" s="518"/>
      <c r="O78" s="1055"/>
    </row>
    <row r="79" spans="1:15" x14ac:dyDescent="0.35">
      <c r="A79" s="403"/>
      <c r="B79" s="390" t="s">
        <v>351</v>
      </c>
      <c r="C79" s="467"/>
      <c r="D79" s="467"/>
      <c r="E79" s="518"/>
      <c r="F79" s="467"/>
      <c r="G79" s="467"/>
      <c r="H79" s="466"/>
      <c r="I79" s="467"/>
      <c r="J79" s="467"/>
      <c r="K79" s="466"/>
      <c r="L79" s="467"/>
      <c r="M79" s="467"/>
      <c r="N79" s="518"/>
      <c r="O79" s="1055"/>
    </row>
    <row r="80" spans="1:15" s="909" customFormat="1" x14ac:dyDescent="0.35">
      <c r="A80" s="559" t="s">
        <v>315</v>
      </c>
      <c r="B80" s="917" t="s">
        <v>697</v>
      </c>
      <c r="C80" s="918"/>
      <c r="D80" s="918"/>
      <c r="E80" s="919">
        <v>242500</v>
      </c>
      <c r="F80" s="918"/>
      <c r="G80" s="918"/>
      <c r="H80" s="919">
        <v>242500</v>
      </c>
      <c r="I80" s="918"/>
      <c r="J80" s="918"/>
      <c r="K80" s="919">
        <f>+K81+K82+K83</f>
        <v>0</v>
      </c>
      <c r="L80" s="918"/>
      <c r="M80" s="918"/>
      <c r="N80" s="919">
        <f>+N81+N82+N83</f>
        <v>0</v>
      </c>
      <c r="O80" s="1055"/>
    </row>
    <row r="81" spans="1:15" x14ac:dyDescent="0.35">
      <c r="A81" s="403"/>
      <c r="B81" s="405" t="s">
        <v>286</v>
      </c>
      <c r="C81" s="469"/>
      <c r="D81" s="469"/>
      <c r="E81" s="733">
        <v>100000</v>
      </c>
      <c r="F81" s="469"/>
      <c r="G81" s="469"/>
      <c r="H81" s="468">
        <v>100000</v>
      </c>
      <c r="I81" s="469"/>
      <c r="J81" s="469"/>
      <c r="K81" s="468"/>
      <c r="L81" s="469"/>
      <c r="M81" s="469"/>
      <c r="N81" s="733"/>
      <c r="O81" s="1055"/>
    </row>
    <row r="82" spans="1:15" x14ac:dyDescent="0.35">
      <c r="A82" s="403"/>
      <c r="B82" s="405" t="s">
        <v>287</v>
      </c>
      <c r="C82" s="469"/>
      <c r="D82" s="469"/>
      <c r="E82" s="733">
        <v>15500</v>
      </c>
      <c r="F82" s="469"/>
      <c r="G82" s="469"/>
      <c r="H82" s="468">
        <v>15500</v>
      </c>
      <c r="I82" s="469"/>
      <c r="J82" s="469"/>
      <c r="K82" s="468"/>
      <c r="L82" s="469"/>
      <c r="M82" s="469"/>
      <c r="N82" s="733"/>
      <c r="O82" s="1055"/>
    </row>
    <row r="83" spans="1:15" x14ac:dyDescent="0.35">
      <c r="A83" s="403"/>
      <c r="B83" s="405" t="s">
        <v>292</v>
      </c>
      <c r="C83" s="469"/>
      <c r="D83" s="469"/>
      <c r="E83" s="733">
        <v>127000</v>
      </c>
      <c r="F83" s="469"/>
      <c r="G83" s="469"/>
      <c r="H83" s="468">
        <v>127000</v>
      </c>
      <c r="I83" s="469"/>
      <c r="J83" s="469"/>
      <c r="K83" s="468"/>
      <c r="L83" s="469"/>
      <c r="M83" s="469"/>
      <c r="N83" s="733"/>
      <c r="O83" s="1055"/>
    </row>
    <row r="84" spans="1:15" s="909" customFormat="1" x14ac:dyDescent="0.35">
      <c r="A84" s="559" t="s">
        <v>336</v>
      </c>
      <c r="B84" s="560" t="s">
        <v>1156</v>
      </c>
      <c r="C84" s="561"/>
      <c r="D84" s="561"/>
      <c r="E84" s="558">
        <v>6620000</v>
      </c>
      <c r="F84" s="561"/>
      <c r="G84" s="561"/>
      <c r="H84" s="558">
        <v>6620000</v>
      </c>
      <c r="I84" s="561"/>
      <c r="J84" s="561"/>
      <c r="K84" s="558">
        <f>+K85+K86+K87</f>
        <v>585000</v>
      </c>
      <c r="L84" s="561"/>
      <c r="M84" s="561"/>
      <c r="N84" s="558">
        <f>+N85+N86+N87</f>
        <v>0</v>
      </c>
      <c r="O84" s="1055"/>
    </row>
    <row r="85" spans="1:15" x14ac:dyDescent="0.35">
      <c r="A85" s="403"/>
      <c r="B85" s="390" t="s">
        <v>286</v>
      </c>
      <c r="C85" s="467"/>
      <c r="D85" s="467"/>
      <c r="E85" s="518">
        <v>4000000</v>
      </c>
      <c r="F85" s="467"/>
      <c r="G85" s="467"/>
      <c r="H85" s="466">
        <v>4000000</v>
      </c>
      <c r="I85" s="467"/>
      <c r="J85" s="467"/>
      <c r="K85" s="466"/>
      <c r="L85" s="467"/>
      <c r="M85" s="467"/>
      <c r="N85" s="518"/>
      <c r="O85" s="1055"/>
    </row>
    <row r="86" spans="1:15" x14ac:dyDescent="0.35">
      <c r="A86" s="403"/>
      <c r="B86" s="390" t="s">
        <v>287</v>
      </c>
      <c r="C86" s="467"/>
      <c r="D86" s="467"/>
      <c r="E86" s="518">
        <v>620000</v>
      </c>
      <c r="F86" s="467"/>
      <c r="G86" s="467"/>
      <c r="H86" s="466">
        <v>620000</v>
      </c>
      <c r="I86" s="467"/>
      <c r="J86" s="467"/>
      <c r="K86" s="466"/>
      <c r="L86" s="467"/>
      <c r="M86" s="467"/>
      <c r="N86" s="518"/>
      <c r="O86" s="1055"/>
    </row>
    <row r="87" spans="1:15" x14ac:dyDescent="0.35">
      <c r="A87" s="403"/>
      <c r="B87" s="390" t="s">
        <v>1263</v>
      </c>
      <c r="C87" s="467"/>
      <c r="D87" s="467"/>
      <c r="E87" s="518">
        <v>2000000</v>
      </c>
      <c r="F87" s="467"/>
      <c r="G87" s="467"/>
      <c r="H87" s="466">
        <v>2000000</v>
      </c>
      <c r="I87" s="467"/>
      <c r="J87" s="467"/>
      <c r="K87" s="466">
        <v>585000</v>
      </c>
      <c r="L87" s="467"/>
      <c r="M87" s="467"/>
      <c r="N87" s="518"/>
      <c r="O87" s="1055"/>
    </row>
    <row r="88" spans="1:15" s="909" customFormat="1" x14ac:dyDescent="0.35">
      <c r="A88" s="559" t="s">
        <v>338</v>
      </c>
      <c r="B88" s="560" t="s">
        <v>698</v>
      </c>
      <c r="C88" s="561"/>
      <c r="D88" s="561"/>
      <c r="E88" s="558">
        <v>6307200</v>
      </c>
      <c r="F88" s="561"/>
      <c r="G88" s="561"/>
      <c r="H88" s="558">
        <v>6307200</v>
      </c>
      <c r="I88" s="561"/>
      <c r="J88" s="561"/>
      <c r="K88" s="558">
        <f>+K89</f>
        <v>471560</v>
      </c>
      <c r="L88" s="561"/>
      <c r="M88" s="561"/>
      <c r="N88" s="558">
        <f>+N89</f>
        <v>0</v>
      </c>
      <c r="O88" s="1055"/>
    </row>
    <row r="89" spans="1:15" x14ac:dyDescent="0.35">
      <c r="A89" s="403"/>
      <c r="B89" s="390" t="s">
        <v>292</v>
      </c>
      <c r="C89" s="467"/>
      <c r="D89" s="467"/>
      <c r="E89" s="518">
        <v>6307200</v>
      </c>
      <c r="F89" s="467"/>
      <c r="G89" s="467"/>
      <c r="H89" s="466">
        <v>6307200</v>
      </c>
      <c r="I89" s="467"/>
      <c r="J89" s="467"/>
      <c r="K89" s="466">
        <v>471560</v>
      </c>
      <c r="L89" s="467"/>
      <c r="M89" s="467"/>
      <c r="N89" s="518"/>
      <c r="O89" s="1055"/>
    </row>
    <row r="90" spans="1:15" s="909" customFormat="1" x14ac:dyDescent="0.35">
      <c r="A90" s="559" t="s">
        <v>556</v>
      </c>
      <c r="B90" s="560" t="s">
        <v>699</v>
      </c>
      <c r="C90" s="561"/>
      <c r="D90" s="561"/>
      <c r="E90" s="558">
        <v>5000000</v>
      </c>
      <c r="F90" s="561"/>
      <c r="G90" s="561"/>
      <c r="H90" s="558">
        <v>5000000</v>
      </c>
      <c r="I90" s="561"/>
      <c r="J90" s="561"/>
      <c r="K90" s="558">
        <f>+K91</f>
        <v>1650000</v>
      </c>
      <c r="L90" s="561"/>
      <c r="M90" s="561"/>
      <c r="N90" s="558">
        <f>+N91</f>
        <v>0</v>
      </c>
      <c r="O90" s="1055"/>
    </row>
    <row r="91" spans="1:15" x14ac:dyDescent="0.35">
      <c r="A91" s="403"/>
      <c r="B91" s="390" t="s">
        <v>292</v>
      </c>
      <c r="C91" s="467"/>
      <c r="D91" s="467"/>
      <c r="E91" s="518">
        <v>5000000</v>
      </c>
      <c r="F91" s="467"/>
      <c r="G91" s="467"/>
      <c r="H91" s="466">
        <v>5000000</v>
      </c>
      <c r="I91" s="467"/>
      <c r="J91" s="467"/>
      <c r="K91" s="466">
        <v>1650000</v>
      </c>
      <c r="L91" s="467"/>
      <c r="M91" s="467"/>
      <c r="N91" s="518"/>
      <c r="O91" s="1055"/>
    </row>
    <row r="92" spans="1:15" s="910" customFormat="1" x14ac:dyDescent="0.35">
      <c r="A92" s="559" t="s">
        <v>558</v>
      </c>
      <c r="B92" s="560" t="s">
        <v>700</v>
      </c>
      <c r="C92" s="561"/>
      <c r="D92" s="561"/>
      <c r="E92" s="558">
        <v>0</v>
      </c>
      <c r="F92" s="561"/>
      <c r="G92" s="561"/>
      <c r="H92" s="558">
        <v>0</v>
      </c>
      <c r="I92" s="561"/>
      <c r="J92" s="561"/>
      <c r="K92" s="558">
        <f>+K93</f>
        <v>0</v>
      </c>
      <c r="L92" s="561"/>
      <c r="M92" s="561"/>
      <c r="N92" s="558">
        <f>+N93</f>
        <v>0</v>
      </c>
      <c r="O92" s="1055"/>
    </row>
    <row r="93" spans="1:15" x14ac:dyDescent="0.35">
      <c r="A93" s="403"/>
      <c r="B93" s="390" t="s">
        <v>292</v>
      </c>
      <c r="C93" s="467"/>
      <c r="D93" s="467"/>
      <c r="E93" s="518"/>
      <c r="F93" s="467"/>
      <c r="G93" s="467"/>
      <c r="H93" s="466"/>
      <c r="I93" s="467"/>
      <c r="J93" s="467"/>
      <c r="K93" s="466"/>
      <c r="L93" s="467"/>
      <c r="M93" s="467"/>
      <c r="N93" s="518"/>
      <c r="O93" s="1055"/>
    </row>
    <row r="94" spans="1:15" s="911" customFormat="1" x14ac:dyDescent="0.35">
      <c r="A94" s="559" t="s">
        <v>560</v>
      </c>
      <c r="B94" s="917" t="s">
        <v>701</v>
      </c>
      <c r="C94" s="918"/>
      <c r="D94" s="918"/>
      <c r="E94" s="919">
        <v>1080000</v>
      </c>
      <c r="F94" s="918"/>
      <c r="G94" s="918"/>
      <c r="H94" s="919">
        <v>1080000</v>
      </c>
      <c r="I94" s="918"/>
      <c r="J94" s="918"/>
      <c r="K94" s="919">
        <v>0</v>
      </c>
      <c r="L94" s="918"/>
      <c r="M94" s="918"/>
      <c r="N94" s="919">
        <f>+N95</f>
        <v>0</v>
      </c>
      <c r="O94" s="1055"/>
    </row>
    <row r="95" spans="1:15" s="407" customFormat="1" x14ac:dyDescent="0.35">
      <c r="A95" s="403"/>
      <c r="B95" s="405" t="s">
        <v>292</v>
      </c>
      <c r="C95" s="469"/>
      <c r="D95" s="469"/>
      <c r="E95" s="733">
        <v>1080000</v>
      </c>
      <c r="F95" s="469"/>
      <c r="G95" s="469"/>
      <c r="H95" s="468">
        <v>1080000</v>
      </c>
      <c r="I95" s="469"/>
      <c r="J95" s="469"/>
      <c r="K95" s="468"/>
      <c r="L95" s="469"/>
      <c r="M95" s="469"/>
      <c r="N95" s="733"/>
      <c r="O95" s="1055"/>
    </row>
    <row r="96" spans="1:15" s="406" customFormat="1" x14ac:dyDescent="0.35">
      <c r="A96" s="400" t="s">
        <v>561</v>
      </c>
      <c r="B96" s="401" t="s">
        <v>702</v>
      </c>
      <c r="C96" s="465"/>
      <c r="D96" s="465"/>
      <c r="E96" s="558">
        <v>0</v>
      </c>
      <c r="F96" s="465"/>
      <c r="G96" s="465"/>
      <c r="H96" s="464">
        <v>0</v>
      </c>
      <c r="I96" s="465"/>
      <c r="J96" s="465"/>
      <c r="K96" s="464">
        <v>0</v>
      </c>
      <c r="L96" s="465"/>
      <c r="M96" s="465"/>
      <c r="N96" s="558">
        <f>+N97</f>
        <v>0</v>
      </c>
      <c r="O96" s="1055"/>
    </row>
    <row r="97" spans="1:17" x14ac:dyDescent="0.35">
      <c r="A97" s="403"/>
      <c r="B97" s="390" t="s">
        <v>292</v>
      </c>
      <c r="C97" s="467"/>
      <c r="D97" s="467"/>
      <c r="E97" s="518"/>
      <c r="F97" s="467"/>
      <c r="G97" s="467"/>
      <c r="H97" s="466"/>
      <c r="I97" s="467"/>
      <c r="J97" s="467"/>
      <c r="K97" s="466"/>
      <c r="L97" s="467"/>
      <c r="M97" s="467"/>
      <c r="N97" s="518"/>
      <c r="O97" s="1055"/>
    </row>
    <row r="98" spans="1:17" s="909" customFormat="1" x14ac:dyDescent="0.35">
      <c r="A98" s="559" t="s">
        <v>563</v>
      </c>
      <c r="B98" s="560" t="s">
        <v>703</v>
      </c>
      <c r="C98" s="561"/>
      <c r="D98" s="561"/>
      <c r="E98" s="558">
        <v>2286000</v>
      </c>
      <c r="F98" s="561"/>
      <c r="G98" s="561"/>
      <c r="H98" s="558">
        <v>2286000</v>
      </c>
      <c r="I98" s="561"/>
      <c r="J98" s="561"/>
      <c r="K98" s="558">
        <f>+K99</f>
        <v>952500</v>
      </c>
      <c r="L98" s="561"/>
      <c r="M98" s="561"/>
      <c r="N98" s="558">
        <f>+N99</f>
        <v>0</v>
      </c>
      <c r="O98" s="1055"/>
    </row>
    <row r="99" spans="1:17" x14ac:dyDescent="0.35">
      <c r="A99" s="403"/>
      <c r="B99" s="390" t="s">
        <v>292</v>
      </c>
      <c r="C99" s="467"/>
      <c r="D99" s="467"/>
      <c r="E99" s="518">
        <v>2286000</v>
      </c>
      <c r="F99" s="467"/>
      <c r="G99" s="467"/>
      <c r="H99" s="466">
        <v>2286000</v>
      </c>
      <c r="I99" s="467"/>
      <c r="J99" s="467"/>
      <c r="K99" s="466">
        <v>952500</v>
      </c>
      <c r="L99" s="467"/>
      <c r="M99" s="467"/>
      <c r="N99" s="518"/>
      <c r="O99" s="1055"/>
    </row>
    <row r="100" spans="1:17" s="909" customFormat="1" x14ac:dyDescent="0.35">
      <c r="A100" s="559" t="s">
        <v>565</v>
      </c>
      <c r="B100" s="560" t="s">
        <v>704</v>
      </c>
      <c r="C100" s="561"/>
      <c r="D100" s="561"/>
      <c r="E100" s="558">
        <v>2421000</v>
      </c>
      <c r="F100" s="561"/>
      <c r="G100" s="561"/>
      <c r="H100" s="558">
        <v>2421000</v>
      </c>
      <c r="I100" s="561"/>
      <c r="J100" s="561"/>
      <c r="K100" s="558">
        <f>+K101</f>
        <v>1008170</v>
      </c>
      <c r="L100" s="561"/>
      <c r="M100" s="561"/>
      <c r="N100" s="558">
        <f>+N101</f>
        <v>0</v>
      </c>
      <c r="O100" s="1055"/>
    </row>
    <row r="101" spans="1:17" x14ac:dyDescent="0.35">
      <c r="A101" s="403"/>
      <c r="B101" s="390" t="s">
        <v>292</v>
      </c>
      <c r="C101" s="467"/>
      <c r="D101" s="467"/>
      <c r="E101" s="518">
        <v>2421000</v>
      </c>
      <c r="F101" s="467"/>
      <c r="G101" s="467"/>
      <c r="H101" s="466">
        <v>2421000</v>
      </c>
      <c r="I101" s="467"/>
      <c r="J101" s="467"/>
      <c r="K101" s="466">
        <v>1008170</v>
      </c>
      <c r="L101" s="467"/>
      <c r="M101" s="467"/>
      <c r="N101" s="518"/>
      <c r="O101" s="1055"/>
    </row>
    <row r="102" spans="1:17" s="910" customFormat="1" x14ac:dyDescent="0.35">
      <c r="A102" s="559" t="s">
        <v>566</v>
      </c>
      <c r="B102" s="560" t="s">
        <v>705</v>
      </c>
      <c r="C102" s="561"/>
      <c r="D102" s="561"/>
      <c r="E102" s="558">
        <v>2400000</v>
      </c>
      <c r="F102" s="561"/>
      <c r="G102" s="561"/>
      <c r="H102" s="558">
        <v>2400000</v>
      </c>
      <c r="I102" s="561"/>
      <c r="J102" s="561"/>
      <c r="K102" s="558">
        <f>+K103</f>
        <v>105600</v>
      </c>
      <c r="L102" s="561"/>
      <c r="M102" s="561"/>
      <c r="N102" s="558">
        <f>+N103</f>
        <v>0</v>
      </c>
      <c r="O102" s="1055"/>
    </row>
    <row r="103" spans="1:17" s="555" customFormat="1" x14ac:dyDescent="0.35">
      <c r="A103" s="403"/>
      <c r="B103" s="562" t="s">
        <v>292</v>
      </c>
      <c r="C103" s="519"/>
      <c r="D103" s="519"/>
      <c r="E103" s="518">
        <v>2400000</v>
      </c>
      <c r="F103" s="519"/>
      <c r="G103" s="519"/>
      <c r="H103" s="518">
        <v>2400000</v>
      </c>
      <c r="I103" s="519"/>
      <c r="J103" s="519"/>
      <c r="K103" s="518">
        <v>105600</v>
      </c>
      <c r="L103" s="519"/>
      <c r="M103" s="519"/>
      <c r="N103" s="518"/>
      <c r="O103" s="1055"/>
    </row>
    <row r="104" spans="1:17" s="909" customFormat="1" x14ac:dyDescent="0.35">
      <c r="A104" s="559" t="s">
        <v>568</v>
      </c>
      <c r="B104" s="560" t="s">
        <v>706</v>
      </c>
      <c r="C104" s="561"/>
      <c r="D104" s="561"/>
      <c r="E104" s="558">
        <v>2540000</v>
      </c>
      <c r="F104" s="561"/>
      <c r="G104" s="561"/>
      <c r="H104" s="558">
        <v>2540000</v>
      </c>
      <c r="I104" s="561"/>
      <c r="J104" s="561"/>
      <c r="K104" s="558">
        <v>0</v>
      </c>
      <c r="L104" s="561"/>
      <c r="M104" s="561"/>
      <c r="N104" s="558">
        <f>+N105+N106+N107</f>
        <v>0</v>
      </c>
      <c r="O104" s="1055"/>
    </row>
    <row r="105" spans="1:17" s="406" customFormat="1" x14ac:dyDescent="0.35">
      <c r="A105" s="400"/>
      <c r="B105" s="390" t="s">
        <v>286</v>
      </c>
      <c r="C105" s="561"/>
      <c r="D105" s="561"/>
      <c r="E105" s="558"/>
      <c r="F105" s="561"/>
      <c r="G105" s="561"/>
      <c r="H105" s="558"/>
      <c r="I105" s="561"/>
      <c r="J105" s="561"/>
      <c r="K105" s="558"/>
      <c r="L105" s="561"/>
      <c r="M105" s="561"/>
      <c r="N105" s="558"/>
      <c r="O105" s="1055"/>
    </row>
    <row r="106" spans="1:17" s="406" customFormat="1" x14ac:dyDescent="0.35">
      <c r="A106" s="400"/>
      <c r="B106" s="390" t="s">
        <v>287</v>
      </c>
      <c r="C106" s="561"/>
      <c r="D106" s="561"/>
      <c r="E106" s="558"/>
      <c r="F106" s="561"/>
      <c r="G106" s="561"/>
      <c r="H106" s="558"/>
      <c r="I106" s="561"/>
      <c r="J106" s="561"/>
      <c r="K106" s="558"/>
      <c r="L106" s="561"/>
      <c r="M106" s="561"/>
      <c r="N106" s="558"/>
      <c r="O106" s="1055"/>
    </row>
    <row r="107" spans="1:17" x14ac:dyDescent="0.35">
      <c r="A107" s="403"/>
      <c r="B107" s="562" t="s">
        <v>292</v>
      </c>
      <c r="C107" s="519"/>
      <c r="D107" s="519"/>
      <c r="E107" s="518">
        <v>2540000</v>
      </c>
      <c r="F107" s="519"/>
      <c r="G107" s="519"/>
      <c r="H107" s="518">
        <v>2540000</v>
      </c>
      <c r="I107" s="519"/>
      <c r="J107" s="519"/>
      <c r="K107" s="518">
        <v>0</v>
      </c>
      <c r="L107" s="519"/>
      <c r="M107" s="519"/>
      <c r="N107" s="518"/>
      <c r="O107" s="1055"/>
    </row>
    <row r="108" spans="1:17" s="910" customFormat="1" x14ac:dyDescent="0.35">
      <c r="A108" s="559" t="s">
        <v>569</v>
      </c>
      <c r="B108" s="560" t="s">
        <v>707</v>
      </c>
      <c r="C108" s="561"/>
      <c r="D108" s="561"/>
      <c r="E108" s="558">
        <v>12604000</v>
      </c>
      <c r="F108" s="561"/>
      <c r="G108" s="561"/>
      <c r="H108" s="558">
        <v>12604000</v>
      </c>
      <c r="I108" s="561"/>
      <c r="J108" s="561"/>
      <c r="K108" s="558">
        <f>SUM(K109:K112)</f>
        <v>5165725</v>
      </c>
      <c r="L108" s="561"/>
      <c r="M108" s="561"/>
      <c r="N108" s="558">
        <f>SUM(N109:N112)</f>
        <v>0</v>
      </c>
      <c r="O108" s="1055"/>
    </row>
    <row r="109" spans="1:17" s="555" customFormat="1" x14ac:dyDescent="0.35">
      <c r="A109" s="403"/>
      <c r="B109" s="562" t="s">
        <v>286</v>
      </c>
      <c r="C109" s="519"/>
      <c r="D109" s="519"/>
      <c r="E109" s="518"/>
      <c r="F109" s="519"/>
      <c r="G109" s="519"/>
      <c r="H109" s="518"/>
      <c r="I109" s="519"/>
      <c r="J109" s="519"/>
      <c r="K109" s="518"/>
      <c r="L109" s="519"/>
      <c r="M109" s="519"/>
      <c r="N109" s="518"/>
      <c r="O109" s="1055"/>
    </row>
    <row r="110" spans="1:17" s="555" customFormat="1" x14ac:dyDescent="0.35">
      <c r="A110" s="403"/>
      <c r="B110" s="562" t="s">
        <v>287</v>
      </c>
      <c r="C110" s="519"/>
      <c r="D110" s="519"/>
      <c r="E110" s="518"/>
      <c r="F110" s="519"/>
      <c r="G110" s="519"/>
      <c r="H110" s="518"/>
      <c r="I110" s="519"/>
      <c r="J110" s="519"/>
      <c r="K110" s="518"/>
      <c r="L110" s="519"/>
      <c r="M110" s="519"/>
      <c r="N110" s="518"/>
      <c r="O110" s="1055"/>
    </row>
    <row r="111" spans="1:17" s="555" customFormat="1" x14ac:dyDescent="0.35">
      <c r="A111" s="556"/>
      <c r="B111" s="562" t="s">
        <v>292</v>
      </c>
      <c r="C111" s="519"/>
      <c r="D111" s="519"/>
      <c r="E111" s="518">
        <v>12604000</v>
      </c>
      <c r="F111" s="519"/>
      <c r="G111" s="519"/>
      <c r="H111" s="518">
        <v>12604000</v>
      </c>
      <c r="I111" s="519"/>
      <c r="J111" s="519"/>
      <c r="K111" s="518">
        <v>5165725</v>
      </c>
      <c r="L111" s="519"/>
      <c r="M111" s="519"/>
      <c r="N111" s="518"/>
      <c r="O111" s="1055"/>
      <c r="P111" s="406"/>
      <c r="Q111" s="395"/>
    </row>
    <row r="112" spans="1:17" s="555" customFormat="1" x14ac:dyDescent="0.35">
      <c r="A112" s="556"/>
      <c r="B112" s="562" t="s">
        <v>351</v>
      </c>
      <c r="C112" s="519"/>
      <c r="D112" s="519"/>
      <c r="E112" s="518"/>
      <c r="F112" s="519"/>
      <c r="G112" s="519"/>
      <c r="H112" s="518"/>
      <c r="I112" s="519"/>
      <c r="J112" s="519"/>
      <c r="K112" s="518"/>
      <c r="L112" s="519"/>
      <c r="M112" s="519"/>
      <c r="N112" s="518"/>
      <c r="O112" s="1055"/>
    </row>
    <row r="113" spans="1:16" s="911" customFormat="1" ht="29" x14ac:dyDescent="0.35">
      <c r="A113" s="559" t="s">
        <v>570</v>
      </c>
      <c r="B113" s="917" t="s">
        <v>1262</v>
      </c>
      <c r="C113" s="918"/>
      <c r="D113" s="918"/>
      <c r="E113" s="919">
        <v>8163000</v>
      </c>
      <c r="F113" s="918"/>
      <c r="G113" s="918"/>
      <c r="H113" s="919">
        <v>8163000</v>
      </c>
      <c r="I113" s="918"/>
      <c r="J113" s="918"/>
      <c r="K113" s="919">
        <f>+K114</f>
        <v>4081500</v>
      </c>
      <c r="L113" s="918"/>
      <c r="M113" s="918"/>
      <c r="N113" s="919">
        <f>+N114</f>
        <v>0</v>
      </c>
      <c r="O113" s="1055"/>
      <c r="P113" s="927"/>
    </row>
    <row r="114" spans="1:16" x14ac:dyDescent="0.35">
      <c r="A114" s="403"/>
      <c r="B114" s="390" t="s">
        <v>1263</v>
      </c>
      <c r="C114" s="467"/>
      <c r="D114" s="467"/>
      <c r="E114" s="518">
        <v>8163000</v>
      </c>
      <c r="F114" s="467"/>
      <c r="G114" s="467"/>
      <c r="H114" s="466">
        <v>8163000</v>
      </c>
      <c r="I114" s="467"/>
      <c r="J114" s="467"/>
      <c r="K114" s="466">
        <v>4081500</v>
      </c>
      <c r="L114" s="467"/>
      <c r="M114" s="467"/>
      <c r="N114" s="518"/>
      <c r="O114" s="1055"/>
    </row>
    <row r="115" spans="1:16" s="909" customFormat="1" x14ac:dyDescent="0.35">
      <c r="A115" s="559" t="s">
        <v>708</v>
      </c>
      <c r="B115" s="560" t="s">
        <v>710</v>
      </c>
      <c r="C115" s="561"/>
      <c r="D115" s="561"/>
      <c r="E115" s="558">
        <v>3024000</v>
      </c>
      <c r="F115" s="561"/>
      <c r="G115" s="561"/>
      <c r="H115" s="558">
        <v>3024000</v>
      </c>
      <c r="I115" s="561"/>
      <c r="J115" s="561"/>
      <c r="K115" s="558">
        <f>+K116+K117</f>
        <v>3024000</v>
      </c>
      <c r="L115" s="561"/>
      <c r="M115" s="561"/>
      <c r="N115" s="558">
        <f>+N116+N117</f>
        <v>0</v>
      </c>
      <c r="O115" s="1055"/>
    </row>
    <row r="116" spans="1:16" x14ac:dyDescent="0.35">
      <c r="A116" s="403"/>
      <c r="B116" s="562" t="s">
        <v>292</v>
      </c>
      <c r="C116" s="467"/>
      <c r="D116" s="467"/>
      <c r="E116" s="518"/>
      <c r="F116" s="467"/>
      <c r="G116" s="467"/>
      <c r="H116" s="466"/>
      <c r="I116" s="467"/>
      <c r="J116" s="467"/>
      <c r="K116" s="466"/>
      <c r="L116" s="467"/>
      <c r="M116" s="467"/>
      <c r="N116" s="518"/>
      <c r="O116" s="1055"/>
    </row>
    <row r="117" spans="1:16" x14ac:dyDescent="0.35">
      <c r="A117" s="403"/>
      <c r="B117" s="390" t="s">
        <v>1263</v>
      </c>
      <c r="C117" s="467"/>
      <c r="D117" s="467"/>
      <c r="E117" s="518">
        <v>3024000</v>
      </c>
      <c r="F117" s="467"/>
      <c r="G117" s="467"/>
      <c r="H117" s="466">
        <v>3024000</v>
      </c>
      <c r="I117" s="467"/>
      <c r="J117" s="467"/>
      <c r="K117" s="466">
        <v>3024000</v>
      </c>
      <c r="L117" s="467"/>
      <c r="M117" s="467"/>
      <c r="N117" s="518"/>
      <c r="O117" s="1055"/>
    </row>
    <row r="118" spans="1:16" s="909" customFormat="1" ht="31.5" customHeight="1" x14ac:dyDescent="0.35">
      <c r="A118" s="559" t="s">
        <v>709</v>
      </c>
      <c r="B118" s="917" t="s">
        <v>1335</v>
      </c>
      <c r="C118" s="561"/>
      <c r="D118" s="561"/>
      <c r="E118" s="558">
        <v>34600000</v>
      </c>
      <c r="F118" s="561"/>
      <c r="G118" s="561"/>
      <c r="H118" s="558">
        <v>36985000</v>
      </c>
      <c r="I118" s="561"/>
      <c r="J118" s="561"/>
      <c r="K118" s="558">
        <f>+K119</f>
        <v>14320000</v>
      </c>
      <c r="L118" s="561"/>
      <c r="M118" s="561"/>
      <c r="N118" s="558">
        <f>+N119</f>
        <v>0</v>
      </c>
      <c r="O118" s="1055"/>
    </row>
    <row r="119" spans="1:16" x14ac:dyDescent="0.35">
      <c r="A119" s="403"/>
      <c r="B119" s="390" t="s">
        <v>1263</v>
      </c>
      <c r="C119" s="467"/>
      <c r="D119" s="467"/>
      <c r="E119" s="518">
        <v>34600000</v>
      </c>
      <c r="F119" s="467"/>
      <c r="G119" s="467"/>
      <c r="H119" s="466">
        <v>36985000</v>
      </c>
      <c r="I119" s="467"/>
      <c r="J119" s="467"/>
      <c r="K119" s="466">
        <v>14320000</v>
      </c>
      <c r="L119" s="467"/>
      <c r="M119" s="467"/>
      <c r="N119" s="518"/>
      <c r="O119" s="1055"/>
    </row>
    <row r="120" spans="1:16" x14ac:dyDescent="0.35">
      <c r="A120" s="403"/>
      <c r="B120" s="390" t="s">
        <v>1328</v>
      </c>
      <c r="C120" s="467"/>
      <c r="D120" s="467"/>
      <c r="E120" s="518">
        <v>5000000</v>
      </c>
      <c r="F120" s="467"/>
      <c r="G120" s="467"/>
      <c r="H120" s="466">
        <v>5000000</v>
      </c>
      <c r="I120" s="467"/>
      <c r="J120" s="467"/>
      <c r="K120" s="466"/>
      <c r="L120" s="467"/>
      <c r="M120" s="467"/>
      <c r="N120" s="518"/>
      <c r="O120" s="1055"/>
    </row>
    <row r="121" spans="1:16" x14ac:dyDescent="0.35">
      <c r="A121" s="403"/>
      <c r="B121" s="390" t="s">
        <v>1329</v>
      </c>
      <c r="C121" s="467"/>
      <c r="D121" s="467"/>
      <c r="E121" s="518">
        <v>29600000</v>
      </c>
      <c r="F121" s="467"/>
      <c r="G121" s="467"/>
      <c r="H121" s="466">
        <v>31985000</v>
      </c>
      <c r="I121" s="467"/>
      <c r="J121" s="467"/>
      <c r="K121" s="466"/>
      <c r="L121" s="467"/>
      <c r="M121" s="467"/>
      <c r="N121" s="518"/>
      <c r="O121" s="1055"/>
    </row>
    <row r="122" spans="1:16" s="909" customFormat="1" x14ac:dyDescent="0.35">
      <c r="A122" s="559" t="s">
        <v>711</v>
      </c>
      <c r="B122" s="560" t="s">
        <v>714</v>
      </c>
      <c r="C122" s="561"/>
      <c r="D122" s="561"/>
      <c r="E122" s="558">
        <v>2000000</v>
      </c>
      <c r="F122" s="561"/>
      <c r="G122" s="561"/>
      <c r="H122" s="558">
        <v>2000000</v>
      </c>
      <c r="I122" s="561"/>
      <c r="J122" s="561"/>
      <c r="K122" s="558">
        <f>+K123</f>
        <v>1000000</v>
      </c>
      <c r="L122" s="561"/>
      <c r="M122" s="561"/>
      <c r="N122" s="558">
        <f>+N123</f>
        <v>0</v>
      </c>
      <c r="O122" s="1055"/>
    </row>
    <row r="123" spans="1:16" x14ac:dyDescent="0.35">
      <c r="A123" s="403"/>
      <c r="B123" s="390" t="s">
        <v>1263</v>
      </c>
      <c r="C123" s="467"/>
      <c r="D123" s="467"/>
      <c r="E123" s="518">
        <v>2000000</v>
      </c>
      <c r="F123" s="467"/>
      <c r="G123" s="467"/>
      <c r="H123" s="466">
        <v>2000000</v>
      </c>
      <c r="I123" s="467"/>
      <c r="J123" s="467"/>
      <c r="K123" s="466">
        <v>1000000</v>
      </c>
      <c r="L123" s="467"/>
      <c r="M123" s="467"/>
      <c r="N123" s="518"/>
      <c r="O123" s="1055"/>
    </row>
    <row r="124" spans="1:16" s="909" customFormat="1" x14ac:dyDescent="0.35">
      <c r="A124" s="559" t="s">
        <v>712</v>
      </c>
      <c r="B124" s="560" t="s">
        <v>716</v>
      </c>
      <c r="C124" s="561"/>
      <c r="D124" s="561"/>
      <c r="E124" s="558">
        <v>200000</v>
      </c>
      <c r="F124" s="561"/>
      <c r="G124" s="561"/>
      <c r="H124" s="558">
        <v>200000</v>
      </c>
      <c r="I124" s="561"/>
      <c r="J124" s="561"/>
      <c r="K124" s="558">
        <f>+K125</f>
        <v>100000</v>
      </c>
      <c r="L124" s="561"/>
      <c r="M124" s="561"/>
      <c r="N124" s="558">
        <f>+N125</f>
        <v>0</v>
      </c>
      <c r="O124" s="1055"/>
    </row>
    <row r="125" spans="1:16" x14ac:dyDescent="0.35">
      <c r="A125" s="403"/>
      <c r="B125" s="390" t="s">
        <v>1263</v>
      </c>
      <c r="C125" s="467"/>
      <c r="D125" s="467"/>
      <c r="E125" s="518">
        <v>200000</v>
      </c>
      <c r="F125" s="467"/>
      <c r="G125" s="467"/>
      <c r="H125" s="466">
        <v>200000</v>
      </c>
      <c r="I125" s="467"/>
      <c r="J125" s="467"/>
      <c r="K125" s="466">
        <v>100000</v>
      </c>
      <c r="L125" s="467"/>
      <c r="M125" s="467"/>
      <c r="N125" s="518"/>
      <c r="O125" s="1055"/>
    </row>
    <row r="126" spans="1:16" s="909" customFormat="1" x14ac:dyDescent="0.35">
      <c r="A126" s="559" t="s">
        <v>713</v>
      </c>
      <c r="B126" s="560" t="s">
        <v>719</v>
      </c>
      <c r="C126" s="561"/>
      <c r="D126" s="561"/>
      <c r="E126" s="558">
        <v>3000000</v>
      </c>
      <c r="F126" s="561"/>
      <c r="G126" s="561"/>
      <c r="H126" s="558">
        <v>3000000</v>
      </c>
      <c r="I126" s="561"/>
      <c r="J126" s="561"/>
      <c r="K126" s="558">
        <f>+K127</f>
        <v>0</v>
      </c>
      <c r="L126" s="561"/>
      <c r="M126" s="561"/>
      <c r="N126" s="558">
        <f>+N127</f>
        <v>0</v>
      </c>
      <c r="O126" s="1055"/>
    </row>
    <row r="127" spans="1:16" x14ac:dyDescent="0.35">
      <c r="A127" s="403"/>
      <c r="B127" s="390" t="s">
        <v>1264</v>
      </c>
      <c r="C127" s="467"/>
      <c r="D127" s="467"/>
      <c r="E127" s="518">
        <v>3000000</v>
      </c>
      <c r="F127" s="467"/>
      <c r="G127" s="467"/>
      <c r="H127" s="518">
        <v>3000000</v>
      </c>
      <c r="I127" s="467"/>
      <c r="J127" s="467"/>
      <c r="K127" s="518"/>
      <c r="L127" s="467"/>
      <c r="M127" s="467"/>
      <c r="N127" s="518"/>
      <c r="O127" s="1055"/>
    </row>
    <row r="128" spans="1:16" s="909" customFormat="1" x14ac:dyDescent="0.35">
      <c r="A128" s="559" t="s">
        <v>715</v>
      </c>
      <c r="B128" s="560" t="s">
        <v>721</v>
      </c>
      <c r="C128" s="561"/>
      <c r="D128" s="561"/>
      <c r="E128" s="558">
        <v>5400000</v>
      </c>
      <c r="F128" s="561"/>
      <c r="G128" s="561"/>
      <c r="H128" s="558">
        <v>5400000</v>
      </c>
      <c r="I128" s="561"/>
      <c r="J128" s="561"/>
      <c r="K128" s="558">
        <f>+K129</f>
        <v>5400000</v>
      </c>
      <c r="L128" s="561"/>
      <c r="M128" s="561"/>
      <c r="N128" s="558">
        <f>+N129</f>
        <v>0</v>
      </c>
      <c r="O128" s="1055"/>
    </row>
    <row r="129" spans="1:15" x14ac:dyDescent="0.35">
      <c r="A129" s="403"/>
      <c r="B129" s="390" t="s">
        <v>1264</v>
      </c>
      <c r="C129" s="467"/>
      <c r="D129" s="467"/>
      <c r="E129" s="518">
        <v>5400000</v>
      </c>
      <c r="F129" s="467"/>
      <c r="G129" s="467"/>
      <c r="H129" s="466">
        <v>5400000</v>
      </c>
      <c r="I129" s="467"/>
      <c r="J129" s="467"/>
      <c r="K129" s="466">
        <v>5400000</v>
      </c>
      <c r="L129" s="467"/>
      <c r="M129" s="467"/>
      <c r="N129" s="518"/>
      <c r="O129" s="1055"/>
    </row>
    <row r="130" spans="1:15" s="909" customFormat="1" x14ac:dyDescent="0.35">
      <c r="A130" s="559" t="s">
        <v>717</v>
      </c>
      <c r="B130" s="560" t="s">
        <v>723</v>
      </c>
      <c r="C130" s="561"/>
      <c r="D130" s="561"/>
      <c r="E130" s="558">
        <v>400000</v>
      </c>
      <c r="F130" s="561"/>
      <c r="G130" s="561"/>
      <c r="H130" s="558">
        <v>400000</v>
      </c>
      <c r="I130" s="561"/>
      <c r="J130" s="561"/>
      <c r="K130" s="558">
        <f>+K131</f>
        <v>400000</v>
      </c>
      <c r="L130" s="561"/>
      <c r="M130" s="561"/>
      <c r="N130" s="558">
        <f>+N131</f>
        <v>0</v>
      </c>
      <c r="O130" s="1055"/>
    </row>
    <row r="131" spans="1:15" x14ac:dyDescent="0.35">
      <c r="A131" s="403"/>
      <c r="B131" s="390" t="s">
        <v>1264</v>
      </c>
      <c r="C131" s="467"/>
      <c r="D131" s="467"/>
      <c r="E131" s="518">
        <v>400000</v>
      </c>
      <c r="F131" s="467"/>
      <c r="G131" s="467"/>
      <c r="H131" s="466">
        <v>400000</v>
      </c>
      <c r="I131" s="467"/>
      <c r="J131" s="467"/>
      <c r="K131" s="466">
        <v>400000</v>
      </c>
      <c r="L131" s="467"/>
      <c r="M131" s="467"/>
      <c r="N131" s="518"/>
      <c r="O131" s="1055"/>
    </row>
    <row r="132" spans="1:15" s="909" customFormat="1" x14ac:dyDescent="0.35">
      <c r="A132" s="559" t="s">
        <v>718</v>
      </c>
      <c r="B132" s="560" t="s">
        <v>1359</v>
      </c>
      <c r="C132" s="561"/>
      <c r="D132" s="561"/>
      <c r="E132" s="558">
        <v>88000000</v>
      </c>
      <c r="F132" s="561"/>
      <c r="G132" s="561"/>
      <c r="H132" s="558">
        <v>88000000</v>
      </c>
      <c r="I132" s="561"/>
      <c r="J132" s="561"/>
      <c r="K132" s="558">
        <f>+K133+K134</f>
        <v>0</v>
      </c>
      <c r="L132" s="561"/>
      <c r="M132" s="561"/>
      <c r="N132" s="558">
        <f>+N133+N134</f>
        <v>0</v>
      </c>
      <c r="O132" s="1055"/>
    </row>
    <row r="133" spans="1:15" x14ac:dyDescent="0.35">
      <c r="A133" s="403"/>
      <c r="B133" s="390" t="s">
        <v>292</v>
      </c>
      <c r="C133" s="467"/>
      <c r="D133" s="467"/>
      <c r="E133" s="518"/>
      <c r="F133" s="467"/>
      <c r="G133" s="467"/>
      <c r="H133" s="466"/>
      <c r="I133" s="467"/>
      <c r="J133" s="467"/>
      <c r="K133" s="466"/>
      <c r="L133" s="467"/>
      <c r="M133" s="467"/>
      <c r="N133" s="518"/>
      <c r="O133" s="1055"/>
    </row>
    <row r="134" spans="1:15" x14ac:dyDescent="0.35">
      <c r="A134" s="403"/>
      <c r="B134" s="390" t="s">
        <v>1264</v>
      </c>
      <c r="C134" s="467"/>
      <c r="D134" s="467"/>
      <c r="E134" s="518">
        <v>88000000</v>
      </c>
      <c r="F134" s="467"/>
      <c r="G134" s="467"/>
      <c r="H134" s="466">
        <v>88000000</v>
      </c>
      <c r="I134" s="467"/>
      <c r="J134" s="467"/>
      <c r="K134" s="466"/>
      <c r="L134" s="467"/>
      <c r="M134" s="467"/>
      <c r="N134" s="518"/>
      <c r="O134" s="1055"/>
    </row>
    <row r="135" spans="1:15" s="912" customFormat="1" x14ac:dyDescent="0.35">
      <c r="A135" s="559" t="s">
        <v>720</v>
      </c>
      <c r="B135" s="560" t="s">
        <v>726</v>
      </c>
      <c r="C135" s="561"/>
      <c r="D135" s="561"/>
      <c r="E135" s="558">
        <v>48000000</v>
      </c>
      <c r="F135" s="561"/>
      <c r="G135" s="561"/>
      <c r="H135" s="558">
        <v>51781667</v>
      </c>
      <c r="I135" s="561"/>
      <c r="J135" s="561"/>
      <c r="K135" s="558">
        <f>+K136+K137</f>
        <v>19740303</v>
      </c>
      <c r="L135" s="561"/>
      <c r="M135" s="561"/>
      <c r="N135" s="558">
        <f>+N136+N137</f>
        <v>0</v>
      </c>
      <c r="O135" s="1055"/>
    </row>
    <row r="136" spans="1:15" s="557" customFormat="1" x14ac:dyDescent="0.35">
      <c r="A136" s="403"/>
      <c r="B136" s="390" t="s">
        <v>1264</v>
      </c>
      <c r="C136" s="467"/>
      <c r="D136" s="467"/>
      <c r="E136" s="518">
        <v>48000000</v>
      </c>
      <c r="F136" s="467"/>
      <c r="G136" s="467"/>
      <c r="H136" s="466">
        <v>51781667</v>
      </c>
      <c r="I136" s="467"/>
      <c r="J136" s="467"/>
      <c r="K136" s="466">
        <v>19740303</v>
      </c>
      <c r="L136" s="467"/>
      <c r="M136" s="467"/>
      <c r="N136" s="518"/>
      <c r="O136" s="1055"/>
    </row>
    <row r="137" spans="1:15" s="557" customFormat="1" x14ac:dyDescent="0.35">
      <c r="A137" s="403"/>
      <c r="B137" s="390" t="s">
        <v>292</v>
      </c>
      <c r="C137" s="467"/>
      <c r="D137" s="467"/>
      <c r="E137" s="518">
        <v>0</v>
      </c>
      <c r="F137" s="467"/>
      <c r="G137" s="467"/>
      <c r="H137" s="466">
        <v>0</v>
      </c>
      <c r="I137" s="467"/>
      <c r="J137" s="467"/>
      <c r="K137" s="466">
        <v>0</v>
      </c>
      <c r="L137" s="467"/>
      <c r="M137" s="467"/>
      <c r="N137" s="518">
        <v>0</v>
      </c>
      <c r="O137" s="1055"/>
    </row>
    <row r="138" spans="1:15" s="909" customFormat="1" x14ac:dyDescent="0.35">
      <c r="A138" s="559" t="s">
        <v>722</v>
      </c>
      <c r="B138" s="560" t="s">
        <v>729</v>
      </c>
      <c r="C138" s="561"/>
      <c r="D138" s="561"/>
      <c r="E138" s="558">
        <v>6500000</v>
      </c>
      <c r="F138" s="561"/>
      <c r="G138" s="561"/>
      <c r="H138" s="558">
        <v>6700000</v>
      </c>
      <c r="I138" s="561"/>
      <c r="J138" s="561"/>
      <c r="K138" s="558">
        <f>+K139</f>
        <v>100000</v>
      </c>
      <c r="L138" s="561"/>
      <c r="M138" s="561"/>
      <c r="N138" s="558">
        <f>+N139</f>
        <v>0</v>
      </c>
      <c r="O138" s="1055"/>
    </row>
    <row r="139" spans="1:15" x14ac:dyDescent="0.35">
      <c r="A139" s="403"/>
      <c r="B139" s="390" t="s">
        <v>1264</v>
      </c>
      <c r="C139" s="467"/>
      <c r="D139" s="467"/>
      <c r="E139" s="518">
        <v>6500000</v>
      </c>
      <c r="F139" s="467"/>
      <c r="G139" s="467"/>
      <c r="H139" s="466">
        <v>6700000</v>
      </c>
      <c r="I139" s="467"/>
      <c r="J139" s="467"/>
      <c r="K139" s="466">
        <v>100000</v>
      </c>
      <c r="L139" s="467"/>
      <c r="M139" s="467"/>
      <c r="N139" s="518"/>
      <c r="O139" s="1055"/>
    </row>
    <row r="140" spans="1:15" x14ac:dyDescent="0.35">
      <c r="A140" s="403"/>
      <c r="B140" s="390" t="s">
        <v>1677</v>
      </c>
      <c r="C140" s="467"/>
      <c r="D140" s="467"/>
      <c r="E140" s="518"/>
      <c r="F140" s="467"/>
      <c r="G140" s="467"/>
      <c r="H140" s="466"/>
      <c r="I140" s="467"/>
      <c r="J140" s="467"/>
      <c r="K140" s="466"/>
      <c r="L140" s="467"/>
      <c r="M140" s="467"/>
      <c r="N140" s="518"/>
      <c r="O140" s="1055"/>
    </row>
    <row r="141" spans="1:15" s="909" customFormat="1" x14ac:dyDescent="0.35">
      <c r="A141" s="559" t="s">
        <v>724</v>
      </c>
      <c r="B141" s="560" t="s">
        <v>731</v>
      </c>
      <c r="C141" s="561"/>
      <c r="D141" s="561"/>
      <c r="E141" s="558">
        <v>2000000</v>
      </c>
      <c r="F141" s="561"/>
      <c r="G141" s="561"/>
      <c r="H141" s="558">
        <v>2000000</v>
      </c>
      <c r="I141" s="561"/>
      <c r="J141" s="561"/>
      <c r="K141" s="558">
        <f>+K142</f>
        <v>0</v>
      </c>
      <c r="L141" s="561"/>
      <c r="M141" s="561"/>
      <c r="N141" s="558">
        <f>+N142</f>
        <v>0</v>
      </c>
      <c r="O141" s="1055"/>
    </row>
    <row r="142" spans="1:15" x14ac:dyDescent="0.35">
      <c r="A142" s="403"/>
      <c r="B142" s="390" t="s">
        <v>1264</v>
      </c>
      <c r="C142" s="467"/>
      <c r="D142" s="467"/>
      <c r="E142" s="518">
        <v>2000000</v>
      </c>
      <c r="F142" s="467"/>
      <c r="G142" s="467"/>
      <c r="H142" s="466">
        <v>2000000</v>
      </c>
      <c r="I142" s="467"/>
      <c r="J142" s="467"/>
      <c r="K142" s="466"/>
      <c r="L142" s="467"/>
      <c r="M142" s="467"/>
      <c r="N142" s="518"/>
      <c r="O142" s="1055"/>
    </row>
    <row r="143" spans="1:15" s="910" customFormat="1" x14ac:dyDescent="0.35">
      <c r="A143" s="559" t="s">
        <v>725</v>
      </c>
      <c r="B143" s="560" t="s">
        <v>733</v>
      </c>
      <c r="C143" s="561"/>
      <c r="D143" s="561"/>
      <c r="E143" s="558">
        <v>41500000</v>
      </c>
      <c r="F143" s="561"/>
      <c r="G143" s="561"/>
      <c r="H143" s="558">
        <v>41500000</v>
      </c>
      <c r="I143" s="561"/>
      <c r="J143" s="561"/>
      <c r="K143" s="558">
        <f>+K144</f>
        <v>0</v>
      </c>
      <c r="L143" s="561"/>
      <c r="M143" s="561"/>
      <c r="N143" s="558">
        <f>+N144+N145</f>
        <v>0</v>
      </c>
      <c r="O143" s="1055"/>
    </row>
    <row r="144" spans="1:15" x14ac:dyDescent="0.35">
      <c r="A144" s="403"/>
      <c r="B144" s="390" t="s">
        <v>1264</v>
      </c>
      <c r="C144" s="467"/>
      <c r="D144" s="467"/>
      <c r="E144" s="518">
        <v>41500000</v>
      </c>
      <c r="F144" s="467"/>
      <c r="G144" s="467"/>
      <c r="H144" s="466">
        <v>41500000</v>
      </c>
      <c r="I144" s="467"/>
      <c r="J144" s="467"/>
      <c r="K144" s="466"/>
      <c r="L144" s="467"/>
      <c r="M144" s="467"/>
      <c r="N144" s="518"/>
      <c r="O144" s="1055"/>
    </row>
    <row r="145" spans="1:15" x14ac:dyDescent="0.35">
      <c r="A145" s="403"/>
      <c r="B145" s="390" t="s">
        <v>1677</v>
      </c>
      <c r="C145" s="467"/>
      <c r="D145" s="467"/>
      <c r="E145" s="518"/>
      <c r="F145" s="467"/>
      <c r="G145" s="467"/>
      <c r="H145" s="466"/>
      <c r="I145" s="467"/>
      <c r="J145" s="467"/>
      <c r="K145" s="466"/>
      <c r="L145" s="467"/>
      <c r="M145" s="467"/>
      <c r="N145" s="518"/>
      <c r="O145" s="1055"/>
    </row>
    <row r="146" spans="1:15" x14ac:dyDescent="0.35">
      <c r="A146" s="400" t="s">
        <v>1746</v>
      </c>
      <c r="B146" s="401" t="s">
        <v>1747</v>
      </c>
      <c r="C146" s="467"/>
      <c r="D146" s="467"/>
      <c r="E146" s="558">
        <v>0</v>
      </c>
      <c r="F146" s="467"/>
      <c r="G146" s="467"/>
      <c r="H146" s="464">
        <v>0</v>
      </c>
      <c r="I146" s="467"/>
      <c r="J146" s="467"/>
      <c r="K146" s="464">
        <f>+K147</f>
        <v>0</v>
      </c>
      <c r="L146" s="467"/>
      <c r="M146" s="467"/>
      <c r="N146" s="558">
        <f>+N147</f>
        <v>0</v>
      </c>
      <c r="O146" s="1055"/>
    </row>
    <row r="147" spans="1:15" x14ac:dyDescent="0.35">
      <c r="A147" s="403"/>
      <c r="B147" s="390" t="s">
        <v>1264</v>
      </c>
      <c r="C147" s="467"/>
      <c r="D147" s="467"/>
      <c r="E147" s="518">
        <v>0</v>
      </c>
      <c r="F147" s="467"/>
      <c r="G147" s="467"/>
      <c r="H147" s="466"/>
      <c r="I147" s="467"/>
      <c r="J147" s="467"/>
      <c r="K147" s="466"/>
      <c r="L147" s="467"/>
      <c r="M147" s="467"/>
      <c r="N147" s="518">
        <v>0</v>
      </c>
      <c r="O147" s="1055"/>
    </row>
    <row r="148" spans="1:15" s="909" customFormat="1" x14ac:dyDescent="0.35">
      <c r="A148" s="559" t="s">
        <v>727</v>
      </c>
      <c r="B148" s="560" t="s">
        <v>735</v>
      </c>
      <c r="C148" s="561"/>
      <c r="D148" s="561"/>
      <c r="E148" s="558">
        <v>12600000</v>
      </c>
      <c r="F148" s="561"/>
      <c r="G148" s="561"/>
      <c r="H148" s="558">
        <v>12600000</v>
      </c>
      <c r="I148" s="561"/>
      <c r="J148" s="561"/>
      <c r="K148" s="558">
        <f>+K149</f>
        <v>0</v>
      </c>
      <c r="L148" s="561"/>
      <c r="M148" s="561"/>
      <c r="N148" s="558">
        <f>+N149</f>
        <v>0</v>
      </c>
      <c r="O148" s="1055"/>
    </row>
    <row r="149" spans="1:15" x14ac:dyDescent="0.35">
      <c r="A149" s="403"/>
      <c r="B149" s="390" t="s">
        <v>1264</v>
      </c>
      <c r="C149" s="467"/>
      <c r="D149" s="467"/>
      <c r="E149" s="518">
        <v>12600000</v>
      </c>
      <c r="F149" s="467"/>
      <c r="G149" s="467"/>
      <c r="H149" s="466">
        <v>12600000</v>
      </c>
      <c r="I149" s="467"/>
      <c r="J149" s="467"/>
      <c r="K149" s="466"/>
      <c r="L149" s="467"/>
      <c r="M149" s="467"/>
      <c r="N149" s="518"/>
      <c r="O149" s="1055"/>
    </row>
    <row r="150" spans="1:15" s="909" customFormat="1" x14ac:dyDescent="0.35">
      <c r="A150" s="559" t="s">
        <v>728</v>
      </c>
      <c r="B150" s="560" t="s">
        <v>736</v>
      </c>
      <c r="C150" s="561"/>
      <c r="D150" s="561"/>
      <c r="E150" s="558">
        <v>2470000</v>
      </c>
      <c r="F150" s="561"/>
      <c r="G150" s="561"/>
      <c r="H150" s="558">
        <v>2470000</v>
      </c>
      <c r="I150" s="561"/>
      <c r="J150" s="561"/>
      <c r="K150" s="558">
        <f>+K151</f>
        <v>0</v>
      </c>
      <c r="L150" s="561"/>
      <c r="M150" s="561"/>
      <c r="N150" s="558">
        <f>+N151</f>
        <v>0</v>
      </c>
      <c r="O150" s="1055"/>
    </row>
    <row r="151" spans="1:15" x14ac:dyDescent="0.35">
      <c r="A151" s="403"/>
      <c r="B151" s="390" t="s">
        <v>292</v>
      </c>
      <c r="C151" s="467"/>
      <c r="D151" s="467"/>
      <c r="E151" s="518">
        <v>2470000</v>
      </c>
      <c r="F151" s="467"/>
      <c r="G151" s="467"/>
      <c r="H151" s="466">
        <v>2470000</v>
      </c>
      <c r="I151" s="467"/>
      <c r="J151" s="467"/>
      <c r="K151" s="466"/>
      <c r="L151" s="467"/>
      <c r="M151" s="467"/>
      <c r="N151" s="518"/>
      <c r="O151" s="1055"/>
    </row>
    <row r="152" spans="1:15" s="909" customFormat="1" x14ac:dyDescent="0.35">
      <c r="A152" s="559" t="s">
        <v>730</v>
      </c>
      <c r="B152" s="560" t="s">
        <v>738</v>
      </c>
      <c r="C152" s="561"/>
      <c r="D152" s="561"/>
      <c r="E152" s="558">
        <v>24000000</v>
      </c>
      <c r="F152" s="561"/>
      <c r="G152" s="561"/>
      <c r="H152" s="558">
        <v>24319201</v>
      </c>
      <c r="I152" s="561"/>
      <c r="J152" s="561"/>
      <c r="K152" s="558">
        <f>+K153+K154</f>
        <v>2701223</v>
      </c>
      <c r="L152" s="561"/>
      <c r="M152" s="561"/>
      <c r="N152" s="558">
        <f>+N153+N154</f>
        <v>0</v>
      </c>
      <c r="O152" s="1055"/>
    </row>
    <row r="153" spans="1:15" x14ac:dyDescent="0.35">
      <c r="A153" s="403"/>
      <c r="B153" s="390" t="s">
        <v>1308</v>
      </c>
      <c r="C153" s="467"/>
      <c r="D153" s="467"/>
      <c r="E153" s="518"/>
      <c r="F153" s="467"/>
      <c r="G153" s="467"/>
      <c r="H153" s="466"/>
      <c r="I153" s="467"/>
      <c r="J153" s="467"/>
      <c r="K153" s="466"/>
      <c r="L153" s="467"/>
      <c r="M153" s="467"/>
      <c r="N153" s="518"/>
      <c r="O153" s="1055"/>
    </row>
    <row r="154" spans="1:15" x14ac:dyDescent="0.35">
      <c r="A154" s="403"/>
      <c r="B154" s="390" t="s">
        <v>337</v>
      </c>
      <c r="C154" s="467"/>
      <c r="D154" s="467"/>
      <c r="E154" s="518">
        <v>24000000</v>
      </c>
      <c r="F154" s="467"/>
      <c r="G154" s="467"/>
      <c r="H154" s="466">
        <v>24319201</v>
      </c>
      <c r="I154" s="467"/>
      <c r="J154" s="467"/>
      <c r="K154" s="466">
        <v>2701223</v>
      </c>
      <c r="L154" s="467"/>
      <c r="M154" s="467"/>
      <c r="N154" s="518"/>
      <c r="O154" s="1055"/>
    </row>
    <row r="155" spans="1:15" s="909" customFormat="1" x14ac:dyDescent="0.35">
      <c r="A155" s="559" t="s">
        <v>732</v>
      </c>
      <c r="B155" s="560" t="s">
        <v>740</v>
      </c>
      <c r="C155" s="561"/>
      <c r="D155" s="561"/>
      <c r="E155" s="558">
        <v>55314000</v>
      </c>
      <c r="F155" s="561"/>
      <c r="G155" s="561"/>
      <c r="H155" s="558">
        <v>144103990</v>
      </c>
      <c r="I155" s="561"/>
      <c r="J155" s="561"/>
      <c r="K155" s="558">
        <f>SUM(K156:K162)</f>
        <v>8421324</v>
      </c>
      <c r="L155" s="561"/>
      <c r="M155" s="561"/>
      <c r="N155" s="558">
        <f>SUM(N156:N162)</f>
        <v>0</v>
      </c>
      <c r="O155" s="1055"/>
    </row>
    <row r="156" spans="1:15" x14ac:dyDescent="0.35">
      <c r="A156" s="403"/>
      <c r="B156" s="390" t="s">
        <v>286</v>
      </c>
      <c r="C156" s="467"/>
      <c r="D156" s="467"/>
      <c r="E156" s="518">
        <v>19400000</v>
      </c>
      <c r="F156" s="467"/>
      <c r="G156" s="467"/>
      <c r="H156" s="466">
        <v>19850000</v>
      </c>
      <c r="I156" s="467"/>
      <c r="J156" s="467"/>
      <c r="K156" s="466">
        <v>2909269</v>
      </c>
      <c r="L156" s="467"/>
      <c r="M156" s="467"/>
      <c r="N156" s="518"/>
      <c r="O156" s="1055"/>
    </row>
    <row r="157" spans="1:15" x14ac:dyDescent="0.35">
      <c r="A157" s="403"/>
      <c r="B157" s="390" t="s">
        <v>287</v>
      </c>
      <c r="C157" s="467"/>
      <c r="D157" s="467"/>
      <c r="E157" s="518">
        <v>3007000</v>
      </c>
      <c r="F157" s="467"/>
      <c r="G157" s="467"/>
      <c r="H157" s="466">
        <v>3082000</v>
      </c>
      <c r="I157" s="467"/>
      <c r="J157" s="467"/>
      <c r="K157" s="466">
        <v>327445</v>
      </c>
      <c r="L157" s="467"/>
      <c r="M157" s="467"/>
      <c r="N157" s="518"/>
      <c r="O157" s="1055"/>
    </row>
    <row r="158" spans="1:15" x14ac:dyDescent="0.35">
      <c r="A158" s="403"/>
      <c r="B158" s="390" t="s">
        <v>292</v>
      </c>
      <c r="C158" s="467"/>
      <c r="D158" s="467"/>
      <c r="E158" s="518">
        <v>32907000</v>
      </c>
      <c r="F158" s="467"/>
      <c r="G158" s="467"/>
      <c r="H158" s="466">
        <v>36171990</v>
      </c>
      <c r="I158" s="467"/>
      <c r="J158" s="467"/>
      <c r="K158" s="466">
        <v>5184610</v>
      </c>
      <c r="L158" s="467"/>
      <c r="M158" s="467"/>
      <c r="N158" s="518"/>
      <c r="O158" s="1055"/>
    </row>
    <row r="159" spans="1:15" x14ac:dyDescent="0.35">
      <c r="A159" s="403"/>
      <c r="B159" s="390" t="s">
        <v>337</v>
      </c>
      <c r="C159" s="467"/>
      <c r="D159" s="467"/>
      <c r="E159" s="518"/>
      <c r="F159" s="467"/>
      <c r="G159" s="467"/>
      <c r="H159" s="466"/>
      <c r="I159" s="467"/>
      <c r="J159" s="467"/>
      <c r="K159" s="466"/>
      <c r="L159" s="467"/>
      <c r="M159" s="467"/>
      <c r="N159" s="518"/>
      <c r="O159" s="1055"/>
    </row>
    <row r="160" spans="1:15" x14ac:dyDescent="0.35">
      <c r="A160" s="403"/>
      <c r="B160" s="390" t="s">
        <v>339</v>
      </c>
      <c r="C160" s="467"/>
      <c r="D160" s="467"/>
      <c r="E160" s="518"/>
      <c r="F160" s="467"/>
      <c r="G160" s="467"/>
      <c r="H160" s="466"/>
      <c r="I160" s="467"/>
      <c r="J160" s="467"/>
      <c r="K160" s="466"/>
      <c r="L160" s="467"/>
      <c r="M160" s="467"/>
      <c r="N160" s="518"/>
      <c r="O160" s="1055"/>
    </row>
    <row r="161" spans="1:15" x14ac:dyDescent="0.35">
      <c r="A161" s="403"/>
      <c r="B161" s="390" t="s">
        <v>1430</v>
      </c>
      <c r="C161" s="467"/>
      <c r="D161" s="467"/>
      <c r="E161" s="518"/>
      <c r="F161" s="467"/>
      <c r="G161" s="467"/>
      <c r="H161" s="466">
        <v>85000000</v>
      </c>
      <c r="I161" s="467"/>
      <c r="J161" s="467"/>
      <c r="K161" s="466"/>
      <c r="L161" s="467"/>
      <c r="M161" s="467"/>
      <c r="N161" s="518"/>
      <c r="O161" s="1055"/>
    </row>
    <row r="162" spans="1:15" x14ac:dyDescent="0.35">
      <c r="A162" s="403"/>
      <c r="B162" s="390" t="s">
        <v>351</v>
      </c>
      <c r="C162" s="467"/>
      <c r="D162" s="467"/>
      <c r="E162" s="518"/>
      <c r="F162" s="467"/>
      <c r="G162" s="467"/>
      <c r="H162" s="466"/>
      <c r="I162" s="467"/>
      <c r="J162" s="467"/>
      <c r="K162" s="466"/>
      <c r="L162" s="467"/>
      <c r="M162" s="467"/>
      <c r="N162" s="518"/>
      <c r="O162" s="1055"/>
    </row>
    <row r="163" spans="1:15" s="406" customFormat="1" x14ac:dyDescent="0.35">
      <c r="A163" s="400" t="s">
        <v>734</v>
      </c>
      <c r="B163" s="401" t="s">
        <v>742</v>
      </c>
      <c r="C163" s="465"/>
      <c r="D163" s="465"/>
      <c r="E163" s="558">
        <v>307100000</v>
      </c>
      <c r="F163" s="465"/>
      <c r="G163" s="465"/>
      <c r="H163" s="464">
        <v>353537166</v>
      </c>
      <c r="I163" s="465"/>
      <c r="J163" s="465"/>
      <c r="K163" s="464">
        <f>SUM(K164:K168)</f>
        <v>13035800</v>
      </c>
      <c r="L163" s="465"/>
      <c r="M163" s="465"/>
      <c r="N163" s="558">
        <f>SUM(N164:N168)</f>
        <v>900000</v>
      </c>
      <c r="O163" s="1055"/>
    </row>
    <row r="164" spans="1:15" s="406" customFormat="1" x14ac:dyDescent="0.35">
      <c r="A164" s="400"/>
      <c r="B164" s="390" t="s">
        <v>286</v>
      </c>
      <c r="C164" s="465"/>
      <c r="D164" s="465"/>
      <c r="E164" s="558"/>
      <c r="F164" s="465"/>
      <c r="G164" s="465"/>
      <c r="H164" s="464"/>
      <c r="I164" s="465"/>
      <c r="J164" s="465"/>
      <c r="K164" s="464"/>
      <c r="L164" s="465"/>
      <c r="M164" s="465"/>
      <c r="N164" s="558"/>
      <c r="O164" s="1055"/>
    </row>
    <row r="165" spans="1:15" s="406" customFormat="1" x14ac:dyDescent="0.35">
      <c r="A165" s="400"/>
      <c r="B165" s="390" t="s">
        <v>287</v>
      </c>
      <c r="C165" s="465"/>
      <c r="D165" s="465"/>
      <c r="E165" s="558"/>
      <c r="F165" s="465"/>
      <c r="G165" s="465"/>
      <c r="H165" s="464"/>
      <c r="I165" s="465"/>
      <c r="J165" s="465"/>
      <c r="K165" s="464"/>
      <c r="L165" s="465"/>
      <c r="M165" s="465"/>
      <c r="N165" s="558"/>
      <c r="O165" s="1055"/>
    </row>
    <row r="166" spans="1:15" s="406" customFormat="1" x14ac:dyDescent="0.35">
      <c r="A166" s="400"/>
      <c r="B166" s="390" t="s">
        <v>292</v>
      </c>
      <c r="C166" s="465"/>
      <c r="D166" s="465"/>
      <c r="E166" s="518">
        <v>1000000</v>
      </c>
      <c r="F166" s="465"/>
      <c r="G166" s="465"/>
      <c r="H166" s="466">
        <v>38451800</v>
      </c>
      <c r="I166" s="465"/>
      <c r="J166" s="465"/>
      <c r="K166" s="466">
        <f>+'7. melléklet'!K7+'7. melléklet'!K12+'7. melléklet'!K13+'7. melléklet'!K14+'7. melléklet'!K43</f>
        <v>0</v>
      </c>
      <c r="L166" s="465"/>
      <c r="M166" s="465"/>
      <c r="N166" s="518"/>
      <c r="O166" s="1055"/>
    </row>
    <row r="167" spans="1:15" x14ac:dyDescent="0.35">
      <c r="A167" s="403"/>
      <c r="B167" s="390" t="s">
        <v>351</v>
      </c>
      <c r="C167" s="467"/>
      <c r="D167" s="467"/>
      <c r="E167" s="518">
        <v>306100000</v>
      </c>
      <c r="F167" s="467"/>
      <c r="G167" s="467"/>
      <c r="H167" s="466">
        <v>275085366</v>
      </c>
      <c r="I167" s="467"/>
      <c r="J167" s="467"/>
      <c r="K167" s="466">
        <f>+'7. melléklet'!L12+'7. melléklet'!L13+'7. melléklet'!L14+'7. melléklet'!L11+'7. melléklet'!L9+'7. melléklet'!L43+'7. melléklet'!L55+'7. melléklet'!L10+'7. melléklet'!L57+'7. melléklet'!L58+'7. melléklet'!L18+'7. melléklet'!L7+'7. melléklet'!L60</f>
        <v>13035800</v>
      </c>
      <c r="L167" s="467"/>
      <c r="M167" s="467"/>
      <c r="N167" s="930">
        <f>+'7. melléklet'!L8+'7. melléklet'!L9+'7. melléklet'!L10+'7. melléklet'!L11+'7. melléklet'!L12+'7. melléklet'!L13+'7. melléklet'!L14+'7. melléklet'!L18</f>
        <v>900000</v>
      </c>
      <c r="O167" s="1055"/>
    </row>
    <row r="168" spans="1:15" x14ac:dyDescent="0.35">
      <c r="A168" s="403"/>
      <c r="B168" s="390" t="s">
        <v>342</v>
      </c>
      <c r="C168" s="467"/>
      <c r="D168" s="467"/>
      <c r="E168" s="518"/>
      <c r="F168" s="467"/>
      <c r="G168" s="467"/>
      <c r="H168" s="466">
        <v>40000000</v>
      </c>
      <c r="I168" s="467"/>
      <c r="J168" s="467"/>
      <c r="K168" s="466">
        <f>+'7. melléklet'!L82</f>
        <v>0</v>
      </c>
      <c r="L168" s="467"/>
      <c r="M168" s="467"/>
      <c r="N168" s="518"/>
      <c r="O168" s="1055"/>
    </row>
    <row r="169" spans="1:15" x14ac:dyDescent="0.35">
      <c r="A169" s="403"/>
      <c r="B169" s="390" t="s">
        <v>1673</v>
      </c>
      <c r="C169" s="467"/>
      <c r="D169" s="467"/>
      <c r="E169" s="518"/>
      <c r="F169" s="467"/>
      <c r="G169" s="467"/>
      <c r="H169" s="466"/>
      <c r="I169" s="467"/>
      <c r="J169" s="467"/>
      <c r="K169" s="466"/>
      <c r="L169" s="467"/>
      <c r="M169" s="467"/>
      <c r="N169" s="518"/>
      <c r="O169" s="1055"/>
    </row>
    <row r="170" spans="1:15" s="406" customFormat="1" x14ac:dyDescent="0.35">
      <c r="A170" s="400" t="s">
        <v>1332</v>
      </c>
      <c r="B170" s="401" t="s">
        <v>1639</v>
      </c>
      <c r="C170" s="465"/>
      <c r="D170" s="465"/>
      <c r="E170" s="558">
        <v>0</v>
      </c>
      <c r="F170" s="465"/>
      <c r="G170" s="465"/>
      <c r="H170" s="464">
        <v>0</v>
      </c>
      <c r="I170" s="465"/>
      <c r="J170" s="465"/>
      <c r="K170" s="464">
        <v>0</v>
      </c>
      <c r="L170" s="465"/>
      <c r="M170" s="465"/>
      <c r="N170" s="558">
        <f>SUM(N171:N176)</f>
        <v>0</v>
      </c>
      <c r="O170" s="1055"/>
    </row>
    <row r="171" spans="1:15" x14ac:dyDescent="0.35">
      <c r="A171" s="403"/>
      <c r="B171" s="390" t="s">
        <v>286</v>
      </c>
      <c r="C171" s="467"/>
      <c r="D171" s="467"/>
      <c r="E171" s="518"/>
      <c r="F171" s="467"/>
      <c r="G171" s="467"/>
      <c r="H171" s="466"/>
      <c r="I171" s="467"/>
      <c r="J171" s="467"/>
      <c r="K171" s="466"/>
      <c r="L171" s="467"/>
      <c r="M171" s="467"/>
      <c r="N171" s="518"/>
      <c r="O171" s="1055"/>
    </row>
    <row r="172" spans="1:15" x14ac:dyDescent="0.35">
      <c r="A172" s="403"/>
      <c r="B172" s="390" t="s">
        <v>287</v>
      </c>
      <c r="C172" s="467"/>
      <c r="D172" s="467"/>
      <c r="E172" s="518"/>
      <c r="F172" s="467"/>
      <c r="G172" s="467"/>
      <c r="H172" s="466"/>
      <c r="I172" s="467"/>
      <c r="J172" s="467"/>
      <c r="K172" s="466"/>
      <c r="L172" s="467"/>
      <c r="M172" s="467"/>
      <c r="N172" s="518"/>
      <c r="O172" s="1055"/>
    </row>
    <row r="173" spans="1:15" x14ac:dyDescent="0.35">
      <c r="A173" s="403"/>
      <c r="B173" s="390" t="s">
        <v>1308</v>
      </c>
      <c r="C173" s="467"/>
      <c r="D173" s="467"/>
      <c r="E173" s="518"/>
      <c r="F173" s="467"/>
      <c r="G173" s="467"/>
      <c r="H173" s="466"/>
      <c r="I173" s="467"/>
      <c r="J173" s="467"/>
      <c r="K173" s="466"/>
      <c r="L173" s="467"/>
      <c r="M173" s="467"/>
      <c r="N173" s="518"/>
      <c r="O173" s="1055"/>
    </row>
    <row r="174" spans="1:15" x14ac:dyDescent="0.35">
      <c r="A174" s="403"/>
      <c r="B174" s="390" t="s">
        <v>1434</v>
      </c>
      <c r="C174" s="467"/>
      <c r="D174" s="467"/>
      <c r="E174" s="518"/>
      <c r="F174" s="467"/>
      <c r="G174" s="467"/>
      <c r="H174" s="466"/>
      <c r="I174" s="467"/>
      <c r="J174" s="467"/>
      <c r="K174" s="466"/>
      <c r="L174" s="467"/>
      <c r="M174" s="467"/>
      <c r="N174" s="518"/>
      <c r="O174" s="1055"/>
    </row>
    <row r="175" spans="1:15" x14ac:dyDescent="0.35">
      <c r="A175" s="403"/>
      <c r="B175" s="390" t="s">
        <v>351</v>
      </c>
      <c r="C175" s="467"/>
      <c r="D175" s="467"/>
      <c r="E175" s="518"/>
      <c r="F175" s="467"/>
      <c r="G175" s="467"/>
      <c r="H175" s="466"/>
      <c r="I175" s="467"/>
      <c r="J175" s="467"/>
      <c r="K175" s="466"/>
      <c r="L175" s="467"/>
      <c r="M175" s="467"/>
      <c r="N175" s="518"/>
      <c r="O175" s="1055"/>
    </row>
    <row r="176" spans="1:15" x14ac:dyDescent="0.35">
      <c r="A176" s="403"/>
      <c r="B176" s="390" t="s">
        <v>342</v>
      </c>
      <c r="C176" s="519"/>
      <c r="D176" s="519"/>
      <c r="E176" s="518"/>
      <c r="F176" s="519"/>
      <c r="G176" s="519"/>
      <c r="H176" s="466"/>
      <c r="I176" s="519"/>
      <c r="J176" s="519"/>
      <c r="K176" s="466"/>
      <c r="L176" s="519"/>
      <c r="M176" s="519"/>
      <c r="N176" s="518"/>
      <c r="O176" s="1055"/>
    </row>
    <row r="177" spans="1:15" s="909" customFormat="1" x14ac:dyDescent="0.35">
      <c r="A177" s="559" t="s">
        <v>737</v>
      </c>
      <c r="B177" s="560" t="s">
        <v>744</v>
      </c>
      <c r="C177" s="561"/>
      <c r="D177" s="561"/>
      <c r="E177" s="558">
        <v>13860000</v>
      </c>
      <c r="F177" s="561"/>
      <c r="G177" s="561"/>
      <c r="H177" s="558">
        <v>13860000</v>
      </c>
      <c r="I177" s="561"/>
      <c r="J177" s="561"/>
      <c r="K177" s="558">
        <f>SUM(K178:K180)</f>
        <v>5911840</v>
      </c>
      <c r="L177" s="561"/>
      <c r="M177" s="561"/>
      <c r="N177" s="558">
        <f>SUM(N178:N180)</f>
        <v>0</v>
      </c>
      <c r="O177" s="1055"/>
    </row>
    <row r="178" spans="1:15" ht="14.25" customHeight="1" x14ac:dyDescent="0.35">
      <c r="A178" s="403"/>
      <c r="B178" s="390" t="s">
        <v>286</v>
      </c>
      <c r="C178" s="467"/>
      <c r="D178" s="467"/>
      <c r="E178" s="518">
        <v>12000000</v>
      </c>
      <c r="F178" s="467"/>
      <c r="G178" s="467"/>
      <c r="H178" s="466">
        <v>13635600</v>
      </c>
      <c r="I178" s="467"/>
      <c r="J178" s="467"/>
      <c r="K178" s="466">
        <v>5911840</v>
      </c>
      <c r="L178" s="467"/>
      <c r="M178" s="467"/>
      <c r="N178" s="518"/>
      <c r="O178" s="1055"/>
    </row>
    <row r="179" spans="1:15" x14ac:dyDescent="0.35">
      <c r="A179" s="403"/>
      <c r="B179" s="390" t="s">
        <v>287</v>
      </c>
      <c r="C179" s="467"/>
      <c r="D179" s="467"/>
      <c r="E179" s="518">
        <v>1860000</v>
      </c>
      <c r="F179" s="467"/>
      <c r="G179" s="467"/>
      <c r="H179" s="466">
        <v>224400</v>
      </c>
      <c r="I179" s="467"/>
      <c r="J179" s="467"/>
      <c r="K179" s="466"/>
      <c r="L179" s="467"/>
      <c r="M179" s="467"/>
      <c r="N179" s="518"/>
      <c r="O179" s="1055"/>
    </row>
    <row r="180" spans="1:15" x14ac:dyDescent="0.35">
      <c r="A180" s="403"/>
      <c r="B180" s="390" t="s">
        <v>292</v>
      </c>
      <c r="C180" s="467"/>
      <c r="D180" s="467"/>
      <c r="E180" s="518"/>
      <c r="F180" s="467"/>
      <c r="G180" s="467"/>
      <c r="H180" s="466"/>
      <c r="I180" s="467"/>
      <c r="J180" s="467"/>
      <c r="K180" s="466"/>
      <c r="L180" s="467"/>
      <c r="M180" s="467"/>
      <c r="N180" s="518"/>
      <c r="O180" s="1055"/>
    </row>
    <row r="181" spans="1:15" s="909" customFormat="1" x14ac:dyDescent="0.35">
      <c r="A181" s="559" t="s">
        <v>739</v>
      </c>
      <c r="B181" s="560" t="s">
        <v>1145</v>
      </c>
      <c r="C181" s="561"/>
      <c r="D181" s="561"/>
      <c r="E181" s="558">
        <v>5309000</v>
      </c>
      <c r="F181" s="561"/>
      <c r="G181" s="561"/>
      <c r="H181" s="558">
        <v>5309000</v>
      </c>
      <c r="I181" s="561"/>
      <c r="J181" s="561"/>
      <c r="K181" s="558">
        <f>+K182</f>
        <v>3575000</v>
      </c>
      <c r="L181" s="561"/>
      <c r="M181" s="561"/>
      <c r="N181" s="558">
        <f>+N182</f>
        <v>0</v>
      </c>
      <c r="O181" s="1055"/>
    </row>
    <row r="182" spans="1:15" x14ac:dyDescent="0.35">
      <c r="A182" s="403"/>
      <c r="B182" s="390" t="s">
        <v>292</v>
      </c>
      <c r="C182" s="467"/>
      <c r="D182" s="467"/>
      <c r="E182" s="518">
        <v>5309000</v>
      </c>
      <c r="F182" s="467"/>
      <c r="G182" s="467"/>
      <c r="H182" s="466">
        <v>5309000</v>
      </c>
      <c r="I182" s="467"/>
      <c r="J182" s="467"/>
      <c r="K182" s="466">
        <v>3575000</v>
      </c>
      <c r="L182" s="467"/>
      <c r="M182" s="467"/>
      <c r="N182" s="518"/>
      <c r="O182" s="1055"/>
    </row>
    <row r="183" spans="1:15" s="913" customFormat="1" x14ac:dyDescent="0.35">
      <c r="A183" s="559" t="s">
        <v>741</v>
      </c>
      <c r="B183" s="560" t="s">
        <v>649</v>
      </c>
      <c r="C183" s="561"/>
      <c r="D183" s="561"/>
      <c r="E183" s="558">
        <v>9240000</v>
      </c>
      <c r="F183" s="561"/>
      <c r="G183" s="561"/>
      <c r="H183" s="558">
        <v>9240000</v>
      </c>
      <c r="I183" s="561"/>
      <c r="J183" s="561"/>
      <c r="K183" s="558">
        <f>SUM(K184:K186)</f>
        <v>0</v>
      </c>
      <c r="L183" s="561"/>
      <c r="M183" s="561"/>
      <c r="N183" s="558">
        <f>SUM(N184:N186)</f>
        <v>0</v>
      </c>
      <c r="O183" s="1055"/>
    </row>
    <row r="184" spans="1:15" x14ac:dyDescent="0.35">
      <c r="A184" s="403"/>
      <c r="B184" s="390" t="s">
        <v>286</v>
      </c>
      <c r="C184" s="467"/>
      <c r="D184" s="467"/>
      <c r="E184" s="518">
        <v>8000000</v>
      </c>
      <c r="F184" s="467"/>
      <c r="G184" s="467"/>
      <c r="H184" s="466">
        <v>8000000</v>
      </c>
      <c r="I184" s="467"/>
      <c r="J184" s="467"/>
      <c r="K184" s="466"/>
      <c r="L184" s="467"/>
      <c r="M184" s="467"/>
      <c r="N184" s="518"/>
      <c r="O184" s="1055"/>
    </row>
    <row r="185" spans="1:15" x14ac:dyDescent="0.35">
      <c r="A185" s="403"/>
      <c r="B185" s="390" t="s">
        <v>287</v>
      </c>
      <c r="C185" s="467"/>
      <c r="D185" s="467"/>
      <c r="E185" s="518">
        <v>1240000</v>
      </c>
      <c r="F185" s="467"/>
      <c r="G185" s="467"/>
      <c r="H185" s="466">
        <v>1240000</v>
      </c>
      <c r="I185" s="467"/>
      <c r="J185" s="467"/>
      <c r="K185" s="466"/>
      <c r="L185" s="467"/>
      <c r="M185" s="467"/>
      <c r="N185" s="518"/>
      <c r="O185" s="1055"/>
    </row>
    <row r="186" spans="1:15" x14ac:dyDescent="0.35">
      <c r="A186" s="403"/>
      <c r="B186" s="390" t="s">
        <v>292</v>
      </c>
      <c r="C186" s="467"/>
      <c r="D186" s="467"/>
      <c r="E186" s="518"/>
      <c r="F186" s="467"/>
      <c r="G186" s="467"/>
      <c r="H186" s="466"/>
      <c r="I186" s="467"/>
      <c r="J186" s="467"/>
      <c r="K186" s="466"/>
      <c r="L186" s="467"/>
      <c r="M186" s="467"/>
      <c r="N186" s="518"/>
      <c r="O186" s="1055"/>
    </row>
    <row r="187" spans="1:15" s="909" customFormat="1" x14ac:dyDescent="0.35">
      <c r="A187" s="559" t="s">
        <v>743</v>
      </c>
      <c r="B187" s="560" t="s">
        <v>1389</v>
      </c>
      <c r="C187" s="561"/>
      <c r="D187" s="561"/>
      <c r="E187" s="558">
        <v>60000000</v>
      </c>
      <c r="F187" s="561"/>
      <c r="G187" s="561"/>
      <c r="H187" s="558">
        <v>60000000</v>
      </c>
      <c r="I187" s="561"/>
      <c r="J187" s="561"/>
      <c r="K187" s="558">
        <f>SUM(K188:K190)</f>
        <v>30000000</v>
      </c>
      <c r="L187" s="561"/>
      <c r="M187" s="561"/>
      <c r="N187" s="558">
        <f>SUM(N188:N190)</f>
        <v>0</v>
      </c>
      <c r="O187" s="1055"/>
    </row>
    <row r="188" spans="1:15" x14ac:dyDescent="0.35">
      <c r="A188" s="403"/>
      <c r="B188" s="390" t="s">
        <v>1264</v>
      </c>
      <c r="C188" s="467"/>
      <c r="D188" s="467"/>
      <c r="E188" s="518">
        <v>60000000</v>
      </c>
      <c r="F188" s="467"/>
      <c r="G188" s="467"/>
      <c r="H188" s="466">
        <v>60000000</v>
      </c>
      <c r="I188" s="467"/>
      <c r="J188" s="467"/>
      <c r="K188" s="466">
        <v>30000000</v>
      </c>
      <c r="L188" s="467"/>
      <c r="M188" s="467"/>
      <c r="N188" s="518"/>
      <c r="O188" s="1055"/>
    </row>
    <row r="189" spans="1:15" x14ac:dyDescent="0.35">
      <c r="A189" s="403"/>
      <c r="B189" s="390" t="s">
        <v>1308</v>
      </c>
      <c r="C189" s="467"/>
      <c r="D189" s="467"/>
      <c r="E189" s="518"/>
      <c r="F189" s="467"/>
      <c r="G189" s="467"/>
      <c r="H189" s="466"/>
      <c r="I189" s="467"/>
      <c r="J189" s="467"/>
      <c r="K189" s="466"/>
      <c r="L189" s="467"/>
      <c r="M189" s="467"/>
      <c r="N189" s="518"/>
      <c r="O189" s="1055"/>
    </row>
    <row r="190" spans="1:15" x14ac:dyDescent="0.35">
      <c r="A190" s="403"/>
      <c r="B190" s="390" t="s">
        <v>351</v>
      </c>
      <c r="C190" s="467"/>
      <c r="D190" s="467"/>
      <c r="E190" s="518"/>
      <c r="F190" s="467"/>
      <c r="G190" s="467"/>
      <c r="H190" s="466"/>
      <c r="I190" s="467"/>
      <c r="J190" s="467"/>
      <c r="K190" s="466"/>
      <c r="L190" s="467"/>
      <c r="M190" s="467"/>
      <c r="N190" s="518"/>
      <c r="O190" s="1055"/>
    </row>
    <row r="191" spans="1:15" s="914" customFormat="1" x14ac:dyDescent="0.35">
      <c r="A191" s="559" t="s">
        <v>1642</v>
      </c>
      <c r="B191" s="560" t="s">
        <v>1645</v>
      </c>
      <c r="C191" s="561"/>
      <c r="D191" s="561"/>
      <c r="E191" s="558">
        <v>0</v>
      </c>
      <c r="F191" s="561"/>
      <c r="G191" s="561"/>
      <c r="H191" s="558">
        <v>0</v>
      </c>
      <c r="I191" s="561"/>
      <c r="J191" s="561"/>
      <c r="K191" s="558">
        <f>+K194</f>
        <v>0</v>
      </c>
      <c r="L191" s="561"/>
      <c r="M191" s="561"/>
      <c r="N191" s="558">
        <f>+N192+N193+N194</f>
        <v>0</v>
      </c>
      <c r="O191" s="1055"/>
    </row>
    <row r="192" spans="1:15" s="914" customFormat="1" x14ac:dyDescent="0.35">
      <c r="A192" s="559"/>
      <c r="B192" s="390" t="s">
        <v>286</v>
      </c>
      <c r="C192" s="561"/>
      <c r="D192" s="561"/>
      <c r="E192" s="518"/>
      <c r="F192" s="561"/>
      <c r="G192" s="561"/>
      <c r="H192" s="558"/>
      <c r="I192" s="561"/>
      <c r="J192" s="561"/>
      <c r="K192" s="558"/>
      <c r="L192" s="561"/>
      <c r="M192" s="561"/>
      <c r="N192" s="518"/>
      <c r="O192" s="1055"/>
    </row>
    <row r="193" spans="1:15" s="914" customFormat="1" x14ac:dyDescent="0.35">
      <c r="A193" s="559"/>
      <c r="B193" s="390" t="s">
        <v>287</v>
      </c>
      <c r="C193" s="561"/>
      <c r="D193" s="561"/>
      <c r="E193" s="518"/>
      <c r="F193" s="561"/>
      <c r="G193" s="561"/>
      <c r="H193" s="558"/>
      <c r="I193" s="561"/>
      <c r="J193" s="561"/>
      <c r="K193" s="558"/>
      <c r="L193" s="561"/>
      <c r="M193" s="561"/>
      <c r="N193" s="518"/>
      <c r="O193" s="1055"/>
    </row>
    <row r="194" spans="1:15" x14ac:dyDescent="0.35">
      <c r="A194" s="403"/>
      <c r="B194" s="390" t="s">
        <v>292</v>
      </c>
      <c r="C194" s="467"/>
      <c r="D194" s="467"/>
      <c r="E194" s="518"/>
      <c r="F194" s="467"/>
      <c r="G194" s="467"/>
      <c r="H194" s="466"/>
      <c r="I194" s="467"/>
      <c r="J194" s="467"/>
      <c r="K194" s="466"/>
      <c r="L194" s="467"/>
      <c r="M194" s="467"/>
      <c r="N194" s="518"/>
      <c r="O194" s="1055"/>
    </row>
    <row r="195" spans="1:15" s="914" customFormat="1" x14ac:dyDescent="0.35">
      <c r="A195" s="559" t="s">
        <v>1644</v>
      </c>
      <c r="B195" s="560" t="s">
        <v>1643</v>
      </c>
      <c r="C195" s="561"/>
      <c r="D195" s="561"/>
      <c r="E195" s="558">
        <v>401000</v>
      </c>
      <c r="F195" s="561"/>
      <c r="G195" s="561"/>
      <c r="H195" s="558">
        <v>401000</v>
      </c>
      <c r="I195" s="561"/>
      <c r="J195" s="561"/>
      <c r="K195" s="558">
        <f>SUM(K196:K198)</f>
        <v>0</v>
      </c>
      <c r="L195" s="561"/>
      <c r="M195" s="561"/>
      <c r="N195" s="558">
        <f>SUM(N196:N198)</f>
        <v>0</v>
      </c>
      <c r="O195" s="1055"/>
    </row>
    <row r="196" spans="1:15" x14ac:dyDescent="0.35">
      <c r="A196" s="403"/>
      <c r="B196" s="390" t="s">
        <v>286</v>
      </c>
      <c r="C196" s="467"/>
      <c r="D196" s="467"/>
      <c r="E196" s="518"/>
      <c r="F196" s="467"/>
      <c r="G196" s="467"/>
      <c r="H196" s="466"/>
      <c r="I196" s="467"/>
      <c r="J196" s="467"/>
      <c r="K196" s="466"/>
      <c r="L196" s="467"/>
      <c r="M196" s="467"/>
      <c r="N196" s="518"/>
      <c r="O196" s="1055"/>
    </row>
    <row r="197" spans="1:15" x14ac:dyDescent="0.35">
      <c r="A197" s="403"/>
      <c r="B197" s="390" t="s">
        <v>287</v>
      </c>
      <c r="C197" s="467"/>
      <c r="D197" s="467"/>
      <c r="E197" s="518">
        <v>401000</v>
      </c>
      <c r="F197" s="467"/>
      <c r="G197" s="467"/>
      <c r="H197" s="466">
        <v>401000</v>
      </c>
      <c r="I197" s="467"/>
      <c r="J197" s="467"/>
      <c r="K197" s="466"/>
      <c r="L197" s="467"/>
      <c r="M197" s="467"/>
      <c r="N197" s="518"/>
      <c r="O197" s="1055"/>
    </row>
    <row r="198" spans="1:15" x14ac:dyDescent="0.35">
      <c r="A198" s="403"/>
      <c r="B198" s="390" t="s">
        <v>1308</v>
      </c>
      <c r="C198" s="467"/>
      <c r="D198" s="467"/>
      <c r="E198" s="518"/>
      <c r="F198" s="467"/>
      <c r="G198" s="467"/>
      <c r="H198" s="466"/>
      <c r="I198" s="467"/>
      <c r="J198" s="467"/>
      <c r="K198" s="466"/>
      <c r="L198" s="467"/>
      <c r="M198" s="467"/>
      <c r="N198" s="518"/>
      <c r="O198" s="1055"/>
    </row>
    <row r="199" spans="1:15" s="914" customFormat="1" x14ac:dyDescent="0.35">
      <c r="A199" s="559" t="s">
        <v>1646</v>
      </c>
      <c r="B199" s="560" t="s">
        <v>1692</v>
      </c>
      <c r="C199" s="561"/>
      <c r="D199" s="561"/>
      <c r="E199" s="558">
        <v>0</v>
      </c>
      <c r="F199" s="561"/>
      <c r="G199" s="561"/>
      <c r="H199" s="558">
        <v>0</v>
      </c>
      <c r="I199" s="561"/>
      <c r="J199" s="561"/>
      <c r="K199" s="558">
        <f>+K200+K201+K202</f>
        <v>0</v>
      </c>
      <c r="L199" s="561"/>
      <c r="M199" s="561"/>
      <c r="N199" s="558">
        <f>+N200+N201+N202</f>
        <v>0</v>
      </c>
      <c r="O199" s="1055"/>
    </row>
    <row r="200" spans="1:15" x14ac:dyDescent="0.35">
      <c r="A200" s="403"/>
      <c r="B200" s="390" t="s">
        <v>286</v>
      </c>
      <c r="C200" s="467"/>
      <c r="D200" s="467"/>
      <c r="E200" s="518"/>
      <c r="F200" s="467"/>
      <c r="G200" s="467"/>
      <c r="H200" s="466"/>
      <c r="I200" s="467"/>
      <c r="J200" s="467"/>
      <c r="K200" s="466"/>
      <c r="L200" s="467"/>
      <c r="M200" s="467"/>
      <c r="N200" s="518"/>
      <c r="O200" s="1055"/>
    </row>
    <row r="201" spans="1:15" x14ac:dyDescent="0.35">
      <c r="A201" s="403"/>
      <c r="B201" s="390" t="s">
        <v>287</v>
      </c>
      <c r="C201" s="467"/>
      <c r="D201" s="467"/>
      <c r="E201" s="518"/>
      <c r="F201" s="467"/>
      <c r="G201" s="467"/>
      <c r="H201" s="466"/>
      <c r="I201" s="467"/>
      <c r="J201" s="467"/>
      <c r="K201" s="466"/>
      <c r="L201" s="467"/>
      <c r="M201" s="467"/>
      <c r="N201" s="518"/>
      <c r="O201" s="1055"/>
    </row>
    <row r="202" spans="1:15" x14ac:dyDescent="0.35">
      <c r="A202" s="403"/>
      <c r="B202" s="390" t="s">
        <v>1308</v>
      </c>
      <c r="C202" s="467"/>
      <c r="D202" s="467"/>
      <c r="E202" s="518"/>
      <c r="F202" s="467"/>
      <c r="G202" s="467"/>
      <c r="H202" s="466"/>
      <c r="I202" s="467"/>
      <c r="J202" s="467"/>
      <c r="K202" s="466"/>
      <c r="L202" s="467"/>
      <c r="M202" s="467"/>
      <c r="N202" s="518"/>
      <c r="O202" s="1055"/>
    </row>
    <row r="203" spans="1:15" s="914" customFormat="1" x14ac:dyDescent="0.35">
      <c r="A203" s="559" t="s">
        <v>1670</v>
      </c>
      <c r="B203" s="560" t="s">
        <v>1693</v>
      </c>
      <c r="C203" s="519"/>
      <c r="D203" s="519"/>
      <c r="E203" s="558">
        <v>0</v>
      </c>
      <c r="F203" s="519"/>
      <c r="G203" s="519"/>
      <c r="H203" s="558">
        <v>0</v>
      </c>
      <c r="I203" s="519"/>
      <c r="J203" s="519"/>
      <c r="K203" s="558">
        <f>+K204+K205+K206</f>
        <v>0</v>
      </c>
      <c r="L203" s="519"/>
      <c r="M203" s="519"/>
      <c r="N203" s="558">
        <f>+N204+N205+N206</f>
        <v>0</v>
      </c>
      <c r="O203" s="1055"/>
    </row>
    <row r="204" spans="1:15" x14ac:dyDescent="0.35">
      <c r="A204" s="403"/>
      <c r="B204" s="390" t="s">
        <v>286</v>
      </c>
      <c r="C204" s="467"/>
      <c r="D204" s="467"/>
      <c r="E204" s="518"/>
      <c r="F204" s="467"/>
      <c r="G204" s="467"/>
      <c r="H204" s="466"/>
      <c r="I204" s="467"/>
      <c r="J204" s="467"/>
      <c r="K204" s="466"/>
      <c r="L204" s="467"/>
      <c r="M204" s="467"/>
      <c r="N204" s="518"/>
      <c r="O204" s="1055"/>
    </row>
    <row r="205" spans="1:15" x14ac:dyDescent="0.35">
      <c r="A205" s="403"/>
      <c r="B205" s="390" t="s">
        <v>287</v>
      </c>
      <c r="C205" s="467"/>
      <c r="D205" s="467"/>
      <c r="E205" s="518"/>
      <c r="F205" s="467"/>
      <c r="G205" s="467"/>
      <c r="H205" s="466"/>
      <c r="I205" s="467"/>
      <c r="J205" s="467"/>
      <c r="K205" s="466"/>
      <c r="L205" s="467"/>
      <c r="M205" s="467"/>
      <c r="N205" s="518"/>
      <c r="O205" s="1055"/>
    </row>
    <row r="206" spans="1:15" x14ac:dyDescent="0.35">
      <c r="A206" s="403"/>
      <c r="B206" s="390" t="s">
        <v>1308</v>
      </c>
      <c r="C206" s="467"/>
      <c r="D206" s="467"/>
      <c r="E206" s="518"/>
      <c r="F206" s="467"/>
      <c r="G206" s="467"/>
      <c r="H206" s="466"/>
      <c r="I206" s="467"/>
      <c r="J206" s="467"/>
      <c r="K206" s="466"/>
      <c r="L206" s="467"/>
      <c r="M206" s="467"/>
      <c r="N206" s="518"/>
      <c r="O206" s="1055"/>
    </row>
    <row r="207" spans="1:15" s="914" customFormat="1" x14ac:dyDescent="0.35">
      <c r="A207" s="559" t="s">
        <v>1690</v>
      </c>
      <c r="B207" s="560" t="s">
        <v>1726</v>
      </c>
      <c r="C207" s="519"/>
      <c r="D207" s="519"/>
      <c r="E207" s="558">
        <v>0</v>
      </c>
      <c r="F207" s="519"/>
      <c r="G207" s="519"/>
      <c r="H207" s="558">
        <v>0</v>
      </c>
      <c r="I207" s="519"/>
      <c r="J207" s="519"/>
      <c r="K207" s="558">
        <f>+K208</f>
        <v>0</v>
      </c>
      <c r="L207" s="519"/>
      <c r="M207" s="519"/>
      <c r="N207" s="558">
        <f>+N208</f>
        <v>0</v>
      </c>
      <c r="O207" s="1055"/>
    </row>
    <row r="208" spans="1:15" x14ac:dyDescent="0.35">
      <c r="A208" s="403"/>
      <c r="B208" s="390" t="s">
        <v>1308</v>
      </c>
      <c r="C208" s="467"/>
      <c r="D208" s="467"/>
      <c r="E208" s="518"/>
      <c r="F208" s="467"/>
      <c r="G208" s="467"/>
      <c r="H208" s="466"/>
      <c r="I208" s="467"/>
      <c r="J208" s="467"/>
      <c r="K208" s="466"/>
      <c r="L208" s="467"/>
      <c r="M208" s="467"/>
      <c r="N208" s="518"/>
      <c r="O208" s="1055"/>
    </row>
    <row r="209" spans="1:15" s="914" customFormat="1" x14ac:dyDescent="0.35">
      <c r="A209" s="559" t="s">
        <v>1691</v>
      </c>
      <c r="B209" s="560" t="s">
        <v>1694</v>
      </c>
      <c r="C209" s="519"/>
      <c r="D209" s="519"/>
      <c r="E209" s="558">
        <v>0</v>
      </c>
      <c r="F209" s="519"/>
      <c r="G209" s="519"/>
      <c r="H209" s="558">
        <v>0</v>
      </c>
      <c r="I209" s="519"/>
      <c r="J209" s="519"/>
      <c r="K209" s="558">
        <f>+K210+K211+K212</f>
        <v>0</v>
      </c>
      <c r="L209" s="519"/>
      <c r="M209" s="519"/>
      <c r="N209" s="558">
        <f>+N210+N211+N212</f>
        <v>0</v>
      </c>
      <c r="O209" s="1055"/>
    </row>
    <row r="210" spans="1:15" x14ac:dyDescent="0.35">
      <c r="A210" s="403"/>
      <c r="B210" s="390" t="s">
        <v>286</v>
      </c>
      <c r="C210" s="467"/>
      <c r="D210" s="467"/>
      <c r="E210" s="518"/>
      <c r="F210" s="467"/>
      <c r="G210" s="467"/>
      <c r="H210" s="466"/>
      <c r="I210" s="467"/>
      <c r="J210" s="467"/>
      <c r="K210" s="466"/>
      <c r="L210" s="467"/>
      <c r="M210" s="467"/>
      <c r="N210" s="518"/>
      <c r="O210" s="1055"/>
    </row>
    <row r="211" spans="1:15" x14ac:dyDescent="0.35">
      <c r="A211" s="403"/>
      <c r="B211" s="390" t="s">
        <v>287</v>
      </c>
      <c r="C211" s="467"/>
      <c r="D211" s="467"/>
      <c r="E211" s="518"/>
      <c r="F211" s="467"/>
      <c r="G211" s="467"/>
      <c r="H211" s="466"/>
      <c r="I211" s="467"/>
      <c r="J211" s="467"/>
      <c r="K211" s="466"/>
      <c r="L211" s="467"/>
      <c r="M211" s="467"/>
      <c r="N211" s="518"/>
      <c r="O211" s="1055"/>
    </row>
    <row r="212" spans="1:15" x14ac:dyDescent="0.35">
      <c r="A212" s="403"/>
      <c r="B212" s="390" t="s">
        <v>1308</v>
      </c>
      <c r="C212" s="467"/>
      <c r="D212" s="467"/>
      <c r="E212" s="518"/>
      <c r="F212" s="467"/>
      <c r="G212" s="467"/>
      <c r="H212" s="466"/>
      <c r="I212" s="467"/>
      <c r="J212" s="467"/>
      <c r="K212" s="466"/>
      <c r="L212" s="467"/>
      <c r="M212" s="467"/>
      <c r="N212" s="518"/>
      <c r="O212" s="1055"/>
    </row>
    <row r="213" spans="1:15" s="914" customFormat="1" x14ac:dyDescent="0.35">
      <c r="A213" s="559" t="s">
        <v>1695</v>
      </c>
      <c r="B213" s="560" t="s">
        <v>1698</v>
      </c>
      <c r="C213" s="519"/>
      <c r="D213" s="519"/>
      <c r="E213" s="558">
        <v>0</v>
      </c>
      <c r="F213" s="519"/>
      <c r="G213" s="519"/>
      <c r="H213" s="558">
        <v>0</v>
      </c>
      <c r="I213" s="519"/>
      <c r="J213" s="519"/>
      <c r="K213" s="558">
        <f>SUM(K214:K216)</f>
        <v>0</v>
      </c>
      <c r="L213" s="519"/>
      <c r="M213" s="519"/>
      <c r="N213" s="558">
        <f>SUM(N214:N216)</f>
        <v>0</v>
      </c>
      <c r="O213" s="1055"/>
    </row>
    <row r="214" spans="1:15" x14ac:dyDescent="0.35">
      <c r="A214" s="403"/>
      <c r="B214" s="390" t="s">
        <v>286</v>
      </c>
      <c r="C214" s="467"/>
      <c r="D214" s="467"/>
      <c r="E214" s="930"/>
      <c r="F214" s="467"/>
      <c r="G214" s="467"/>
      <c r="H214" s="466"/>
      <c r="I214" s="467"/>
      <c r="J214" s="467"/>
      <c r="K214" s="466"/>
      <c r="L214" s="467"/>
      <c r="M214" s="467"/>
      <c r="N214" s="930"/>
      <c r="O214" s="1055"/>
    </row>
    <row r="215" spans="1:15" x14ac:dyDescent="0.35">
      <c r="A215" s="403"/>
      <c r="B215" s="390" t="s">
        <v>287</v>
      </c>
      <c r="C215" s="467"/>
      <c r="D215" s="467"/>
      <c r="E215" s="930"/>
      <c r="F215" s="467"/>
      <c r="G215" s="467"/>
      <c r="H215" s="466"/>
      <c r="I215" s="467"/>
      <c r="J215" s="467"/>
      <c r="K215" s="466"/>
      <c r="L215" s="467"/>
      <c r="M215" s="467"/>
      <c r="N215" s="930"/>
      <c r="O215" s="1055"/>
    </row>
    <row r="216" spans="1:15" x14ac:dyDescent="0.35">
      <c r="A216" s="403"/>
      <c r="B216" s="390" t="s">
        <v>1308</v>
      </c>
      <c r="C216" s="467"/>
      <c r="D216" s="467"/>
      <c r="E216" s="518"/>
      <c r="F216" s="467"/>
      <c r="G216" s="467"/>
      <c r="H216" s="466"/>
      <c r="I216" s="467"/>
      <c r="J216" s="467"/>
      <c r="K216" s="466"/>
      <c r="L216" s="467"/>
      <c r="M216" s="467"/>
      <c r="N216" s="518"/>
      <c r="O216" s="1055"/>
    </row>
    <row r="217" spans="1:15" s="914" customFormat="1" x14ac:dyDescent="0.35">
      <c r="A217" s="559" t="s">
        <v>1696</v>
      </c>
      <c r="B217" s="560" t="s">
        <v>1700</v>
      </c>
      <c r="C217" s="519"/>
      <c r="D217" s="519"/>
      <c r="E217" s="558">
        <v>0</v>
      </c>
      <c r="F217" s="519"/>
      <c r="G217" s="519"/>
      <c r="H217" s="558">
        <v>89000</v>
      </c>
      <c r="I217" s="519"/>
      <c r="J217" s="519"/>
      <c r="K217" s="558">
        <f>+K218+K219</f>
        <v>0</v>
      </c>
      <c r="L217" s="519"/>
      <c r="M217" s="519"/>
      <c r="N217" s="558">
        <f>+N218+N219</f>
        <v>0</v>
      </c>
      <c r="O217" s="1055"/>
    </row>
    <row r="218" spans="1:15" x14ac:dyDescent="0.35">
      <c r="A218" s="403"/>
      <c r="B218" s="390" t="s">
        <v>1308</v>
      </c>
      <c r="C218" s="467"/>
      <c r="D218" s="467"/>
      <c r="E218" s="930"/>
      <c r="F218" s="467"/>
      <c r="G218" s="467"/>
      <c r="H218" s="466"/>
      <c r="I218" s="467"/>
      <c r="J218" s="467"/>
      <c r="K218" s="466"/>
      <c r="L218" s="467"/>
      <c r="M218" s="467"/>
      <c r="N218" s="930"/>
      <c r="O218" s="1055"/>
    </row>
    <row r="219" spans="1:15" x14ac:dyDescent="0.35">
      <c r="A219" s="403"/>
      <c r="B219" s="390" t="s">
        <v>351</v>
      </c>
      <c r="C219" s="467"/>
      <c r="D219" s="467"/>
      <c r="E219" s="930"/>
      <c r="F219" s="467"/>
      <c r="G219" s="467"/>
      <c r="H219" s="466">
        <v>89000</v>
      </c>
      <c r="I219" s="467"/>
      <c r="J219" s="467"/>
      <c r="K219" s="466"/>
      <c r="L219" s="467"/>
      <c r="M219" s="467"/>
      <c r="N219" s="930"/>
      <c r="O219" s="1055"/>
    </row>
    <row r="220" spans="1:15" s="914" customFormat="1" x14ac:dyDescent="0.35">
      <c r="A220" s="559" t="s">
        <v>1699</v>
      </c>
      <c r="B220" s="560" t="s">
        <v>1671</v>
      </c>
      <c r="C220" s="519"/>
      <c r="D220" s="519"/>
      <c r="E220" s="558">
        <v>0</v>
      </c>
      <c r="F220" s="519"/>
      <c r="G220" s="519"/>
      <c r="H220" s="558">
        <v>3550000</v>
      </c>
      <c r="I220" s="519"/>
      <c r="J220" s="519"/>
      <c r="K220" s="558">
        <f>+K221+K222</f>
        <v>0</v>
      </c>
      <c r="L220" s="519"/>
      <c r="M220" s="519"/>
      <c r="N220" s="558">
        <f>+N221</f>
        <v>0</v>
      </c>
      <c r="O220" s="1055"/>
    </row>
    <row r="221" spans="1:15" x14ac:dyDescent="0.35">
      <c r="A221" s="403"/>
      <c r="B221" s="390" t="s">
        <v>1308</v>
      </c>
      <c r="C221" s="467"/>
      <c r="D221" s="467"/>
      <c r="E221" s="518"/>
      <c r="F221" s="467"/>
      <c r="G221" s="467"/>
      <c r="H221" s="466"/>
      <c r="I221" s="467"/>
      <c r="J221" s="467"/>
      <c r="K221" s="466"/>
      <c r="L221" s="467"/>
      <c r="M221" s="467"/>
      <c r="N221" s="518"/>
      <c r="O221" s="1055"/>
    </row>
    <row r="222" spans="1:15" x14ac:dyDescent="0.35">
      <c r="A222" s="403"/>
      <c r="B222" s="390" t="s">
        <v>1805</v>
      </c>
      <c r="C222" s="467"/>
      <c r="D222" s="467"/>
      <c r="E222" s="518"/>
      <c r="F222" s="467"/>
      <c r="G222" s="467"/>
      <c r="H222" s="466">
        <v>3550000</v>
      </c>
      <c r="I222" s="467"/>
      <c r="J222" s="467"/>
      <c r="K222" s="466"/>
      <c r="L222" s="467"/>
      <c r="M222" s="467"/>
      <c r="N222" s="518"/>
      <c r="O222" s="1055"/>
    </row>
    <row r="223" spans="1:15" s="914" customFormat="1" x14ac:dyDescent="0.35">
      <c r="A223" s="559" t="s">
        <v>1728</v>
      </c>
      <c r="B223" s="560" t="s">
        <v>1729</v>
      </c>
      <c r="C223" s="519"/>
      <c r="D223" s="519"/>
      <c r="E223" s="558">
        <v>20000000</v>
      </c>
      <c r="F223" s="519"/>
      <c r="G223" s="519"/>
      <c r="H223" s="558">
        <v>20264500</v>
      </c>
      <c r="I223" s="519"/>
      <c r="J223" s="519"/>
      <c r="K223" s="558">
        <f>SUM(K226:K228)</f>
        <v>6245552</v>
      </c>
      <c r="L223" s="519"/>
      <c r="M223" s="519"/>
      <c r="N223" s="558">
        <f>SUM(N224:N228)</f>
        <v>0</v>
      </c>
      <c r="O223" s="1055"/>
    </row>
    <row r="224" spans="1:15" x14ac:dyDescent="0.35">
      <c r="A224" s="400"/>
      <c r="B224" s="390" t="s">
        <v>286</v>
      </c>
      <c r="C224" s="467"/>
      <c r="D224" s="467"/>
      <c r="E224" s="930"/>
      <c r="F224" s="467"/>
      <c r="G224" s="467"/>
      <c r="H224" s="464"/>
      <c r="I224" s="467"/>
      <c r="J224" s="467"/>
      <c r="K224" s="464"/>
      <c r="L224" s="467"/>
      <c r="M224" s="467"/>
      <c r="N224" s="930"/>
      <c r="O224" s="1055"/>
    </row>
    <row r="225" spans="1:16" x14ac:dyDescent="0.35">
      <c r="A225" s="400"/>
      <c r="B225" s="390" t="s">
        <v>287</v>
      </c>
      <c r="C225" s="467"/>
      <c r="D225" s="467"/>
      <c r="E225" s="930"/>
      <c r="F225" s="467"/>
      <c r="G225" s="467"/>
      <c r="H225" s="464"/>
      <c r="I225" s="467"/>
      <c r="J225" s="467"/>
      <c r="K225" s="464"/>
      <c r="L225" s="467"/>
      <c r="M225" s="467"/>
      <c r="N225" s="930"/>
      <c r="O225" s="1055"/>
    </row>
    <row r="226" spans="1:16" x14ac:dyDescent="0.35">
      <c r="A226" s="400"/>
      <c r="B226" s="390" t="s">
        <v>1308</v>
      </c>
      <c r="C226" s="467"/>
      <c r="D226" s="467"/>
      <c r="E226" s="518">
        <v>20000000</v>
      </c>
      <c r="F226" s="467"/>
      <c r="G226" s="467"/>
      <c r="H226" s="466">
        <v>20264500</v>
      </c>
      <c r="I226" s="467"/>
      <c r="J226" s="467"/>
      <c r="K226" s="466">
        <v>6245552</v>
      </c>
      <c r="L226" s="467"/>
      <c r="M226" s="467"/>
      <c r="N226" s="518"/>
      <c r="O226" s="1055"/>
    </row>
    <row r="227" spans="1:16" x14ac:dyDescent="0.35">
      <c r="A227" s="400"/>
      <c r="B227" s="390" t="s">
        <v>337</v>
      </c>
      <c r="C227" s="467"/>
      <c r="D227" s="467"/>
      <c r="E227" s="930"/>
      <c r="F227" s="467"/>
      <c r="G227" s="467"/>
      <c r="H227" s="466"/>
      <c r="I227" s="467"/>
      <c r="J227" s="467"/>
      <c r="K227" s="466"/>
      <c r="L227" s="467"/>
      <c r="M227" s="467"/>
      <c r="N227" s="930"/>
      <c r="O227" s="1055"/>
    </row>
    <row r="228" spans="1:16" x14ac:dyDescent="0.35">
      <c r="A228" s="400"/>
      <c r="B228" s="390" t="s">
        <v>351</v>
      </c>
      <c r="C228" s="467"/>
      <c r="D228" s="467"/>
      <c r="E228" s="930"/>
      <c r="F228" s="467"/>
      <c r="G228" s="467"/>
      <c r="H228" s="466"/>
      <c r="I228" s="467"/>
      <c r="J228" s="467"/>
      <c r="K228" s="466"/>
      <c r="L228" s="467"/>
      <c r="M228" s="467"/>
      <c r="N228" s="930"/>
      <c r="O228" s="1055"/>
    </row>
    <row r="229" spans="1:16" x14ac:dyDescent="0.35">
      <c r="A229" s="483" t="s">
        <v>328</v>
      </c>
      <c r="B229" s="484" t="s">
        <v>650</v>
      </c>
      <c r="C229" s="399"/>
      <c r="D229" s="399"/>
      <c r="E229" s="399">
        <v>0</v>
      </c>
      <c r="F229" s="399"/>
      <c r="G229" s="399"/>
      <c r="H229" s="399">
        <v>0</v>
      </c>
      <c r="I229" s="399"/>
      <c r="J229" s="399"/>
      <c r="K229" s="399">
        <v>0</v>
      </c>
      <c r="L229" s="399"/>
      <c r="M229" s="399"/>
      <c r="N229" s="399">
        <v>0</v>
      </c>
      <c r="O229" s="1055"/>
    </row>
    <row r="230" spans="1:16" s="406" customFormat="1" x14ac:dyDescent="0.35">
      <c r="A230" s="346" t="s">
        <v>1121</v>
      </c>
      <c r="B230" s="398" t="s">
        <v>586</v>
      </c>
      <c r="C230" s="463"/>
      <c r="D230" s="463"/>
      <c r="E230" s="462">
        <v>2931260532</v>
      </c>
      <c r="F230" s="463"/>
      <c r="G230" s="463"/>
      <c r="H230" s="462">
        <v>3174760244</v>
      </c>
      <c r="I230" s="463"/>
      <c r="J230" s="463"/>
      <c r="K230" s="462">
        <f>+K231+K232+K233+K234</f>
        <v>1288084613</v>
      </c>
      <c r="L230" s="463"/>
      <c r="M230" s="463"/>
      <c r="N230" s="462">
        <f>+N231+N232+N233+N234</f>
        <v>0</v>
      </c>
      <c r="O230" s="1055"/>
    </row>
    <row r="231" spans="1:16" x14ac:dyDescent="0.35">
      <c r="A231" s="403"/>
      <c r="B231" s="390" t="s">
        <v>745</v>
      </c>
      <c r="C231" s="467"/>
      <c r="D231" s="467"/>
      <c r="E231" s="466">
        <v>2710117390</v>
      </c>
      <c r="F231" s="467"/>
      <c r="G231" s="467"/>
      <c r="H231" s="466">
        <v>2767782390</v>
      </c>
      <c r="I231" s="467"/>
      <c r="J231" s="467"/>
      <c r="K231" s="466">
        <f>+'3.1 melléklet'!N37+'4.1 melléklet'!K34+'4.2 melléklet'!K34+'4.3 melléklet'!K34+'4.4 melléklet'!K34+'4.5 melléklet'!K34+'4.6 melléklet'!K34+'4.7 melléklet'!K34+'4.8 melléklet'!K34</f>
        <v>1016590670</v>
      </c>
      <c r="L231" s="467"/>
      <c r="M231" s="467"/>
      <c r="N231" s="466">
        <f>+'3.1 melléklet'!R37+'4.1 melléklet'!N34+'4.2 melléklet'!N34+'4.3 melléklet'!N34+'4.4 melléklet'!N34+'4.5 melléklet'!N34+'4.6 melléklet'!N34+'4.7 melléklet'!N34+'4.8 melléklet'!N34</f>
        <v>0</v>
      </c>
      <c r="O231" s="1055"/>
      <c r="P231" s="466"/>
    </row>
    <row r="232" spans="1:16" s="907" customFormat="1" x14ac:dyDescent="0.35">
      <c r="A232" s="731"/>
      <c r="B232" s="562" t="s">
        <v>746</v>
      </c>
      <c r="C232" s="519"/>
      <c r="D232" s="519"/>
      <c r="E232" s="518">
        <v>40497942</v>
      </c>
      <c r="F232" s="519"/>
      <c r="G232" s="519"/>
      <c r="H232" s="518">
        <v>226332654</v>
      </c>
      <c r="I232" s="519"/>
      <c r="J232" s="519"/>
      <c r="K232" s="518">
        <v>226332654</v>
      </c>
      <c r="L232" s="519"/>
      <c r="M232" s="519"/>
      <c r="N232" s="518"/>
      <c r="O232" s="1055"/>
      <c r="P232" s="466"/>
    </row>
    <row r="233" spans="1:16" x14ac:dyDescent="0.35">
      <c r="A233" s="403"/>
      <c r="B233" s="390" t="s">
        <v>747</v>
      </c>
      <c r="C233" s="467"/>
      <c r="D233" s="467"/>
      <c r="E233" s="466">
        <v>180645200</v>
      </c>
      <c r="F233" s="467"/>
      <c r="G233" s="467"/>
      <c r="H233" s="466">
        <v>180645200</v>
      </c>
      <c r="I233" s="467"/>
      <c r="J233" s="467"/>
      <c r="K233" s="466">
        <v>45161289</v>
      </c>
      <c r="L233" s="467"/>
      <c r="M233" s="467"/>
      <c r="N233" s="466"/>
      <c r="O233" s="1055"/>
      <c r="P233" s="466"/>
    </row>
    <row r="234" spans="1:16" x14ac:dyDescent="0.35">
      <c r="A234" s="403"/>
      <c r="B234" s="390" t="s">
        <v>748</v>
      </c>
      <c r="C234" s="467"/>
      <c r="D234" s="467"/>
      <c r="E234" s="466"/>
      <c r="F234" s="467"/>
      <c r="G234" s="467"/>
      <c r="H234" s="466"/>
      <c r="I234" s="467"/>
      <c r="J234" s="467"/>
      <c r="K234" s="466"/>
      <c r="L234" s="467"/>
      <c r="M234" s="467"/>
      <c r="N234" s="466"/>
      <c r="O234" s="1055"/>
    </row>
    <row r="235" spans="1:16" x14ac:dyDescent="0.35">
      <c r="E235" s="802"/>
    </row>
    <row r="236" spans="1:16" x14ac:dyDescent="0.35">
      <c r="E236" s="393"/>
      <c r="G236" s="802"/>
      <c r="H236" s="393"/>
      <c r="I236" s="802"/>
      <c r="K236" s="802">
        <f>+K8+K38+K196+K184+K178+K171+K164+K156+K109+K105+K85+K81+K66+K52+K44+K22+K17+K214</f>
        <v>60891730</v>
      </c>
      <c r="N236" s="802">
        <f>+N8+N38+N196+N184+N178+N171+N164+N156+N109+N105+N85+N81+N66+N52+N44+N22+N17+N214+N224+N192</f>
        <v>0</v>
      </c>
      <c r="O236" s="802"/>
      <c r="P236" s="802"/>
    </row>
    <row r="237" spans="1:16" x14ac:dyDescent="0.35">
      <c r="E237" s="393"/>
      <c r="G237" s="802"/>
      <c r="H237" s="393"/>
      <c r="I237" s="802"/>
      <c r="K237" s="802">
        <f>+K9+K39+K59+K197+K185+K179+K172+K165+K157+K110+K106+K86+K82+K67+K53+K45+K23+K18+K215</f>
        <v>7625815</v>
      </c>
      <c r="N237" s="802">
        <f>+N9+N39+N59+N197+N185+N179+N172+N165+N157+N110+N106+N86+N82+N67+N53+N45+N23+N18+N215+N225+N193</f>
        <v>0</v>
      </c>
      <c r="O237" s="802"/>
    </row>
    <row r="238" spans="1:16" x14ac:dyDescent="0.35">
      <c r="E238" s="393"/>
      <c r="G238" s="802"/>
      <c r="H238" s="393"/>
      <c r="I238" s="802"/>
      <c r="K238" s="802">
        <f>+K10+K14+K19+K24+K27+K29+K31+K35+K40+K46+K54+K60+K75+K83+K89+K91+K93+K95+K99+K101+K103+K107+K111+K137+K151+K158+K182+K186+K189+K70+K166+K194+K198+K202+K208+K212+K216+K218+K62+K153+K173+K180+K221+K78+K226</f>
        <v>107557785</v>
      </c>
      <c r="N238" s="802">
        <f>+N10+N14+N19+N24+N27+N29+N31+N35+N40+N46+N54+N60+N75+N83+N89+N91+N93+N95+N99+N101+N103+N107+N111+N137+N151+N158+N182+N186+N189+N70+N166+N194+N198+N202+N208+N212+N216+N218+N62+N153+N173+N180+N221+N78+N226</f>
        <v>0</v>
      </c>
      <c r="O238" s="802"/>
      <c r="P238" s="802"/>
    </row>
    <row r="239" spans="1:16" x14ac:dyDescent="0.35">
      <c r="E239" s="393"/>
      <c r="G239" s="802"/>
      <c r="H239" s="393"/>
      <c r="K239" s="802">
        <f>+K63+K64+K154+K159</f>
        <v>10653908</v>
      </c>
      <c r="N239" s="802">
        <f>+N63+N64+N154+N159+N227</f>
        <v>0</v>
      </c>
      <c r="O239" s="802"/>
      <c r="P239" s="802"/>
    </row>
    <row r="240" spans="1:16" x14ac:dyDescent="0.35">
      <c r="E240" s="393"/>
      <c r="G240" s="802"/>
      <c r="H240" s="393"/>
      <c r="I240" s="802"/>
      <c r="K240" s="802">
        <f>+K47+K87+K114+K117+K119+K123+K125+K127+K129+K131+K134+K139+K142+K144+K147+K149+K188+K136+K48</f>
        <v>412121791</v>
      </c>
      <c r="N240" s="802">
        <f>+N47+N87+N114+N117+N119+N123+N125+N127+N129+N131+N134+N139+N142+N144+N147+N149+N188+N136+N48</f>
        <v>0</v>
      </c>
      <c r="O240" s="802"/>
      <c r="P240" s="802"/>
    </row>
    <row r="241" spans="5:17" x14ac:dyDescent="0.35">
      <c r="E241" s="393"/>
      <c r="G241" s="802"/>
      <c r="H241" s="393"/>
      <c r="I241" s="802"/>
      <c r="J241" s="802"/>
      <c r="K241" s="802">
        <f>+K11+K15+K32+K55+K79+K162+K167+K42+K49+K25+K20+K219</f>
        <v>29063517</v>
      </c>
      <c r="N241" s="802">
        <f>+N11+N15+N20+N32+N55+N76+N79+N162+N167+N42+N49+N219+N228</f>
        <v>900000</v>
      </c>
      <c r="O241" s="802"/>
      <c r="P241" s="802"/>
    </row>
    <row r="242" spans="5:17" x14ac:dyDescent="0.35">
      <c r="E242" s="393"/>
      <c r="G242" s="802"/>
      <c r="H242" s="393"/>
      <c r="J242" s="802"/>
      <c r="K242" s="802">
        <f>+K50+K56+K72+K168</f>
        <v>38764175</v>
      </c>
      <c r="N242" s="802">
        <f>+N50+N56+N72+N168</f>
        <v>0</v>
      </c>
      <c r="O242" s="802"/>
      <c r="P242" s="802"/>
    </row>
    <row r="243" spans="5:17" ht="15.75" customHeight="1" x14ac:dyDescent="0.35">
      <c r="E243" s="393"/>
      <c r="G243" s="802"/>
      <c r="H243" s="393"/>
      <c r="K243" s="802">
        <f>+K12</f>
        <v>0</v>
      </c>
      <c r="N243" s="802">
        <f>+N12+N145+N161</f>
        <v>0</v>
      </c>
      <c r="O243" s="802"/>
      <c r="P243" s="802"/>
    </row>
    <row r="244" spans="5:17" ht="15.75" customHeight="1" x14ac:dyDescent="0.35">
      <c r="E244" s="393"/>
      <c r="G244" s="802"/>
      <c r="H244" s="802"/>
      <c r="K244" s="802">
        <f>+K230</f>
        <v>1288084613</v>
      </c>
      <c r="N244" s="802">
        <f>+N230</f>
        <v>0</v>
      </c>
      <c r="O244" s="802"/>
      <c r="P244" s="802"/>
      <c r="Q244" s="802"/>
    </row>
    <row r="245" spans="5:17" x14ac:dyDescent="0.35">
      <c r="E245" s="393"/>
      <c r="G245" s="802"/>
      <c r="H245" s="393"/>
      <c r="K245" s="802">
        <f>SUBTOTAL(9,K236:K244)</f>
        <v>1954763334</v>
      </c>
      <c r="N245" s="802">
        <f>SUM(N236:N244)</f>
        <v>900000</v>
      </c>
      <c r="O245" s="802"/>
      <c r="P245" s="802"/>
    </row>
    <row r="246" spans="5:17" x14ac:dyDescent="0.35">
      <c r="E246" s="393"/>
      <c r="G246" s="802"/>
      <c r="H246" s="393"/>
      <c r="I246" s="802"/>
      <c r="J246" s="802"/>
      <c r="K246" s="802">
        <f>SUBTOTAL(9,K236:K245)</f>
        <v>1954763334</v>
      </c>
      <c r="N246" s="802">
        <f>+N5</f>
        <v>900000</v>
      </c>
      <c r="O246" s="802"/>
      <c r="P246" s="802"/>
    </row>
    <row r="247" spans="5:17" x14ac:dyDescent="0.35">
      <c r="G247" s="802"/>
      <c r="H247" s="393"/>
      <c r="I247" s="802"/>
      <c r="K247" s="802"/>
      <c r="N247" s="802">
        <f>+N245-N246</f>
        <v>0</v>
      </c>
      <c r="O247" s="802"/>
    </row>
    <row r="248" spans="5:17" x14ac:dyDescent="0.35">
      <c r="H248" s="802"/>
    </row>
    <row r="249" spans="5:17" x14ac:dyDescent="0.35">
      <c r="H249" s="802"/>
    </row>
  </sheetData>
  <mergeCells count="18">
    <mergeCell ref="K2:K3"/>
    <mergeCell ref="I4:K4"/>
    <mergeCell ref="L2:L3"/>
    <mergeCell ref="M2:M3"/>
    <mergeCell ref="N2:N3"/>
    <mergeCell ref="L4:N4"/>
    <mergeCell ref="J2:J3"/>
    <mergeCell ref="A2:A4"/>
    <mergeCell ref="B2:B4"/>
    <mergeCell ref="D2:D3"/>
    <mergeCell ref="E2:E3"/>
    <mergeCell ref="C4:E4"/>
    <mergeCell ref="C2:C3"/>
    <mergeCell ref="F2:F3"/>
    <mergeCell ref="G2:G3"/>
    <mergeCell ref="H2:H3"/>
    <mergeCell ref="F4:H4"/>
    <mergeCell ref="I2:I3"/>
  </mergeCells>
  <printOptions horizontalCentered="1"/>
  <pageMargins left="0.23622047244094491" right="0.23622047244094491" top="0.74803149606299213" bottom="0.59055118110236227" header="0.15748031496062992" footer="0.15748031496062992"/>
  <pageSetup paperSize="9" scale="52" fitToWidth="2" fitToHeight="6" pageOrder="overThenDown" orientation="portrait" copies="4" r:id="rId1"/>
  <headerFooter>
    <oddHeader>&amp;L2.3  melléklet &amp;C&amp;"-,Félkövér"&amp;16
Az Önkormányzat 2021. évi kiadásai feladatonként részletes bontásban</oddHeader>
    <oddFooter>&amp;C&amp;P</oddFooter>
  </headerFooter>
  <rowBreaks count="4" manualBreakCount="4">
    <brk id="52" max="13" man="1"/>
    <brk id="102" max="13" man="1"/>
    <brk id="134" max="13" man="1"/>
    <brk id="194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X170"/>
  <sheetViews>
    <sheetView showZeros="0" view="pageBreakPreview" zoomScale="90" zoomScaleNormal="100" zoomScaleSheetLayoutView="90" workbookViewId="0">
      <selection activeCell="C3" sqref="C3:C34"/>
    </sheetView>
  </sheetViews>
  <sheetFormatPr defaultColWidth="11.81640625" defaultRowHeight="15.5" x14ac:dyDescent="0.35"/>
  <cols>
    <col min="1" max="1" width="73.1796875" style="195" customWidth="1"/>
    <col min="2" max="3" width="15.26953125" style="195" customWidth="1"/>
    <col min="4" max="16384" width="11.81640625" style="195"/>
  </cols>
  <sheetData>
    <row r="1" spans="1:232" x14ac:dyDescent="0.35">
      <c r="B1" s="196"/>
      <c r="C1" s="196" t="s">
        <v>1638</v>
      </c>
    </row>
    <row r="2" spans="1:232" s="198" customFormat="1" ht="54.75" customHeight="1" x14ac:dyDescent="0.35">
      <c r="A2" s="42" t="s">
        <v>306</v>
      </c>
      <c r="B2" s="197" t="s">
        <v>1771</v>
      </c>
      <c r="C2" s="197" t="s">
        <v>1796</v>
      </c>
      <c r="HG2" s="199"/>
      <c r="HH2" s="199"/>
      <c r="HI2" s="199"/>
      <c r="HJ2" s="199"/>
      <c r="HK2" s="199"/>
      <c r="HL2" s="199"/>
      <c r="HM2" s="199"/>
      <c r="HN2" s="195"/>
      <c r="HO2" s="195"/>
      <c r="HP2" s="195"/>
      <c r="HQ2" s="195"/>
      <c r="HR2" s="195"/>
      <c r="HS2" s="195"/>
      <c r="HT2" s="195"/>
      <c r="HU2" s="195"/>
      <c r="HV2" s="195"/>
      <c r="HW2" s="195"/>
      <c r="HX2" s="195"/>
    </row>
    <row r="3" spans="1:232" s="198" customFormat="1" ht="27.75" customHeight="1" x14ac:dyDescent="0.35">
      <c r="A3" s="200" t="s">
        <v>997</v>
      </c>
      <c r="B3" s="201">
        <v>55159862</v>
      </c>
      <c r="C3" s="201">
        <v>64842069</v>
      </c>
      <c r="HG3" s="199"/>
      <c r="HH3" s="199"/>
      <c r="HI3" s="199"/>
      <c r="HJ3" s="199"/>
      <c r="HK3" s="199"/>
      <c r="HL3" s="199"/>
      <c r="HM3" s="199"/>
      <c r="HN3" s="195"/>
      <c r="HO3" s="195"/>
      <c r="HP3" s="195"/>
      <c r="HQ3" s="195"/>
      <c r="HR3" s="195"/>
      <c r="HS3" s="195"/>
      <c r="HT3" s="195"/>
      <c r="HU3" s="195"/>
      <c r="HV3" s="195"/>
      <c r="HW3" s="195"/>
      <c r="HX3" s="195"/>
    </row>
    <row r="4" spans="1:232" s="202" customFormat="1" ht="24" customHeight="1" x14ac:dyDescent="0.35">
      <c r="A4" s="200" t="s">
        <v>998</v>
      </c>
      <c r="B4" s="201">
        <v>136607218</v>
      </c>
      <c r="C4" s="201">
        <v>110792218</v>
      </c>
      <c r="HG4" s="203"/>
      <c r="HH4" s="203"/>
      <c r="HI4" s="203"/>
      <c r="HJ4" s="203"/>
      <c r="HK4" s="203"/>
      <c r="HL4" s="203"/>
      <c r="HM4" s="203"/>
      <c r="HN4" s="204"/>
      <c r="HO4" s="204"/>
      <c r="HP4" s="204"/>
      <c r="HQ4" s="204"/>
      <c r="HR4" s="204"/>
      <c r="HS4" s="204"/>
      <c r="HT4" s="204"/>
      <c r="HU4" s="204"/>
      <c r="HV4" s="204"/>
      <c r="HW4" s="204"/>
      <c r="HX4" s="195"/>
    </row>
    <row r="5" spans="1:232" s="207" customFormat="1" ht="24" customHeight="1" x14ac:dyDescent="0.35">
      <c r="A5" s="205" t="s">
        <v>999</v>
      </c>
      <c r="B5" s="206">
        <v>5065218</v>
      </c>
      <c r="C5" s="206">
        <v>65218</v>
      </c>
      <c r="HC5" s="208"/>
      <c r="HD5" s="208"/>
      <c r="HE5" s="208"/>
      <c r="HF5" s="208"/>
      <c r="HG5" s="195"/>
      <c r="HH5" s="195"/>
      <c r="HI5" s="195"/>
      <c r="HJ5" s="195"/>
      <c r="HK5" s="195"/>
      <c r="HL5" s="195"/>
      <c r="HM5" s="195"/>
      <c r="HN5" s="195"/>
      <c r="HO5" s="195"/>
      <c r="HP5" s="195"/>
      <c r="HQ5" s="195"/>
      <c r="HR5" s="195"/>
      <c r="HS5" s="195"/>
      <c r="HT5" s="195"/>
      <c r="HU5" s="195"/>
      <c r="HV5" s="195"/>
      <c r="HW5" s="195"/>
      <c r="HX5" s="195"/>
    </row>
    <row r="6" spans="1:232" s="207" customFormat="1" ht="24" customHeight="1" x14ac:dyDescent="0.35">
      <c r="A6" s="205" t="s">
        <v>1000</v>
      </c>
      <c r="B6" s="206">
        <v>4000000</v>
      </c>
      <c r="C6" s="206">
        <v>3635000</v>
      </c>
      <c r="HC6" s="208"/>
      <c r="HD6" s="208"/>
      <c r="HE6" s="208"/>
      <c r="HF6" s="208"/>
      <c r="HG6" s="195"/>
      <c r="HH6" s="195"/>
      <c r="HI6" s="195"/>
      <c r="HJ6" s="195"/>
      <c r="HK6" s="195"/>
      <c r="HL6" s="195"/>
      <c r="HM6" s="195"/>
      <c r="HN6" s="195"/>
      <c r="HO6" s="195"/>
      <c r="HP6" s="195"/>
      <c r="HQ6" s="195"/>
      <c r="HR6" s="195"/>
      <c r="HS6" s="195"/>
      <c r="HT6" s="195"/>
      <c r="HU6" s="195"/>
      <c r="HV6" s="195"/>
      <c r="HW6" s="195"/>
      <c r="HX6" s="195"/>
    </row>
    <row r="7" spans="1:232" s="207" customFormat="1" ht="24" customHeight="1" x14ac:dyDescent="0.35">
      <c r="A7" s="205" t="s">
        <v>1001</v>
      </c>
      <c r="B7" s="206">
        <v>3500000</v>
      </c>
      <c r="C7" s="206">
        <v>3050000</v>
      </c>
      <c r="HC7" s="208"/>
      <c r="HD7" s="208"/>
      <c r="HE7" s="208"/>
      <c r="HF7" s="208"/>
      <c r="HG7" s="195"/>
      <c r="HH7" s="195"/>
      <c r="HI7" s="195"/>
      <c r="HJ7" s="195"/>
      <c r="HK7" s="195"/>
      <c r="HL7" s="195"/>
      <c r="HM7" s="195"/>
      <c r="HN7" s="195"/>
      <c r="HO7" s="195"/>
      <c r="HP7" s="195"/>
      <c r="HQ7" s="195"/>
      <c r="HR7" s="195"/>
      <c r="HS7" s="195"/>
      <c r="HT7" s="195"/>
      <c r="HU7" s="195"/>
      <c r="HV7" s="195"/>
      <c r="HW7" s="195"/>
      <c r="HX7" s="195"/>
    </row>
    <row r="8" spans="1:232" s="207" customFormat="1" ht="24" hidden="1" customHeight="1" x14ac:dyDescent="0.35">
      <c r="A8" s="205" t="s">
        <v>1002</v>
      </c>
      <c r="B8" s="206"/>
      <c r="C8" s="206"/>
      <c r="HC8" s="208"/>
      <c r="HD8" s="208"/>
      <c r="HE8" s="208"/>
      <c r="HF8" s="208"/>
      <c r="HG8" s="195"/>
      <c r="HH8" s="195"/>
      <c r="HI8" s="195"/>
      <c r="HJ8" s="195"/>
      <c r="HK8" s="195"/>
      <c r="HL8" s="195"/>
      <c r="HM8" s="195"/>
      <c r="HN8" s="195"/>
      <c r="HO8" s="195"/>
      <c r="HP8" s="195"/>
      <c r="HQ8" s="195"/>
      <c r="HR8" s="195"/>
      <c r="HS8" s="195"/>
      <c r="HT8" s="195"/>
      <c r="HU8" s="195"/>
      <c r="HV8" s="195"/>
      <c r="HW8" s="195"/>
      <c r="HX8" s="195"/>
    </row>
    <row r="9" spans="1:232" s="207" customFormat="1" ht="24" customHeight="1" x14ac:dyDescent="0.35">
      <c r="A9" s="205" t="s">
        <v>1226</v>
      </c>
      <c r="B9" s="206"/>
      <c r="C9" s="206"/>
      <c r="HC9" s="208"/>
      <c r="HD9" s="208"/>
      <c r="HE9" s="208"/>
      <c r="HF9" s="208"/>
      <c r="HG9" s="195"/>
      <c r="HH9" s="195"/>
      <c r="HI9" s="195"/>
      <c r="HJ9" s="195"/>
      <c r="HK9" s="195"/>
      <c r="HL9" s="195"/>
      <c r="HM9" s="195"/>
      <c r="HN9" s="195"/>
      <c r="HO9" s="195"/>
      <c r="HP9" s="195"/>
      <c r="HQ9" s="195"/>
      <c r="HR9" s="195"/>
      <c r="HS9" s="195"/>
      <c r="HT9" s="195"/>
      <c r="HU9" s="195"/>
      <c r="HV9" s="195"/>
      <c r="HW9" s="195"/>
      <c r="HX9" s="195"/>
    </row>
    <row r="10" spans="1:232" s="207" customFormat="1" ht="24" customHeight="1" x14ac:dyDescent="0.35">
      <c r="A10" s="205" t="s">
        <v>1227</v>
      </c>
      <c r="B10" s="206"/>
      <c r="C10" s="206"/>
      <c r="HC10" s="208"/>
      <c r="HD10" s="208"/>
      <c r="HE10" s="208"/>
      <c r="HF10" s="208"/>
      <c r="HG10" s="195"/>
      <c r="HH10" s="195"/>
      <c r="HI10" s="195"/>
      <c r="HJ10" s="195"/>
      <c r="HK10" s="195"/>
      <c r="HL10" s="195"/>
      <c r="HM10" s="195"/>
      <c r="HN10" s="195"/>
      <c r="HO10" s="195"/>
      <c r="HP10" s="195"/>
      <c r="HQ10" s="195"/>
      <c r="HR10" s="195"/>
      <c r="HS10" s="195"/>
      <c r="HT10" s="195"/>
      <c r="HU10" s="195"/>
      <c r="HV10" s="195"/>
      <c r="HW10" s="195"/>
      <c r="HX10" s="195"/>
    </row>
    <row r="11" spans="1:232" s="207" customFormat="1" ht="24" customHeight="1" x14ac:dyDescent="0.35">
      <c r="A11" s="205" t="s">
        <v>1228</v>
      </c>
      <c r="B11" s="206"/>
      <c r="C11" s="206"/>
      <c r="HC11" s="208"/>
      <c r="HD11" s="208"/>
      <c r="HE11" s="208"/>
      <c r="HF11" s="208"/>
      <c r="HG11" s="195"/>
      <c r="HH11" s="195"/>
      <c r="HI11" s="195"/>
      <c r="HJ11" s="195"/>
      <c r="HK11" s="195"/>
      <c r="HL11" s="195"/>
      <c r="HM11" s="195"/>
      <c r="HN11" s="195"/>
      <c r="HO11" s="195"/>
      <c r="HP11" s="195"/>
      <c r="HQ11" s="195"/>
      <c r="HR11" s="195"/>
      <c r="HS11" s="195"/>
      <c r="HT11" s="195"/>
      <c r="HU11" s="195"/>
      <c r="HV11" s="195"/>
      <c r="HW11" s="195"/>
      <c r="HX11" s="195"/>
    </row>
    <row r="12" spans="1:232" s="207" customFormat="1" ht="24" customHeight="1" x14ac:dyDescent="0.35">
      <c r="A12" s="209" t="s">
        <v>1229</v>
      </c>
      <c r="B12" s="206">
        <v>20000000</v>
      </c>
      <c r="C12" s="206">
        <v>0</v>
      </c>
      <c r="HC12" s="208"/>
      <c r="HD12" s="208"/>
      <c r="HE12" s="208"/>
      <c r="HF12" s="208"/>
      <c r="HG12" s="195"/>
      <c r="HH12" s="195"/>
      <c r="HI12" s="195"/>
      <c r="HJ12" s="195"/>
      <c r="HK12" s="195"/>
      <c r="HL12" s="195"/>
      <c r="HM12" s="195"/>
      <c r="HN12" s="195"/>
      <c r="HO12" s="195"/>
      <c r="HP12" s="195"/>
      <c r="HQ12" s="195"/>
      <c r="HR12" s="195"/>
      <c r="HS12" s="195"/>
      <c r="HT12" s="195"/>
      <c r="HU12" s="195"/>
      <c r="HV12" s="195"/>
      <c r="HW12" s="195"/>
      <c r="HX12" s="195"/>
    </row>
    <row r="13" spans="1:232" s="207" customFormat="1" ht="24" hidden="1" customHeight="1" x14ac:dyDescent="0.35">
      <c r="A13" s="209" t="s">
        <v>1003</v>
      </c>
      <c r="B13" s="206"/>
      <c r="C13" s="206"/>
      <c r="HC13" s="208"/>
      <c r="HD13" s="208"/>
      <c r="HE13" s="208"/>
      <c r="HF13" s="208"/>
      <c r="HG13" s="195"/>
      <c r="HH13" s="195"/>
      <c r="HI13" s="195"/>
      <c r="HJ13" s="195"/>
      <c r="HK13" s="195"/>
      <c r="HL13" s="195"/>
      <c r="HM13" s="195"/>
      <c r="HN13" s="195"/>
      <c r="HO13" s="195"/>
      <c r="HP13" s="195"/>
      <c r="HQ13" s="195"/>
      <c r="HR13" s="195"/>
      <c r="HS13" s="195"/>
      <c r="HT13" s="195"/>
      <c r="HU13" s="195"/>
      <c r="HV13" s="195"/>
      <c r="HW13" s="195"/>
      <c r="HX13" s="195"/>
    </row>
    <row r="14" spans="1:232" s="207" customFormat="1" ht="24" hidden="1" customHeight="1" x14ac:dyDescent="0.35">
      <c r="A14" s="209" t="s">
        <v>1004</v>
      </c>
      <c r="B14" s="206"/>
      <c r="C14" s="206"/>
      <c r="HC14" s="208"/>
      <c r="HD14" s="208"/>
      <c r="HE14" s="208"/>
      <c r="HF14" s="208"/>
      <c r="HG14" s="195"/>
      <c r="HH14" s="195"/>
      <c r="HI14" s="195"/>
      <c r="HJ14" s="195"/>
      <c r="HK14" s="195"/>
      <c r="HL14" s="195"/>
      <c r="HM14" s="195"/>
      <c r="HN14" s="195"/>
      <c r="HO14" s="195"/>
      <c r="HP14" s="195"/>
      <c r="HQ14" s="195"/>
      <c r="HR14" s="195"/>
      <c r="HS14" s="195"/>
      <c r="HT14" s="195"/>
      <c r="HU14" s="195"/>
      <c r="HV14" s="195"/>
      <c r="HW14" s="195"/>
      <c r="HX14" s="195"/>
    </row>
    <row r="15" spans="1:232" s="207" customFormat="1" ht="24" customHeight="1" x14ac:dyDescent="0.35">
      <c r="A15" s="209" t="s">
        <v>1230</v>
      </c>
      <c r="B15" s="206">
        <v>6000000</v>
      </c>
      <c r="C15" s="206">
        <v>6000000</v>
      </c>
      <c r="HC15" s="208"/>
      <c r="HD15" s="208"/>
      <c r="HE15" s="208"/>
      <c r="HF15" s="208"/>
      <c r="HG15" s="195"/>
      <c r="HH15" s="195"/>
      <c r="HI15" s="195"/>
      <c r="HJ15" s="195"/>
      <c r="HK15" s="195"/>
      <c r="HL15" s="195"/>
      <c r="HM15" s="195"/>
      <c r="HN15" s="195"/>
      <c r="HO15" s="195"/>
      <c r="HP15" s="195"/>
      <c r="HQ15" s="195"/>
      <c r="HR15" s="195"/>
      <c r="HS15" s="195"/>
      <c r="HT15" s="195"/>
      <c r="HU15" s="195"/>
      <c r="HV15" s="195"/>
      <c r="HW15" s="195"/>
      <c r="HX15" s="195"/>
    </row>
    <row r="16" spans="1:232" s="207" customFormat="1" ht="24" customHeight="1" x14ac:dyDescent="0.35">
      <c r="A16" s="209" t="s">
        <v>1231</v>
      </c>
      <c r="B16" s="206">
        <v>3000000</v>
      </c>
      <c r="C16" s="206">
        <v>3000000</v>
      </c>
      <c r="HC16" s="208"/>
      <c r="HD16" s="208"/>
      <c r="HE16" s="208"/>
      <c r="HF16" s="208"/>
      <c r="HG16" s="195"/>
      <c r="HH16" s="195"/>
      <c r="HI16" s="195"/>
      <c r="HJ16" s="195"/>
      <c r="HK16" s="195"/>
      <c r="HL16" s="195"/>
      <c r="HM16" s="195"/>
      <c r="HN16" s="195"/>
      <c r="HO16" s="195"/>
      <c r="HP16" s="195"/>
      <c r="HQ16" s="195"/>
      <c r="HR16" s="195"/>
      <c r="HS16" s="195"/>
      <c r="HT16" s="195"/>
      <c r="HU16" s="195"/>
      <c r="HV16" s="195"/>
      <c r="HW16" s="195"/>
      <c r="HX16" s="195"/>
    </row>
    <row r="17" spans="1:232" s="207" customFormat="1" ht="24" customHeight="1" x14ac:dyDescent="0.35">
      <c r="A17" s="209" t="s">
        <v>1232</v>
      </c>
      <c r="B17" s="206"/>
      <c r="C17" s="206"/>
      <c r="HC17" s="208"/>
      <c r="HD17" s="208"/>
      <c r="HE17" s="208"/>
      <c r="HF17" s="208"/>
      <c r="HG17" s="195"/>
      <c r="HH17" s="195"/>
      <c r="HI17" s="195"/>
      <c r="HJ17" s="195"/>
      <c r="HK17" s="195"/>
      <c r="HL17" s="195"/>
      <c r="HM17" s="195"/>
      <c r="HN17" s="195"/>
      <c r="HO17" s="195"/>
      <c r="HP17" s="195"/>
      <c r="HQ17" s="195"/>
      <c r="HR17" s="195"/>
      <c r="HS17" s="195"/>
      <c r="HT17" s="195"/>
      <c r="HU17" s="195"/>
      <c r="HV17" s="195"/>
      <c r="HW17" s="195"/>
      <c r="HX17" s="195"/>
    </row>
    <row r="18" spans="1:232" s="207" customFormat="1" ht="24" customHeight="1" x14ac:dyDescent="0.35">
      <c r="A18" s="210" t="s">
        <v>1774</v>
      </c>
      <c r="B18" s="206">
        <v>14042000</v>
      </c>
      <c r="C18" s="206">
        <v>14042000</v>
      </c>
      <c r="HC18" s="208"/>
      <c r="HD18" s="208"/>
      <c r="HE18" s="208"/>
      <c r="HF18" s="208"/>
      <c r="HG18" s="195"/>
      <c r="HH18" s="195"/>
      <c r="HI18" s="195"/>
      <c r="HJ18" s="195"/>
      <c r="HK18" s="195"/>
      <c r="HL18" s="195"/>
      <c r="HM18" s="195"/>
      <c r="HN18" s="195"/>
      <c r="HO18" s="195"/>
      <c r="HP18" s="195"/>
      <c r="HQ18" s="195"/>
      <c r="HR18" s="195"/>
      <c r="HS18" s="195"/>
      <c r="HT18" s="195"/>
      <c r="HU18" s="195"/>
      <c r="HV18" s="195"/>
      <c r="HW18" s="195"/>
      <c r="HX18" s="195"/>
    </row>
    <row r="19" spans="1:232" s="207" customFormat="1" ht="24" customHeight="1" x14ac:dyDescent="0.35">
      <c r="A19" s="210" t="s">
        <v>1286</v>
      </c>
      <c r="B19" s="206"/>
      <c r="C19" s="206"/>
      <c r="HC19" s="208"/>
      <c r="HD19" s="208"/>
      <c r="HE19" s="208"/>
      <c r="HF19" s="208"/>
      <c r="HG19" s="195"/>
      <c r="HH19" s="195"/>
      <c r="HI19" s="195"/>
      <c r="HJ19" s="195"/>
      <c r="HK19" s="195"/>
      <c r="HL19" s="195"/>
      <c r="HM19" s="195"/>
      <c r="HN19" s="195"/>
      <c r="HO19" s="195"/>
      <c r="HP19" s="195"/>
      <c r="HQ19" s="195"/>
      <c r="HR19" s="195"/>
      <c r="HS19" s="195"/>
      <c r="HT19" s="195"/>
      <c r="HU19" s="195"/>
      <c r="HV19" s="195"/>
      <c r="HW19" s="195"/>
      <c r="HX19" s="195"/>
    </row>
    <row r="20" spans="1:232" s="207" customFormat="1" ht="24" customHeight="1" x14ac:dyDescent="0.35">
      <c r="A20" s="210" t="s">
        <v>1775</v>
      </c>
      <c r="B20" s="206">
        <v>5000000</v>
      </c>
      <c r="C20" s="206">
        <v>5000000</v>
      </c>
      <c r="HC20" s="208"/>
      <c r="HD20" s="208"/>
      <c r="HE20" s="208"/>
      <c r="HF20" s="208"/>
      <c r="HG20" s="195"/>
      <c r="HH20" s="195"/>
      <c r="HI20" s="195"/>
      <c r="HJ20" s="195"/>
      <c r="HK20" s="195"/>
      <c r="HL20" s="195"/>
      <c r="HM20" s="195"/>
      <c r="HN20" s="195"/>
      <c r="HO20" s="195"/>
      <c r="HP20" s="195"/>
      <c r="HQ20" s="195"/>
      <c r="HR20" s="195"/>
      <c r="HS20" s="195"/>
      <c r="HT20" s="195"/>
      <c r="HU20" s="195"/>
      <c r="HV20" s="195"/>
      <c r="HW20" s="195"/>
      <c r="HX20" s="195"/>
    </row>
    <row r="21" spans="1:232" s="207" customFormat="1" ht="24" customHeight="1" x14ac:dyDescent="0.35">
      <c r="A21" s="210" t="s">
        <v>1759</v>
      </c>
      <c r="B21" s="206"/>
      <c r="C21" s="206"/>
      <c r="HC21" s="208"/>
      <c r="HD21" s="208"/>
      <c r="HE21" s="208"/>
      <c r="HF21" s="208"/>
      <c r="HG21" s="195"/>
      <c r="HH21" s="195"/>
      <c r="HI21" s="195"/>
      <c r="HJ21" s="195"/>
      <c r="HK21" s="195"/>
      <c r="HL21" s="195"/>
      <c r="HM21" s="195"/>
      <c r="HN21" s="195"/>
      <c r="HO21" s="195"/>
      <c r="HP21" s="195"/>
      <c r="HQ21" s="195"/>
      <c r="HR21" s="195"/>
      <c r="HS21" s="195"/>
      <c r="HT21" s="195"/>
      <c r="HU21" s="195"/>
      <c r="HV21" s="195"/>
      <c r="HW21" s="195"/>
      <c r="HX21" s="195"/>
    </row>
    <row r="22" spans="1:232" s="207" customFormat="1" ht="24" customHeight="1" x14ac:dyDescent="0.35">
      <c r="A22" s="210" t="s">
        <v>1288</v>
      </c>
      <c r="B22" s="206">
        <v>60000000</v>
      </c>
      <c r="C22" s="206">
        <v>60000000</v>
      </c>
      <c r="HC22" s="208"/>
      <c r="HD22" s="208"/>
      <c r="HE22" s="208"/>
      <c r="HF22" s="208"/>
      <c r="HG22" s="195"/>
      <c r="HH22" s="195"/>
      <c r="HI22" s="195"/>
      <c r="HJ22" s="195"/>
      <c r="HK22" s="195"/>
      <c r="HL22" s="195"/>
      <c r="HM22" s="195"/>
      <c r="HN22" s="195"/>
      <c r="HO22" s="195"/>
      <c r="HP22" s="195"/>
      <c r="HQ22" s="195"/>
      <c r="HR22" s="195"/>
      <c r="HS22" s="195"/>
      <c r="HT22" s="195"/>
      <c r="HU22" s="195"/>
      <c r="HV22" s="195"/>
      <c r="HW22" s="195"/>
      <c r="HX22" s="195"/>
    </row>
    <row r="23" spans="1:232" s="207" customFormat="1" ht="24" customHeight="1" x14ac:dyDescent="0.35">
      <c r="A23" s="210" t="s">
        <v>1751</v>
      </c>
      <c r="B23" s="206"/>
      <c r="C23" s="206"/>
      <c r="HC23" s="208"/>
      <c r="HD23" s="208"/>
      <c r="HE23" s="208"/>
      <c r="HF23" s="208"/>
      <c r="HG23" s="195"/>
      <c r="HH23" s="195"/>
      <c r="HI23" s="195"/>
      <c r="HJ23" s="195"/>
      <c r="HK23" s="195"/>
      <c r="HL23" s="195"/>
      <c r="HM23" s="195"/>
      <c r="HN23" s="195"/>
      <c r="HO23" s="195"/>
      <c r="HP23" s="195"/>
      <c r="HQ23" s="195"/>
      <c r="HR23" s="195"/>
      <c r="HS23" s="195"/>
      <c r="HT23" s="195"/>
      <c r="HU23" s="195"/>
      <c r="HV23" s="195"/>
      <c r="HW23" s="195"/>
      <c r="HX23" s="195"/>
    </row>
    <row r="24" spans="1:232" s="207" customFormat="1" ht="24" customHeight="1" x14ac:dyDescent="0.35">
      <c r="A24" s="210" t="s">
        <v>1381</v>
      </c>
      <c r="B24" s="206">
        <v>13000000</v>
      </c>
      <c r="C24" s="206">
        <v>13000000</v>
      </c>
      <c r="HC24" s="208"/>
      <c r="HD24" s="208"/>
      <c r="HE24" s="208"/>
      <c r="HF24" s="208"/>
      <c r="HG24" s="195"/>
      <c r="HH24" s="195"/>
      <c r="HI24" s="195"/>
      <c r="HJ24" s="195"/>
      <c r="HK24" s="195"/>
      <c r="HL24" s="195"/>
      <c r="HM24" s="195"/>
      <c r="HN24" s="195"/>
      <c r="HO24" s="195"/>
      <c r="HP24" s="195"/>
      <c r="HQ24" s="195"/>
      <c r="HR24" s="195"/>
      <c r="HS24" s="195"/>
      <c r="HT24" s="195"/>
      <c r="HU24" s="195"/>
      <c r="HV24" s="195"/>
      <c r="HW24" s="195"/>
      <c r="HX24" s="195"/>
    </row>
    <row r="25" spans="1:232" s="207" customFormat="1" ht="24" customHeight="1" x14ac:dyDescent="0.35">
      <c r="A25" s="210" t="s">
        <v>1676</v>
      </c>
      <c r="B25" s="206">
        <v>3000000</v>
      </c>
      <c r="C25" s="206">
        <v>3000000</v>
      </c>
      <c r="HC25" s="208"/>
      <c r="HD25" s="208"/>
      <c r="HE25" s="208"/>
      <c r="HF25" s="208"/>
      <c r="HG25" s="195"/>
      <c r="HH25" s="195"/>
      <c r="HI25" s="195"/>
      <c r="HJ25" s="195"/>
      <c r="HK25" s="195"/>
      <c r="HL25" s="195"/>
      <c r="HM25" s="195"/>
      <c r="HN25" s="195"/>
      <c r="HO25" s="195"/>
      <c r="HP25" s="195"/>
      <c r="HQ25" s="195"/>
      <c r="HR25" s="195"/>
      <c r="HS25" s="195"/>
      <c r="HT25" s="195"/>
      <c r="HU25" s="195"/>
      <c r="HV25" s="195"/>
      <c r="HW25" s="195"/>
      <c r="HX25" s="195"/>
    </row>
    <row r="26" spans="1:232" s="211" customFormat="1" ht="24" customHeight="1" x14ac:dyDescent="0.35">
      <c r="A26" s="200" t="s">
        <v>1005</v>
      </c>
      <c r="B26" s="201">
        <v>3000000</v>
      </c>
      <c r="C26" s="201">
        <v>108642252</v>
      </c>
      <c r="HC26" s="212"/>
      <c r="HD26" s="212"/>
      <c r="HE26" s="212"/>
      <c r="HF26" s="212"/>
      <c r="HG26" s="204"/>
      <c r="HH26" s="204"/>
      <c r="HI26" s="204"/>
      <c r="HJ26" s="204"/>
      <c r="HK26" s="204"/>
      <c r="HL26" s="204"/>
      <c r="HM26" s="204"/>
      <c r="HN26" s="204"/>
      <c r="HO26" s="204"/>
      <c r="HP26" s="204"/>
      <c r="HQ26" s="204"/>
      <c r="HR26" s="204"/>
      <c r="HS26" s="204"/>
      <c r="HT26" s="204"/>
      <c r="HU26" s="204"/>
      <c r="HV26" s="204"/>
      <c r="HW26" s="204"/>
      <c r="HX26" s="195"/>
    </row>
    <row r="27" spans="1:232" s="207" customFormat="1" ht="24" hidden="1" customHeight="1" x14ac:dyDescent="0.35">
      <c r="A27" s="205" t="s">
        <v>1006</v>
      </c>
      <c r="B27" s="206"/>
      <c r="C27" s="206"/>
      <c r="HC27" s="208"/>
      <c r="HD27" s="208"/>
      <c r="HE27" s="208"/>
      <c r="HF27" s="208"/>
      <c r="HG27" s="195"/>
      <c r="HH27" s="195"/>
      <c r="HI27" s="195"/>
      <c r="HJ27" s="195"/>
      <c r="HK27" s="195"/>
      <c r="HL27" s="195"/>
      <c r="HM27" s="195"/>
      <c r="HN27" s="195"/>
      <c r="HO27" s="195"/>
      <c r="HP27" s="195"/>
      <c r="HQ27" s="195"/>
      <c r="HR27" s="195"/>
      <c r="HS27" s="195"/>
      <c r="HT27" s="195"/>
      <c r="HU27" s="195"/>
      <c r="HV27" s="195"/>
      <c r="HW27" s="195"/>
      <c r="HX27" s="195"/>
    </row>
    <row r="28" spans="1:232" s="207" customFormat="1" ht="24" hidden="1" customHeight="1" x14ac:dyDescent="0.35">
      <c r="A28" s="209" t="s">
        <v>1007</v>
      </c>
      <c r="B28" s="206"/>
      <c r="C28" s="206"/>
      <c r="HC28" s="208"/>
      <c r="HD28" s="208"/>
      <c r="HE28" s="208"/>
      <c r="HF28" s="208"/>
      <c r="HG28" s="195"/>
      <c r="HH28" s="195"/>
      <c r="HI28" s="195"/>
      <c r="HJ28" s="195"/>
      <c r="HK28" s="195"/>
      <c r="HL28" s="195"/>
      <c r="HM28" s="195"/>
      <c r="HN28" s="195"/>
      <c r="HO28" s="195"/>
      <c r="HP28" s="195"/>
      <c r="HQ28" s="195"/>
      <c r="HR28" s="195"/>
      <c r="HS28" s="195"/>
      <c r="HT28" s="195"/>
      <c r="HU28" s="195"/>
      <c r="HV28" s="195"/>
      <c r="HW28" s="195"/>
      <c r="HX28" s="195"/>
    </row>
    <row r="29" spans="1:232" s="207" customFormat="1" ht="24" hidden="1" customHeight="1" x14ac:dyDescent="0.35">
      <c r="A29" s="209" t="s">
        <v>1008</v>
      </c>
      <c r="B29" s="206"/>
      <c r="C29" s="206"/>
      <c r="HC29" s="208"/>
      <c r="HD29" s="208"/>
      <c r="HE29" s="208"/>
      <c r="HF29" s="208"/>
      <c r="HG29" s="195"/>
      <c r="HH29" s="195"/>
      <c r="HI29" s="195"/>
      <c r="HJ29" s="195"/>
      <c r="HK29" s="195"/>
      <c r="HL29" s="195"/>
      <c r="HM29" s="195"/>
      <c r="HN29" s="195"/>
      <c r="HO29" s="195"/>
      <c r="HP29" s="195"/>
      <c r="HQ29" s="195"/>
      <c r="HR29" s="195"/>
      <c r="HS29" s="195"/>
      <c r="HT29" s="195"/>
      <c r="HU29" s="195"/>
      <c r="HV29" s="195"/>
      <c r="HW29" s="195"/>
      <c r="HX29" s="195"/>
    </row>
    <row r="30" spans="1:232" s="207" customFormat="1" ht="24" hidden="1" customHeight="1" x14ac:dyDescent="0.35">
      <c r="A30" s="209" t="s">
        <v>1009</v>
      </c>
      <c r="B30" s="206"/>
      <c r="C30" s="206"/>
      <c r="HC30" s="208"/>
      <c r="HD30" s="208"/>
      <c r="HE30" s="208"/>
      <c r="HF30" s="208"/>
      <c r="HG30" s="195"/>
      <c r="HH30" s="195"/>
      <c r="HI30" s="195"/>
      <c r="HJ30" s="195"/>
      <c r="HK30" s="195"/>
      <c r="HL30" s="195"/>
      <c r="HM30" s="195"/>
      <c r="HN30" s="195"/>
      <c r="HO30" s="195"/>
      <c r="HP30" s="195"/>
      <c r="HQ30" s="195"/>
      <c r="HR30" s="195"/>
      <c r="HS30" s="195"/>
      <c r="HT30" s="195"/>
      <c r="HU30" s="195"/>
      <c r="HV30" s="195"/>
      <c r="HW30" s="195"/>
      <c r="HX30" s="195"/>
    </row>
    <row r="31" spans="1:232" s="207" customFormat="1" ht="24" hidden="1" customHeight="1" x14ac:dyDescent="0.35">
      <c r="A31" s="209" t="s">
        <v>1010</v>
      </c>
      <c r="B31" s="206"/>
      <c r="C31" s="206"/>
      <c r="HC31" s="208"/>
      <c r="HD31" s="208"/>
      <c r="HE31" s="208"/>
      <c r="HF31" s="208"/>
      <c r="HG31" s="195"/>
      <c r="HH31" s="195"/>
      <c r="HI31" s="195"/>
      <c r="HJ31" s="195"/>
      <c r="HK31" s="195"/>
      <c r="HL31" s="195"/>
      <c r="HM31" s="195"/>
      <c r="HN31" s="195"/>
      <c r="HO31" s="195"/>
      <c r="HP31" s="195"/>
      <c r="HQ31" s="195"/>
      <c r="HR31" s="195"/>
      <c r="HS31" s="195"/>
      <c r="HT31" s="195"/>
      <c r="HU31" s="195"/>
      <c r="HV31" s="195"/>
      <c r="HW31" s="195"/>
      <c r="HX31" s="195"/>
    </row>
    <row r="32" spans="1:232" s="207" customFormat="1" ht="24" customHeight="1" x14ac:dyDescent="0.35">
      <c r="A32" s="209" t="s">
        <v>1664</v>
      </c>
      <c r="B32" s="206"/>
      <c r="C32" s="206">
        <v>45642252</v>
      </c>
      <c r="HC32" s="208"/>
      <c r="HD32" s="208"/>
      <c r="HE32" s="208"/>
      <c r="HF32" s="208"/>
      <c r="HG32" s="195"/>
      <c r="HH32" s="195"/>
      <c r="HI32" s="195"/>
      <c r="HJ32" s="195"/>
      <c r="HK32" s="195"/>
      <c r="HL32" s="195"/>
      <c r="HM32" s="195"/>
      <c r="HN32" s="195"/>
      <c r="HO32" s="195"/>
      <c r="HP32" s="195"/>
      <c r="HQ32" s="195"/>
      <c r="HR32" s="195"/>
      <c r="HS32" s="195"/>
      <c r="HT32" s="195"/>
      <c r="HU32" s="195"/>
      <c r="HV32" s="195"/>
      <c r="HW32" s="195"/>
      <c r="HX32" s="195"/>
    </row>
    <row r="33" spans="1:232" s="207" customFormat="1" ht="24" customHeight="1" x14ac:dyDescent="0.35">
      <c r="A33" s="209" t="s">
        <v>1636</v>
      </c>
      <c r="B33" s="206">
        <v>3000000</v>
      </c>
      <c r="C33" s="206">
        <v>3000000</v>
      </c>
      <c r="HC33" s="208"/>
      <c r="HD33" s="208"/>
      <c r="HE33" s="208"/>
      <c r="HF33" s="208"/>
      <c r="HG33" s="195"/>
      <c r="HH33" s="195"/>
      <c r="HI33" s="195"/>
      <c r="HJ33" s="195"/>
      <c r="HK33" s="195"/>
      <c r="HL33" s="195"/>
      <c r="HM33" s="195"/>
      <c r="HN33" s="195"/>
      <c r="HO33" s="195"/>
      <c r="HP33" s="195"/>
      <c r="HQ33" s="195"/>
      <c r="HR33" s="195"/>
      <c r="HS33" s="195"/>
      <c r="HT33" s="195"/>
      <c r="HU33" s="195"/>
      <c r="HV33" s="195"/>
      <c r="HW33" s="195"/>
      <c r="HX33" s="195"/>
    </row>
    <row r="34" spans="1:232" s="214" customFormat="1" ht="24" customHeight="1" x14ac:dyDescent="0.35">
      <c r="A34" s="213" t="s">
        <v>1011</v>
      </c>
      <c r="B34" s="776">
        <v>194767080</v>
      </c>
      <c r="C34" s="776">
        <v>224276539</v>
      </c>
      <c r="D34" s="1052"/>
      <c r="HC34" s="215"/>
      <c r="HD34" s="215"/>
      <c r="HE34" s="215"/>
      <c r="HF34" s="215"/>
      <c r="HG34" s="216"/>
      <c r="HH34" s="216"/>
      <c r="HI34" s="216"/>
      <c r="HJ34" s="216"/>
      <c r="HK34" s="216"/>
      <c r="HL34" s="216"/>
      <c r="HM34" s="216"/>
      <c r="HN34" s="216"/>
      <c r="HO34" s="216"/>
      <c r="HP34" s="216"/>
      <c r="HQ34" s="216"/>
      <c r="HR34" s="216"/>
      <c r="HS34" s="217"/>
      <c r="HT34" s="195"/>
      <c r="HU34" s="195"/>
      <c r="HV34" s="195"/>
      <c r="HW34" s="195"/>
      <c r="HX34" s="195"/>
    </row>
    <row r="35" spans="1:232" s="207" customFormat="1" x14ac:dyDescent="0.35">
      <c r="A35" s="218"/>
      <c r="HC35" s="208"/>
      <c r="HD35" s="208"/>
      <c r="HE35" s="208"/>
      <c r="HF35" s="208"/>
      <c r="HG35" s="195"/>
      <c r="HH35" s="195"/>
      <c r="HI35" s="195"/>
      <c r="HJ35" s="195"/>
      <c r="HK35" s="195"/>
      <c r="HL35" s="195"/>
      <c r="HM35" s="195"/>
      <c r="HN35" s="195"/>
      <c r="HO35" s="195"/>
      <c r="HP35" s="195"/>
      <c r="HQ35" s="195"/>
      <c r="HR35" s="195"/>
      <c r="HS35" s="195"/>
      <c r="HT35" s="195"/>
      <c r="HU35" s="195"/>
      <c r="HV35" s="195"/>
      <c r="HW35" s="195"/>
      <c r="HX35" s="195"/>
    </row>
    <row r="36" spans="1:232" s="207" customFormat="1" x14ac:dyDescent="0.35">
      <c r="A36" s="218"/>
      <c r="HC36" s="208"/>
      <c r="HD36" s="208"/>
      <c r="HE36" s="208"/>
      <c r="HF36" s="208"/>
      <c r="HG36" s="195"/>
      <c r="HH36" s="195"/>
      <c r="HI36" s="195"/>
      <c r="HJ36" s="195"/>
      <c r="HK36" s="195"/>
      <c r="HL36" s="195"/>
      <c r="HM36" s="195"/>
      <c r="HN36" s="195"/>
      <c r="HO36" s="195"/>
      <c r="HP36" s="195"/>
      <c r="HQ36" s="195"/>
      <c r="HR36" s="195"/>
      <c r="HS36" s="195"/>
      <c r="HT36" s="195"/>
      <c r="HU36" s="195"/>
      <c r="HV36" s="195"/>
      <c r="HW36" s="195"/>
      <c r="HX36" s="195"/>
    </row>
    <row r="37" spans="1:232" s="207" customFormat="1" x14ac:dyDescent="0.35">
      <c r="A37" s="218"/>
      <c r="HC37" s="208"/>
      <c r="HD37" s="208"/>
      <c r="HE37" s="208"/>
      <c r="HF37" s="208"/>
      <c r="HG37" s="195"/>
      <c r="HH37" s="195"/>
      <c r="HI37" s="195"/>
      <c r="HJ37" s="195"/>
      <c r="HK37" s="195"/>
      <c r="HL37" s="195"/>
      <c r="HM37" s="195"/>
      <c r="HN37" s="195"/>
      <c r="HO37" s="195"/>
      <c r="HP37" s="195"/>
      <c r="HQ37" s="195"/>
      <c r="HR37" s="195"/>
      <c r="HS37" s="195"/>
      <c r="HT37" s="195"/>
      <c r="HU37" s="195"/>
      <c r="HV37" s="195"/>
      <c r="HW37" s="195"/>
      <c r="HX37" s="195"/>
    </row>
    <row r="38" spans="1:232" s="207" customFormat="1" x14ac:dyDescent="0.35">
      <c r="A38" s="218"/>
      <c r="HC38" s="208"/>
      <c r="HD38" s="208"/>
      <c r="HE38" s="208"/>
      <c r="HF38" s="208"/>
      <c r="HG38" s="195"/>
      <c r="HH38" s="195"/>
      <c r="HI38" s="195"/>
      <c r="HJ38" s="195"/>
      <c r="HK38" s="195"/>
      <c r="HL38" s="195"/>
      <c r="HM38" s="195"/>
      <c r="HN38" s="195"/>
      <c r="HO38" s="195"/>
      <c r="HP38" s="195"/>
      <c r="HQ38" s="195"/>
      <c r="HR38" s="195"/>
      <c r="HS38" s="195"/>
      <c r="HT38" s="195"/>
      <c r="HU38" s="195"/>
      <c r="HV38" s="195"/>
      <c r="HW38" s="195"/>
      <c r="HX38" s="195"/>
    </row>
    <row r="39" spans="1:232" s="207" customFormat="1" x14ac:dyDescent="0.35">
      <c r="A39" s="218"/>
      <c r="HC39" s="208"/>
      <c r="HD39" s="208"/>
      <c r="HE39" s="208"/>
      <c r="HF39" s="208"/>
      <c r="HG39" s="195"/>
      <c r="HH39" s="195"/>
      <c r="HI39" s="195"/>
      <c r="HJ39" s="195"/>
      <c r="HK39" s="195"/>
      <c r="HL39" s="195"/>
      <c r="HM39" s="195"/>
      <c r="HN39" s="195"/>
      <c r="HO39" s="195"/>
      <c r="HP39" s="195"/>
      <c r="HQ39" s="195"/>
      <c r="HR39" s="195"/>
      <c r="HS39" s="195"/>
      <c r="HT39" s="195"/>
      <c r="HU39" s="195"/>
      <c r="HV39" s="195"/>
      <c r="HW39" s="195"/>
      <c r="HX39" s="195"/>
    </row>
    <row r="40" spans="1:232" s="207" customFormat="1" x14ac:dyDescent="0.35">
      <c r="A40" s="218"/>
      <c r="M40" s="219"/>
      <c r="HC40" s="208"/>
      <c r="HD40" s="208"/>
      <c r="HE40" s="208"/>
      <c r="HF40" s="208"/>
      <c r="HG40" s="195"/>
      <c r="HH40" s="195"/>
      <c r="HI40" s="195"/>
      <c r="HJ40" s="195"/>
      <c r="HK40" s="195"/>
      <c r="HL40" s="195"/>
      <c r="HM40" s="195"/>
      <c r="HN40" s="195"/>
      <c r="HO40" s="195"/>
      <c r="HP40" s="195"/>
      <c r="HQ40" s="195"/>
      <c r="HR40" s="195"/>
      <c r="HS40" s="195"/>
      <c r="HT40" s="195"/>
      <c r="HU40" s="195"/>
      <c r="HV40" s="195"/>
      <c r="HW40" s="195"/>
      <c r="HX40" s="195"/>
    </row>
    <row r="41" spans="1:232" s="207" customFormat="1" x14ac:dyDescent="0.35">
      <c r="A41" s="218"/>
      <c r="M41" s="220"/>
      <c r="HC41" s="208"/>
      <c r="HD41" s="208"/>
      <c r="HE41" s="208"/>
      <c r="HF41" s="208"/>
      <c r="HG41" s="195"/>
      <c r="HH41" s="195"/>
      <c r="HI41" s="195"/>
      <c r="HJ41" s="195"/>
      <c r="HK41" s="195"/>
      <c r="HL41" s="195"/>
      <c r="HM41" s="195"/>
      <c r="HN41" s="195"/>
      <c r="HO41" s="195"/>
      <c r="HP41" s="195"/>
      <c r="HQ41" s="195"/>
      <c r="HR41" s="195"/>
      <c r="HS41" s="195"/>
      <c r="HT41" s="195"/>
      <c r="HU41" s="195"/>
      <c r="HV41" s="195"/>
      <c r="HW41" s="195"/>
      <c r="HX41" s="195"/>
    </row>
    <row r="42" spans="1:232" s="207" customFormat="1" x14ac:dyDescent="0.35">
      <c r="A42" s="218"/>
      <c r="M42" s="220"/>
      <c r="HC42" s="208"/>
      <c r="HD42" s="208"/>
      <c r="HE42" s="208"/>
      <c r="HF42" s="208"/>
      <c r="HG42" s="195"/>
      <c r="HH42" s="195"/>
      <c r="HI42" s="195"/>
      <c r="HJ42" s="195"/>
      <c r="HK42" s="195"/>
      <c r="HL42" s="195"/>
      <c r="HM42" s="195"/>
      <c r="HN42" s="195"/>
      <c r="HO42" s="195"/>
      <c r="HP42" s="195"/>
      <c r="HQ42" s="195"/>
      <c r="HR42" s="195"/>
      <c r="HS42" s="195"/>
      <c r="HT42" s="195"/>
      <c r="HU42" s="195"/>
      <c r="HV42" s="195"/>
      <c r="HW42" s="195"/>
      <c r="HX42" s="195"/>
    </row>
    <row r="43" spans="1:232" s="207" customFormat="1" x14ac:dyDescent="0.35">
      <c r="A43" s="218"/>
      <c r="HC43" s="208"/>
      <c r="HD43" s="208"/>
      <c r="HE43" s="208"/>
      <c r="HF43" s="208"/>
      <c r="HG43" s="195"/>
      <c r="HH43" s="195"/>
      <c r="HI43" s="195"/>
      <c r="HJ43" s="195"/>
      <c r="HK43" s="195"/>
      <c r="HL43" s="195"/>
      <c r="HM43" s="195"/>
      <c r="HN43" s="195"/>
      <c r="HO43" s="195"/>
      <c r="HP43" s="195"/>
      <c r="HQ43" s="195"/>
      <c r="HR43" s="195"/>
      <c r="HS43" s="195"/>
      <c r="HT43" s="195"/>
      <c r="HU43" s="195"/>
      <c r="HV43" s="195"/>
      <c r="HW43" s="195"/>
      <c r="HX43" s="195"/>
    </row>
    <row r="44" spans="1:232" s="207" customFormat="1" x14ac:dyDescent="0.35">
      <c r="A44" s="218"/>
      <c r="HC44" s="208"/>
      <c r="HD44" s="208"/>
      <c r="HE44" s="208"/>
      <c r="HF44" s="208"/>
      <c r="HG44" s="195"/>
      <c r="HH44" s="195"/>
      <c r="HI44" s="195"/>
      <c r="HJ44" s="195"/>
      <c r="HK44" s="195"/>
      <c r="HL44" s="195"/>
      <c r="HM44" s="195"/>
      <c r="HN44" s="195"/>
      <c r="HO44" s="195"/>
      <c r="HP44" s="195"/>
      <c r="HQ44" s="195"/>
      <c r="HR44" s="195"/>
      <c r="HS44" s="195"/>
      <c r="HT44" s="195"/>
      <c r="HU44" s="195"/>
      <c r="HV44" s="195"/>
      <c r="HW44" s="195"/>
      <c r="HX44" s="195"/>
    </row>
    <row r="45" spans="1:232" s="207" customFormat="1" x14ac:dyDescent="0.35">
      <c r="A45" s="218"/>
      <c r="HC45" s="208"/>
      <c r="HD45" s="208"/>
      <c r="HE45" s="208"/>
      <c r="HF45" s="208"/>
      <c r="HG45" s="195"/>
      <c r="HH45" s="195"/>
      <c r="HI45" s="195"/>
      <c r="HJ45" s="195"/>
      <c r="HK45" s="195"/>
      <c r="HL45" s="195"/>
      <c r="HM45" s="195"/>
      <c r="HN45" s="195"/>
      <c r="HO45" s="195"/>
      <c r="HP45" s="195"/>
      <c r="HQ45" s="195"/>
      <c r="HR45" s="195"/>
      <c r="HS45" s="195"/>
      <c r="HT45" s="195"/>
      <c r="HU45" s="195"/>
      <c r="HV45" s="195"/>
      <c r="HW45" s="195"/>
      <c r="HX45" s="195"/>
    </row>
    <row r="46" spans="1:232" s="207" customFormat="1" x14ac:dyDescent="0.35">
      <c r="A46" s="218"/>
      <c r="HC46" s="208"/>
      <c r="HD46" s="208"/>
      <c r="HE46" s="208"/>
      <c r="HF46" s="208"/>
      <c r="HG46" s="195"/>
      <c r="HH46" s="195"/>
      <c r="HI46" s="195"/>
      <c r="HJ46" s="195"/>
      <c r="HK46" s="195"/>
      <c r="HL46" s="195"/>
      <c r="HM46" s="195"/>
      <c r="HN46" s="195"/>
      <c r="HO46" s="195"/>
      <c r="HP46" s="195"/>
      <c r="HQ46" s="195"/>
      <c r="HR46" s="195"/>
      <c r="HS46" s="195"/>
      <c r="HT46" s="195"/>
      <c r="HU46" s="195"/>
      <c r="HV46" s="195"/>
      <c r="HW46" s="195"/>
      <c r="HX46" s="195"/>
    </row>
    <row r="47" spans="1:232" s="207" customFormat="1" x14ac:dyDescent="0.35">
      <c r="A47" s="218"/>
      <c r="HC47" s="208"/>
      <c r="HD47" s="208"/>
      <c r="HE47" s="208"/>
      <c r="HF47" s="208"/>
      <c r="HG47" s="195"/>
      <c r="HH47" s="195"/>
      <c r="HI47" s="195"/>
      <c r="HJ47" s="195"/>
      <c r="HK47" s="195"/>
      <c r="HL47" s="195"/>
      <c r="HM47" s="195"/>
      <c r="HN47" s="195"/>
      <c r="HO47" s="195"/>
      <c r="HP47" s="195"/>
      <c r="HQ47" s="195"/>
      <c r="HR47" s="195"/>
      <c r="HS47" s="195"/>
      <c r="HT47" s="195"/>
      <c r="HU47" s="195"/>
      <c r="HV47" s="195"/>
      <c r="HW47" s="195"/>
      <c r="HX47" s="195"/>
    </row>
    <row r="48" spans="1:232" s="207" customFormat="1" x14ac:dyDescent="0.35">
      <c r="A48" s="218"/>
      <c r="HC48" s="208"/>
      <c r="HD48" s="208"/>
      <c r="HE48" s="208"/>
      <c r="HF48" s="208"/>
      <c r="HG48" s="195"/>
      <c r="HH48" s="195"/>
      <c r="HI48" s="195"/>
      <c r="HJ48" s="195"/>
      <c r="HK48" s="195"/>
      <c r="HL48" s="195"/>
      <c r="HM48" s="195"/>
      <c r="HN48" s="195"/>
      <c r="HO48" s="195"/>
      <c r="HP48" s="195"/>
      <c r="HQ48" s="195"/>
      <c r="HR48" s="195"/>
      <c r="HS48" s="195"/>
      <c r="HT48" s="195"/>
      <c r="HU48" s="195"/>
      <c r="HV48" s="195"/>
      <c r="HW48" s="195"/>
      <c r="HX48" s="195"/>
    </row>
    <row r="49" spans="1:232" s="207" customFormat="1" x14ac:dyDescent="0.35">
      <c r="A49" s="218"/>
      <c r="HC49" s="208"/>
      <c r="HD49" s="208"/>
      <c r="HE49" s="208"/>
      <c r="HF49" s="208"/>
      <c r="HG49" s="195"/>
      <c r="HH49" s="195"/>
      <c r="HI49" s="195"/>
      <c r="HJ49" s="195"/>
      <c r="HK49" s="195"/>
      <c r="HL49" s="195"/>
      <c r="HM49" s="195"/>
      <c r="HN49" s="195"/>
      <c r="HO49" s="195"/>
      <c r="HP49" s="195"/>
      <c r="HQ49" s="195"/>
      <c r="HR49" s="195"/>
      <c r="HS49" s="195"/>
      <c r="HT49" s="195"/>
      <c r="HU49" s="195"/>
      <c r="HV49" s="195"/>
      <c r="HW49" s="195"/>
      <c r="HX49" s="195"/>
    </row>
    <row r="50" spans="1:232" s="207" customFormat="1" x14ac:dyDescent="0.35">
      <c r="A50" s="218"/>
      <c r="HC50" s="208"/>
      <c r="HD50" s="208"/>
      <c r="HE50" s="208"/>
      <c r="HF50" s="208"/>
      <c r="HG50" s="195"/>
      <c r="HH50" s="195"/>
      <c r="HI50" s="195"/>
      <c r="HJ50" s="195"/>
      <c r="HK50" s="195"/>
      <c r="HL50" s="195"/>
      <c r="HM50" s="195"/>
      <c r="HN50" s="195"/>
      <c r="HO50" s="195"/>
      <c r="HP50" s="195"/>
      <c r="HQ50" s="195"/>
      <c r="HR50" s="195"/>
      <c r="HS50" s="195"/>
      <c r="HT50" s="195"/>
      <c r="HU50" s="195"/>
      <c r="HV50" s="195"/>
      <c r="HW50" s="195"/>
      <c r="HX50" s="195"/>
    </row>
    <row r="51" spans="1:232" s="207" customFormat="1" x14ac:dyDescent="0.35">
      <c r="A51" s="218"/>
      <c r="HC51" s="208"/>
      <c r="HD51" s="208"/>
      <c r="HE51" s="208"/>
      <c r="HF51" s="208"/>
      <c r="HG51" s="195"/>
      <c r="HH51" s="195"/>
      <c r="HI51" s="195"/>
      <c r="HJ51" s="195"/>
      <c r="HK51" s="195"/>
      <c r="HL51" s="195"/>
      <c r="HM51" s="195"/>
      <c r="HN51" s="195"/>
      <c r="HO51" s="195"/>
      <c r="HP51" s="195"/>
      <c r="HQ51" s="195"/>
      <c r="HR51" s="195"/>
      <c r="HS51" s="195"/>
      <c r="HT51" s="195"/>
      <c r="HU51" s="195"/>
      <c r="HV51" s="195"/>
      <c r="HW51" s="195"/>
      <c r="HX51" s="195"/>
    </row>
    <row r="52" spans="1:232" s="207" customFormat="1" x14ac:dyDescent="0.35">
      <c r="A52" s="218"/>
      <c r="HC52" s="208"/>
      <c r="HD52" s="208"/>
      <c r="HE52" s="208"/>
      <c r="HF52" s="208"/>
      <c r="HG52" s="195"/>
      <c r="HH52" s="195"/>
      <c r="HI52" s="195"/>
      <c r="HJ52" s="195"/>
      <c r="HK52" s="195"/>
      <c r="HL52" s="195"/>
      <c r="HM52" s="195"/>
      <c r="HN52" s="195"/>
      <c r="HO52" s="195"/>
      <c r="HP52" s="195"/>
      <c r="HQ52" s="195"/>
      <c r="HR52" s="195"/>
      <c r="HS52" s="195"/>
      <c r="HT52" s="195"/>
      <c r="HU52" s="195"/>
      <c r="HV52" s="195"/>
      <c r="HW52" s="195"/>
      <c r="HX52" s="195"/>
    </row>
    <row r="53" spans="1:232" s="207" customFormat="1" x14ac:dyDescent="0.35">
      <c r="A53" s="218"/>
      <c r="HC53" s="208"/>
      <c r="HD53" s="208"/>
      <c r="HE53" s="208"/>
      <c r="HF53" s="208"/>
      <c r="HG53" s="195"/>
      <c r="HH53" s="195"/>
      <c r="HI53" s="195"/>
      <c r="HJ53" s="195"/>
      <c r="HK53" s="195"/>
      <c r="HL53" s="195"/>
      <c r="HM53" s="195"/>
      <c r="HN53" s="195"/>
      <c r="HO53" s="195"/>
      <c r="HP53" s="195"/>
      <c r="HQ53" s="195"/>
      <c r="HR53" s="195"/>
      <c r="HS53" s="195"/>
      <c r="HT53" s="195"/>
      <c r="HU53" s="195"/>
      <c r="HV53" s="195"/>
      <c r="HW53" s="195"/>
      <c r="HX53" s="195"/>
    </row>
    <row r="54" spans="1:232" s="207" customFormat="1" x14ac:dyDescent="0.35">
      <c r="A54" s="218"/>
      <c r="HC54" s="208"/>
      <c r="HD54" s="208"/>
      <c r="HE54" s="208"/>
      <c r="HF54" s="208"/>
      <c r="HG54" s="195"/>
      <c r="HH54" s="195"/>
      <c r="HI54" s="195"/>
      <c r="HJ54" s="195"/>
      <c r="HK54" s="195"/>
      <c r="HL54" s="195"/>
      <c r="HM54" s="195"/>
      <c r="HN54" s="195"/>
      <c r="HO54" s="195"/>
      <c r="HP54" s="195"/>
      <c r="HQ54" s="195"/>
      <c r="HR54" s="195"/>
      <c r="HS54" s="195"/>
      <c r="HT54" s="195"/>
      <c r="HU54" s="195"/>
      <c r="HV54" s="195"/>
      <c r="HW54" s="195"/>
      <c r="HX54" s="195"/>
    </row>
    <row r="55" spans="1:232" s="207" customFormat="1" x14ac:dyDescent="0.35">
      <c r="A55" s="218"/>
      <c r="HC55" s="208"/>
      <c r="HD55" s="208"/>
      <c r="HE55" s="208"/>
      <c r="HF55" s="208"/>
      <c r="HG55" s="195"/>
      <c r="HH55" s="195"/>
      <c r="HI55" s="195"/>
      <c r="HJ55" s="195"/>
      <c r="HK55" s="195"/>
      <c r="HL55" s="195"/>
      <c r="HM55" s="195"/>
      <c r="HN55" s="195"/>
      <c r="HO55" s="195"/>
      <c r="HP55" s="195"/>
      <c r="HQ55" s="195"/>
      <c r="HR55" s="195"/>
      <c r="HS55" s="195"/>
      <c r="HT55" s="195"/>
      <c r="HU55" s="195"/>
      <c r="HV55" s="195"/>
      <c r="HW55" s="195"/>
      <c r="HX55" s="195"/>
    </row>
    <row r="56" spans="1:232" s="207" customFormat="1" x14ac:dyDescent="0.35">
      <c r="A56" s="218"/>
      <c r="HC56" s="208"/>
      <c r="HD56" s="208"/>
      <c r="HE56" s="208"/>
      <c r="HF56" s="208"/>
      <c r="HG56" s="195"/>
      <c r="HH56" s="195"/>
      <c r="HI56" s="195"/>
      <c r="HJ56" s="195"/>
      <c r="HK56" s="195"/>
      <c r="HL56" s="195"/>
      <c r="HM56" s="195"/>
      <c r="HN56" s="195"/>
      <c r="HO56" s="195"/>
      <c r="HP56" s="195"/>
      <c r="HQ56" s="195"/>
      <c r="HR56" s="195"/>
      <c r="HS56" s="195"/>
      <c r="HT56" s="195"/>
      <c r="HU56" s="195"/>
      <c r="HV56" s="195"/>
      <c r="HW56" s="195"/>
      <c r="HX56" s="195"/>
    </row>
    <row r="57" spans="1:232" s="207" customFormat="1" x14ac:dyDescent="0.35">
      <c r="A57" s="218"/>
      <c r="HC57" s="208"/>
      <c r="HD57" s="208"/>
      <c r="HE57" s="208"/>
      <c r="HF57" s="208"/>
      <c r="HG57" s="195"/>
      <c r="HH57" s="195"/>
      <c r="HI57" s="195"/>
      <c r="HJ57" s="195"/>
      <c r="HK57" s="195"/>
      <c r="HL57" s="195"/>
      <c r="HM57" s="195"/>
      <c r="HN57" s="195"/>
      <c r="HO57" s="195"/>
      <c r="HP57" s="195"/>
      <c r="HQ57" s="195"/>
      <c r="HR57" s="195"/>
      <c r="HS57" s="195"/>
      <c r="HT57" s="195"/>
      <c r="HU57" s="195"/>
      <c r="HV57" s="195"/>
      <c r="HW57" s="195"/>
      <c r="HX57" s="195"/>
    </row>
    <row r="58" spans="1:232" s="207" customFormat="1" x14ac:dyDescent="0.35">
      <c r="A58" s="218"/>
      <c r="HC58" s="208"/>
      <c r="HD58" s="208"/>
      <c r="HE58" s="208"/>
      <c r="HF58" s="208"/>
      <c r="HG58" s="195"/>
      <c r="HH58" s="195"/>
      <c r="HI58" s="195"/>
      <c r="HJ58" s="195"/>
      <c r="HK58" s="195"/>
      <c r="HL58" s="195"/>
      <c r="HM58" s="195"/>
      <c r="HN58" s="195"/>
      <c r="HO58" s="195"/>
      <c r="HP58" s="195"/>
      <c r="HQ58" s="195"/>
      <c r="HR58" s="195"/>
      <c r="HS58" s="195"/>
      <c r="HT58" s="195"/>
      <c r="HU58" s="195"/>
      <c r="HV58" s="195"/>
      <c r="HW58" s="195"/>
      <c r="HX58" s="195"/>
    </row>
    <row r="59" spans="1:232" s="207" customFormat="1" x14ac:dyDescent="0.35">
      <c r="A59" s="218"/>
      <c r="HC59" s="208"/>
      <c r="HD59" s="208"/>
      <c r="HE59" s="208"/>
      <c r="HF59" s="208"/>
      <c r="HG59" s="195"/>
      <c r="HH59" s="195"/>
      <c r="HI59" s="195"/>
      <c r="HJ59" s="195"/>
      <c r="HK59" s="195"/>
      <c r="HL59" s="195"/>
      <c r="HM59" s="195"/>
      <c r="HN59" s="195"/>
      <c r="HO59" s="195"/>
      <c r="HP59" s="195"/>
      <c r="HQ59" s="195"/>
      <c r="HR59" s="195"/>
      <c r="HS59" s="195"/>
      <c r="HT59" s="195"/>
      <c r="HU59" s="195"/>
      <c r="HV59" s="195"/>
      <c r="HW59" s="195"/>
      <c r="HX59" s="195"/>
    </row>
    <row r="60" spans="1:232" s="207" customFormat="1" x14ac:dyDescent="0.35">
      <c r="A60" s="218"/>
      <c r="HC60" s="208"/>
      <c r="HD60" s="208"/>
      <c r="HE60" s="208"/>
      <c r="HF60" s="208"/>
      <c r="HG60" s="195"/>
      <c r="HH60" s="195"/>
      <c r="HI60" s="195"/>
      <c r="HJ60" s="195"/>
      <c r="HK60" s="195"/>
      <c r="HL60" s="195"/>
      <c r="HM60" s="195"/>
      <c r="HN60" s="195"/>
      <c r="HO60" s="195"/>
      <c r="HP60" s="195"/>
      <c r="HQ60" s="195"/>
      <c r="HR60" s="195"/>
      <c r="HS60" s="195"/>
      <c r="HT60" s="195"/>
      <c r="HU60" s="195"/>
      <c r="HV60" s="195"/>
      <c r="HW60" s="195"/>
      <c r="HX60" s="195"/>
    </row>
    <row r="61" spans="1:232" s="207" customFormat="1" x14ac:dyDescent="0.35">
      <c r="A61" s="218"/>
      <c r="HC61" s="208"/>
      <c r="HD61" s="208"/>
      <c r="HE61" s="208"/>
      <c r="HF61" s="208"/>
      <c r="HG61" s="195"/>
      <c r="HH61" s="195"/>
      <c r="HI61" s="195"/>
      <c r="HJ61" s="195"/>
      <c r="HK61" s="195"/>
      <c r="HL61" s="195"/>
      <c r="HM61" s="195"/>
      <c r="HN61" s="195"/>
      <c r="HO61" s="195"/>
      <c r="HP61" s="195"/>
      <c r="HQ61" s="195"/>
      <c r="HR61" s="195"/>
      <c r="HS61" s="195"/>
      <c r="HT61" s="195"/>
      <c r="HU61" s="195"/>
      <c r="HV61" s="195"/>
      <c r="HW61" s="195"/>
      <c r="HX61" s="195"/>
    </row>
    <row r="62" spans="1:232" s="207" customFormat="1" x14ac:dyDescent="0.35">
      <c r="A62" s="218"/>
      <c r="HC62" s="208"/>
      <c r="HD62" s="208"/>
      <c r="HE62" s="208"/>
      <c r="HF62" s="208"/>
      <c r="HG62" s="195"/>
      <c r="HH62" s="195"/>
      <c r="HI62" s="195"/>
      <c r="HJ62" s="195"/>
      <c r="HK62" s="195"/>
      <c r="HL62" s="195"/>
      <c r="HM62" s="195"/>
      <c r="HN62" s="195"/>
      <c r="HO62" s="195"/>
      <c r="HP62" s="195"/>
      <c r="HQ62" s="195"/>
      <c r="HR62" s="195"/>
      <c r="HS62" s="195"/>
      <c r="HT62" s="195"/>
      <c r="HU62" s="195"/>
      <c r="HV62" s="195"/>
      <c r="HW62" s="195"/>
      <c r="HX62" s="195"/>
    </row>
    <row r="63" spans="1:232" s="207" customFormat="1" x14ac:dyDescent="0.35">
      <c r="A63" s="218"/>
      <c r="HC63" s="208"/>
      <c r="HD63" s="208"/>
      <c r="HE63" s="208"/>
      <c r="HF63" s="208"/>
      <c r="HG63" s="195"/>
      <c r="HH63" s="195"/>
      <c r="HI63" s="195"/>
      <c r="HJ63" s="195"/>
      <c r="HK63" s="195"/>
      <c r="HL63" s="195"/>
      <c r="HM63" s="195"/>
      <c r="HN63" s="195"/>
      <c r="HO63" s="195"/>
      <c r="HP63" s="195"/>
      <c r="HQ63" s="195"/>
      <c r="HR63" s="195"/>
      <c r="HS63" s="195"/>
      <c r="HT63" s="195"/>
      <c r="HU63" s="195"/>
      <c r="HV63" s="195"/>
      <c r="HW63" s="195"/>
      <c r="HX63" s="195"/>
    </row>
    <row r="64" spans="1:232" s="207" customFormat="1" x14ac:dyDescent="0.35">
      <c r="A64" s="218"/>
      <c r="HC64" s="208"/>
      <c r="HD64" s="208"/>
      <c r="HE64" s="208"/>
      <c r="HF64" s="208"/>
      <c r="HG64" s="195"/>
      <c r="HH64" s="195"/>
      <c r="HI64" s="195"/>
      <c r="HJ64" s="195"/>
      <c r="HK64" s="195"/>
      <c r="HL64" s="195"/>
      <c r="HM64" s="195"/>
      <c r="HN64" s="195"/>
      <c r="HO64" s="195"/>
      <c r="HP64" s="195"/>
      <c r="HQ64" s="195"/>
      <c r="HR64" s="195"/>
      <c r="HS64" s="195"/>
      <c r="HT64" s="195"/>
      <c r="HU64" s="195"/>
      <c r="HV64" s="195"/>
      <c r="HW64" s="195"/>
      <c r="HX64" s="195"/>
    </row>
    <row r="65" spans="1:232" s="207" customFormat="1" x14ac:dyDescent="0.35">
      <c r="A65" s="218"/>
      <c r="HC65" s="208"/>
      <c r="HD65" s="208"/>
      <c r="HE65" s="208"/>
      <c r="HF65" s="208"/>
      <c r="HG65" s="195"/>
      <c r="HH65" s="195"/>
      <c r="HI65" s="195"/>
      <c r="HJ65" s="195"/>
      <c r="HK65" s="195"/>
      <c r="HL65" s="195"/>
      <c r="HM65" s="195"/>
      <c r="HN65" s="195"/>
      <c r="HO65" s="195"/>
      <c r="HP65" s="195"/>
      <c r="HQ65" s="195"/>
      <c r="HR65" s="195"/>
      <c r="HS65" s="195"/>
      <c r="HT65" s="195"/>
      <c r="HU65" s="195"/>
      <c r="HV65" s="195"/>
      <c r="HW65" s="195"/>
      <c r="HX65" s="195"/>
    </row>
    <row r="66" spans="1:232" s="207" customFormat="1" x14ac:dyDescent="0.35">
      <c r="A66" s="218"/>
      <c r="HC66" s="208"/>
      <c r="HD66" s="208"/>
      <c r="HE66" s="208"/>
      <c r="HF66" s="208"/>
      <c r="HG66" s="195"/>
      <c r="HH66" s="195"/>
      <c r="HI66" s="195"/>
      <c r="HJ66" s="195"/>
      <c r="HK66" s="195"/>
      <c r="HL66" s="195"/>
      <c r="HM66" s="195"/>
      <c r="HN66" s="195"/>
      <c r="HO66" s="195"/>
      <c r="HP66" s="195"/>
      <c r="HQ66" s="195"/>
      <c r="HR66" s="195"/>
      <c r="HS66" s="195"/>
      <c r="HT66" s="195"/>
      <c r="HU66" s="195"/>
      <c r="HV66" s="195"/>
      <c r="HW66" s="195"/>
      <c r="HX66" s="195"/>
    </row>
    <row r="67" spans="1:232" s="207" customFormat="1" x14ac:dyDescent="0.35">
      <c r="A67" s="218"/>
      <c r="HC67" s="208"/>
      <c r="HD67" s="208"/>
      <c r="HE67" s="208"/>
      <c r="HF67" s="208"/>
      <c r="HG67" s="195"/>
      <c r="HH67" s="195"/>
      <c r="HI67" s="195"/>
      <c r="HJ67" s="195"/>
      <c r="HK67" s="195"/>
      <c r="HL67" s="195"/>
      <c r="HM67" s="195"/>
      <c r="HN67" s="195"/>
      <c r="HO67" s="195"/>
      <c r="HP67" s="195"/>
      <c r="HQ67" s="195"/>
      <c r="HR67" s="195"/>
      <c r="HS67" s="195"/>
      <c r="HT67" s="195"/>
      <c r="HU67" s="195"/>
      <c r="HV67" s="195"/>
      <c r="HW67" s="195"/>
      <c r="HX67" s="195"/>
    </row>
    <row r="68" spans="1:232" s="207" customFormat="1" x14ac:dyDescent="0.35">
      <c r="A68" s="218"/>
      <c r="HC68" s="208"/>
      <c r="HD68" s="208"/>
      <c r="HE68" s="208"/>
      <c r="HF68" s="208"/>
      <c r="HG68" s="195"/>
      <c r="HH68" s="195"/>
      <c r="HI68" s="195"/>
      <c r="HJ68" s="195"/>
      <c r="HK68" s="195"/>
      <c r="HL68" s="195"/>
      <c r="HM68" s="195"/>
      <c r="HN68" s="195"/>
      <c r="HO68" s="195"/>
      <c r="HP68" s="195"/>
      <c r="HQ68" s="195"/>
      <c r="HR68" s="195"/>
      <c r="HS68" s="195"/>
      <c r="HT68" s="195"/>
      <c r="HU68" s="195"/>
      <c r="HV68" s="195"/>
      <c r="HW68" s="195"/>
      <c r="HX68" s="195"/>
    </row>
    <row r="69" spans="1:232" s="207" customFormat="1" x14ac:dyDescent="0.35">
      <c r="A69" s="218"/>
      <c r="HC69" s="208"/>
      <c r="HD69" s="208"/>
      <c r="HE69" s="208"/>
      <c r="HF69" s="208"/>
      <c r="HG69" s="195"/>
      <c r="HH69" s="195"/>
      <c r="HI69" s="195"/>
      <c r="HJ69" s="195"/>
      <c r="HK69" s="195"/>
      <c r="HL69" s="195"/>
      <c r="HM69" s="195"/>
      <c r="HN69" s="195"/>
      <c r="HO69" s="195"/>
      <c r="HP69" s="195"/>
      <c r="HQ69" s="195"/>
      <c r="HR69" s="195"/>
      <c r="HS69" s="195"/>
      <c r="HT69" s="195"/>
      <c r="HU69" s="195"/>
      <c r="HV69" s="195"/>
      <c r="HW69" s="195"/>
      <c r="HX69" s="195"/>
    </row>
    <row r="70" spans="1:232" s="207" customFormat="1" x14ac:dyDescent="0.35">
      <c r="A70" s="218"/>
      <c r="HC70" s="208"/>
      <c r="HD70" s="208"/>
      <c r="HE70" s="208"/>
      <c r="HF70" s="208"/>
      <c r="HG70" s="195"/>
      <c r="HH70" s="195"/>
      <c r="HI70" s="195"/>
      <c r="HJ70" s="195"/>
      <c r="HK70" s="195"/>
      <c r="HL70" s="195"/>
      <c r="HM70" s="195"/>
      <c r="HN70" s="195"/>
      <c r="HO70" s="195"/>
      <c r="HP70" s="195"/>
      <c r="HQ70" s="195"/>
      <c r="HR70" s="195"/>
      <c r="HS70" s="195"/>
      <c r="HT70" s="195"/>
      <c r="HU70" s="195"/>
      <c r="HV70" s="195"/>
      <c r="HW70" s="195"/>
      <c r="HX70" s="195"/>
    </row>
    <row r="71" spans="1:232" s="207" customFormat="1" x14ac:dyDescent="0.35">
      <c r="A71" s="218"/>
      <c r="HC71" s="208"/>
      <c r="HD71" s="208"/>
      <c r="HE71" s="208"/>
      <c r="HF71" s="208"/>
      <c r="HG71" s="195"/>
      <c r="HH71" s="195"/>
      <c r="HI71" s="195"/>
      <c r="HJ71" s="195"/>
      <c r="HK71" s="195"/>
      <c r="HL71" s="195"/>
      <c r="HM71" s="195"/>
      <c r="HN71" s="195"/>
      <c r="HO71" s="195"/>
      <c r="HP71" s="195"/>
      <c r="HQ71" s="195"/>
      <c r="HR71" s="195"/>
      <c r="HS71" s="195"/>
      <c r="HT71" s="195"/>
      <c r="HU71" s="195"/>
      <c r="HV71" s="195"/>
      <c r="HW71" s="195"/>
      <c r="HX71" s="195"/>
    </row>
    <row r="72" spans="1:232" s="207" customFormat="1" x14ac:dyDescent="0.35">
      <c r="A72" s="218"/>
      <c r="HC72" s="208"/>
      <c r="HD72" s="208"/>
      <c r="HE72" s="208"/>
      <c r="HF72" s="208"/>
      <c r="HG72" s="195"/>
      <c r="HH72" s="195"/>
      <c r="HI72" s="195"/>
      <c r="HJ72" s="195"/>
      <c r="HK72" s="195"/>
      <c r="HL72" s="195"/>
      <c r="HM72" s="195"/>
      <c r="HN72" s="195"/>
      <c r="HO72" s="195"/>
      <c r="HP72" s="195"/>
      <c r="HQ72" s="195"/>
      <c r="HR72" s="195"/>
      <c r="HS72" s="195"/>
      <c r="HT72" s="195"/>
      <c r="HU72" s="195"/>
      <c r="HV72" s="195"/>
      <c r="HW72" s="195"/>
      <c r="HX72" s="195"/>
    </row>
    <row r="73" spans="1:232" s="207" customFormat="1" x14ac:dyDescent="0.35">
      <c r="A73" s="218"/>
      <c r="HC73" s="208"/>
      <c r="HD73" s="208"/>
      <c r="HE73" s="208"/>
      <c r="HF73" s="208"/>
      <c r="HG73" s="195"/>
      <c r="HH73" s="195"/>
      <c r="HI73" s="195"/>
      <c r="HJ73" s="195"/>
      <c r="HK73" s="195"/>
      <c r="HL73" s="195"/>
      <c r="HM73" s="195"/>
      <c r="HN73" s="195"/>
      <c r="HO73" s="195"/>
      <c r="HP73" s="195"/>
      <c r="HQ73" s="195"/>
      <c r="HR73" s="195"/>
      <c r="HS73" s="195"/>
      <c r="HT73" s="195"/>
      <c r="HU73" s="195"/>
      <c r="HV73" s="195"/>
      <c r="HW73" s="195"/>
      <c r="HX73" s="195"/>
    </row>
    <row r="74" spans="1:232" s="207" customFormat="1" x14ac:dyDescent="0.35">
      <c r="A74" s="218"/>
      <c r="HC74" s="208"/>
      <c r="HD74" s="208"/>
      <c r="HE74" s="208"/>
      <c r="HF74" s="208"/>
      <c r="HG74" s="195"/>
      <c r="HH74" s="195"/>
      <c r="HI74" s="195"/>
      <c r="HJ74" s="195"/>
      <c r="HK74" s="195"/>
      <c r="HL74" s="195"/>
      <c r="HM74" s="195"/>
      <c r="HN74" s="195"/>
      <c r="HO74" s="195"/>
      <c r="HP74" s="195"/>
      <c r="HQ74" s="195"/>
      <c r="HR74" s="195"/>
      <c r="HS74" s="195"/>
      <c r="HT74" s="195"/>
      <c r="HU74" s="195"/>
      <c r="HV74" s="195"/>
      <c r="HW74" s="195"/>
      <c r="HX74" s="195"/>
    </row>
    <row r="75" spans="1:232" s="207" customFormat="1" x14ac:dyDescent="0.35">
      <c r="A75" s="218"/>
      <c r="HC75" s="208"/>
      <c r="HD75" s="208"/>
      <c r="HE75" s="208"/>
      <c r="HF75" s="208"/>
      <c r="HG75" s="195"/>
      <c r="HH75" s="195"/>
      <c r="HI75" s="195"/>
      <c r="HJ75" s="195"/>
      <c r="HK75" s="195"/>
      <c r="HL75" s="195"/>
      <c r="HM75" s="195"/>
      <c r="HN75" s="195"/>
      <c r="HO75" s="195"/>
      <c r="HP75" s="195"/>
      <c r="HQ75" s="195"/>
      <c r="HR75" s="195"/>
      <c r="HS75" s="195"/>
      <c r="HT75" s="195"/>
      <c r="HU75" s="195"/>
      <c r="HV75" s="195"/>
      <c r="HW75" s="195"/>
      <c r="HX75" s="195"/>
    </row>
    <row r="76" spans="1:232" s="207" customFormat="1" x14ac:dyDescent="0.35">
      <c r="A76" s="218"/>
      <c r="HC76" s="208"/>
      <c r="HD76" s="208"/>
      <c r="HE76" s="208"/>
      <c r="HF76" s="208"/>
      <c r="HG76" s="195"/>
      <c r="HH76" s="195"/>
      <c r="HI76" s="195"/>
      <c r="HJ76" s="195"/>
      <c r="HK76" s="195"/>
      <c r="HL76" s="195"/>
      <c r="HM76" s="195"/>
      <c r="HN76" s="195"/>
      <c r="HO76" s="195"/>
      <c r="HP76" s="195"/>
      <c r="HQ76" s="195"/>
      <c r="HR76" s="195"/>
      <c r="HS76" s="195"/>
      <c r="HT76" s="195"/>
      <c r="HU76" s="195"/>
      <c r="HV76" s="195"/>
      <c r="HW76" s="195"/>
      <c r="HX76" s="195"/>
    </row>
    <row r="77" spans="1:232" s="207" customFormat="1" x14ac:dyDescent="0.35">
      <c r="A77" s="218"/>
      <c r="HC77" s="208"/>
      <c r="HD77" s="208"/>
      <c r="HE77" s="208"/>
      <c r="HF77" s="208"/>
      <c r="HG77" s="195"/>
      <c r="HH77" s="195"/>
      <c r="HI77" s="195"/>
      <c r="HJ77" s="195"/>
      <c r="HK77" s="195"/>
      <c r="HL77" s="195"/>
      <c r="HM77" s="195"/>
      <c r="HN77" s="195"/>
      <c r="HO77" s="195"/>
      <c r="HP77" s="195"/>
      <c r="HQ77" s="195"/>
      <c r="HR77" s="195"/>
      <c r="HS77" s="195"/>
      <c r="HT77" s="195"/>
      <c r="HU77" s="195"/>
      <c r="HV77" s="195"/>
      <c r="HW77" s="195"/>
      <c r="HX77" s="195"/>
    </row>
    <row r="78" spans="1:232" s="207" customFormat="1" x14ac:dyDescent="0.35">
      <c r="A78" s="218"/>
      <c r="HC78" s="208"/>
      <c r="HD78" s="208"/>
      <c r="HE78" s="208"/>
      <c r="HF78" s="208"/>
      <c r="HG78" s="195"/>
      <c r="HH78" s="195"/>
      <c r="HI78" s="195"/>
      <c r="HJ78" s="195"/>
      <c r="HK78" s="195"/>
      <c r="HL78" s="195"/>
      <c r="HM78" s="195"/>
      <c r="HN78" s="195"/>
      <c r="HO78" s="195"/>
      <c r="HP78" s="195"/>
      <c r="HQ78" s="195"/>
      <c r="HR78" s="195"/>
      <c r="HS78" s="195"/>
      <c r="HT78" s="195"/>
      <c r="HU78" s="195"/>
      <c r="HV78" s="195"/>
      <c r="HW78" s="195"/>
      <c r="HX78" s="195"/>
    </row>
    <row r="79" spans="1:232" s="207" customFormat="1" x14ac:dyDescent="0.35">
      <c r="A79" s="218"/>
      <c r="HC79" s="208"/>
      <c r="HD79" s="208"/>
      <c r="HE79" s="208"/>
      <c r="HF79" s="208"/>
      <c r="HG79" s="195"/>
      <c r="HH79" s="195"/>
      <c r="HI79" s="195"/>
      <c r="HJ79" s="195"/>
      <c r="HK79" s="195"/>
      <c r="HL79" s="195"/>
      <c r="HM79" s="195"/>
      <c r="HN79" s="195"/>
      <c r="HO79" s="195"/>
      <c r="HP79" s="195"/>
      <c r="HQ79" s="195"/>
      <c r="HR79" s="195"/>
      <c r="HS79" s="195"/>
      <c r="HT79" s="195"/>
      <c r="HU79" s="195"/>
      <c r="HV79" s="195"/>
      <c r="HW79" s="195"/>
      <c r="HX79" s="195"/>
    </row>
    <row r="80" spans="1:232" s="207" customFormat="1" x14ac:dyDescent="0.35">
      <c r="A80" s="218"/>
      <c r="HC80" s="208"/>
      <c r="HD80" s="208"/>
      <c r="HE80" s="208"/>
      <c r="HF80" s="208"/>
      <c r="HG80" s="195"/>
      <c r="HH80" s="195"/>
      <c r="HI80" s="195"/>
      <c r="HJ80" s="195"/>
      <c r="HK80" s="195"/>
      <c r="HL80" s="195"/>
      <c r="HM80" s="195"/>
      <c r="HN80" s="195"/>
      <c r="HO80" s="195"/>
      <c r="HP80" s="195"/>
      <c r="HQ80" s="195"/>
      <c r="HR80" s="195"/>
      <c r="HS80" s="195"/>
      <c r="HT80" s="195"/>
      <c r="HU80" s="195"/>
      <c r="HV80" s="195"/>
      <c r="HW80" s="195"/>
      <c r="HX80" s="195"/>
    </row>
    <row r="81" spans="1:232" s="207" customFormat="1" x14ac:dyDescent="0.35">
      <c r="A81" s="218"/>
      <c r="HC81" s="208"/>
      <c r="HD81" s="208"/>
      <c r="HE81" s="208"/>
      <c r="HF81" s="208"/>
      <c r="HG81" s="195"/>
      <c r="HH81" s="195"/>
      <c r="HI81" s="195"/>
      <c r="HJ81" s="195"/>
      <c r="HK81" s="195"/>
      <c r="HL81" s="195"/>
      <c r="HM81" s="195"/>
      <c r="HN81" s="195"/>
      <c r="HO81" s="195"/>
      <c r="HP81" s="195"/>
      <c r="HQ81" s="195"/>
      <c r="HR81" s="195"/>
      <c r="HS81" s="195"/>
      <c r="HT81" s="195"/>
      <c r="HU81" s="195"/>
      <c r="HV81" s="195"/>
      <c r="HW81" s="195"/>
      <c r="HX81" s="195"/>
    </row>
    <row r="82" spans="1:232" s="207" customFormat="1" x14ac:dyDescent="0.35">
      <c r="A82" s="218"/>
      <c r="HC82" s="208"/>
      <c r="HD82" s="208"/>
      <c r="HE82" s="208"/>
      <c r="HF82" s="208"/>
      <c r="HG82" s="195"/>
      <c r="HH82" s="195"/>
      <c r="HI82" s="195"/>
      <c r="HJ82" s="195"/>
      <c r="HK82" s="195"/>
      <c r="HL82" s="195"/>
      <c r="HM82" s="195"/>
      <c r="HN82" s="195"/>
      <c r="HO82" s="195"/>
      <c r="HP82" s="195"/>
      <c r="HQ82" s="195"/>
      <c r="HR82" s="195"/>
      <c r="HS82" s="195"/>
      <c r="HT82" s="195"/>
      <c r="HU82" s="195"/>
      <c r="HV82" s="195"/>
      <c r="HW82" s="195"/>
      <c r="HX82" s="195"/>
    </row>
    <row r="83" spans="1:232" s="207" customFormat="1" x14ac:dyDescent="0.35">
      <c r="A83" s="218"/>
      <c r="HC83" s="208"/>
      <c r="HD83" s="208"/>
      <c r="HE83" s="208"/>
      <c r="HF83" s="208"/>
      <c r="HG83" s="195"/>
      <c r="HH83" s="195"/>
      <c r="HI83" s="195"/>
      <c r="HJ83" s="195"/>
      <c r="HK83" s="195"/>
      <c r="HL83" s="195"/>
      <c r="HM83" s="195"/>
      <c r="HN83" s="195"/>
      <c r="HO83" s="195"/>
      <c r="HP83" s="195"/>
      <c r="HQ83" s="195"/>
      <c r="HR83" s="195"/>
      <c r="HS83" s="195"/>
      <c r="HT83" s="195"/>
      <c r="HU83" s="195"/>
      <c r="HV83" s="195"/>
      <c r="HW83" s="195"/>
      <c r="HX83" s="195"/>
    </row>
    <row r="84" spans="1:232" s="207" customFormat="1" x14ac:dyDescent="0.35">
      <c r="A84" s="218"/>
      <c r="HC84" s="208"/>
      <c r="HD84" s="208"/>
      <c r="HE84" s="208"/>
      <c r="HF84" s="208"/>
      <c r="HG84" s="195"/>
      <c r="HH84" s="195"/>
      <c r="HI84" s="195"/>
      <c r="HJ84" s="195"/>
      <c r="HK84" s="195"/>
      <c r="HL84" s="195"/>
      <c r="HM84" s="195"/>
      <c r="HN84" s="195"/>
      <c r="HO84" s="195"/>
      <c r="HP84" s="195"/>
      <c r="HQ84" s="195"/>
      <c r="HR84" s="195"/>
      <c r="HS84" s="195"/>
      <c r="HT84" s="195"/>
      <c r="HU84" s="195"/>
      <c r="HV84" s="195"/>
      <c r="HW84" s="195"/>
      <c r="HX84" s="195"/>
    </row>
    <row r="85" spans="1:232" s="207" customFormat="1" x14ac:dyDescent="0.35">
      <c r="A85" s="218"/>
      <c r="HC85" s="208"/>
      <c r="HD85" s="208"/>
      <c r="HE85" s="208"/>
      <c r="HF85" s="208"/>
      <c r="HG85" s="195"/>
      <c r="HH85" s="195"/>
      <c r="HI85" s="195"/>
      <c r="HJ85" s="195"/>
      <c r="HK85" s="195"/>
      <c r="HL85" s="195"/>
      <c r="HM85" s="195"/>
      <c r="HN85" s="195"/>
      <c r="HO85" s="195"/>
      <c r="HP85" s="195"/>
      <c r="HQ85" s="195"/>
      <c r="HR85" s="195"/>
      <c r="HS85" s="195"/>
      <c r="HT85" s="195"/>
      <c r="HU85" s="195"/>
      <c r="HV85" s="195"/>
      <c r="HW85" s="195"/>
      <c r="HX85" s="195"/>
    </row>
    <row r="86" spans="1:232" s="207" customFormat="1" x14ac:dyDescent="0.35">
      <c r="A86" s="218"/>
      <c r="HC86" s="208"/>
      <c r="HD86" s="208"/>
      <c r="HE86" s="208"/>
      <c r="HF86" s="208"/>
      <c r="HG86" s="195"/>
      <c r="HH86" s="195"/>
      <c r="HI86" s="195"/>
      <c r="HJ86" s="195"/>
      <c r="HK86" s="195"/>
      <c r="HL86" s="195"/>
      <c r="HM86" s="195"/>
      <c r="HN86" s="195"/>
      <c r="HO86" s="195"/>
      <c r="HP86" s="195"/>
      <c r="HQ86" s="195"/>
      <c r="HR86" s="195"/>
      <c r="HS86" s="195"/>
      <c r="HT86" s="195"/>
      <c r="HU86" s="195"/>
      <c r="HV86" s="195"/>
      <c r="HW86" s="195"/>
      <c r="HX86" s="195"/>
    </row>
    <row r="87" spans="1:232" s="207" customFormat="1" x14ac:dyDescent="0.35">
      <c r="A87" s="218"/>
      <c r="HC87" s="208"/>
      <c r="HD87" s="208"/>
      <c r="HE87" s="208"/>
      <c r="HF87" s="208"/>
      <c r="HG87" s="195"/>
      <c r="HH87" s="195"/>
      <c r="HI87" s="195"/>
      <c r="HJ87" s="195"/>
      <c r="HK87" s="195"/>
      <c r="HL87" s="195"/>
      <c r="HM87" s="195"/>
      <c r="HN87" s="195"/>
      <c r="HO87" s="195"/>
      <c r="HP87" s="195"/>
      <c r="HQ87" s="195"/>
      <c r="HR87" s="195"/>
      <c r="HS87" s="195"/>
      <c r="HT87" s="195"/>
      <c r="HU87" s="195"/>
      <c r="HV87" s="195"/>
      <c r="HW87" s="195"/>
      <c r="HX87" s="195"/>
    </row>
    <row r="88" spans="1:232" s="207" customFormat="1" x14ac:dyDescent="0.35">
      <c r="A88" s="218"/>
      <c r="HC88" s="208"/>
      <c r="HD88" s="208"/>
      <c r="HE88" s="208"/>
      <c r="HF88" s="208"/>
      <c r="HG88" s="195"/>
      <c r="HH88" s="195"/>
      <c r="HI88" s="195"/>
      <c r="HJ88" s="195"/>
      <c r="HK88" s="195"/>
      <c r="HL88" s="195"/>
      <c r="HM88" s="195"/>
      <c r="HN88" s="195"/>
      <c r="HO88" s="195"/>
      <c r="HP88" s="195"/>
      <c r="HQ88" s="195"/>
      <c r="HR88" s="195"/>
      <c r="HS88" s="195"/>
      <c r="HT88" s="195"/>
      <c r="HU88" s="195"/>
      <c r="HV88" s="195"/>
      <c r="HW88" s="195"/>
      <c r="HX88" s="195"/>
    </row>
    <row r="89" spans="1:232" s="207" customFormat="1" x14ac:dyDescent="0.35">
      <c r="A89" s="218"/>
      <c r="HC89" s="208"/>
      <c r="HD89" s="208"/>
      <c r="HE89" s="208"/>
      <c r="HF89" s="208"/>
      <c r="HG89" s="195"/>
      <c r="HH89" s="195"/>
      <c r="HI89" s="195"/>
      <c r="HJ89" s="195"/>
      <c r="HK89" s="195"/>
      <c r="HL89" s="195"/>
      <c r="HM89" s="195"/>
      <c r="HN89" s="195"/>
      <c r="HO89" s="195"/>
      <c r="HP89" s="195"/>
      <c r="HQ89" s="195"/>
      <c r="HR89" s="195"/>
      <c r="HS89" s="195"/>
      <c r="HT89" s="195"/>
      <c r="HU89" s="195"/>
      <c r="HV89" s="195"/>
      <c r="HW89" s="195"/>
      <c r="HX89" s="195"/>
    </row>
    <row r="90" spans="1:232" s="207" customFormat="1" x14ac:dyDescent="0.35">
      <c r="A90" s="218"/>
      <c r="HC90" s="208"/>
      <c r="HD90" s="208"/>
      <c r="HE90" s="208"/>
      <c r="HF90" s="208"/>
      <c r="HG90" s="195"/>
      <c r="HH90" s="195"/>
      <c r="HI90" s="195"/>
      <c r="HJ90" s="195"/>
      <c r="HK90" s="195"/>
      <c r="HL90" s="195"/>
      <c r="HM90" s="195"/>
      <c r="HN90" s="195"/>
      <c r="HO90" s="195"/>
      <c r="HP90" s="195"/>
      <c r="HQ90" s="195"/>
      <c r="HR90" s="195"/>
      <c r="HS90" s="195"/>
      <c r="HT90" s="195"/>
      <c r="HU90" s="195"/>
      <c r="HV90" s="195"/>
      <c r="HW90" s="195"/>
      <c r="HX90" s="195"/>
    </row>
    <row r="91" spans="1:232" s="207" customFormat="1" x14ac:dyDescent="0.35">
      <c r="A91" s="218"/>
      <c r="HC91" s="208"/>
      <c r="HD91" s="208"/>
      <c r="HE91" s="208"/>
      <c r="HF91" s="208"/>
      <c r="HG91" s="195"/>
      <c r="HH91" s="195"/>
      <c r="HI91" s="195"/>
      <c r="HJ91" s="195"/>
      <c r="HK91" s="195"/>
      <c r="HL91" s="195"/>
      <c r="HM91" s="195"/>
      <c r="HN91" s="195"/>
      <c r="HO91" s="195"/>
      <c r="HP91" s="195"/>
      <c r="HQ91" s="195"/>
      <c r="HR91" s="195"/>
      <c r="HS91" s="195"/>
      <c r="HT91" s="195"/>
      <c r="HU91" s="195"/>
      <c r="HV91" s="195"/>
      <c r="HW91" s="195"/>
      <c r="HX91" s="195"/>
    </row>
    <row r="92" spans="1:232" s="207" customFormat="1" x14ac:dyDescent="0.35">
      <c r="A92" s="218"/>
      <c r="HC92" s="208"/>
      <c r="HD92" s="208"/>
      <c r="HE92" s="208"/>
      <c r="HF92" s="208"/>
      <c r="HG92" s="195"/>
      <c r="HH92" s="195"/>
      <c r="HI92" s="195"/>
      <c r="HJ92" s="195"/>
      <c r="HK92" s="195"/>
      <c r="HL92" s="195"/>
      <c r="HM92" s="195"/>
      <c r="HN92" s="195"/>
      <c r="HO92" s="195"/>
      <c r="HP92" s="195"/>
      <c r="HQ92" s="195"/>
      <c r="HR92" s="195"/>
      <c r="HS92" s="195"/>
      <c r="HT92" s="195"/>
      <c r="HU92" s="195"/>
      <c r="HV92" s="195"/>
      <c r="HW92" s="195"/>
      <c r="HX92" s="195"/>
    </row>
    <row r="93" spans="1:232" s="207" customFormat="1" x14ac:dyDescent="0.35">
      <c r="A93" s="218"/>
      <c r="HC93" s="208"/>
      <c r="HD93" s="208"/>
      <c r="HE93" s="208"/>
      <c r="HF93" s="208"/>
      <c r="HG93" s="195"/>
      <c r="HH93" s="195"/>
      <c r="HI93" s="195"/>
      <c r="HJ93" s="195"/>
      <c r="HK93" s="195"/>
      <c r="HL93" s="195"/>
      <c r="HM93" s="195"/>
      <c r="HN93" s="195"/>
      <c r="HO93" s="195"/>
      <c r="HP93" s="195"/>
      <c r="HQ93" s="195"/>
      <c r="HR93" s="195"/>
      <c r="HS93" s="195"/>
      <c r="HT93" s="195"/>
      <c r="HU93" s="195"/>
      <c r="HV93" s="195"/>
      <c r="HW93" s="195"/>
      <c r="HX93" s="195"/>
    </row>
    <row r="94" spans="1:232" s="207" customFormat="1" x14ac:dyDescent="0.35">
      <c r="A94" s="218"/>
      <c r="HC94" s="208"/>
      <c r="HD94" s="208"/>
      <c r="HE94" s="208"/>
      <c r="HF94" s="208"/>
      <c r="HG94" s="195"/>
      <c r="HH94" s="195"/>
      <c r="HI94" s="195"/>
      <c r="HJ94" s="195"/>
      <c r="HK94" s="195"/>
      <c r="HL94" s="195"/>
      <c r="HM94" s="195"/>
      <c r="HN94" s="195"/>
      <c r="HO94" s="195"/>
      <c r="HP94" s="195"/>
      <c r="HQ94" s="195"/>
      <c r="HR94" s="195"/>
      <c r="HS94" s="195"/>
      <c r="HT94" s="195"/>
      <c r="HU94" s="195"/>
      <c r="HV94" s="195"/>
      <c r="HW94" s="195"/>
      <c r="HX94" s="195"/>
    </row>
    <row r="95" spans="1:232" s="207" customFormat="1" x14ac:dyDescent="0.35">
      <c r="A95" s="218"/>
      <c r="HC95" s="208"/>
      <c r="HD95" s="208"/>
      <c r="HE95" s="208"/>
      <c r="HF95" s="208"/>
      <c r="HG95" s="195"/>
      <c r="HH95" s="195"/>
      <c r="HI95" s="195"/>
      <c r="HJ95" s="195"/>
      <c r="HK95" s="195"/>
      <c r="HL95" s="195"/>
      <c r="HM95" s="195"/>
      <c r="HN95" s="195"/>
      <c r="HO95" s="195"/>
      <c r="HP95" s="195"/>
      <c r="HQ95" s="195"/>
      <c r="HR95" s="195"/>
      <c r="HS95" s="195"/>
      <c r="HT95" s="195"/>
      <c r="HU95" s="195"/>
      <c r="HV95" s="195"/>
      <c r="HW95" s="195"/>
      <c r="HX95" s="195"/>
    </row>
    <row r="96" spans="1:232" s="207" customFormat="1" x14ac:dyDescent="0.35">
      <c r="A96" s="218"/>
      <c r="HC96" s="208"/>
      <c r="HD96" s="208"/>
      <c r="HE96" s="208"/>
      <c r="HF96" s="208"/>
      <c r="HG96" s="195"/>
      <c r="HH96" s="195"/>
      <c r="HI96" s="195"/>
      <c r="HJ96" s="195"/>
      <c r="HK96" s="195"/>
      <c r="HL96" s="195"/>
      <c r="HM96" s="195"/>
      <c r="HN96" s="195"/>
      <c r="HO96" s="195"/>
      <c r="HP96" s="195"/>
      <c r="HQ96" s="195"/>
      <c r="HR96" s="195"/>
      <c r="HS96" s="195"/>
      <c r="HT96" s="195"/>
      <c r="HU96" s="195"/>
      <c r="HV96" s="195"/>
      <c r="HW96" s="195"/>
      <c r="HX96" s="195"/>
    </row>
    <row r="97" spans="1:232" s="207" customFormat="1" x14ac:dyDescent="0.35">
      <c r="A97" s="218"/>
      <c r="HC97" s="208"/>
      <c r="HD97" s="208"/>
      <c r="HE97" s="208"/>
      <c r="HF97" s="208"/>
      <c r="HG97" s="195"/>
      <c r="HH97" s="195"/>
      <c r="HI97" s="195"/>
      <c r="HJ97" s="195"/>
      <c r="HK97" s="195"/>
      <c r="HL97" s="195"/>
      <c r="HM97" s="195"/>
      <c r="HN97" s="195"/>
      <c r="HO97" s="195"/>
      <c r="HP97" s="195"/>
      <c r="HQ97" s="195"/>
      <c r="HR97" s="195"/>
      <c r="HS97" s="195"/>
      <c r="HT97" s="195"/>
      <c r="HU97" s="195"/>
      <c r="HV97" s="195"/>
      <c r="HW97" s="195"/>
      <c r="HX97" s="195"/>
    </row>
    <row r="98" spans="1:232" s="207" customFormat="1" x14ac:dyDescent="0.35">
      <c r="A98" s="218"/>
      <c r="HC98" s="208"/>
      <c r="HD98" s="208"/>
      <c r="HE98" s="208"/>
      <c r="HF98" s="208"/>
      <c r="HG98" s="195"/>
      <c r="HH98" s="195"/>
      <c r="HI98" s="195"/>
      <c r="HJ98" s="195"/>
      <c r="HK98" s="195"/>
      <c r="HL98" s="195"/>
      <c r="HM98" s="195"/>
      <c r="HN98" s="195"/>
      <c r="HO98" s="195"/>
      <c r="HP98" s="195"/>
      <c r="HQ98" s="195"/>
      <c r="HR98" s="195"/>
      <c r="HS98" s="195"/>
      <c r="HT98" s="195"/>
      <c r="HU98" s="195"/>
      <c r="HV98" s="195"/>
      <c r="HW98" s="195"/>
      <c r="HX98" s="195"/>
    </row>
    <row r="99" spans="1:232" s="207" customFormat="1" x14ac:dyDescent="0.35">
      <c r="A99" s="218"/>
      <c r="HC99" s="208"/>
      <c r="HD99" s="208"/>
      <c r="HE99" s="208"/>
      <c r="HF99" s="208"/>
      <c r="HG99" s="195"/>
      <c r="HH99" s="195"/>
      <c r="HI99" s="195"/>
      <c r="HJ99" s="195"/>
      <c r="HK99" s="195"/>
      <c r="HL99" s="195"/>
      <c r="HM99" s="195"/>
      <c r="HN99" s="195"/>
      <c r="HO99" s="195"/>
      <c r="HP99" s="195"/>
      <c r="HQ99" s="195"/>
      <c r="HR99" s="195"/>
      <c r="HS99" s="195"/>
      <c r="HT99" s="195"/>
      <c r="HU99" s="195"/>
      <c r="HV99" s="195"/>
      <c r="HW99" s="195"/>
      <c r="HX99" s="195"/>
    </row>
    <row r="100" spans="1:232" s="207" customFormat="1" x14ac:dyDescent="0.35">
      <c r="A100" s="218"/>
      <c r="HC100" s="208"/>
      <c r="HD100" s="208"/>
      <c r="HE100" s="208"/>
      <c r="HF100" s="208"/>
      <c r="HG100" s="195"/>
      <c r="HH100" s="195"/>
      <c r="HI100" s="195"/>
      <c r="HJ100" s="195"/>
      <c r="HK100" s="195"/>
      <c r="HL100" s="195"/>
      <c r="HM100" s="195"/>
      <c r="HN100" s="195"/>
      <c r="HO100" s="195"/>
      <c r="HP100" s="195"/>
      <c r="HQ100" s="195"/>
      <c r="HR100" s="195"/>
      <c r="HS100" s="195"/>
      <c r="HT100" s="195"/>
      <c r="HU100" s="195"/>
      <c r="HV100" s="195"/>
      <c r="HW100" s="195"/>
      <c r="HX100" s="195"/>
    </row>
    <row r="101" spans="1:232" s="207" customFormat="1" x14ac:dyDescent="0.35">
      <c r="A101" s="218"/>
      <c r="HC101" s="208"/>
      <c r="HD101" s="208"/>
      <c r="HE101" s="208"/>
      <c r="HF101" s="208"/>
      <c r="HG101" s="195"/>
      <c r="HH101" s="195"/>
      <c r="HI101" s="195"/>
      <c r="HJ101" s="195"/>
      <c r="HK101" s="195"/>
      <c r="HL101" s="195"/>
      <c r="HM101" s="195"/>
      <c r="HN101" s="195"/>
      <c r="HO101" s="195"/>
      <c r="HP101" s="195"/>
      <c r="HQ101" s="195"/>
      <c r="HR101" s="195"/>
      <c r="HS101" s="195"/>
      <c r="HT101" s="195"/>
      <c r="HU101" s="195"/>
      <c r="HV101" s="195"/>
      <c r="HW101" s="195"/>
      <c r="HX101" s="195"/>
    </row>
    <row r="102" spans="1:232" s="207" customFormat="1" x14ac:dyDescent="0.35">
      <c r="A102" s="218"/>
      <c r="HC102" s="208"/>
      <c r="HD102" s="208"/>
      <c r="HE102" s="208"/>
      <c r="HF102" s="208"/>
      <c r="HG102" s="195"/>
      <c r="HH102" s="195"/>
      <c r="HI102" s="195"/>
      <c r="HJ102" s="195"/>
      <c r="HK102" s="195"/>
      <c r="HL102" s="195"/>
      <c r="HM102" s="195"/>
      <c r="HN102" s="195"/>
      <c r="HO102" s="195"/>
      <c r="HP102" s="195"/>
      <c r="HQ102" s="195"/>
      <c r="HR102" s="195"/>
      <c r="HS102" s="195"/>
      <c r="HT102" s="195"/>
      <c r="HU102" s="195"/>
      <c r="HV102" s="195"/>
      <c r="HW102" s="195"/>
      <c r="HX102" s="195"/>
    </row>
    <row r="103" spans="1:232" s="207" customFormat="1" x14ac:dyDescent="0.35">
      <c r="A103" s="218"/>
      <c r="HC103" s="208"/>
      <c r="HD103" s="208"/>
      <c r="HE103" s="208"/>
      <c r="HF103" s="208"/>
      <c r="HG103" s="195"/>
      <c r="HH103" s="195"/>
      <c r="HI103" s="195"/>
      <c r="HJ103" s="195"/>
      <c r="HK103" s="195"/>
      <c r="HL103" s="195"/>
      <c r="HM103" s="195"/>
      <c r="HN103" s="195"/>
      <c r="HO103" s="195"/>
      <c r="HP103" s="195"/>
      <c r="HQ103" s="195"/>
      <c r="HR103" s="195"/>
      <c r="HS103" s="195"/>
      <c r="HT103" s="195"/>
      <c r="HU103" s="195"/>
      <c r="HV103" s="195"/>
      <c r="HW103" s="195"/>
      <c r="HX103" s="195"/>
    </row>
    <row r="104" spans="1:232" s="207" customFormat="1" x14ac:dyDescent="0.35">
      <c r="A104" s="218"/>
      <c r="HC104" s="208"/>
      <c r="HD104" s="208"/>
      <c r="HE104" s="208"/>
      <c r="HF104" s="208"/>
      <c r="HG104" s="195"/>
      <c r="HH104" s="195"/>
      <c r="HI104" s="195"/>
      <c r="HJ104" s="195"/>
      <c r="HK104" s="195"/>
      <c r="HL104" s="195"/>
      <c r="HM104" s="195"/>
      <c r="HN104" s="195"/>
      <c r="HO104" s="195"/>
      <c r="HP104" s="195"/>
      <c r="HQ104" s="195"/>
      <c r="HR104" s="195"/>
      <c r="HS104" s="195"/>
      <c r="HT104" s="195"/>
      <c r="HU104" s="195"/>
      <c r="HV104" s="195"/>
      <c r="HW104" s="195"/>
      <c r="HX104" s="195"/>
    </row>
    <row r="105" spans="1:232" s="207" customFormat="1" x14ac:dyDescent="0.35">
      <c r="A105" s="218"/>
      <c r="HC105" s="208"/>
      <c r="HD105" s="208"/>
      <c r="HE105" s="208"/>
      <c r="HF105" s="208"/>
      <c r="HG105" s="195"/>
      <c r="HH105" s="195"/>
      <c r="HI105" s="195"/>
      <c r="HJ105" s="195"/>
      <c r="HK105" s="195"/>
      <c r="HL105" s="195"/>
      <c r="HM105" s="195"/>
      <c r="HN105" s="195"/>
      <c r="HO105" s="195"/>
      <c r="HP105" s="195"/>
      <c r="HQ105" s="195"/>
      <c r="HR105" s="195"/>
      <c r="HS105" s="195"/>
      <c r="HT105" s="195"/>
      <c r="HU105" s="195"/>
      <c r="HV105" s="195"/>
      <c r="HW105" s="195"/>
      <c r="HX105" s="195"/>
    </row>
    <row r="106" spans="1:232" s="207" customFormat="1" x14ac:dyDescent="0.35">
      <c r="A106" s="218"/>
      <c r="HC106" s="208"/>
      <c r="HD106" s="208"/>
      <c r="HE106" s="208"/>
      <c r="HF106" s="208"/>
      <c r="HG106" s="195"/>
      <c r="HH106" s="195"/>
      <c r="HI106" s="195"/>
      <c r="HJ106" s="195"/>
      <c r="HK106" s="195"/>
      <c r="HL106" s="195"/>
      <c r="HM106" s="195"/>
      <c r="HN106" s="195"/>
      <c r="HO106" s="195"/>
      <c r="HP106" s="195"/>
      <c r="HQ106" s="195"/>
      <c r="HR106" s="195"/>
      <c r="HS106" s="195"/>
      <c r="HT106" s="195"/>
      <c r="HU106" s="195"/>
      <c r="HV106" s="195"/>
      <c r="HW106" s="195"/>
      <c r="HX106" s="195"/>
    </row>
    <row r="107" spans="1:232" s="207" customFormat="1" x14ac:dyDescent="0.35">
      <c r="A107" s="218"/>
      <c r="HC107" s="208"/>
      <c r="HD107" s="208"/>
      <c r="HE107" s="208"/>
      <c r="HF107" s="208"/>
      <c r="HG107" s="195"/>
      <c r="HH107" s="195"/>
      <c r="HI107" s="195"/>
      <c r="HJ107" s="195"/>
      <c r="HK107" s="195"/>
      <c r="HL107" s="195"/>
      <c r="HM107" s="195"/>
      <c r="HN107" s="195"/>
      <c r="HO107" s="195"/>
      <c r="HP107" s="195"/>
      <c r="HQ107" s="195"/>
      <c r="HR107" s="195"/>
      <c r="HS107" s="195"/>
      <c r="HT107" s="195"/>
      <c r="HU107" s="195"/>
      <c r="HV107" s="195"/>
      <c r="HW107" s="195"/>
      <c r="HX107" s="195"/>
    </row>
    <row r="108" spans="1:232" s="207" customFormat="1" x14ac:dyDescent="0.35">
      <c r="A108" s="218"/>
      <c r="HC108" s="208"/>
      <c r="HD108" s="208"/>
      <c r="HE108" s="208"/>
      <c r="HF108" s="208"/>
      <c r="HG108" s="195"/>
      <c r="HH108" s="195"/>
      <c r="HI108" s="195"/>
      <c r="HJ108" s="195"/>
      <c r="HK108" s="195"/>
      <c r="HL108" s="195"/>
      <c r="HM108" s="195"/>
      <c r="HN108" s="195"/>
      <c r="HO108" s="195"/>
      <c r="HP108" s="195"/>
      <c r="HQ108" s="195"/>
      <c r="HR108" s="195"/>
      <c r="HS108" s="195"/>
      <c r="HT108" s="195"/>
      <c r="HU108" s="195"/>
      <c r="HV108" s="195"/>
      <c r="HW108" s="195"/>
      <c r="HX108" s="195"/>
    </row>
    <row r="109" spans="1:232" s="207" customFormat="1" x14ac:dyDescent="0.35">
      <c r="A109" s="218"/>
      <c r="HC109" s="208"/>
      <c r="HD109" s="208"/>
      <c r="HE109" s="208"/>
      <c r="HF109" s="208"/>
      <c r="HG109" s="195"/>
      <c r="HH109" s="195"/>
      <c r="HI109" s="195"/>
      <c r="HJ109" s="195"/>
      <c r="HK109" s="195"/>
      <c r="HL109" s="195"/>
      <c r="HM109" s="195"/>
      <c r="HN109" s="195"/>
      <c r="HO109" s="195"/>
      <c r="HP109" s="195"/>
      <c r="HQ109" s="195"/>
      <c r="HR109" s="195"/>
      <c r="HS109" s="195"/>
      <c r="HT109" s="195"/>
      <c r="HU109" s="195"/>
      <c r="HV109" s="195"/>
      <c r="HW109" s="195"/>
      <c r="HX109" s="195"/>
    </row>
    <row r="110" spans="1:232" s="207" customFormat="1" x14ac:dyDescent="0.35">
      <c r="A110" s="218"/>
      <c r="HC110" s="208"/>
      <c r="HD110" s="208"/>
      <c r="HE110" s="208"/>
      <c r="HF110" s="208"/>
      <c r="HG110" s="195"/>
      <c r="HH110" s="195"/>
      <c r="HI110" s="195"/>
      <c r="HJ110" s="195"/>
      <c r="HK110" s="195"/>
      <c r="HL110" s="195"/>
      <c r="HM110" s="195"/>
      <c r="HN110" s="195"/>
      <c r="HO110" s="195"/>
      <c r="HP110" s="195"/>
      <c r="HQ110" s="195"/>
      <c r="HR110" s="195"/>
      <c r="HS110" s="195"/>
      <c r="HT110" s="195"/>
      <c r="HU110" s="195"/>
      <c r="HV110" s="195"/>
      <c r="HW110" s="195"/>
      <c r="HX110" s="195"/>
    </row>
    <row r="111" spans="1:232" s="207" customFormat="1" x14ac:dyDescent="0.35">
      <c r="A111" s="218"/>
      <c r="HC111" s="208"/>
      <c r="HD111" s="208"/>
      <c r="HE111" s="208"/>
      <c r="HF111" s="208"/>
      <c r="HG111" s="195"/>
      <c r="HH111" s="195"/>
      <c r="HI111" s="195"/>
      <c r="HJ111" s="195"/>
      <c r="HK111" s="195"/>
      <c r="HL111" s="195"/>
      <c r="HM111" s="195"/>
      <c r="HN111" s="195"/>
      <c r="HO111" s="195"/>
      <c r="HP111" s="195"/>
      <c r="HQ111" s="195"/>
      <c r="HR111" s="195"/>
      <c r="HS111" s="195"/>
      <c r="HT111" s="195"/>
      <c r="HU111" s="195"/>
      <c r="HV111" s="195"/>
      <c r="HW111" s="195"/>
      <c r="HX111" s="195"/>
    </row>
    <row r="112" spans="1:232" s="207" customFormat="1" x14ac:dyDescent="0.35">
      <c r="A112" s="218"/>
      <c r="HC112" s="208"/>
      <c r="HD112" s="208"/>
      <c r="HE112" s="208"/>
      <c r="HF112" s="208"/>
      <c r="HG112" s="195"/>
      <c r="HH112" s="195"/>
      <c r="HI112" s="195"/>
      <c r="HJ112" s="195"/>
      <c r="HK112" s="195"/>
      <c r="HL112" s="195"/>
      <c r="HM112" s="195"/>
      <c r="HN112" s="195"/>
      <c r="HO112" s="195"/>
      <c r="HP112" s="195"/>
      <c r="HQ112" s="195"/>
      <c r="HR112" s="195"/>
      <c r="HS112" s="195"/>
      <c r="HT112" s="195"/>
      <c r="HU112" s="195"/>
      <c r="HV112" s="195"/>
      <c r="HW112" s="195"/>
      <c r="HX112" s="195"/>
    </row>
    <row r="113" spans="1:232" s="207" customFormat="1" x14ac:dyDescent="0.35">
      <c r="A113" s="218"/>
      <c r="HC113" s="208"/>
      <c r="HD113" s="208"/>
      <c r="HE113" s="208"/>
      <c r="HF113" s="208"/>
      <c r="HG113" s="195"/>
      <c r="HH113" s="195"/>
      <c r="HI113" s="195"/>
      <c r="HJ113" s="195"/>
      <c r="HK113" s="195"/>
      <c r="HL113" s="195"/>
      <c r="HM113" s="195"/>
      <c r="HN113" s="195"/>
      <c r="HO113" s="195"/>
      <c r="HP113" s="195"/>
      <c r="HQ113" s="195"/>
      <c r="HR113" s="195"/>
      <c r="HS113" s="195"/>
      <c r="HT113" s="195"/>
      <c r="HU113" s="195"/>
      <c r="HV113" s="195"/>
      <c r="HW113" s="195"/>
      <c r="HX113" s="195"/>
    </row>
    <row r="114" spans="1:232" s="207" customFormat="1" x14ac:dyDescent="0.35">
      <c r="A114" s="218"/>
      <c r="HC114" s="208"/>
      <c r="HD114" s="208"/>
      <c r="HE114" s="208"/>
      <c r="HF114" s="208"/>
      <c r="HG114" s="195"/>
      <c r="HH114" s="195"/>
      <c r="HI114" s="195"/>
      <c r="HJ114" s="195"/>
      <c r="HK114" s="195"/>
      <c r="HL114" s="195"/>
      <c r="HM114" s="195"/>
      <c r="HN114" s="195"/>
      <c r="HO114" s="195"/>
      <c r="HP114" s="195"/>
      <c r="HQ114" s="195"/>
      <c r="HR114" s="195"/>
      <c r="HS114" s="195"/>
      <c r="HT114" s="195"/>
      <c r="HU114" s="195"/>
      <c r="HV114" s="195"/>
      <c r="HW114" s="195"/>
      <c r="HX114" s="195"/>
    </row>
    <row r="115" spans="1:232" s="207" customFormat="1" x14ac:dyDescent="0.35">
      <c r="A115" s="218"/>
      <c r="HC115" s="208"/>
      <c r="HD115" s="208"/>
      <c r="HE115" s="208"/>
      <c r="HF115" s="208"/>
      <c r="HG115" s="195"/>
      <c r="HH115" s="195"/>
      <c r="HI115" s="195"/>
      <c r="HJ115" s="195"/>
      <c r="HK115" s="195"/>
      <c r="HL115" s="195"/>
      <c r="HM115" s="195"/>
      <c r="HN115" s="195"/>
      <c r="HO115" s="195"/>
      <c r="HP115" s="195"/>
      <c r="HQ115" s="195"/>
      <c r="HR115" s="195"/>
      <c r="HS115" s="195"/>
      <c r="HT115" s="195"/>
      <c r="HU115" s="195"/>
      <c r="HV115" s="195"/>
      <c r="HW115" s="195"/>
      <c r="HX115" s="195"/>
    </row>
    <row r="116" spans="1:232" s="207" customFormat="1" x14ac:dyDescent="0.35">
      <c r="A116" s="218"/>
      <c r="HC116" s="208"/>
      <c r="HD116" s="208"/>
      <c r="HE116" s="208"/>
      <c r="HF116" s="208"/>
      <c r="HG116" s="195"/>
      <c r="HH116" s="195"/>
      <c r="HI116" s="195"/>
      <c r="HJ116" s="195"/>
      <c r="HK116" s="195"/>
      <c r="HL116" s="195"/>
      <c r="HM116" s="195"/>
      <c r="HN116" s="195"/>
      <c r="HO116" s="195"/>
      <c r="HP116" s="195"/>
      <c r="HQ116" s="195"/>
      <c r="HR116" s="195"/>
      <c r="HS116" s="195"/>
      <c r="HT116" s="195"/>
      <c r="HU116" s="195"/>
      <c r="HV116" s="195"/>
      <c r="HW116" s="195"/>
      <c r="HX116" s="195"/>
    </row>
    <row r="117" spans="1:232" s="207" customFormat="1" x14ac:dyDescent="0.35">
      <c r="A117" s="218"/>
      <c r="HC117" s="208"/>
      <c r="HD117" s="208"/>
      <c r="HE117" s="208"/>
      <c r="HF117" s="208"/>
      <c r="HG117" s="195"/>
      <c r="HH117" s="195"/>
      <c r="HI117" s="195"/>
      <c r="HJ117" s="195"/>
      <c r="HK117" s="195"/>
      <c r="HL117" s="195"/>
      <c r="HM117" s="195"/>
      <c r="HN117" s="195"/>
      <c r="HO117" s="195"/>
      <c r="HP117" s="195"/>
      <c r="HQ117" s="195"/>
      <c r="HR117" s="195"/>
      <c r="HS117" s="195"/>
      <c r="HT117" s="195"/>
      <c r="HU117" s="195"/>
      <c r="HV117" s="195"/>
      <c r="HW117" s="195"/>
      <c r="HX117" s="195"/>
    </row>
    <row r="118" spans="1:232" s="207" customFormat="1" x14ac:dyDescent="0.35">
      <c r="A118" s="218"/>
      <c r="HC118" s="208"/>
      <c r="HD118" s="208"/>
      <c r="HE118" s="208"/>
      <c r="HF118" s="208"/>
      <c r="HG118" s="195"/>
      <c r="HH118" s="195"/>
      <c r="HI118" s="195"/>
      <c r="HJ118" s="195"/>
      <c r="HK118" s="195"/>
      <c r="HL118" s="195"/>
      <c r="HM118" s="195"/>
      <c r="HN118" s="195"/>
      <c r="HO118" s="195"/>
      <c r="HP118" s="195"/>
      <c r="HQ118" s="195"/>
      <c r="HR118" s="195"/>
      <c r="HS118" s="195"/>
      <c r="HT118" s="195"/>
      <c r="HU118" s="195"/>
      <c r="HV118" s="195"/>
      <c r="HW118" s="195"/>
      <c r="HX118" s="195"/>
    </row>
    <row r="119" spans="1:232" s="207" customFormat="1" x14ac:dyDescent="0.35">
      <c r="A119" s="218"/>
      <c r="HC119" s="208"/>
      <c r="HD119" s="208"/>
      <c r="HE119" s="208"/>
      <c r="HF119" s="208"/>
      <c r="HG119" s="195"/>
      <c r="HH119" s="195"/>
      <c r="HI119" s="195"/>
      <c r="HJ119" s="195"/>
      <c r="HK119" s="195"/>
      <c r="HL119" s="195"/>
      <c r="HM119" s="195"/>
      <c r="HN119" s="195"/>
      <c r="HO119" s="195"/>
      <c r="HP119" s="195"/>
      <c r="HQ119" s="195"/>
      <c r="HR119" s="195"/>
      <c r="HS119" s="195"/>
      <c r="HT119" s="195"/>
      <c r="HU119" s="195"/>
      <c r="HV119" s="195"/>
      <c r="HW119" s="195"/>
      <c r="HX119" s="195"/>
    </row>
    <row r="120" spans="1:232" s="207" customFormat="1" x14ac:dyDescent="0.35">
      <c r="A120" s="218"/>
      <c r="HC120" s="208"/>
      <c r="HD120" s="208"/>
      <c r="HE120" s="208"/>
      <c r="HF120" s="208"/>
      <c r="HG120" s="195"/>
      <c r="HH120" s="195"/>
      <c r="HI120" s="195"/>
      <c r="HJ120" s="195"/>
      <c r="HK120" s="195"/>
      <c r="HL120" s="195"/>
      <c r="HM120" s="195"/>
      <c r="HN120" s="195"/>
      <c r="HO120" s="195"/>
      <c r="HP120" s="195"/>
      <c r="HQ120" s="195"/>
      <c r="HR120" s="195"/>
      <c r="HS120" s="195"/>
      <c r="HT120" s="195"/>
      <c r="HU120" s="195"/>
      <c r="HV120" s="195"/>
      <c r="HW120" s="195"/>
      <c r="HX120" s="195"/>
    </row>
    <row r="121" spans="1:232" s="207" customFormat="1" x14ac:dyDescent="0.35">
      <c r="A121" s="218"/>
      <c r="HC121" s="208"/>
      <c r="HD121" s="208"/>
      <c r="HE121" s="208"/>
      <c r="HF121" s="208"/>
      <c r="HG121" s="195"/>
      <c r="HH121" s="195"/>
      <c r="HI121" s="195"/>
      <c r="HJ121" s="195"/>
      <c r="HK121" s="195"/>
      <c r="HL121" s="195"/>
      <c r="HM121" s="195"/>
      <c r="HN121" s="195"/>
      <c r="HO121" s="195"/>
      <c r="HP121" s="195"/>
      <c r="HQ121" s="195"/>
      <c r="HR121" s="195"/>
      <c r="HS121" s="195"/>
      <c r="HT121" s="195"/>
      <c r="HU121" s="195"/>
      <c r="HV121" s="195"/>
      <c r="HW121" s="195"/>
      <c r="HX121" s="195"/>
    </row>
    <row r="122" spans="1:232" s="207" customFormat="1" x14ac:dyDescent="0.35">
      <c r="A122" s="218"/>
      <c r="HC122" s="208"/>
      <c r="HD122" s="208"/>
      <c r="HE122" s="208"/>
      <c r="HF122" s="208"/>
      <c r="HG122" s="195"/>
      <c r="HH122" s="195"/>
      <c r="HI122" s="195"/>
      <c r="HJ122" s="195"/>
      <c r="HK122" s="195"/>
      <c r="HL122" s="195"/>
      <c r="HM122" s="195"/>
      <c r="HN122" s="195"/>
      <c r="HO122" s="195"/>
      <c r="HP122" s="195"/>
      <c r="HQ122" s="195"/>
      <c r="HR122" s="195"/>
      <c r="HS122" s="195"/>
      <c r="HT122" s="195"/>
      <c r="HU122" s="195"/>
      <c r="HV122" s="195"/>
      <c r="HW122" s="195"/>
      <c r="HX122" s="195"/>
    </row>
    <row r="123" spans="1:232" s="207" customFormat="1" x14ac:dyDescent="0.35">
      <c r="A123" s="218"/>
      <c r="HC123" s="208"/>
      <c r="HD123" s="208"/>
      <c r="HE123" s="208"/>
      <c r="HF123" s="208"/>
      <c r="HG123" s="195"/>
      <c r="HH123" s="195"/>
      <c r="HI123" s="195"/>
      <c r="HJ123" s="195"/>
      <c r="HK123" s="195"/>
      <c r="HL123" s="195"/>
      <c r="HM123" s="195"/>
      <c r="HN123" s="195"/>
      <c r="HO123" s="195"/>
      <c r="HP123" s="195"/>
      <c r="HQ123" s="195"/>
      <c r="HR123" s="195"/>
      <c r="HS123" s="195"/>
      <c r="HT123" s="195"/>
      <c r="HU123" s="195"/>
      <c r="HV123" s="195"/>
      <c r="HW123" s="195"/>
      <c r="HX123" s="195"/>
    </row>
    <row r="124" spans="1:232" s="207" customFormat="1" x14ac:dyDescent="0.35">
      <c r="A124" s="218"/>
      <c r="HC124" s="208"/>
      <c r="HD124" s="208"/>
      <c r="HE124" s="208"/>
      <c r="HF124" s="208"/>
      <c r="HG124" s="195"/>
      <c r="HH124" s="195"/>
      <c r="HI124" s="195"/>
      <c r="HJ124" s="195"/>
      <c r="HK124" s="195"/>
      <c r="HL124" s="195"/>
      <c r="HM124" s="195"/>
      <c r="HN124" s="195"/>
      <c r="HO124" s="195"/>
      <c r="HP124" s="195"/>
      <c r="HQ124" s="195"/>
      <c r="HR124" s="195"/>
      <c r="HS124" s="195"/>
      <c r="HT124" s="195"/>
      <c r="HU124" s="195"/>
      <c r="HV124" s="195"/>
      <c r="HW124" s="195"/>
      <c r="HX124" s="195"/>
    </row>
    <row r="125" spans="1:232" s="207" customFormat="1" x14ac:dyDescent="0.35">
      <c r="A125" s="218"/>
      <c r="HC125" s="208"/>
      <c r="HD125" s="208"/>
      <c r="HE125" s="208"/>
      <c r="HF125" s="208"/>
      <c r="HG125" s="195"/>
      <c r="HH125" s="195"/>
      <c r="HI125" s="195"/>
      <c r="HJ125" s="195"/>
      <c r="HK125" s="195"/>
      <c r="HL125" s="195"/>
      <c r="HM125" s="195"/>
      <c r="HN125" s="195"/>
      <c r="HO125" s="195"/>
      <c r="HP125" s="195"/>
      <c r="HQ125" s="195"/>
      <c r="HR125" s="195"/>
      <c r="HS125" s="195"/>
      <c r="HT125" s="195"/>
      <c r="HU125" s="195"/>
      <c r="HV125" s="195"/>
      <c r="HW125" s="195"/>
      <c r="HX125" s="195"/>
    </row>
    <row r="126" spans="1:232" s="207" customFormat="1" x14ac:dyDescent="0.35">
      <c r="A126" s="218"/>
      <c r="HC126" s="208"/>
      <c r="HD126" s="208"/>
      <c r="HE126" s="208"/>
      <c r="HF126" s="208"/>
      <c r="HG126" s="195"/>
      <c r="HH126" s="195"/>
      <c r="HI126" s="195"/>
      <c r="HJ126" s="195"/>
      <c r="HK126" s="195"/>
      <c r="HL126" s="195"/>
      <c r="HM126" s="195"/>
      <c r="HN126" s="195"/>
      <c r="HO126" s="195"/>
      <c r="HP126" s="195"/>
      <c r="HQ126" s="195"/>
      <c r="HR126" s="195"/>
      <c r="HS126" s="195"/>
      <c r="HT126" s="195"/>
      <c r="HU126" s="195"/>
      <c r="HV126" s="195"/>
      <c r="HW126" s="195"/>
      <c r="HX126" s="195"/>
    </row>
    <row r="127" spans="1:232" s="207" customFormat="1" x14ac:dyDescent="0.35">
      <c r="A127" s="218"/>
      <c r="HC127" s="208"/>
      <c r="HD127" s="208"/>
      <c r="HE127" s="208"/>
      <c r="HF127" s="208"/>
      <c r="HG127" s="195"/>
      <c r="HH127" s="195"/>
      <c r="HI127" s="195"/>
      <c r="HJ127" s="195"/>
      <c r="HK127" s="195"/>
      <c r="HL127" s="195"/>
      <c r="HM127" s="195"/>
      <c r="HN127" s="195"/>
      <c r="HO127" s="195"/>
      <c r="HP127" s="195"/>
      <c r="HQ127" s="195"/>
      <c r="HR127" s="195"/>
      <c r="HS127" s="195"/>
      <c r="HT127" s="195"/>
      <c r="HU127" s="195"/>
      <c r="HV127" s="195"/>
      <c r="HW127" s="195"/>
      <c r="HX127" s="195"/>
    </row>
    <row r="128" spans="1:232" s="207" customFormat="1" x14ac:dyDescent="0.35">
      <c r="A128" s="218"/>
      <c r="HC128" s="208"/>
      <c r="HD128" s="208"/>
      <c r="HE128" s="208"/>
      <c r="HF128" s="208"/>
      <c r="HG128" s="195"/>
      <c r="HH128" s="195"/>
      <c r="HI128" s="195"/>
      <c r="HJ128" s="195"/>
      <c r="HK128" s="195"/>
      <c r="HL128" s="195"/>
      <c r="HM128" s="195"/>
      <c r="HN128" s="195"/>
      <c r="HO128" s="195"/>
      <c r="HP128" s="195"/>
      <c r="HQ128" s="195"/>
      <c r="HR128" s="195"/>
      <c r="HS128" s="195"/>
      <c r="HT128" s="195"/>
      <c r="HU128" s="195"/>
      <c r="HV128" s="195"/>
      <c r="HW128" s="195"/>
      <c r="HX128" s="195"/>
    </row>
    <row r="129" spans="1:232" s="207" customFormat="1" x14ac:dyDescent="0.35">
      <c r="A129" s="218"/>
      <c r="HC129" s="208"/>
      <c r="HD129" s="208"/>
      <c r="HE129" s="208"/>
      <c r="HF129" s="208"/>
      <c r="HG129" s="195"/>
      <c r="HH129" s="195"/>
      <c r="HI129" s="195"/>
      <c r="HJ129" s="195"/>
      <c r="HK129" s="195"/>
      <c r="HL129" s="195"/>
      <c r="HM129" s="195"/>
      <c r="HN129" s="195"/>
      <c r="HO129" s="195"/>
      <c r="HP129" s="195"/>
      <c r="HQ129" s="195"/>
      <c r="HR129" s="195"/>
      <c r="HS129" s="195"/>
      <c r="HT129" s="195"/>
      <c r="HU129" s="195"/>
      <c r="HV129" s="195"/>
      <c r="HW129" s="195"/>
      <c r="HX129" s="195"/>
    </row>
    <row r="130" spans="1:232" s="207" customFormat="1" x14ac:dyDescent="0.35">
      <c r="A130" s="218"/>
      <c r="HC130" s="208"/>
      <c r="HD130" s="208"/>
      <c r="HE130" s="208"/>
      <c r="HF130" s="208"/>
      <c r="HG130" s="195"/>
      <c r="HH130" s="195"/>
      <c r="HI130" s="195"/>
      <c r="HJ130" s="195"/>
      <c r="HK130" s="195"/>
      <c r="HL130" s="195"/>
      <c r="HM130" s="195"/>
      <c r="HN130" s="195"/>
      <c r="HO130" s="195"/>
      <c r="HP130" s="195"/>
      <c r="HQ130" s="195"/>
      <c r="HR130" s="195"/>
      <c r="HS130" s="195"/>
      <c r="HT130" s="195"/>
      <c r="HU130" s="195"/>
      <c r="HV130" s="195"/>
      <c r="HW130" s="195"/>
      <c r="HX130" s="195"/>
    </row>
    <row r="131" spans="1:232" s="207" customFormat="1" x14ac:dyDescent="0.35">
      <c r="A131" s="218"/>
      <c r="HC131" s="208"/>
      <c r="HD131" s="208"/>
      <c r="HE131" s="208"/>
      <c r="HF131" s="208"/>
      <c r="HG131" s="195"/>
      <c r="HH131" s="195"/>
      <c r="HI131" s="195"/>
      <c r="HJ131" s="195"/>
      <c r="HK131" s="195"/>
      <c r="HL131" s="195"/>
      <c r="HM131" s="195"/>
      <c r="HN131" s="195"/>
      <c r="HO131" s="195"/>
      <c r="HP131" s="195"/>
      <c r="HQ131" s="195"/>
      <c r="HR131" s="195"/>
      <c r="HS131" s="195"/>
      <c r="HT131" s="195"/>
      <c r="HU131" s="195"/>
      <c r="HV131" s="195"/>
      <c r="HW131" s="195"/>
      <c r="HX131" s="195"/>
    </row>
    <row r="132" spans="1:232" s="207" customFormat="1" x14ac:dyDescent="0.35">
      <c r="A132" s="218"/>
      <c r="HC132" s="208"/>
      <c r="HD132" s="208"/>
      <c r="HE132" s="208"/>
      <c r="HF132" s="208"/>
      <c r="HG132" s="195"/>
      <c r="HH132" s="195"/>
      <c r="HI132" s="195"/>
      <c r="HJ132" s="195"/>
      <c r="HK132" s="195"/>
      <c r="HL132" s="195"/>
      <c r="HM132" s="195"/>
      <c r="HN132" s="195"/>
      <c r="HO132" s="195"/>
      <c r="HP132" s="195"/>
      <c r="HQ132" s="195"/>
      <c r="HR132" s="195"/>
      <c r="HS132" s="195"/>
      <c r="HT132" s="195"/>
      <c r="HU132" s="195"/>
      <c r="HV132" s="195"/>
      <c r="HW132" s="195"/>
      <c r="HX132" s="195"/>
    </row>
    <row r="133" spans="1:232" s="207" customFormat="1" x14ac:dyDescent="0.35">
      <c r="A133" s="218"/>
      <c r="HC133" s="208"/>
      <c r="HD133" s="208"/>
      <c r="HE133" s="208"/>
      <c r="HF133" s="208"/>
      <c r="HG133" s="195"/>
      <c r="HH133" s="195"/>
      <c r="HI133" s="195"/>
      <c r="HJ133" s="195"/>
      <c r="HK133" s="195"/>
      <c r="HL133" s="195"/>
      <c r="HM133" s="195"/>
      <c r="HN133" s="195"/>
      <c r="HO133" s="195"/>
      <c r="HP133" s="195"/>
      <c r="HQ133" s="195"/>
      <c r="HR133" s="195"/>
      <c r="HS133" s="195"/>
      <c r="HT133" s="195"/>
      <c r="HU133" s="195"/>
      <c r="HV133" s="195"/>
      <c r="HW133" s="195"/>
      <c r="HX133" s="195"/>
    </row>
    <row r="134" spans="1:232" s="207" customFormat="1" x14ac:dyDescent="0.35">
      <c r="A134" s="218"/>
      <c r="HC134" s="208"/>
      <c r="HD134" s="208"/>
      <c r="HE134" s="208"/>
      <c r="HF134" s="208"/>
      <c r="HG134" s="195"/>
      <c r="HH134" s="195"/>
      <c r="HI134" s="195"/>
      <c r="HJ134" s="195"/>
      <c r="HK134" s="195"/>
      <c r="HL134" s="195"/>
      <c r="HM134" s="195"/>
      <c r="HN134" s="195"/>
      <c r="HO134" s="195"/>
      <c r="HP134" s="195"/>
      <c r="HQ134" s="195"/>
      <c r="HR134" s="195"/>
      <c r="HS134" s="195"/>
      <c r="HT134" s="195"/>
      <c r="HU134" s="195"/>
      <c r="HV134" s="195"/>
      <c r="HW134" s="195"/>
      <c r="HX134" s="195"/>
    </row>
    <row r="135" spans="1:232" s="207" customFormat="1" x14ac:dyDescent="0.35">
      <c r="A135" s="218"/>
      <c r="HC135" s="208"/>
      <c r="HD135" s="208"/>
      <c r="HE135" s="208"/>
      <c r="HF135" s="208"/>
      <c r="HG135" s="195"/>
      <c r="HH135" s="195"/>
      <c r="HI135" s="195"/>
      <c r="HJ135" s="195"/>
      <c r="HK135" s="195"/>
      <c r="HL135" s="195"/>
      <c r="HM135" s="195"/>
      <c r="HN135" s="195"/>
      <c r="HO135" s="195"/>
      <c r="HP135" s="195"/>
      <c r="HQ135" s="195"/>
      <c r="HR135" s="195"/>
      <c r="HS135" s="195"/>
      <c r="HT135" s="195"/>
      <c r="HU135" s="195"/>
      <c r="HV135" s="195"/>
      <c r="HW135" s="195"/>
      <c r="HX135" s="195"/>
    </row>
    <row r="136" spans="1:232" s="207" customFormat="1" x14ac:dyDescent="0.35">
      <c r="A136" s="218"/>
      <c r="HC136" s="208"/>
      <c r="HD136" s="208"/>
      <c r="HE136" s="208"/>
      <c r="HF136" s="208"/>
      <c r="HG136" s="195"/>
      <c r="HH136" s="195"/>
      <c r="HI136" s="195"/>
      <c r="HJ136" s="195"/>
      <c r="HK136" s="195"/>
      <c r="HL136" s="195"/>
      <c r="HM136" s="195"/>
      <c r="HN136" s="195"/>
      <c r="HO136" s="195"/>
      <c r="HP136" s="195"/>
      <c r="HQ136" s="195"/>
      <c r="HR136" s="195"/>
      <c r="HS136" s="195"/>
      <c r="HT136" s="195"/>
      <c r="HU136" s="195"/>
      <c r="HV136" s="195"/>
      <c r="HW136" s="195"/>
      <c r="HX136" s="195"/>
    </row>
    <row r="137" spans="1:232" s="207" customFormat="1" x14ac:dyDescent="0.35">
      <c r="A137" s="218"/>
      <c r="HC137" s="208"/>
      <c r="HD137" s="208"/>
      <c r="HE137" s="208"/>
      <c r="HF137" s="208"/>
      <c r="HG137" s="195"/>
      <c r="HH137" s="195"/>
      <c r="HI137" s="195"/>
      <c r="HJ137" s="195"/>
      <c r="HK137" s="195"/>
      <c r="HL137" s="195"/>
      <c r="HM137" s="195"/>
      <c r="HN137" s="195"/>
      <c r="HO137" s="195"/>
      <c r="HP137" s="195"/>
      <c r="HQ137" s="195"/>
      <c r="HR137" s="195"/>
      <c r="HS137" s="195"/>
      <c r="HT137" s="195"/>
      <c r="HU137" s="195"/>
      <c r="HV137" s="195"/>
      <c r="HW137" s="195"/>
      <c r="HX137" s="195"/>
    </row>
    <row r="138" spans="1:232" s="207" customFormat="1" x14ac:dyDescent="0.35">
      <c r="A138" s="218"/>
      <c r="HC138" s="208"/>
      <c r="HD138" s="208"/>
      <c r="HE138" s="208"/>
      <c r="HF138" s="208"/>
      <c r="HG138" s="195"/>
      <c r="HH138" s="195"/>
      <c r="HI138" s="195"/>
      <c r="HJ138" s="195"/>
      <c r="HK138" s="195"/>
      <c r="HL138" s="195"/>
      <c r="HM138" s="195"/>
      <c r="HN138" s="195"/>
      <c r="HO138" s="195"/>
      <c r="HP138" s="195"/>
      <c r="HQ138" s="195"/>
      <c r="HR138" s="195"/>
      <c r="HS138" s="195"/>
      <c r="HT138" s="195"/>
      <c r="HU138" s="195"/>
      <c r="HV138" s="195"/>
      <c r="HW138" s="195"/>
      <c r="HX138" s="195"/>
    </row>
    <row r="139" spans="1:232" s="207" customFormat="1" x14ac:dyDescent="0.35">
      <c r="A139" s="218"/>
      <c r="HC139" s="208"/>
      <c r="HD139" s="208"/>
      <c r="HE139" s="208"/>
      <c r="HF139" s="208"/>
      <c r="HG139" s="195"/>
      <c r="HH139" s="195"/>
      <c r="HI139" s="195"/>
      <c r="HJ139" s="195"/>
      <c r="HK139" s="195"/>
      <c r="HL139" s="195"/>
      <c r="HM139" s="195"/>
      <c r="HN139" s="195"/>
      <c r="HO139" s="195"/>
      <c r="HP139" s="195"/>
      <c r="HQ139" s="195"/>
      <c r="HR139" s="195"/>
      <c r="HS139" s="195"/>
      <c r="HT139" s="195"/>
      <c r="HU139" s="195"/>
      <c r="HV139" s="195"/>
      <c r="HW139" s="195"/>
      <c r="HX139" s="195"/>
    </row>
    <row r="140" spans="1:232" s="207" customFormat="1" x14ac:dyDescent="0.35">
      <c r="A140" s="218"/>
      <c r="HC140" s="208"/>
      <c r="HD140" s="208"/>
      <c r="HE140" s="208"/>
      <c r="HF140" s="208"/>
      <c r="HG140" s="195"/>
      <c r="HH140" s="195"/>
      <c r="HI140" s="195"/>
      <c r="HJ140" s="195"/>
      <c r="HK140" s="195"/>
      <c r="HL140" s="195"/>
      <c r="HM140" s="195"/>
      <c r="HN140" s="195"/>
      <c r="HO140" s="195"/>
      <c r="HP140" s="195"/>
      <c r="HQ140" s="195"/>
      <c r="HR140" s="195"/>
      <c r="HS140" s="195"/>
      <c r="HT140" s="195"/>
      <c r="HU140" s="195"/>
      <c r="HV140" s="195"/>
      <c r="HW140" s="195"/>
      <c r="HX140" s="195"/>
    </row>
    <row r="141" spans="1:232" s="207" customFormat="1" x14ac:dyDescent="0.35">
      <c r="A141" s="218"/>
      <c r="HC141" s="208"/>
      <c r="HD141" s="208"/>
      <c r="HE141" s="208"/>
      <c r="HF141" s="208"/>
      <c r="HG141" s="195"/>
      <c r="HH141" s="195"/>
      <c r="HI141" s="195"/>
      <c r="HJ141" s="195"/>
      <c r="HK141" s="195"/>
      <c r="HL141" s="195"/>
      <c r="HM141" s="195"/>
      <c r="HN141" s="195"/>
      <c r="HO141" s="195"/>
      <c r="HP141" s="195"/>
      <c r="HQ141" s="195"/>
      <c r="HR141" s="195"/>
      <c r="HS141" s="195"/>
      <c r="HT141" s="195"/>
      <c r="HU141" s="195"/>
      <c r="HV141" s="195"/>
      <c r="HW141" s="195"/>
      <c r="HX141" s="195"/>
    </row>
    <row r="142" spans="1:232" s="207" customFormat="1" x14ac:dyDescent="0.35">
      <c r="A142" s="218"/>
      <c r="HC142" s="208"/>
      <c r="HD142" s="208"/>
      <c r="HE142" s="208"/>
      <c r="HF142" s="208"/>
      <c r="HG142" s="195"/>
      <c r="HH142" s="195"/>
      <c r="HI142" s="195"/>
      <c r="HJ142" s="195"/>
      <c r="HK142" s="195"/>
      <c r="HL142" s="195"/>
      <c r="HM142" s="195"/>
      <c r="HN142" s="195"/>
      <c r="HO142" s="195"/>
      <c r="HP142" s="195"/>
      <c r="HQ142" s="195"/>
      <c r="HR142" s="195"/>
      <c r="HS142" s="195"/>
      <c r="HT142" s="195"/>
      <c r="HU142" s="195"/>
      <c r="HV142" s="195"/>
      <c r="HW142" s="195"/>
      <c r="HX142" s="195"/>
    </row>
    <row r="143" spans="1:232" s="207" customFormat="1" x14ac:dyDescent="0.35">
      <c r="A143" s="218"/>
      <c r="HC143" s="208"/>
      <c r="HD143" s="208"/>
      <c r="HE143" s="208"/>
      <c r="HF143" s="208"/>
      <c r="HG143" s="195"/>
      <c r="HH143" s="195"/>
      <c r="HI143" s="195"/>
      <c r="HJ143" s="195"/>
      <c r="HK143" s="195"/>
      <c r="HL143" s="195"/>
      <c r="HM143" s="195"/>
      <c r="HN143" s="195"/>
      <c r="HO143" s="195"/>
      <c r="HP143" s="195"/>
      <c r="HQ143" s="195"/>
      <c r="HR143" s="195"/>
      <c r="HS143" s="195"/>
      <c r="HT143" s="195"/>
      <c r="HU143" s="195"/>
      <c r="HV143" s="195"/>
      <c r="HW143" s="195"/>
      <c r="HX143" s="195"/>
    </row>
    <row r="144" spans="1:232" s="207" customFormat="1" x14ac:dyDescent="0.35">
      <c r="A144" s="218"/>
      <c r="HC144" s="208"/>
      <c r="HD144" s="208"/>
      <c r="HE144" s="208"/>
      <c r="HF144" s="208"/>
      <c r="HG144" s="195"/>
      <c r="HH144" s="195"/>
      <c r="HI144" s="195"/>
      <c r="HJ144" s="195"/>
      <c r="HK144" s="195"/>
      <c r="HL144" s="195"/>
      <c r="HM144" s="195"/>
      <c r="HN144" s="195"/>
      <c r="HO144" s="195"/>
      <c r="HP144" s="195"/>
      <c r="HQ144" s="195"/>
      <c r="HR144" s="195"/>
      <c r="HS144" s="195"/>
      <c r="HT144" s="195"/>
      <c r="HU144" s="195"/>
      <c r="HV144" s="195"/>
      <c r="HW144" s="195"/>
      <c r="HX144" s="195"/>
    </row>
    <row r="145" spans="1:232" s="207" customFormat="1" x14ac:dyDescent="0.35">
      <c r="A145" s="218"/>
      <c r="HC145" s="208"/>
      <c r="HD145" s="208"/>
      <c r="HE145" s="208"/>
      <c r="HF145" s="208"/>
      <c r="HG145" s="195"/>
      <c r="HH145" s="195"/>
      <c r="HI145" s="195"/>
      <c r="HJ145" s="195"/>
      <c r="HK145" s="195"/>
      <c r="HL145" s="195"/>
      <c r="HM145" s="195"/>
      <c r="HN145" s="195"/>
      <c r="HO145" s="195"/>
      <c r="HP145" s="195"/>
      <c r="HQ145" s="195"/>
      <c r="HR145" s="195"/>
      <c r="HS145" s="195"/>
      <c r="HT145" s="195"/>
      <c r="HU145" s="195"/>
      <c r="HV145" s="195"/>
      <c r="HW145" s="195"/>
      <c r="HX145" s="195"/>
    </row>
    <row r="146" spans="1:232" s="207" customFormat="1" x14ac:dyDescent="0.35">
      <c r="A146" s="218"/>
      <c r="HC146" s="208"/>
      <c r="HD146" s="208"/>
      <c r="HE146" s="208"/>
      <c r="HF146" s="208"/>
      <c r="HG146" s="195"/>
      <c r="HH146" s="195"/>
      <c r="HI146" s="195"/>
      <c r="HJ146" s="195"/>
      <c r="HK146" s="195"/>
      <c r="HL146" s="195"/>
      <c r="HM146" s="195"/>
      <c r="HN146" s="195"/>
      <c r="HO146" s="195"/>
      <c r="HP146" s="195"/>
      <c r="HQ146" s="195"/>
      <c r="HR146" s="195"/>
      <c r="HS146" s="195"/>
      <c r="HT146" s="195"/>
      <c r="HU146" s="195"/>
      <c r="HV146" s="195"/>
      <c r="HW146" s="195"/>
      <c r="HX146" s="195"/>
    </row>
    <row r="147" spans="1:232" s="207" customFormat="1" x14ac:dyDescent="0.35">
      <c r="A147" s="218"/>
      <c r="HC147" s="208"/>
      <c r="HD147" s="208"/>
      <c r="HE147" s="208"/>
      <c r="HF147" s="208"/>
      <c r="HG147" s="195"/>
      <c r="HH147" s="195"/>
      <c r="HI147" s="195"/>
      <c r="HJ147" s="195"/>
      <c r="HK147" s="195"/>
      <c r="HL147" s="195"/>
      <c r="HM147" s="195"/>
      <c r="HN147" s="195"/>
      <c r="HO147" s="195"/>
      <c r="HP147" s="195"/>
      <c r="HQ147" s="195"/>
      <c r="HR147" s="195"/>
      <c r="HS147" s="195"/>
      <c r="HT147" s="195"/>
      <c r="HU147" s="195"/>
      <c r="HV147" s="195"/>
      <c r="HW147" s="195"/>
      <c r="HX147" s="195"/>
    </row>
    <row r="148" spans="1:232" s="207" customFormat="1" x14ac:dyDescent="0.35">
      <c r="A148" s="218"/>
      <c r="HC148" s="208"/>
      <c r="HD148" s="208"/>
      <c r="HE148" s="208"/>
      <c r="HF148" s="208"/>
      <c r="HG148" s="195"/>
      <c r="HH148" s="195"/>
      <c r="HI148" s="195"/>
      <c r="HJ148" s="195"/>
      <c r="HK148" s="195"/>
      <c r="HL148" s="195"/>
      <c r="HM148" s="195"/>
      <c r="HN148" s="195"/>
      <c r="HO148" s="195"/>
      <c r="HP148" s="195"/>
      <c r="HQ148" s="195"/>
      <c r="HR148" s="195"/>
      <c r="HS148" s="195"/>
      <c r="HT148" s="195"/>
      <c r="HU148" s="195"/>
      <c r="HV148" s="195"/>
      <c r="HW148" s="195"/>
      <c r="HX148" s="195"/>
    </row>
    <row r="149" spans="1:232" s="207" customFormat="1" x14ac:dyDescent="0.35">
      <c r="A149" s="218"/>
      <c r="HC149" s="208"/>
      <c r="HD149" s="208"/>
      <c r="HE149" s="208"/>
      <c r="HF149" s="208"/>
      <c r="HG149" s="195"/>
      <c r="HH149" s="195"/>
      <c r="HI149" s="195"/>
      <c r="HJ149" s="195"/>
      <c r="HK149" s="195"/>
      <c r="HL149" s="195"/>
      <c r="HM149" s="195"/>
      <c r="HN149" s="195"/>
      <c r="HO149" s="195"/>
      <c r="HP149" s="195"/>
      <c r="HQ149" s="195"/>
      <c r="HR149" s="195"/>
      <c r="HS149" s="195"/>
      <c r="HT149" s="195"/>
      <c r="HU149" s="195"/>
      <c r="HV149" s="195"/>
      <c r="HW149" s="195"/>
      <c r="HX149" s="195"/>
    </row>
    <row r="150" spans="1:232" s="207" customFormat="1" x14ac:dyDescent="0.35">
      <c r="A150" s="218"/>
      <c r="HC150" s="208"/>
      <c r="HD150" s="208"/>
      <c r="HE150" s="208"/>
      <c r="HF150" s="208"/>
      <c r="HG150" s="195"/>
      <c r="HH150" s="195"/>
      <c r="HI150" s="195"/>
      <c r="HJ150" s="195"/>
      <c r="HK150" s="195"/>
      <c r="HL150" s="195"/>
      <c r="HM150" s="195"/>
      <c r="HN150" s="195"/>
      <c r="HO150" s="195"/>
      <c r="HP150" s="195"/>
      <c r="HQ150" s="195"/>
      <c r="HR150" s="195"/>
      <c r="HS150" s="195"/>
      <c r="HT150" s="195"/>
      <c r="HU150" s="195"/>
      <c r="HV150" s="195"/>
      <c r="HW150" s="195"/>
      <c r="HX150" s="195"/>
    </row>
    <row r="151" spans="1:232" s="207" customFormat="1" x14ac:dyDescent="0.35">
      <c r="A151" s="218"/>
      <c r="HC151" s="208"/>
      <c r="HD151" s="208"/>
      <c r="HE151" s="208"/>
      <c r="HF151" s="208"/>
      <c r="HG151" s="195"/>
      <c r="HH151" s="195"/>
      <c r="HI151" s="195"/>
      <c r="HJ151" s="195"/>
      <c r="HK151" s="195"/>
      <c r="HL151" s="195"/>
      <c r="HM151" s="195"/>
      <c r="HN151" s="195"/>
      <c r="HO151" s="195"/>
      <c r="HP151" s="195"/>
      <c r="HQ151" s="195"/>
      <c r="HR151" s="195"/>
      <c r="HS151" s="195"/>
      <c r="HT151" s="195"/>
      <c r="HU151" s="195"/>
      <c r="HV151" s="195"/>
      <c r="HW151" s="195"/>
      <c r="HX151" s="195"/>
    </row>
    <row r="152" spans="1:232" s="207" customFormat="1" x14ac:dyDescent="0.35">
      <c r="A152" s="218"/>
      <c r="HC152" s="208"/>
      <c r="HD152" s="208"/>
      <c r="HE152" s="208"/>
      <c r="HF152" s="208"/>
      <c r="HG152" s="195"/>
      <c r="HH152" s="195"/>
      <c r="HI152" s="195"/>
      <c r="HJ152" s="195"/>
      <c r="HK152" s="195"/>
      <c r="HL152" s="195"/>
      <c r="HM152" s="195"/>
      <c r="HN152" s="195"/>
      <c r="HO152" s="195"/>
      <c r="HP152" s="195"/>
      <c r="HQ152" s="195"/>
      <c r="HR152" s="195"/>
      <c r="HS152" s="195"/>
      <c r="HT152" s="195"/>
      <c r="HU152" s="195"/>
      <c r="HV152" s="195"/>
      <c r="HW152" s="195"/>
      <c r="HX152" s="195"/>
    </row>
    <row r="153" spans="1:232" s="207" customFormat="1" x14ac:dyDescent="0.35">
      <c r="A153" s="218"/>
      <c r="HC153" s="208"/>
      <c r="HD153" s="208"/>
      <c r="HE153" s="208"/>
      <c r="HF153" s="208"/>
      <c r="HG153" s="195"/>
      <c r="HH153" s="195"/>
      <c r="HI153" s="195"/>
      <c r="HJ153" s="195"/>
      <c r="HK153" s="195"/>
      <c r="HL153" s="195"/>
      <c r="HM153" s="195"/>
      <c r="HN153" s="195"/>
      <c r="HO153" s="195"/>
      <c r="HP153" s="195"/>
      <c r="HQ153" s="195"/>
      <c r="HR153" s="195"/>
      <c r="HS153" s="195"/>
      <c r="HT153" s="195"/>
      <c r="HU153" s="195"/>
      <c r="HV153" s="195"/>
      <c r="HW153" s="195"/>
      <c r="HX153" s="195"/>
    </row>
    <row r="154" spans="1:232" s="207" customFormat="1" x14ac:dyDescent="0.35">
      <c r="A154" s="218"/>
      <c r="HC154" s="208"/>
      <c r="HD154" s="208"/>
      <c r="HE154" s="208"/>
      <c r="HF154" s="208"/>
      <c r="HG154" s="195"/>
      <c r="HH154" s="195"/>
      <c r="HI154" s="195"/>
      <c r="HJ154" s="195"/>
      <c r="HK154" s="195"/>
      <c r="HL154" s="195"/>
      <c r="HM154" s="195"/>
      <c r="HN154" s="195"/>
      <c r="HO154" s="195"/>
      <c r="HP154" s="195"/>
      <c r="HQ154" s="195"/>
      <c r="HR154" s="195"/>
      <c r="HS154" s="195"/>
      <c r="HT154" s="195"/>
      <c r="HU154" s="195"/>
      <c r="HV154" s="195"/>
      <c r="HW154" s="195"/>
      <c r="HX154" s="195"/>
    </row>
    <row r="155" spans="1:232" s="207" customFormat="1" x14ac:dyDescent="0.35">
      <c r="A155" s="218"/>
      <c r="HC155" s="208"/>
      <c r="HD155" s="208"/>
      <c r="HE155" s="208"/>
      <c r="HF155" s="208"/>
      <c r="HG155" s="195"/>
      <c r="HH155" s="195"/>
      <c r="HI155" s="195"/>
      <c r="HJ155" s="195"/>
      <c r="HK155" s="195"/>
      <c r="HL155" s="195"/>
      <c r="HM155" s="195"/>
      <c r="HN155" s="195"/>
      <c r="HO155" s="195"/>
      <c r="HP155" s="195"/>
      <c r="HQ155" s="195"/>
      <c r="HR155" s="195"/>
      <c r="HS155" s="195"/>
      <c r="HT155" s="195"/>
      <c r="HU155" s="195"/>
      <c r="HV155" s="195"/>
      <c r="HW155" s="195"/>
      <c r="HX155" s="195"/>
    </row>
    <row r="156" spans="1:232" s="207" customFormat="1" x14ac:dyDescent="0.35">
      <c r="A156" s="218"/>
      <c r="HC156" s="208"/>
      <c r="HD156" s="208"/>
      <c r="HE156" s="208"/>
      <c r="HF156" s="208"/>
      <c r="HG156" s="195"/>
      <c r="HH156" s="195"/>
      <c r="HI156" s="195"/>
      <c r="HJ156" s="195"/>
      <c r="HK156" s="195"/>
      <c r="HL156" s="195"/>
      <c r="HM156" s="195"/>
      <c r="HN156" s="195"/>
      <c r="HO156" s="195"/>
      <c r="HP156" s="195"/>
      <c r="HQ156" s="195"/>
      <c r="HR156" s="195"/>
      <c r="HS156" s="195"/>
      <c r="HT156" s="195"/>
      <c r="HU156" s="195"/>
      <c r="HV156" s="195"/>
      <c r="HW156" s="195"/>
      <c r="HX156" s="195"/>
    </row>
    <row r="157" spans="1:232" s="207" customFormat="1" x14ac:dyDescent="0.35">
      <c r="A157" s="218"/>
      <c r="HC157" s="208"/>
      <c r="HD157" s="208"/>
      <c r="HE157" s="208"/>
      <c r="HF157" s="208"/>
      <c r="HG157" s="195"/>
      <c r="HH157" s="195"/>
      <c r="HI157" s="195"/>
      <c r="HJ157" s="195"/>
      <c r="HK157" s="195"/>
      <c r="HL157" s="195"/>
      <c r="HM157" s="195"/>
      <c r="HN157" s="195"/>
      <c r="HO157" s="195"/>
      <c r="HP157" s="195"/>
      <c r="HQ157" s="195"/>
      <c r="HR157" s="195"/>
      <c r="HS157" s="195"/>
      <c r="HT157" s="195"/>
      <c r="HU157" s="195"/>
      <c r="HV157" s="195"/>
      <c r="HW157" s="195"/>
      <c r="HX157" s="195"/>
    </row>
    <row r="158" spans="1:232" s="207" customFormat="1" x14ac:dyDescent="0.35">
      <c r="A158" s="218"/>
      <c r="HC158" s="208"/>
      <c r="HD158" s="208"/>
      <c r="HE158" s="208"/>
      <c r="HF158" s="208"/>
      <c r="HG158" s="195"/>
      <c r="HH158" s="195"/>
      <c r="HI158" s="195"/>
      <c r="HJ158" s="195"/>
      <c r="HK158" s="195"/>
      <c r="HL158" s="195"/>
      <c r="HM158" s="195"/>
      <c r="HN158" s="195"/>
      <c r="HO158" s="195"/>
      <c r="HP158" s="195"/>
      <c r="HQ158" s="195"/>
      <c r="HR158" s="195"/>
      <c r="HS158" s="195"/>
      <c r="HT158" s="195"/>
      <c r="HU158" s="195"/>
      <c r="HV158" s="195"/>
      <c r="HW158" s="195"/>
      <c r="HX158" s="195"/>
    </row>
    <row r="159" spans="1:232" s="207" customFormat="1" x14ac:dyDescent="0.35">
      <c r="A159" s="218"/>
      <c r="HC159" s="208"/>
      <c r="HD159" s="208"/>
      <c r="HE159" s="208"/>
      <c r="HF159" s="208"/>
      <c r="HG159" s="195"/>
      <c r="HH159" s="195"/>
      <c r="HI159" s="195"/>
      <c r="HJ159" s="195"/>
      <c r="HK159" s="195"/>
      <c r="HL159" s="195"/>
      <c r="HM159" s="195"/>
      <c r="HN159" s="195"/>
      <c r="HO159" s="195"/>
      <c r="HP159" s="195"/>
      <c r="HQ159" s="195"/>
      <c r="HR159" s="195"/>
      <c r="HS159" s="195"/>
      <c r="HT159" s="195"/>
      <c r="HU159" s="195"/>
      <c r="HV159" s="195"/>
      <c r="HW159" s="195"/>
      <c r="HX159" s="195"/>
    </row>
    <row r="160" spans="1:232" s="207" customFormat="1" x14ac:dyDescent="0.35">
      <c r="A160" s="218"/>
      <c r="HC160" s="208"/>
      <c r="HD160" s="208"/>
      <c r="HE160" s="208"/>
      <c r="HF160" s="208"/>
      <c r="HG160" s="195"/>
      <c r="HH160" s="195"/>
      <c r="HI160" s="195"/>
      <c r="HJ160" s="195"/>
      <c r="HK160" s="195"/>
      <c r="HL160" s="195"/>
      <c r="HM160" s="195"/>
      <c r="HN160" s="195"/>
      <c r="HO160" s="195"/>
      <c r="HP160" s="195"/>
      <c r="HQ160" s="195"/>
      <c r="HR160" s="195"/>
      <c r="HS160" s="195"/>
      <c r="HT160" s="195"/>
      <c r="HU160" s="195"/>
      <c r="HV160" s="195"/>
      <c r="HW160" s="195"/>
      <c r="HX160" s="195"/>
    </row>
    <row r="161" spans="1:232" s="207" customFormat="1" x14ac:dyDescent="0.35">
      <c r="A161" s="218"/>
      <c r="HC161" s="208"/>
      <c r="HD161" s="208"/>
      <c r="HE161" s="208"/>
      <c r="HF161" s="208"/>
      <c r="HG161" s="195"/>
      <c r="HH161" s="195"/>
      <c r="HI161" s="195"/>
      <c r="HJ161" s="195"/>
      <c r="HK161" s="195"/>
      <c r="HL161" s="195"/>
      <c r="HM161" s="195"/>
      <c r="HN161" s="195"/>
      <c r="HO161" s="195"/>
      <c r="HP161" s="195"/>
      <c r="HQ161" s="195"/>
      <c r="HR161" s="195"/>
      <c r="HS161" s="195"/>
      <c r="HT161" s="195"/>
      <c r="HU161" s="195"/>
      <c r="HV161" s="195"/>
      <c r="HW161" s="195"/>
      <c r="HX161" s="195"/>
    </row>
    <row r="162" spans="1:232" s="207" customFormat="1" x14ac:dyDescent="0.35">
      <c r="A162" s="218"/>
      <c r="HC162" s="208"/>
      <c r="HD162" s="208"/>
      <c r="HE162" s="208"/>
      <c r="HF162" s="208"/>
      <c r="HG162" s="195"/>
      <c r="HH162" s="195"/>
      <c r="HI162" s="195"/>
      <c r="HJ162" s="195"/>
      <c r="HK162" s="195"/>
      <c r="HL162" s="195"/>
      <c r="HM162" s="195"/>
      <c r="HN162" s="195"/>
      <c r="HO162" s="195"/>
      <c r="HP162" s="195"/>
      <c r="HQ162" s="195"/>
      <c r="HR162" s="195"/>
      <c r="HS162" s="195"/>
      <c r="HT162" s="195"/>
      <c r="HU162" s="195"/>
      <c r="HV162" s="195"/>
      <c r="HW162" s="195"/>
      <c r="HX162" s="195"/>
    </row>
    <row r="163" spans="1:232" s="207" customFormat="1" x14ac:dyDescent="0.35">
      <c r="A163" s="218"/>
      <c r="HC163" s="208"/>
      <c r="HD163" s="208"/>
      <c r="HE163" s="208"/>
      <c r="HF163" s="208"/>
      <c r="HG163" s="195"/>
      <c r="HH163" s="195"/>
      <c r="HI163" s="195"/>
      <c r="HJ163" s="195"/>
      <c r="HK163" s="195"/>
      <c r="HL163" s="195"/>
      <c r="HM163" s="195"/>
      <c r="HN163" s="195"/>
      <c r="HO163" s="195"/>
      <c r="HP163" s="195"/>
      <c r="HQ163" s="195"/>
      <c r="HR163" s="195"/>
      <c r="HS163" s="195"/>
      <c r="HT163" s="195"/>
      <c r="HU163" s="195"/>
      <c r="HV163" s="195"/>
      <c r="HW163" s="195"/>
      <c r="HX163" s="195"/>
    </row>
    <row r="164" spans="1:232" s="207" customFormat="1" x14ac:dyDescent="0.35">
      <c r="A164" s="218"/>
      <c r="HC164" s="208"/>
      <c r="HD164" s="208"/>
      <c r="HE164" s="208"/>
      <c r="HF164" s="208"/>
      <c r="HG164" s="195"/>
      <c r="HH164" s="195"/>
      <c r="HI164" s="195"/>
      <c r="HJ164" s="195"/>
      <c r="HK164" s="195"/>
      <c r="HL164" s="195"/>
      <c r="HM164" s="195"/>
      <c r="HN164" s="195"/>
      <c r="HO164" s="195"/>
      <c r="HP164" s="195"/>
      <c r="HQ164" s="195"/>
      <c r="HR164" s="195"/>
      <c r="HS164" s="195"/>
      <c r="HT164" s="195"/>
      <c r="HU164" s="195"/>
      <c r="HV164" s="195"/>
      <c r="HW164" s="195"/>
      <c r="HX164" s="195"/>
    </row>
    <row r="165" spans="1:232" s="207" customFormat="1" x14ac:dyDescent="0.35">
      <c r="A165" s="218"/>
      <c r="HC165" s="208"/>
      <c r="HD165" s="208"/>
      <c r="HE165" s="208"/>
      <c r="HF165" s="208"/>
      <c r="HG165" s="195"/>
      <c r="HH165" s="195"/>
      <c r="HI165" s="195"/>
      <c r="HJ165" s="195"/>
      <c r="HK165" s="195"/>
      <c r="HL165" s="195"/>
      <c r="HM165" s="195"/>
      <c r="HN165" s="195"/>
      <c r="HO165" s="195"/>
      <c r="HP165" s="195"/>
      <c r="HQ165" s="195"/>
      <c r="HR165" s="195"/>
      <c r="HS165" s="195"/>
      <c r="HT165" s="195"/>
      <c r="HU165" s="195"/>
      <c r="HV165" s="195"/>
      <c r="HW165" s="195"/>
      <c r="HX165" s="195"/>
    </row>
    <row r="166" spans="1:232" s="207" customFormat="1" x14ac:dyDescent="0.35">
      <c r="A166" s="218"/>
      <c r="HC166" s="208"/>
      <c r="HD166" s="208"/>
      <c r="HE166" s="208"/>
      <c r="HF166" s="208"/>
      <c r="HG166" s="195"/>
      <c r="HH166" s="195"/>
      <c r="HI166" s="195"/>
      <c r="HJ166" s="195"/>
      <c r="HK166" s="195"/>
      <c r="HL166" s="195"/>
      <c r="HM166" s="195"/>
      <c r="HN166" s="195"/>
      <c r="HO166" s="195"/>
      <c r="HP166" s="195"/>
      <c r="HQ166" s="195"/>
      <c r="HR166" s="195"/>
      <c r="HS166" s="195"/>
      <c r="HT166" s="195"/>
      <c r="HU166" s="195"/>
      <c r="HV166" s="195"/>
      <c r="HW166" s="195"/>
      <c r="HX166" s="195"/>
    </row>
    <row r="167" spans="1:232" s="207" customFormat="1" x14ac:dyDescent="0.35">
      <c r="A167" s="218"/>
      <c r="HC167" s="208"/>
      <c r="HD167" s="208"/>
      <c r="HE167" s="208"/>
      <c r="HF167" s="208"/>
      <c r="HG167" s="195"/>
      <c r="HH167" s="195"/>
      <c r="HI167" s="195"/>
      <c r="HJ167" s="195"/>
      <c r="HK167" s="195"/>
      <c r="HL167" s="195"/>
      <c r="HM167" s="195"/>
      <c r="HN167" s="195"/>
      <c r="HO167" s="195"/>
      <c r="HP167" s="195"/>
      <c r="HQ167" s="195"/>
      <c r="HR167" s="195"/>
      <c r="HS167" s="195"/>
      <c r="HT167" s="195"/>
      <c r="HU167" s="195"/>
      <c r="HV167" s="195"/>
      <c r="HW167" s="195"/>
      <c r="HX167" s="195"/>
    </row>
    <row r="168" spans="1:232" s="207" customFormat="1" x14ac:dyDescent="0.35">
      <c r="A168" s="218"/>
      <c r="HC168" s="208"/>
      <c r="HD168" s="208"/>
      <c r="HE168" s="208"/>
      <c r="HF168" s="208"/>
      <c r="HG168" s="195"/>
      <c r="HH168" s="195"/>
      <c r="HI168" s="195"/>
      <c r="HJ168" s="195"/>
      <c r="HK168" s="195"/>
      <c r="HL168" s="195"/>
      <c r="HM168" s="195"/>
      <c r="HN168" s="195"/>
      <c r="HO168" s="195"/>
      <c r="HP168" s="195"/>
      <c r="HQ168" s="195"/>
      <c r="HR168" s="195"/>
      <c r="HS168" s="195"/>
      <c r="HT168" s="195"/>
      <c r="HU168" s="195"/>
      <c r="HV168" s="195"/>
      <c r="HW168" s="195"/>
      <c r="HX168" s="195"/>
    </row>
    <row r="169" spans="1:232" s="207" customFormat="1" x14ac:dyDescent="0.35">
      <c r="A169" s="218"/>
      <c r="HC169" s="208"/>
      <c r="HD169" s="208"/>
      <c r="HE169" s="208"/>
      <c r="HF169" s="208"/>
      <c r="HG169" s="195"/>
      <c r="HH169" s="195"/>
      <c r="HI169" s="195"/>
      <c r="HJ169" s="195"/>
      <c r="HK169" s="195"/>
      <c r="HL169" s="195"/>
      <c r="HM169" s="195"/>
      <c r="HN169" s="195"/>
      <c r="HO169" s="195"/>
      <c r="HP169" s="195"/>
      <c r="HQ169" s="195"/>
      <c r="HR169" s="195"/>
      <c r="HS169" s="195"/>
      <c r="HT169" s="195"/>
      <c r="HU169" s="195"/>
      <c r="HV169" s="195"/>
      <c r="HW169" s="195"/>
      <c r="HX169" s="195"/>
    </row>
    <row r="170" spans="1:232" s="207" customFormat="1" x14ac:dyDescent="0.35">
      <c r="A170" s="218"/>
      <c r="HC170" s="208"/>
      <c r="HD170" s="208"/>
      <c r="HE170" s="208"/>
      <c r="HF170" s="208"/>
      <c r="HG170" s="195"/>
      <c r="HH170" s="195"/>
      <c r="HI170" s="195"/>
      <c r="HJ170" s="195"/>
      <c r="HK170" s="195"/>
      <c r="HL170" s="195"/>
      <c r="HM170" s="195"/>
      <c r="HN170" s="195"/>
      <c r="HO170" s="195"/>
      <c r="HP170" s="195"/>
      <c r="HQ170" s="195"/>
      <c r="HR170" s="195"/>
      <c r="HS170" s="195"/>
      <c r="HT170" s="195"/>
      <c r="HU170" s="195"/>
      <c r="HV170" s="195"/>
      <c r="HW170" s="195"/>
      <c r="HX170" s="195"/>
    </row>
  </sheetData>
  <printOptions horizontalCentered="1"/>
  <pageMargins left="0.78740157480314965" right="0.35" top="1.5748031496062993" bottom="0.83" header="0.78740157480314965" footer="0.52"/>
  <pageSetup paperSize="9" scale="87" firstPageNumber="0" fitToHeight="0" orientation="portrait" r:id="rId1"/>
  <headerFooter alignWithMargins="0">
    <oddHeader xml:space="preserve">&amp;L 2.4 melléklet &amp;C&amp;"Arial,Félkövér"&amp;10
&amp;"-,Félkövér"&amp;16Tartalékok működési és felhalmozási cél szerinti bontásban&amp;R&amp;10 </oddHeader>
    <oddFooter>&amp;C&amp;8&amp;D &amp;T&amp;R&amp;9&amp;P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0"/>
  <sheetViews>
    <sheetView view="pageBreakPreview" zoomScale="95" zoomScaleNormal="100" zoomScaleSheetLayoutView="95" workbookViewId="0">
      <selection activeCell="B4" sqref="B4"/>
    </sheetView>
  </sheetViews>
  <sheetFormatPr defaultColWidth="9.1796875" defaultRowHeight="14.5" x14ac:dyDescent="0.35"/>
  <cols>
    <col min="1" max="1" width="5.7265625" style="409" customWidth="1"/>
    <col min="2" max="2" width="52.453125" style="395" customWidth="1"/>
    <col min="3" max="6" width="15" style="395" customWidth="1"/>
    <col min="7" max="8" width="10.453125" style="395" bestFit="1" customWidth="1"/>
    <col min="9" max="16384" width="9.1796875" style="395"/>
  </cols>
  <sheetData>
    <row r="1" spans="1:8" x14ac:dyDescent="0.35">
      <c r="D1" s="394" t="s">
        <v>1638</v>
      </c>
    </row>
    <row r="2" spans="1:8" s="412" customFormat="1" ht="43.5" x14ac:dyDescent="0.35">
      <c r="A2" s="410" t="s">
        <v>1220</v>
      </c>
      <c r="B2" s="410" t="s">
        <v>306</v>
      </c>
      <c r="C2" s="411" t="s">
        <v>1776</v>
      </c>
      <c r="D2" s="411" t="s">
        <v>1777</v>
      </c>
    </row>
    <row r="3" spans="1:8" x14ac:dyDescent="0.35">
      <c r="A3" s="413" t="s">
        <v>1222</v>
      </c>
      <c r="B3" s="414" t="s">
        <v>1221</v>
      </c>
      <c r="C3" s="415">
        <f>C14+C15</f>
        <v>107556318</v>
      </c>
      <c r="D3" s="415">
        <f>D39+D40</f>
        <v>107556318</v>
      </c>
      <c r="G3" s="802"/>
      <c r="H3" s="802"/>
    </row>
    <row r="4" spans="1:8" ht="39.75" customHeight="1" x14ac:dyDescent="0.35">
      <c r="A4" s="235" t="s">
        <v>1158</v>
      </c>
      <c r="B4" s="236" t="s">
        <v>1159</v>
      </c>
      <c r="C4" s="237"/>
      <c r="D4" s="237"/>
      <c r="G4" s="802"/>
    </row>
    <row r="5" spans="1:8" x14ac:dyDescent="0.35">
      <c r="A5" s="416" t="s">
        <v>309</v>
      </c>
      <c r="B5" s="417" t="s">
        <v>310</v>
      </c>
      <c r="C5" s="418">
        <f>C6</f>
        <v>36637000</v>
      </c>
      <c r="D5" s="418"/>
    </row>
    <row r="6" spans="1:8" x14ac:dyDescent="0.35">
      <c r="A6" s="419" t="s">
        <v>311</v>
      </c>
      <c r="B6" s="420" t="s">
        <v>314</v>
      </c>
      <c r="C6" s="421">
        <f>C7+C9</f>
        <v>36637000</v>
      </c>
      <c r="D6" s="422"/>
    </row>
    <row r="7" spans="1:8" x14ac:dyDescent="0.35">
      <c r="A7" s="423"/>
      <c r="B7" s="424" t="s">
        <v>1160</v>
      </c>
      <c r="C7" s="425">
        <f>SUM(C8)</f>
        <v>28848000</v>
      </c>
      <c r="D7" s="425"/>
    </row>
    <row r="8" spans="1:8" x14ac:dyDescent="0.35">
      <c r="A8" s="423"/>
      <c r="B8" s="426" t="s">
        <v>1161</v>
      </c>
      <c r="C8" s="425">
        <v>28848000</v>
      </c>
      <c r="D8" s="425"/>
    </row>
    <row r="9" spans="1:8" x14ac:dyDescent="0.35">
      <c r="A9" s="423"/>
      <c r="B9" s="427" t="s">
        <v>1162</v>
      </c>
      <c r="C9" s="425">
        <v>7789000</v>
      </c>
      <c r="D9" s="425"/>
    </row>
    <row r="10" spans="1:8" x14ac:dyDescent="0.35">
      <c r="A10" s="423"/>
      <c r="B10" s="427" t="s">
        <v>1772</v>
      </c>
      <c r="C10" s="425"/>
      <c r="D10" s="425"/>
    </row>
    <row r="11" spans="1:8" x14ac:dyDescent="0.35">
      <c r="A11" s="423"/>
      <c r="B11" s="427" t="s">
        <v>1778</v>
      </c>
      <c r="C11" s="425"/>
      <c r="D11" s="425"/>
    </row>
    <row r="12" spans="1:8" x14ac:dyDescent="0.35">
      <c r="A12" s="416" t="s">
        <v>318</v>
      </c>
      <c r="B12" s="417" t="s">
        <v>1163</v>
      </c>
      <c r="C12" s="418">
        <f>+C13</f>
        <v>14709659</v>
      </c>
      <c r="D12" s="418"/>
    </row>
    <row r="13" spans="1:8" x14ac:dyDescent="0.35">
      <c r="A13" s="935"/>
      <c r="B13" s="937" t="s">
        <v>1782</v>
      </c>
      <c r="C13" s="938">
        <v>14709659</v>
      </c>
      <c r="D13" s="936"/>
    </row>
    <row r="14" spans="1:8" x14ac:dyDescent="0.35">
      <c r="A14" s="428"/>
      <c r="B14" s="429" t="s">
        <v>327</v>
      </c>
      <c r="C14" s="430">
        <f>C5+C12</f>
        <v>51346659</v>
      </c>
      <c r="D14" s="430"/>
    </row>
    <row r="15" spans="1:8" x14ac:dyDescent="0.35">
      <c r="A15" s="416" t="s">
        <v>328</v>
      </c>
      <c r="B15" s="417" t="s">
        <v>329</v>
      </c>
      <c r="C15" s="418">
        <f>C16</f>
        <v>56209659</v>
      </c>
      <c r="D15" s="418"/>
    </row>
    <row r="16" spans="1:8" x14ac:dyDescent="0.35">
      <c r="A16" s="419" t="s">
        <v>311</v>
      </c>
      <c r="B16" s="420" t="s">
        <v>1164</v>
      </c>
      <c r="C16" s="422">
        <f>C17</f>
        <v>56209659</v>
      </c>
      <c r="D16" s="422"/>
    </row>
    <row r="17" spans="1:4" x14ac:dyDescent="0.35">
      <c r="A17" s="423"/>
      <c r="B17" s="424" t="s">
        <v>331</v>
      </c>
      <c r="C17" s="425">
        <f>14709659+41500000</f>
        <v>56209659</v>
      </c>
      <c r="D17" s="425"/>
    </row>
    <row r="18" spans="1:4" ht="42" customHeight="1" x14ac:dyDescent="0.35">
      <c r="A18" s="235" t="s">
        <v>1165</v>
      </c>
      <c r="B18" s="236" t="s">
        <v>1166</v>
      </c>
      <c r="C18" s="237"/>
      <c r="D18" s="237"/>
    </row>
    <row r="19" spans="1:4" x14ac:dyDescent="0.35">
      <c r="A19" s="416" t="s">
        <v>1121</v>
      </c>
      <c r="B19" s="417" t="s">
        <v>334</v>
      </c>
      <c r="C19" s="418"/>
      <c r="D19" s="418">
        <f>D20+D22</f>
        <v>0</v>
      </c>
    </row>
    <row r="20" spans="1:4" x14ac:dyDescent="0.35">
      <c r="A20" s="419" t="s">
        <v>311</v>
      </c>
      <c r="B20" s="420" t="s">
        <v>910</v>
      </c>
      <c r="C20" s="422"/>
      <c r="D20" s="422">
        <f>D21</f>
        <v>0</v>
      </c>
    </row>
    <row r="21" spans="1:4" x14ac:dyDescent="0.35">
      <c r="A21" s="423"/>
      <c r="B21" s="424" t="s">
        <v>1167</v>
      </c>
      <c r="C21" s="425"/>
      <c r="D21" s="425">
        <v>0</v>
      </c>
    </row>
    <row r="22" spans="1:4" x14ac:dyDescent="0.35">
      <c r="A22" s="419" t="s">
        <v>322</v>
      </c>
      <c r="B22" s="420" t="s">
        <v>292</v>
      </c>
      <c r="C22" s="422"/>
      <c r="D22" s="422"/>
    </row>
    <row r="23" spans="1:4" x14ac:dyDescent="0.35">
      <c r="A23" s="935"/>
      <c r="B23" s="934" t="s">
        <v>1779</v>
      </c>
      <c r="C23" s="936"/>
      <c r="D23" s="936"/>
    </row>
    <row r="24" spans="1:4" x14ac:dyDescent="0.35">
      <c r="A24" s="419" t="s">
        <v>315</v>
      </c>
      <c r="B24" s="420" t="s">
        <v>1773</v>
      </c>
      <c r="C24" s="422"/>
      <c r="D24" s="422"/>
    </row>
    <row r="25" spans="1:4" x14ac:dyDescent="0.35">
      <c r="A25" s="416" t="s">
        <v>1168</v>
      </c>
      <c r="B25" s="417" t="s">
        <v>340</v>
      </c>
      <c r="C25" s="418"/>
      <c r="D25" s="418">
        <f>D26+D33+D36</f>
        <v>107556318</v>
      </c>
    </row>
    <row r="26" spans="1:4" x14ac:dyDescent="0.35">
      <c r="A26" s="419" t="s">
        <v>311</v>
      </c>
      <c r="B26" s="420" t="s">
        <v>351</v>
      </c>
      <c r="C26" s="422"/>
      <c r="D26" s="422">
        <f>D27+D28+D29+D30+D31+D32</f>
        <v>0</v>
      </c>
    </row>
    <row r="27" spans="1:4" x14ac:dyDescent="0.35">
      <c r="A27" s="423"/>
      <c r="B27" s="424" t="s">
        <v>1336</v>
      </c>
      <c r="C27" s="425"/>
      <c r="D27" s="425"/>
    </row>
    <row r="28" spans="1:4" hidden="1" x14ac:dyDescent="0.35">
      <c r="A28" s="423"/>
      <c r="B28" s="424"/>
      <c r="C28" s="425"/>
      <c r="D28" s="425">
        <v>0</v>
      </c>
    </row>
    <row r="29" spans="1:4" hidden="1" x14ac:dyDescent="0.35">
      <c r="A29" s="423"/>
      <c r="B29" s="424"/>
      <c r="C29" s="425"/>
      <c r="D29" s="425"/>
    </row>
    <row r="30" spans="1:4" hidden="1" x14ac:dyDescent="0.35">
      <c r="A30" s="423"/>
      <c r="B30" s="424"/>
      <c r="C30" s="425"/>
      <c r="D30" s="425"/>
    </row>
    <row r="31" spans="1:4" hidden="1" x14ac:dyDescent="0.35">
      <c r="A31" s="423"/>
      <c r="B31" s="424"/>
      <c r="C31" s="425"/>
      <c r="D31" s="425"/>
    </row>
    <row r="32" spans="1:4" hidden="1" x14ac:dyDescent="0.35">
      <c r="A32" s="423"/>
      <c r="B32" s="424"/>
      <c r="C32" s="425"/>
      <c r="D32" s="425"/>
    </row>
    <row r="33" spans="1:4" x14ac:dyDescent="0.35">
      <c r="A33" s="419" t="s">
        <v>322</v>
      </c>
      <c r="B33" s="420" t="s">
        <v>342</v>
      </c>
      <c r="C33" s="422"/>
      <c r="D33" s="422">
        <f>SUM(D34:D35)</f>
        <v>51346659</v>
      </c>
    </row>
    <row r="34" spans="1:4" x14ac:dyDescent="0.35">
      <c r="A34" s="423"/>
      <c r="B34" s="424" t="s">
        <v>1780</v>
      </c>
      <c r="C34" s="425"/>
      <c r="D34" s="425"/>
    </row>
    <row r="35" spans="1:4" x14ac:dyDescent="0.35">
      <c r="A35" s="423"/>
      <c r="B35" s="424" t="s">
        <v>986</v>
      </c>
      <c r="C35" s="425"/>
      <c r="D35" s="425">
        <v>51346659</v>
      </c>
    </row>
    <row r="36" spans="1:4" x14ac:dyDescent="0.35">
      <c r="A36" s="419" t="s">
        <v>315</v>
      </c>
      <c r="B36" s="420" t="s">
        <v>1330</v>
      </c>
      <c r="C36" s="422"/>
      <c r="D36" s="422">
        <f>D37</f>
        <v>56209659</v>
      </c>
    </row>
    <row r="37" spans="1:4" x14ac:dyDescent="0.35">
      <c r="A37" s="423"/>
      <c r="B37" s="424" t="s">
        <v>1331</v>
      </c>
      <c r="C37" s="425"/>
      <c r="D37" s="425">
        <f>14709659+41500000</f>
        <v>56209659</v>
      </c>
    </row>
    <row r="38" spans="1:4" x14ac:dyDescent="0.35">
      <c r="A38" s="423"/>
      <c r="B38" s="424" t="s">
        <v>1781</v>
      </c>
      <c r="C38" s="425"/>
      <c r="D38" s="425">
        <v>41500000</v>
      </c>
    </row>
    <row r="39" spans="1:4" x14ac:dyDescent="0.35">
      <c r="A39" s="428"/>
      <c r="B39" s="429" t="s">
        <v>583</v>
      </c>
      <c r="C39" s="430"/>
      <c r="D39" s="430">
        <f>D19+D25</f>
        <v>107556318</v>
      </c>
    </row>
    <row r="40" spans="1:4" x14ac:dyDescent="0.35">
      <c r="A40" s="416" t="s">
        <v>1169</v>
      </c>
      <c r="B40" s="417" t="s">
        <v>586</v>
      </c>
      <c r="C40" s="418"/>
      <c r="D40" s="418">
        <v>0</v>
      </c>
    </row>
  </sheetData>
  <pageMargins left="0.70866141732283472" right="0.70866141732283472" top="1.2204724409448819" bottom="0.74803149606299213" header="0.70866141732283472" footer="0.31496062992125984"/>
  <pageSetup paperSize="9" scale="98" orientation="portrait" r:id="rId1"/>
  <headerFooter>
    <oddHeader>&amp;L2.5 melléklet&amp;C&amp;"-,Félkövér"&amp;14
A Vízügyi Építési Alap 2021. évi költségvetése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5"/>
  <sheetViews>
    <sheetView view="pageBreakPreview" zoomScale="80" zoomScaleNormal="100" zoomScaleSheetLayoutView="80" workbookViewId="0">
      <selection activeCell="E4" sqref="E4"/>
    </sheetView>
  </sheetViews>
  <sheetFormatPr defaultRowHeight="14.5" x14ac:dyDescent="0.35"/>
  <cols>
    <col min="1" max="1" width="5.7265625" style="252" customWidth="1"/>
    <col min="2" max="2" width="41.1796875" customWidth="1"/>
    <col min="3" max="6" width="16.81640625" customWidth="1"/>
  </cols>
  <sheetData>
    <row r="1" spans="1:4" x14ac:dyDescent="0.35">
      <c r="D1" s="31" t="s">
        <v>1638</v>
      </c>
    </row>
    <row r="2" spans="1:4" s="232" customFormat="1" ht="29" x14ac:dyDescent="0.35">
      <c r="A2" s="231" t="s">
        <v>1220</v>
      </c>
      <c r="B2" s="231" t="s">
        <v>306</v>
      </c>
      <c r="C2" s="288" t="s">
        <v>1776</v>
      </c>
      <c r="D2" s="288" t="s">
        <v>1777</v>
      </c>
    </row>
    <row r="3" spans="1:4" x14ac:dyDescent="0.35">
      <c r="A3" s="287" t="s">
        <v>1243</v>
      </c>
      <c r="B3" s="233" t="s">
        <v>1244</v>
      </c>
      <c r="C3" s="234">
        <f>C18+C19</f>
        <v>5500218</v>
      </c>
      <c r="D3" s="234">
        <f>D34+D35</f>
        <v>5500218</v>
      </c>
    </row>
    <row r="4" spans="1:4" ht="39.75" customHeight="1" x14ac:dyDescent="0.35">
      <c r="A4" s="235" t="s">
        <v>1158</v>
      </c>
      <c r="B4" s="236" t="s">
        <v>1159</v>
      </c>
      <c r="C4" s="237"/>
      <c r="D4" s="237"/>
    </row>
    <row r="5" spans="1:4" x14ac:dyDescent="0.35">
      <c r="A5" s="238" t="s">
        <v>309</v>
      </c>
      <c r="B5" s="239" t="s">
        <v>310</v>
      </c>
      <c r="C5" s="240">
        <f>C6+C10+C13</f>
        <v>435000</v>
      </c>
      <c r="D5" s="240"/>
    </row>
    <row r="6" spans="1:4" x14ac:dyDescent="0.35">
      <c r="A6" s="241" t="s">
        <v>311</v>
      </c>
      <c r="B6" s="242" t="s">
        <v>484</v>
      </c>
      <c r="C6" s="243">
        <f>SUM(C7:C9)</f>
        <v>435000</v>
      </c>
      <c r="D6" s="243"/>
    </row>
    <row r="7" spans="1:4" x14ac:dyDescent="0.35">
      <c r="A7" s="244"/>
      <c r="B7" s="251" t="s">
        <v>497</v>
      </c>
      <c r="C7" s="95"/>
      <c r="D7" s="95"/>
    </row>
    <row r="8" spans="1:4" x14ac:dyDescent="0.35">
      <c r="A8" s="244"/>
      <c r="B8" s="251" t="s">
        <v>1245</v>
      </c>
      <c r="C8" s="95">
        <v>435000</v>
      </c>
      <c r="D8" s="95"/>
    </row>
    <row r="9" spans="1:4" x14ac:dyDescent="0.35">
      <c r="A9" s="244"/>
      <c r="B9" s="251" t="s">
        <v>492</v>
      </c>
      <c r="C9" s="95"/>
      <c r="D9" s="95"/>
    </row>
    <row r="10" spans="1:4" x14ac:dyDescent="0.35">
      <c r="A10" s="241" t="s">
        <v>322</v>
      </c>
      <c r="B10" s="242" t="s">
        <v>314</v>
      </c>
      <c r="C10" s="243">
        <f>C11</f>
        <v>0</v>
      </c>
      <c r="D10" s="243"/>
    </row>
    <row r="11" spans="1:4" x14ac:dyDescent="0.35">
      <c r="A11" s="246"/>
      <c r="B11" s="247" t="s">
        <v>1247</v>
      </c>
      <c r="C11" s="93">
        <v>0</v>
      </c>
      <c r="D11" s="93"/>
    </row>
    <row r="12" spans="1:4" x14ac:dyDescent="0.35">
      <c r="A12" s="246"/>
      <c r="B12" s="247" t="s">
        <v>1248</v>
      </c>
      <c r="C12" s="93">
        <v>0</v>
      </c>
      <c r="D12" s="93"/>
    </row>
    <row r="13" spans="1:4" x14ac:dyDescent="0.35">
      <c r="A13" s="241" t="s">
        <v>315</v>
      </c>
      <c r="B13" s="242" t="s">
        <v>316</v>
      </c>
      <c r="C13" s="243">
        <f>SUM(C14:C16)</f>
        <v>0</v>
      </c>
      <c r="D13" s="243"/>
    </row>
    <row r="14" spans="1:4" hidden="1" x14ac:dyDescent="0.35">
      <c r="A14" s="246"/>
      <c r="B14" s="247" t="s">
        <v>1246</v>
      </c>
      <c r="C14" s="93">
        <v>0</v>
      </c>
      <c r="D14" s="93"/>
    </row>
    <row r="15" spans="1:4" hidden="1" x14ac:dyDescent="0.35">
      <c r="A15" s="246"/>
      <c r="B15" s="247" t="s">
        <v>1249</v>
      </c>
      <c r="C15" s="93">
        <v>0</v>
      </c>
      <c r="D15" s="93"/>
    </row>
    <row r="16" spans="1:4" s="90" customFormat="1" ht="31.9" hidden="1" customHeight="1" x14ac:dyDescent="0.35">
      <c r="A16" s="309"/>
      <c r="B16" s="310" t="s">
        <v>1250</v>
      </c>
      <c r="C16" s="94">
        <v>0</v>
      </c>
      <c r="D16" s="94"/>
    </row>
    <row r="17" spans="1:4" x14ac:dyDescent="0.35">
      <c r="A17" s="238" t="s">
        <v>318</v>
      </c>
      <c r="B17" s="239" t="s">
        <v>1163</v>
      </c>
      <c r="C17" s="240">
        <v>0</v>
      </c>
      <c r="D17" s="240"/>
    </row>
    <row r="18" spans="1:4" x14ac:dyDescent="0.35">
      <c r="A18" s="248"/>
      <c r="B18" s="249" t="s">
        <v>327</v>
      </c>
      <c r="C18" s="250">
        <f>C5+C17</f>
        <v>435000</v>
      </c>
      <c r="D18" s="250"/>
    </row>
    <row r="19" spans="1:4" x14ac:dyDescent="0.35">
      <c r="A19" s="238" t="s">
        <v>328</v>
      </c>
      <c r="B19" s="239" t="s">
        <v>329</v>
      </c>
      <c r="C19" s="240">
        <f>C20</f>
        <v>5065218</v>
      </c>
      <c r="D19" s="240"/>
    </row>
    <row r="20" spans="1:4" x14ac:dyDescent="0.35">
      <c r="A20" s="241" t="s">
        <v>311</v>
      </c>
      <c r="B20" s="242" t="s">
        <v>1164</v>
      </c>
      <c r="C20" s="243">
        <f>C21</f>
        <v>5065218</v>
      </c>
      <c r="D20" s="243"/>
    </row>
    <row r="21" spans="1:4" x14ac:dyDescent="0.35">
      <c r="A21" s="244"/>
      <c r="B21" s="245" t="s">
        <v>331</v>
      </c>
      <c r="C21" s="95">
        <v>5065218</v>
      </c>
      <c r="D21" s="95"/>
    </row>
    <row r="22" spans="1:4" ht="42" customHeight="1" x14ac:dyDescent="0.35">
      <c r="A22" s="235" t="s">
        <v>1165</v>
      </c>
      <c r="B22" s="236" t="s">
        <v>1166</v>
      </c>
      <c r="C22" s="237"/>
      <c r="D22" s="237"/>
    </row>
    <row r="23" spans="1:4" x14ac:dyDescent="0.35">
      <c r="A23" s="238" t="s">
        <v>1121</v>
      </c>
      <c r="B23" s="239" t="s">
        <v>334</v>
      </c>
      <c r="C23" s="240"/>
      <c r="D23" s="240">
        <f>D26+D28</f>
        <v>5500218</v>
      </c>
    </row>
    <row r="24" spans="1:4" hidden="1" x14ac:dyDescent="0.35">
      <c r="A24" s="241" t="s">
        <v>311</v>
      </c>
      <c r="B24" s="242" t="s">
        <v>910</v>
      </c>
      <c r="C24" s="243"/>
      <c r="D24" s="243">
        <f>D25</f>
        <v>0</v>
      </c>
    </row>
    <row r="25" spans="1:4" hidden="1" x14ac:dyDescent="0.35">
      <c r="A25" s="244"/>
      <c r="B25" s="251" t="s">
        <v>1167</v>
      </c>
      <c r="C25" s="95"/>
      <c r="D25" s="95">
        <v>0</v>
      </c>
    </row>
    <row r="26" spans="1:4" x14ac:dyDescent="0.35">
      <c r="A26" s="241" t="s">
        <v>311</v>
      </c>
      <c r="B26" s="242" t="s">
        <v>292</v>
      </c>
      <c r="C26" s="243"/>
      <c r="D26" s="243">
        <v>435000</v>
      </c>
    </row>
    <row r="27" spans="1:4" x14ac:dyDescent="0.35">
      <c r="A27" s="244"/>
      <c r="B27" s="251"/>
      <c r="C27" s="95"/>
      <c r="D27" s="95"/>
    </row>
    <row r="28" spans="1:4" x14ac:dyDescent="0.35">
      <c r="A28" s="241" t="s">
        <v>322</v>
      </c>
      <c r="B28" s="242" t="s">
        <v>339</v>
      </c>
      <c r="C28" s="243"/>
      <c r="D28" s="243">
        <f>D29</f>
        <v>5065218</v>
      </c>
    </row>
    <row r="29" spans="1:4" x14ac:dyDescent="0.35">
      <c r="A29" s="244"/>
      <c r="B29" s="251" t="s">
        <v>1251</v>
      </c>
      <c r="C29" s="95"/>
      <c r="D29" s="95">
        <f>+C3-D26</f>
        <v>5065218</v>
      </c>
    </row>
    <row r="30" spans="1:4" x14ac:dyDescent="0.35">
      <c r="A30" s="238" t="s">
        <v>1168</v>
      </c>
      <c r="B30" s="239" t="s">
        <v>340</v>
      </c>
      <c r="C30" s="240"/>
      <c r="D30" s="240">
        <f>D31+D33</f>
        <v>0</v>
      </c>
    </row>
    <row r="31" spans="1:4" x14ac:dyDescent="0.35">
      <c r="A31" s="241" t="s">
        <v>311</v>
      </c>
      <c r="B31" s="242" t="s">
        <v>351</v>
      </c>
      <c r="C31" s="243"/>
      <c r="D31" s="243">
        <f>D32</f>
        <v>0</v>
      </c>
    </row>
    <row r="32" spans="1:4" ht="29" hidden="1" x14ac:dyDescent="0.35">
      <c r="A32" s="311"/>
      <c r="B32" s="312" t="s">
        <v>1252</v>
      </c>
      <c r="C32" s="313"/>
      <c r="D32" s="313"/>
    </row>
    <row r="33" spans="1:4" x14ac:dyDescent="0.35">
      <c r="A33" s="241" t="s">
        <v>322</v>
      </c>
      <c r="B33" s="242" t="s">
        <v>342</v>
      </c>
      <c r="C33" s="243"/>
      <c r="D33" s="243">
        <v>0</v>
      </c>
    </row>
    <row r="34" spans="1:4" x14ac:dyDescent="0.35">
      <c r="A34" s="248"/>
      <c r="B34" s="249" t="s">
        <v>583</v>
      </c>
      <c r="C34" s="250"/>
      <c r="D34" s="250">
        <f>D23+D30</f>
        <v>5500218</v>
      </c>
    </row>
    <row r="35" spans="1:4" x14ac:dyDescent="0.35">
      <c r="A35" s="238" t="s">
        <v>1169</v>
      </c>
      <c r="B35" s="239" t="s">
        <v>586</v>
      </c>
      <c r="C35" s="240"/>
      <c r="D35" s="240">
        <v>0</v>
      </c>
    </row>
  </sheetData>
  <pageMargins left="0.6692913385826772" right="0.27559055118110237" top="1.1811023622047245" bottom="0.74803149606299213" header="0.31496062992125984" footer="0.31496062992125984"/>
  <pageSetup paperSize="9" scale="70" orientation="portrait" r:id="rId1"/>
  <headerFooter>
    <oddHeader>&amp;L2.6 melléklet&amp;C&amp;"-,Félkövér"&amp;14
A Környezetvédelmi Alap 2021. évi költségvetése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50"/>
  <sheetViews>
    <sheetView view="pageBreakPreview" topLeftCell="A48" zoomScale="90" zoomScaleNormal="100" zoomScaleSheetLayoutView="90" workbookViewId="0">
      <selection activeCell="J50" sqref="J50"/>
    </sheetView>
  </sheetViews>
  <sheetFormatPr defaultColWidth="9.1796875" defaultRowHeight="14.5" x14ac:dyDescent="0.35"/>
  <cols>
    <col min="1" max="1" width="5.7265625" style="232" customWidth="1"/>
    <col min="2" max="2" width="36.453125" style="268" customWidth="1"/>
    <col min="3" max="3" width="11.81640625" style="268" bestFit="1" customWidth="1"/>
    <col min="4" max="4" width="10.7265625" style="268" bestFit="1" customWidth="1"/>
    <col min="5" max="5" width="10.1796875" style="268" customWidth="1"/>
    <col min="6" max="7" width="12.26953125" style="268" customWidth="1"/>
    <col min="8" max="8" width="11.1796875" style="268" customWidth="1"/>
    <col min="9" max="9" width="10.1796875" style="268" customWidth="1"/>
    <col min="10" max="10" width="11.7265625" style="268" customWidth="1"/>
    <col min="11" max="11" width="12.26953125" style="268" hidden="1" customWidth="1"/>
    <col min="12" max="12" width="11.1796875" style="268" hidden="1" customWidth="1"/>
    <col min="13" max="13" width="10.1796875" style="268" hidden="1" customWidth="1"/>
    <col min="14" max="14" width="12.54296875" style="268" hidden="1" customWidth="1"/>
    <col min="15" max="15" width="14" style="268" hidden="1" customWidth="1"/>
    <col min="16" max="16" width="15.453125" style="268" hidden="1" customWidth="1"/>
    <col min="17" max="17" width="13.453125" style="268" hidden="1" customWidth="1"/>
    <col min="18" max="18" width="15.1796875" style="268" hidden="1" customWidth="1"/>
    <col min="19" max="19" width="13.7265625" style="268" bestFit="1" customWidth="1"/>
    <col min="20" max="16384" width="9.1796875" style="268"/>
  </cols>
  <sheetData>
    <row r="1" spans="1:18" x14ac:dyDescent="0.35">
      <c r="F1" s="31"/>
      <c r="J1" s="31" t="s">
        <v>1638</v>
      </c>
      <c r="N1" s="31" t="s">
        <v>1638</v>
      </c>
    </row>
    <row r="2" spans="1:18" x14ac:dyDescent="0.35">
      <c r="A2" s="328" t="s">
        <v>468</v>
      </c>
      <c r="B2" s="328" t="s">
        <v>640</v>
      </c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</row>
    <row r="3" spans="1:18" ht="52.5" customHeight="1" x14ac:dyDescent="0.35">
      <c r="A3" s="1066" t="s">
        <v>305</v>
      </c>
      <c r="B3" s="1066" t="s">
        <v>306</v>
      </c>
      <c r="C3" s="1063" t="s">
        <v>1794</v>
      </c>
      <c r="D3" s="1064"/>
      <c r="E3" s="1064"/>
      <c r="F3" s="1065"/>
      <c r="G3" s="1063" t="s">
        <v>1796</v>
      </c>
      <c r="H3" s="1064"/>
      <c r="I3" s="1064"/>
      <c r="J3" s="1065"/>
      <c r="K3" s="1063" t="s">
        <v>1798</v>
      </c>
      <c r="L3" s="1064"/>
      <c r="M3" s="1064"/>
      <c r="N3" s="1065"/>
      <c r="O3" s="1063"/>
      <c r="P3" s="1089"/>
      <c r="Q3" s="1089"/>
      <c r="R3" s="1090"/>
    </row>
    <row r="4" spans="1:18" ht="56.25" customHeight="1" x14ac:dyDescent="0.35">
      <c r="A4" s="1066"/>
      <c r="B4" s="1066"/>
      <c r="C4" s="539" t="s">
        <v>1289</v>
      </c>
      <c r="D4" s="539" t="s">
        <v>1290</v>
      </c>
      <c r="E4" s="539" t="s">
        <v>1291</v>
      </c>
      <c r="F4" s="539" t="s">
        <v>549</v>
      </c>
      <c r="G4" s="719" t="s">
        <v>1289</v>
      </c>
      <c r="H4" s="719" t="s">
        <v>1290</v>
      </c>
      <c r="I4" s="719" t="s">
        <v>1291</v>
      </c>
      <c r="J4" s="719" t="s">
        <v>549</v>
      </c>
      <c r="K4" s="719" t="s">
        <v>1289</v>
      </c>
      <c r="L4" s="719" t="s">
        <v>1290</v>
      </c>
      <c r="M4" s="719" t="s">
        <v>1291</v>
      </c>
      <c r="N4" s="719" t="s">
        <v>549</v>
      </c>
      <c r="O4" s="719" t="s">
        <v>1289</v>
      </c>
      <c r="P4" s="719" t="s">
        <v>1290</v>
      </c>
      <c r="Q4" s="719" t="s">
        <v>1291</v>
      </c>
      <c r="R4" s="719" t="s">
        <v>549</v>
      </c>
    </row>
    <row r="5" spans="1:18" x14ac:dyDescent="0.35">
      <c r="A5" s="329"/>
      <c r="B5" s="501" t="s">
        <v>307</v>
      </c>
      <c r="C5" s="331">
        <f>+'3.2 melléklet'!C5</f>
        <v>79</v>
      </c>
      <c r="D5" s="331">
        <v>5</v>
      </c>
      <c r="E5" s="331">
        <v>0</v>
      </c>
      <c r="F5" s="331">
        <f>SUM(C5:E5)</f>
        <v>84</v>
      </c>
      <c r="G5" s="331">
        <f>+'3.2 melléklet'!G5</f>
        <v>79</v>
      </c>
      <c r="H5" s="331">
        <v>5</v>
      </c>
      <c r="I5" s="331">
        <v>0</v>
      </c>
      <c r="J5" s="331">
        <f>SUM(G5:I5)</f>
        <v>84</v>
      </c>
      <c r="K5" s="331">
        <f>+'3.2 melléklet'!K5</f>
        <v>79</v>
      </c>
      <c r="L5" s="331">
        <v>5</v>
      </c>
      <c r="M5" s="331">
        <v>0</v>
      </c>
      <c r="N5" s="331">
        <f>SUM(K5:M5)</f>
        <v>84</v>
      </c>
      <c r="O5" s="331">
        <f>+'3.2 melléklet'!O5</f>
        <v>79</v>
      </c>
      <c r="P5" s="331">
        <v>5</v>
      </c>
      <c r="Q5" s="331">
        <v>0</v>
      </c>
      <c r="R5" s="331">
        <f>SUM(O5:Q5)</f>
        <v>84</v>
      </c>
    </row>
    <row r="6" spans="1:18" ht="29" x14ac:dyDescent="0.35">
      <c r="A6" s="329"/>
      <c r="B6" s="501" t="s">
        <v>308</v>
      </c>
      <c r="C6" s="331">
        <v>0</v>
      </c>
      <c r="D6" s="331">
        <v>0</v>
      </c>
      <c r="E6" s="331">
        <v>0</v>
      </c>
      <c r="F6" s="331">
        <f t="shared" ref="F6:F7" si="0">SUM(C6:E6)</f>
        <v>0</v>
      </c>
      <c r="G6" s="331">
        <v>0</v>
      </c>
      <c r="H6" s="331">
        <v>0</v>
      </c>
      <c r="I6" s="331">
        <v>0</v>
      </c>
      <c r="J6" s="331">
        <f t="shared" ref="J6:J7" si="1">SUM(G6:I6)</f>
        <v>0</v>
      </c>
      <c r="K6" s="331">
        <v>0</v>
      </c>
      <c r="L6" s="331">
        <v>0</v>
      </c>
      <c r="M6" s="331">
        <v>0</v>
      </c>
      <c r="N6" s="331">
        <f t="shared" ref="N6:N49" si="2">SUM(K6:M6)</f>
        <v>0</v>
      </c>
      <c r="O6" s="331">
        <v>0</v>
      </c>
      <c r="P6" s="331">
        <v>0</v>
      </c>
      <c r="Q6" s="331">
        <v>0</v>
      </c>
      <c r="R6" s="331">
        <f t="shared" ref="R6:R49" si="3">SUM(O6:Q6)</f>
        <v>0</v>
      </c>
    </row>
    <row r="7" spans="1:18" ht="29" x14ac:dyDescent="0.35">
      <c r="A7" s="329"/>
      <c r="B7" s="501" t="s">
        <v>641</v>
      </c>
      <c r="C7" s="331">
        <v>7</v>
      </c>
      <c r="D7" s="331">
        <v>0</v>
      </c>
      <c r="E7" s="331">
        <v>0</v>
      </c>
      <c r="F7" s="331">
        <f t="shared" si="0"/>
        <v>7</v>
      </c>
      <c r="G7" s="331">
        <v>7</v>
      </c>
      <c r="H7" s="331">
        <v>0</v>
      </c>
      <c r="I7" s="331">
        <v>0</v>
      </c>
      <c r="J7" s="331">
        <f t="shared" si="1"/>
        <v>7</v>
      </c>
      <c r="K7" s="331">
        <v>7</v>
      </c>
      <c r="L7" s="331">
        <v>0</v>
      </c>
      <c r="M7" s="331">
        <v>0</v>
      </c>
      <c r="N7" s="331">
        <f t="shared" si="2"/>
        <v>7</v>
      </c>
      <c r="O7" s="331">
        <v>7</v>
      </c>
      <c r="P7" s="331">
        <v>0</v>
      </c>
      <c r="Q7" s="331">
        <v>0</v>
      </c>
      <c r="R7" s="331">
        <f t="shared" si="3"/>
        <v>7</v>
      </c>
    </row>
    <row r="8" spans="1:18" x14ac:dyDescent="0.35">
      <c r="A8" s="502" t="s">
        <v>309</v>
      </c>
      <c r="B8" s="503" t="s">
        <v>310</v>
      </c>
      <c r="C8" s="504">
        <v>2540000</v>
      </c>
      <c r="D8" s="504">
        <v>0</v>
      </c>
      <c r="E8" s="504">
        <v>0</v>
      </c>
      <c r="F8" s="504">
        <v>2540000</v>
      </c>
      <c r="G8" s="504">
        <v>2540000</v>
      </c>
      <c r="H8" s="504">
        <v>0</v>
      </c>
      <c r="I8" s="504">
        <v>0</v>
      </c>
      <c r="J8" s="504">
        <v>2540000</v>
      </c>
      <c r="K8" s="504">
        <f>K9+K11+K14</f>
        <v>2261185</v>
      </c>
      <c r="L8" s="504">
        <f>L9+L11+L14</f>
        <v>0</v>
      </c>
      <c r="M8" s="504">
        <f>M9+M11+M14</f>
        <v>0</v>
      </c>
      <c r="N8" s="504">
        <f t="shared" si="2"/>
        <v>2261185</v>
      </c>
      <c r="O8" s="504">
        <f>O9+O11+O14</f>
        <v>0</v>
      </c>
      <c r="P8" s="504">
        <f>P9+P11+P14</f>
        <v>0</v>
      </c>
      <c r="Q8" s="504">
        <f>Q9+Q11+Q14</f>
        <v>0</v>
      </c>
      <c r="R8" s="504">
        <f t="shared" si="3"/>
        <v>0</v>
      </c>
    </row>
    <row r="9" spans="1:18" ht="29" x14ac:dyDescent="0.35">
      <c r="A9" s="505" t="s">
        <v>311</v>
      </c>
      <c r="B9" s="506" t="s">
        <v>312</v>
      </c>
      <c r="C9" s="507">
        <v>0</v>
      </c>
      <c r="D9" s="507">
        <v>0</v>
      </c>
      <c r="E9" s="507">
        <v>0</v>
      </c>
      <c r="F9" s="507">
        <v>0</v>
      </c>
      <c r="G9" s="507">
        <v>0</v>
      </c>
      <c r="H9" s="507">
        <v>0</v>
      </c>
      <c r="I9" s="507">
        <v>0</v>
      </c>
      <c r="J9" s="507">
        <v>0</v>
      </c>
      <c r="K9" s="507">
        <v>0</v>
      </c>
      <c r="L9" s="507">
        <v>0</v>
      </c>
      <c r="M9" s="507">
        <v>0</v>
      </c>
      <c r="N9" s="507">
        <f t="shared" si="2"/>
        <v>0</v>
      </c>
      <c r="O9" s="507">
        <f>O10</f>
        <v>0</v>
      </c>
      <c r="P9" s="507">
        <f>P10</f>
        <v>0</v>
      </c>
      <c r="Q9" s="507">
        <f>Q10</f>
        <v>0</v>
      </c>
      <c r="R9" s="507">
        <f t="shared" si="3"/>
        <v>0</v>
      </c>
    </row>
    <row r="10" spans="1:18" ht="29" x14ac:dyDescent="0.35">
      <c r="A10" s="474"/>
      <c r="B10" s="338" t="s">
        <v>313</v>
      </c>
      <c r="C10" s="492">
        <v>0</v>
      </c>
      <c r="D10" s="492">
        <v>0</v>
      </c>
      <c r="E10" s="492">
        <v>0</v>
      </c>
      <c r="F10" s="492">
        <v>0</v>
      </c>
      <c r="G10" s="492">
        <v>0</v>
      </c>
      <c r="H10" s="492">
        <v>0</v>
      </c>
      <c r="I10" s="492">
        <v>0</v>
      </c>
      <c r="J10" s="492">
        <v>0</v>
      </c>
      <c r="K10" s="492">
        <v>0</v>
      </c>
      <c r="L10" s="492">
        <v>0</v>
      </c>
      <c r="M10" s="492">
        <v>0</v>
      </c>
      <c r="N10" s="492">
        <f t="shared" si="2"/>
        <v>0</v>
      </c>
      <c r="O10" s="492">
        <v>0</v>
      </c>
      <c r="P10" s="492">
        <v>0</v>
      </c>
      <c r="Q10" s="492">
        <v>0</v>
      </c>
      <c r="R10" s="492">
        <f t="shared" si="3"/>
        <v>0</v>
      </c>
    </row>
    <row r="11" spans="1:18" x14ac:dyDescent="0.35">
      <c r="A11" s="505" t="s">
        <v>311</v>
      </c>
      <c r="B11" s="506" t="s">
        <v>484</v>
      </c>
      <c r="C11" s="507">
        <v>0</v>
      </c>
      <c r="D11" s="507">
        <v>0</v>
      </c>
      <c r="E11" s="507">
        <v>0</v>
      </c>
      <c r="F11" s="507">
        <v>0</v>
      </c>
      <c r="G11" s="507">
        <v>0</v>
      </c>
      <c r="H11" s="507">
        <v>0</v>
      </c>
      <c r="I11" s="507">
        <v>0</v>
      </c>
      <c r="J11" s="507">
        <v>0</v>
      </c>
      <c r="K11" s="507">
        <f>SUM(K12:K13)</f>
        <v>550000</v>
      </c>
      <c r="L11" s="507">
        <f>SUM(L12:L13)</f>
        <v>0</v>
      </c>
      <c r="M11" s="507">
        <f>SUM(M12:M13)</f>
        <v>0</v>
      </c>
      <c r="N11" s="507">
        <f t="shared" si="2"/>
        <v>550000</v>
      </c>
      <c r="O11" s="507">
        <f>SUM(O12:O13)</f>
        <v>0</v>
      </c>
      <c r="P11" s="507">
        <f>SUM(P12:P13)</f>
        <v>0</v>
      </c>
      <c r="Q11" s="507">
        <f>SUM(Q12:Q13)</f>
        <v>0</v>
      </c>
      <c r="R11" s="507">
        <f t="shared" si="3"/>
        <v>0</v>
      </c>
    </row>
    <row r="12" spans="1:18" x14ac:dyDescent="0.35">
      <c r="A12" s="474"/>
      <c r="B12" s="360" t="s">
        <v>642</v>
      </c>
      <c r="C12" s="492"/>
      <c r="D12" s="492">
        <v>0</v>
      </c>
      <c r="E12" s="492">
        <v>0</v>
      </c>
      <c r="F12" s="492">
        <v>0</v>
      </c>
      <c r="G12" s="492"/>
      <c r="H12" s="492">
        <v>0</v>
      </c>
      <c r="I12" s="492">
        <v>0</v>
      </c>
      <c r="J12" s="492">
        <v>0</v>
      </c>
      <c r="K12" s="492"/>
      <c r="L12" s="492">
        <v>0</v>
      </c>
      <c r="M12" s="492">
        <v>0</v>
      </c>
      <c r="N12" s="492">
        <f t="shared" si="2"/>
        <v>0</v>
      </c>
      <c r="O12" s="492"/>
      <c r="P12" s="492">
        <v>0</v>
      </c>
      <c r="Q12" s="492">
        <v>0</v>
      </c>
      <c r="R12" s="492">
        <f t="shared" si="3"/>
        <v>0</v>
      </c>
    </row>
    <row r="13" spans="1:18" x14ac:dyDescent="0.35">
      <c r="A13" s="474"/>
      <c r="B13" s="338" t="s">
        <v>643</v>
      </c>
      <c r="C13" s="492">
        <v>0</v>
      </c>
      <c r="D13" s="492">
        <v>0</v>
      </c>
      <c r="E13" s="492">
        <v>0</v>
      </c>
      <c r="F13" s="492">
        <v>0</v>
      </c>
      <c r="G13" s="492">
        <v>0</v>
      </c>
      <c r="H13" s="492">
        <v>0</v>
      </c>
      <c r="I13" s="492">
        <v>0</v>
      </c>
      <c r="J13" s="492">
        <v>0</v>
      </c>
      <c r="K13" s="492">
        <v>550000</v>
      </c>
      <c r="L13" s="492">
        <v>0</v>
      </c>
      <c r="M13" s="492">
        <v>0</v>
      </c>
      <c r="N13" s="492">
        <f t="shared" si="2"/>
        <v>550000</v>
      </c>
      <c r="O13" s="492">
        <v>0</v>
      </c>
      <c r="P13" s="492">
        <v>0</v>
      </c>
      <c r="Q13" s="492">
        <v>0</v>
      </c>
      <c r="R13" s="492">
        <f t="shared" si="3"/>
        <v>0</v>
      </c>
    </row>
    <row r="14" spans="1:18" x14ac:dyDescent="0.35">
      <c r="A14" s="505" t="s">
        <v>322</v>
      </c>
      <c r="B14" s="506" t="s">
        <v>314</v>
      </c>
      <c r="C14" s="507">
        <v>2540000</v>
      </c>
      <c r="D14" s="507">
        <v>0</v>
      </c>
      <c r="E14" s="507">
        <v>0</v>
      </c>
      <c r="F14" s="507">
        <v>2540000</v>
      </c>
      <c r="G14" s="507">
        <v>2540000</v>
      </c>
      <c r="H14" s="507">
        <v>0</v>
      </c>
      <c r="I14" s="507">
        <v>0</v>
      </c>
      <c r="J14" s="507">
        <v>2540000</v>
      </c>
      <c r="K14" s="507">
        <f>SUM(K15:K22)</f>
        <v>1711185</v>
      </c>
      <c r="L14" s="507">
        <f>SUM(L15:L22)</f>
        <v>0</v>
      </c>
      <c r="M14" s="507">
        <f>SUM(M15:M22)</f>
        <v>0</v>
      </c>
      <c r="N14" s="507">
        <f t="shared" si="2"/>
        <v>1711185</v>
      </c>
      <c r="O14" s="507">
        <f>SUM(O15:O22)</f>
        <v>0</v>
      </c>
      <c r="P14" s="507">
        <f>SUM(P15:P22)</f>
        <v>0</v>
      </c>
      <c r="Q14" s="507">
        <f>SUM(Q15:Q22)</f>
        <v>0</v>
      </c>
      <c r="R14" s="507">
        <f t="shared" si="3"/>
        <v>0</v>
      </c>
    </row>
    <row r="15" spans="1:18" x14ac:dyDescent="0.35">
      <c r="A15" s="474"/>
      <c r="B15" s="338" t="s">
        <v>644</v>
      </c>
      <c r="C15" s="492">
        <v>0</v>
      </c>
      <c r="D15" s="492">
        <v>0</v>
      </c>
      <c r="E15" s="492">
        <v>0</v>
      </c>
      <c r="F15" s="492">
        <v>0</v>
      </c>
      <c r="G15" s="492">
        <v>0</v>
      </c>
      <c r="H15" s="492">
        <v>0</v>
      </c>
      <c r="I15" s="492">
        <v>0</v>
      </c>
      <c r="J15" s="492">
        <v>0</v>
      </c>
      <c r="K15" s="492">
        <v>0</v>
      </c>
      <c r="L15" s="492">
        <v>0</v>
      </c>
      <c r="M15" s="492">
        <v>0</v>
      </c>
      <c r="N15" s="492">
        <f t="shared" si="2"/>
        <v>0</v>
      </c>
      <c r="O15" s="492">
        <f>PH!AI181</f>
        <v>0</v>
      </c>
      <c r="P15" s="492">
        <f>PH!AJ181</f>
        <v>0</v>
      </c>
      <c r="Q15" s="492">
        <f>PH!AK181</f>
        <v>0</v>
      </c>
      <c r="R15" s="492">
        <f t="shared" si="3"/>
        <v>0</v>
      </c>
    </row>
    <row r="16" spans="1:18" x14ac:dyDescent="0.35">
      <c r="A16" s="474"/>
      <c r="B16" s="338" t="s">
        <v>645</v>
      </c>
      <c r="C16" s="492">
        <v>2000000</v>
      </c>
      <c r="D16" s="492">
        <v>0</v>
      </c>
      <c r="E16" s="492">
        <v>0</v>
      </c>
      <c r="F16" s="492">
        <v>2000000</v>
      </c>
      <c r="G16" s="492">
        <v>2000000</v>
      </c>
      <c r="H16" s="492">
        <v>0</v>
      </c>
      <c r="I16" s="492">
        <v>0</v>
      </c>
      <c r="J16" s="492">
        <v>2000000</v>
      </c>
      <c r="K16" s="492">
        <f>95205+1278876</f>
        <v>1374081</v>
      </c>
      <c r="L16" s="492">
        <v>0</v>
      </c>
      <c r="M16" s="492">
        <v>0</v>
      </c>
      <c r="N16" s="492">
        <f t="shared" si="2"/>
        <v>1374081</v>
      </c>
      <c r="O16" s="492"/>
      <c r="P16" s="492">
        <v>0</v>
      </c>
      <c r="Q16" s="492">
        <v>0</v>
      </c>
      <c r="R16" s="492">
        <f t="shared" si="3"/>
        <v>0</v>
      </c>
    </row>
    <row r="17" spans="1:18" x14ac:dyDescent="0.35">
      <c r="A17" s="474"/>
      <c r="B17" s="338" t="s">
        <v>652</v>
      </c>
      <c r="C17" s="492">
        <v>0</v>
      </c>
      <c r="D17" s="492">
        <v>0</v>
      </c>
      <c r="E17" s="492">
        <v>0</v>
      </c>
      <c r="F17" s="492">
        <v>0</v>
      </c>
      <c r="G17" s="492"/>
      <c r="H17" s="492">
        <v>0</v>
      </c>
      <c r="I17" s="492">
        <v>0</v>
      </c>
      <c r="J17" s="492">
        <v>0</v>
      </c>
      <c r="K17" s="492"/>
      <c r="L17" s="492">
        <v>0</v>
      </c>
      <c r="M17" s="492">
        <v>0</v>
      </c>
      <c r="N17" s="492">
        <f t="shared" si="2"/>
        <v>0</v>
      </c>
      <c r="O17" s="492"/>
      <c r="P17" s="492">
        <f>PH!AJ184</f>
        <v>0</v>
      </c>
      <c r="Q17" s="492">
        <f>PH!AK184</f>
        <v>0</v>
      </c>
      <c r="R17" s="492">
        <f t="shared" si="3"/>
        <v>0</v>
      </c>
    </row>
    <row r="18" spans="1:18" x14ac:dyDescent="0.35">
      <c r="A18" s="474"/>
      <c r="B18" s="338" t="s">
        <v>653</v>
      </c>
      <c r="C18" s="492">
        <v>0</v>
      </c>
      <c r="D18" s="492">
        <v>0</v>
      </c>
      <c r="E18" s="492">
        <v>0</v>
      </c>
      <c r="F18" s="492">
        <v>0</v>
      </c>
      <c r="G18" s="492"/>
      <c r="H18" s="492">
        <v>0</v>
      </c>
      <c r="I18" s="492">
        <v>0</v>
      </c>
      <c r="J18" s="492">
        <v>0</v>
      </c>
      <c r="K18" s="492"/>
      <c r="L18" s="492">
        <v>0</v>
      </c>
      <c r="M18" s="492">
        <v>0</v>
      </c>
      <c r="N18" s="492">
        <f t="shared" si="2"/>
        <v>0</v>
      </c>
      <c r="O18" s="492"/>
      <c r="P18" s="492">
        <f>PH!AJ185</f>
        <v>0</v>
      </c>
      <c r="Q18" s="492">
        <f>PH!AK185</f>
        <v>0</v>
      </c>
      <c r="R18" s="492">
        <f t="shared" si="3"/>
        <v>0</v>
      </c>
    </row>
    <row r="19" spans="1:18" x14ac:dyDescent="0.35">
      <c r="A19" s="474"/>
      <c r="B19" s="338" t="s">
        <v>654</v>
      </c>
      <c r="C19" s="492">
        <v>540000</v>
      </c>
      <c r="D19" s="492">
        <v>0</v>
      </c>
      <c r="E19" s="492">
        <v>0</v>
      </c>
      <c r="F19" s="492">
        <v>540000</v>
      </c>
      <c r="G19" s="492">
        <v>540000</v>
      </c>
      <c r="H19" s="492">
        <v>0</v>
      </c>
      <c r="I19" s="492">
        <v>0</v>
      </c>
      <c r="J19" s="492">
        <v>540000</v>
      </c>
      <c r="K19" s="492">
        <v>336898</v>
      </c>
      <c r="L19" s="492">
        <v>0</v>
      </c>
      <c r="M19" s="492">
        <v>0</v>
      </c>
      <c r="N19" s="492">
        <f t="shared" si="2"/>
        <v>336898</v>
      </c>
      <c r="O19" s="492"/>
      <c r="P19" s="492">
        <v>0</v>
      </c>
      <c r="Q19" s="492">
        <v>0</v>
      </c>
      <c r="R19" s="492">
        <f t="shared" si="3"/>
        <v>0</v>
      </c>
    </row>
    <row r="20" spans="1:18" x14ac:dyDescent="0.35">
      <c r="A20" s="474"/>
      <c r="B20" s="338" t="s">
        <v>655</v>
      </c>
      <c r="C20" s="492">
        <v>0</v>
      </c>
      <c r="D20" s="492">
        <v>0</v>
      </c>
      <c r="E20" s="492">
        <v>0</v>
      </c>
      <c r="F20" s="492">
        <v>0</v>
      </c>
      <c r="G20" s="492">
        <v>0</v>
      </c>
      <c r="H20" s="492">
        <v>0</v>
      </c>
      <c r="I20" s="492">
        <v>0</v>
      </c>
      <c r="J20" s="492">
        <v>0</v>
      </c>
      <c r="K20" s="492"/>
      <c r="L20" s="492">
        <v>0</v>
      </c>
      <c r="M20" s="492">
        <v>0</v>
      </c>
      <c r="N20" s="492">
        <f t="shared" si="2"/>
        <v>0</v>
      </c>
      <c r="O20" s="492"/>
      <c r="P20" s="492">
        <f>PH!AJ187</f>
        <v>0</v>
      </c>
      <c r="Q20" s="492">
        <f>PH!AK187</f>
        <v>0</v>
      </c>
      <c r="R20" s="492">
        <f t="shared" si="3"/>
        <v>0</v>
      </c>
    </row>
    <row r="21" spans="1:18" x14ac:dyDescent="0.35">
      <c r="A21" s="474"/>
      <c r="B21" s="338" t="s">
        <v>656</v>
      </c>
      <c r="C21" s="492">
        <v>0</v>
      </c>
      <c r="D21" s="492">
        <v>0</v>
      </c>
      <c r="E21" s="492">
        <v>0</v>
      </c>
      <c r="F21" s="492">
        <v>0</v>
      </c>
      <c r="G21" s="492">
        <v>0</v>
      </c>
      <c r="H21" s="492">
        <v>0</v>
      </c>
      <c r="I21" s="492">
        <v>0</v>
      </c>
      <c r="J21" s="492">
        <v>0</v>
      </c>
      <c r="K21" s="492"/>
      <c r="L21" s="492">
        <v>0</v>
      </c>
      <c r="M21" s="492">
        <v>0</v>
      </c>
      <c r="N21" s="492">
        <f t="shared" si="2"/>
        <v>0</v>
      </c>
      <c r="O21" s="492"/>
      <c r="P21" s="492">
        <f>PH!AJ188</f>
        <v>0</v>
      </c>
      <c r="Q21" s="492">
        <f>PH!AK188</f>
        <v>0</v>
      </c>
      <c r="R21" s="492">
        <f t="shared" si="3"/>
        <v>0</v>
      </c>
    </row>
    <row r="22" spans="1:18" x14ac:dyDescent="0.35">
      <c r="A22" s="474"/>
      <c r="B22" s="338" t="s">
        <v>657</v>
      </c>
      <c r="C22" s="492">
        <v>0</v>
      </c>
      <c r="D22" s="492">
        <v>0</v>
      </c>
      <c r="E22" s="492">
        <v>0</v>
      </c>
      <c r="F22" s="492">
        <v>0</v>
      </c>
      <c r="G22" s="492">
        <v>0</v>
      </c>
      <c r="H22" s="492">
        <v>0</v>
      </c>
      <c r="I22" s="492">
        <v>0</v>
      </c>
      <c r="J22" s="492">
        <v>0</v>
      </c>
      <c r="K22" s="492">
        <v>206</v>
      </c>
      <c r="L22" s="492">
        <v>0</v>
      </c>
      <c r="M22" s="492">
        <v>0</v>
      </c>
      <c r="N22" s="492">
        <f t="shared" si="2"/>
        <v>206</v>
      </c>
      <c r="O22" s="492">
        <v>0</v>
      </c>
      <c r="P22" s="492">
        <f>PH!AJ190</f>
        <v>0</v>
      </c>
      <c r="Q22" s="492">
        <f>PH!AK190</f>
        <v>0</v>
      </c>
      <c r="R22" s="492">
        <f t="shared" si="3"/>
        <v>0</v>
      </c>
    </row>
    <row r="23" spans="1:18" x14ac:dyDescent="0.35">
      <c r="A23" s="505" t="s">
        <v>315</v>
      </c>
      <c r="B23" s="506" t="s">
        <v>316</v>
      </c>
      <c r="C23" s="507">
        <v>0</v>
      </c>
      <c r="D23" s="507">
        <v>0</v>
      </c>
      <c r="E23" s="507">
        <v>0</v>
      </c>
      <c r="F23" s="507">
        <v>0</v>
      </c>
      <c r="G23" s="507">
        <v>0</v>
      </c>
      <c r="H23" s="507">
        <v>0</v>
      </c>
      <c r="I23" s="507">
        <v>0</v>
      </c>
      <c r="J23" s="507">
        <v>0</v>
      </c>
      <c r="K23" s="507">
        <v>0</v>
      </c>
      <c r="L23" s="507">
        <v>0</v>
      </c>
      <c r="M23" s="507">
        <v>0</v>
      </c>
      <c r="N23" s="507">
        <f t="shared" si="2"/>
        <v>0</v>
      </c>
      <c r="O23" s="507">
        <f>SUM(O24:O24)</f>
        <v>0</v>
      </c>
      <c r="P23" s="507">
        <f>SUM(P24:P24)</f>
        <v>0</v>
      </c>
      <c r="Q23" s="507">
        <f>SUM(Q24:Q24)</f>
        <v>0</v>
      </c>
      <c r="R23" s="507">
        <f t="shared" si="3"/>
        <v>0</v>
      </c>
    </row>
    <row r="24" spans="1:18" ht="29" x14ac:dyDescent="0.35">
      <c r="A24" s="474"/>
      <c r="B24" s="338" t="s">
        <v>317</v>
      </c>
      <c r="C24" s="492">
        <v>0</v>
      </c>
      <c r="D24" s="492">
        <v>0</v>
      </c>
      <c r="E24" s="492">
        <v>0</v>
      </c>
      <c r="F24" s="492">
        <v>0</v>
      </c>
      <c r="G24" s="492">
        <v>0</v>
      </c>
      <c r="H24" s="492">
        <v>0</v>
      </c>
      <c r="I24" s="492">
        <v>0</v>
      </c>
      <c r="J24" s="492">
        <v>0</v>
      </c>
      <c r="K24" s="492">
        <v>0</v>
      </c>
      <c r="L24" s="492">
        <v>0</v>
      </c>
      <c r="M24" s="492">
        <v>0</v>
      </c>
      <c r="N24" s="492">
        <f t="shared" si="2"/>
        <v>0</v>
      </c>
      <c r="O24" s="492">
        <v>0</v>
      </c>
      <c r="P24" s="492">
        <v>0</v>
      </c>
      <c r="Q24" s="492">
        <v>0</v>
      </c>
      <c r="R24" s="492">
        <f t="shared" si="3"/>
        <v>0</v>
      </c>
    </row>
    <row r="25" spans="1:18" ht="29" x14ac:dyDescent="0.35">
      <c r="A25" s="502" t="s">
        <v>318</v>
      </c>
      <c r="B25" s="503" t="s">
        <v>319</v>
      </c>
      <c r="C25" s="504">
        <v>0</v>
      </c>
      <c r="D25" s="504">
        <v>0</v>
      </c>
      <c r="E25" s="504">
        <v>0</v>
      </c>
      <c r="F25" s="504">
        <v>0</v>
      </c>
      <c r="G25" s="504">
        <v>0</v>
      </c>
      <c r="H25" s="504">
        <v>0</v>
      </c>
      <c r="I25" s="504">
        <v>0</v>
      </c>
      <c r="J25" s="504">
        <v>0</v>
      </c>
      <c r="K25" s="504">
        <f>K26+K28+K31</f>
        <v>104000</v>
      </c>
      <c r="L25" s="504">
        <f>L26+L28+L31</f>
        <v>0</v>
      </c>
      <c r="M25" s="504">
        <f>M26+M28+M31</f>
        <v>0</v>
      </c>
      <c r="N25" s="504">
        <f t="shared" si="2"/>
        <v>104000</v>
      </c>
      <c r="O25" s="504">
        <f>O26+O28+O31</f>
        <v>0</v>
      </c>
      <c r="P25" s="504">
        <f>P26+P28+P31</f>
        <v>0</v>
      </c>
      <c r="Q25" s="504">
        <f>Q26+Q28+Q31</f>
        <v>0</v>
      </c>
      <c r="R25" s="504">
        <f t="shared" si="3"/>
        <v>0</v>
      </c>
    </row>
    <row r="26" spans="1:18" ht="29" x14ac:dyDescent="0.35">
      <c r="A26" s="505" t="s">
        <v>311</v>
      </c>
      <c r="B26" s="506" t="s">
        <v>320</v>
      </c>
      <c r="C26" s="507">
        <v>0</v>
      </c>
      <c r="D26" s="507">
        <v>0</v>
      </c>
      <c r="E26" s="507">
        <v>0</v>
      </c>
      <c r="F26" s="507">
        <v>0</v>
      </c>
      <c r="G26" s="507">
        <v>0</v>
      </c>
      <c r="H26" s="507">
        <v>0</v>
      </c>
      <c r="I26" s="507">
        <v>0</v>
      </c>
      <c r="J26" s="507">
        <v>0</v>
      </c>
      <c r="K26" s="507">
        <f>SUM(K27:K27)</f>
        <v>0</v>
      </c>
      <c r="L26" s="507">
        <f>SUM(L27:L27)</f>
        <v>0</v>
      </c>
      <c r="M26" s="507">
        <f>SUM(M27:M27)</f>
        <v>0</v>
      </c>
      <c r="N26" s="507">
        <f t="shared" si="2"/>
        <v>0</v>
      </c>
      <c r="O26" s="507">
        <f>SUM(O27:O27)</f>
        <v>0</v>
      </c>
      <c r="P26" s="507">
        <f>SUM(P27:P27)</f>
        <v>0</v>
      </c>
      <c r="Q26" s="507">
        <f>SUM(Q27:Q27)</f>
        <v>0</v>
      </c>
      <c r="R26" s="507">
        <f t="shared" si="3"/>
        <v>0</v>
      </c>
    </row>
    <row r="27" spans="1:18" ht="29" x14ac:dyDescent="0.35">
      <c r="A27" s="474"/>
      <c r="B27" s="257" t="s">
        <v>321</v>
      </c>
      <c r="C27" s="492">
        <v>0</v>
      </c>
      <c r="D27" s="492">
        <v>0</v>
      </c>
      <c r="E27" s="492">
        <v>0</v>
      </c>
      <c r="F27" s="492">
        <v>0</v>
      </c>
      <c r="G27" s="492">
        <v>0</v>
      </c>
      <c r="H27" s="492">
        <v>0</v>
      </c>
      <c r="I27" s="492">
        <v>0</v>
      </c>
      <c r="J27" s="492">
        <v>0</v>
      </c>
      <c r="K27" s="492">
        <v>0</v>
      </c>
      <c r="L27" s="492">
        <v>0</v>
      </c>
      <c r="M27" s="492">
        <v>0</v>
      </c>
      <c r="N27" s="492">
        <f t="shared" si="2"/>
        <v>0</v>
      </c>
      <c r="O27" s="492">
        <v>0</v>
      </c>
      <c r="P27" s="492">
        <v>0</v>
      </c>
      <c r="Q27" s="492">
        <v>0</v>
      </c>
      <c r="R27" s="492">
        <f t="shared" si="3"/>
        <v>0</v>
      </c>
    </row>
    <row r="28" spans="1:18" x14ac:dyDescent="0.35">
      <c r="A28" s="505" t="s">
        <v>322</v>
      </c>
      <c r="B28" s="506" t="s">
        <v>257</v>
      </c>
      <c r="C28" s="507">
        <v>0</v>
      </c>
      <c r="D28" s="507">
        <v>0</v>
      </c>
      <c r="E28" s="507">
        <v>0</v>
      </c>
      <c r="F28" s="507">
        <v>0</v>
      </c>
      <c r="G28" s="507">
        <v>0</v>
      </c>
      <c r="H28" s="507">
        <v>0</v>
      </c>
      <c r="I28" s="507">
        <v>0</v>
      </c>
      <c r="J28" s="507">
        <v>0</v>
      </c>
      <c r="K28" s="507">
        <f>SUM(K29:K30)</f>
        <v>104000</v>
      </c>
      <c r="L28" s="507">
        <f>SUM(L29:L30)</f>
        <v>0</v>
      </c>
      <c r="M28" s="507">
        <f>SUM(M29:M30)</f>
        <v>0</v>
      </c>
      <c r="N28" s="507">
        <f t="shared" si="2"/>
        <v>104000</v>
      </c>
      <c r="O28" s="507">
        <f>SUM(O29:O30)</f>
        <v>0</v>
      </c>
      <c r="P28" s="507">
        <f>SUM(P29:P30)</f>
        <v>0</v>
      </c>
      <c r="Q28" s="507">
        <f>SUM(Q29:Q30)</f>
        <v>0</v>
      </c>
      <c r="R28" s="507">
        <f t="shared" si="3"/>
        <v>0</v>
      </c>
    </row>
    <row r="29" spans="1:18" ht="15" customHeight="1" x14ac:dyDescent="0.35">
      <c r="A29" s="474"/>
      <c r="B29" s="257" t="s">
        <v>323</v>
      </c>
      <c r="C29" s="492">
        <v>0</v>
      </c>
      <c r="D29" s="492">
        <v>0</v>
      </c>
      <c r="E29" s="492">
        <v>0</v>
      </c>
      <c r="F29" s="492">
        <v>0</v>
      </c>
      <c r="G29" s="492">
        <v>0</v>
      </c>
      <c r="H29" s="492">
        <v>0</v>
      </c>
      <c r="I29" s="492">
        <v>0</v>
      </c>
      <c r="J29" s="492">
        <v>0</v>
      </c>
      <c r="K29" s="492">
        <v>0</v>
      </c>
      <c r="L29" s="492">
        <v>0</v>
      </c>
      <c r="M29" s="492">
        <v>0</v>
      </c>
      <c r="N29" s="492">
        <f t="shared" si="2"/>
        <v>0</v>
      </c>
      <c r="O29" s="492">
        <v>0</v>
      </c>
      <c r="P29" s="492">
        <v>0</v>
      </c>
      <c r="Q29" s="492">
        <v>0</v>
      </c>
      <c r="R29" s="492">
        <f t="shared" si="3"/>
        <v>0</v>
      </c>
    </row>
    <row r="30" spans="1:18" ht="15" customHeight="1" x14ac:dyDescent="0.35">
      <c r="A30" s="474"/>
      <c r="B30" s="257" t="s">
        <v>324</v>
      </c>
      <c r="C30" s="492">
        <v>0</v>
      </c>
      <c r="D30" s="492">
        <v>0</v>
      </c>
      <c r="E30" s="492">
        <v>0</v>
      </c>
      <c r="F30" s="492">
        <v>0</v>
      </c>
      <c r="G30" s="492">
        <v>0</v>
      </c>
      <c r="H30" s="492">
        <v>0</v>
      </c>
      <c r="I30" s="492">
        <v>0</v>
      </c>
      <c r="J30" s="492">
        <v>0</v>
      </c>
      <c r="K30" s="492">
        <v>104000</v>
      </c>
      <c r="L30" s="492">
        <v>0</v>
      </c>
      <c r="M30" s="492">
        <v>0</v>
      </c>
      <c r="N30" s="492">
        <f t="shared" si="2"/>
        <v>104000</v>
      </c>
      <c r="O30" s="492">
        <v>0</v>
      </c>
      <c r="P30" s="492">
        <v>0</v>
      </c>
      <c r="Q30" s="492">
        <v>0</v>
      </c>
      <c r="R30" s="492">
        <f t="shared" si="3"/>
        <v>0</v>
      </c>
    </row>
    <row r="31" spans="1:18" x14ac:dyDescent="0.35">
      <c r="A31" s="505" t="s">
        <v>315</v>
      </c>
      <c r="B31" s="506" t="s">
        <v>325</v>
      </c>
      <c r="C31" s="507">
        <v>0</v>
      </c>
      <c r="D31" s="507">
        <v>0</v>
      </c>
      <c r="E31" s="507">
        <v>0</v>
      </c>
      <c r="F31" s="507">
        <v>0</v>
      </c>
      <c r="G31" s="507">
        <v>0</v>
      </c>
      <c r="H31" s="507">
        <v>0</v>
      </c>
      <c r="I31" s="507">
        <v>0</v>
      </c>
      <c r="J31" s="507">
        <v>0</v>
      </c>
      <c r="K31" s="507">
        <f>SUM(K32:K32)</f>
        <v>0</v>
      </c>
      <c r="L31" s="507">
        <f>SUM(L32:L32)</f>
        <v>0</v>
      </c>
      <c r="M31" s="507">
        <f>SUM(M32:M32)</f>
        <v>0</v>
      </c>
      <c r="N31" s="507">
        <f t="shared" si="2"/>
        <v>0</v>
      </c>
      <c r="O31" s="507">
        <f>SUM(O32:O32)</f>
        <v>0</v>
      </c>
      <c r="P31" s="507">
        <f>SUM(P32:P32)</f>
        <v>0</v>
      </c>
      <c r="Q31" s="507">
        <f>SUM(Q32:Q32)</f>
        <v>0</v>
      </c>
      <c r="R31" s="507">
        <f t="shared" si="3"/>
        <v>0</v>
      </c>
    </row>
    <row r="32" spans="1:18" ht="15" hidden="1" customHeight="1" x14ac:dyDescent="0.35">
      <c r="A32" s="474"/>
      <c r="B32" s="257" t="s">
        <v>326</v>
      </c>
      <c r="C32" s="492">
        <v>0</v>
      </c>
      <c r="D32" s="492">
        <v>0</v>
      </c>
      <c r="E32" s="492">
        <v>0</v>
      </c>
      <c r="F32" s="492">
        <v>0</v>
      </c>
      <c r="G32" s="492">
        <v>0</v>
      </c>
      <c r="H32" s="492">
        <v>0</v>
      </c>
      <c r="I32" s="492">
        <v>0</v>
      </c>
      <c r="J32" s="492">
        <v>0</v>
      </c>
      <c r="K32" s="492">
        <v>0</v>
      </c>
      <c r="L32" s="492">
        <v>0</v>
      </c>
      <c r="M32" s="492">
        <v>0</v>
      </c>
      <c r="N32" s="492">
        <f t="shared" si="2"/>
        <v>0</v>
      </c>
      <c r="O32" s="492">
        <v>0</v>
      </c>
      <c r="P32" s="492">
        <v>0</v>
      </c>
      <c r="Q32" s="492">
        <v>0</v>
      </c>
      <c r="R32" s="492">
        <f t="shared" si="3"/>
        <v>0</v>
      </c>
    </row>
    <row r="33" spans="1:19" x14ac:dyDescent="0.35">
      <c r="A33" s="473"/>
      <c r="B33" s="508" t="s">
        <v>327</v>
      </c>
      <c r="C33" s="342">
        <v>2540000</v>
      </c>
      <c r="D33" s="342">
        <v>0</v>
      </c>
      <c r="E33" s="342">
        <v>0</v>
      </c>
      <c r="F33" s="342">
        <v>2540000</v>
      </c>
      <c r="G33" s="534">
        <v>2540000</v>
      </c>
      <c r="H33" s="534">
        <v>0</v>
      </c>
      <c r="I33" s="534">
        <v>0</v>
      </c>
      <c r="J33" s="534">
        <v>2540000</v>
      </c>
      <c r="K33" s="534">
        <f>K25+K8</f>
        <v>2365185</v>
      </c>
      <c r="L33" s="534">
        <f>L25+L8</f>
        <v>0</v>
      </c>
      <c r="M33" s="534">
        <f>M25+M8</f>
        <v>0</v>
      </c>
      <c r="N33" s="534">
        <f t="shared" si="2"/>
        <v>2365185</v>
      </c>
      <c r="O33" s="534">
        <f>O25+O8</f>
        <v>0</v>
      </c>
      <c r="P33" s="534">
        <f>P25+P8</f>
        <v>0</v>
      </c>
      <c r="Q33" s="534">
        <f>Q25+Q8</f>
        <v>0</v>
      </c>
      <c r="R33" s="534">
        <f t="shared" si="3"/>
        <v>0</v>
      </c>
    </row>
    <row r="34" spans="1:19" x14ac:dyDescent="0.35">
      <c r="A34" s="502" t="s">
        <v>328</v>
      </c>
      <c r="B34" s="503" t="s">
        <v>329</v>
      </c>
      <c r="C34" s="504">
        <v>700207200</v>
      </c>
      <c r="D34" s="504">
        <v>39690320</v>
      </c>
      <c r="E34" s="504">
        <v>1229000</v>
      </c>
      <c r="F34" s="504">
        <v>741126520</v>
      </c>
      <c r="G34" s="504">
        <v>817261424</v>
      </c>
      <c r="H34" s="504">
        <v>39690320</v>
      </c>
      <c r="I34" s="504">
        <v>1229000</v>
      </c>
      <c r="J34" s="504">
        <v>858180744</v>
      </c>
      <c r="K34" s="504">
        <f>K35</f>
        <v>379437297</v>
      </c>
      <c r="L34" s="504">
        <f>L35</f>
        <v>0</v>
      </c>
      <c r="M34" s="504">
        <f>M35</f>
        <v>0</v>
      </c>
      <c r="N34" s="504">
        <f t="shared" si="2"/>
        <v>379437297</v>
      </c>
      <c r="O34" s="504">
        <f>O35</f>
        <v>0</v>
      </c>
      <c r="P34" s="504">
        <f>P35</f>
        <v>0</v>
      </c>
      <c r="Q34" s="504">
        <f>Q35</f>
        <v>0</v>
      </c>
      <c r="R34" s="504">
        <f t="shared" si="3"/>
        <v>0</v>
      </c>
    </row>
    <row r="35" spans="1:19" x14ac:dyDescent="0.35">
      <c r="A35" s="505" t="s">
        <v>311</v>
      </c>
      <c r="B35" s="506" t="s">
        <v>330</v>
      </c>
      <c r="C35" s="507">
        <v>700207200</v>
      </c>
      <c r="D35" s="507">
        <v>39690320</v>
      </c>
      <c r="E35" s="507">
        <v>1229000</v>
      </c>
      <c r="F35" s="507">
        <v>741126520</v>
      </c>
      <c r="G35" s="507">
        <v>817261424</v>
      </c>
      <c r="H35" s="507">
        <v>39690320</v>
      </c>
      <c r="I35" s="507">
        <v>1229000</v>
      </c>
      <c r="J35" s="507">
        <v>858180744</v>
      </c>
      <c r="K35" s="507">
        <f>SUM(K36:K37)</f>
        <v>379437297</v>
      </c>
      <c r="L35" s="507">
        <f>SUM(L36:L37)</f>
        <v>0</v>
      </c>
      <c r="M35" s="507">
        <f>SUM(M36:M37)</f>
        <v>0</v>
      </c>
      <c r="N35" s="507">
        <f t="shared" si="2"/>
        <v>379437297</v>
      </c>
      <c r="O35" s="507">
        <f>SUM(O36:O37)</f>
        <v>0</v>
      </c>
      <c r="P35" s="507">
        <f>SUM(P36:P37)</f>
        <v>0</v>
      </c>
      <c r="Q35" s="507">
        <f>SUM(Q36:Q37)</f>
        <v>0</v>
      </c>
      <c r="R35" s="507">
        <f t="shared" si="3"/>
        <v>0</v>
      </c>
    </row>
    <row r="36" spans="1:19" x14ac:dyDescent="0.35">
      <c r="A36" s="474"/>
      <c r="B36" s="257" t="s">
        <v>331</v>
      </c>
      <c r="C36" s="492">
        <v>0</v>
      </c>
      <c r="D36" s="492">
        <v>0</v>
      </c>
      <c r="E36" s="492">
        <v>0</v>
      </c>
      <c r="F36" s="492">
        <v>0</v>
      </c>
      <c r="G36" s="492">
        <v>97054224</v>
      </c>
      <c r="H36" s="492">
        <v>0</v>
      </c>
      <c r="I36" s="492">
        <v>0</v>
      </c>
      <c r="J36" s="492">
        <v>97054224</v>
      </c>
      <c r="K36" s="492">
        <v>97054224</v>
      </c>
      <c r="L36" s="492">
        <v>0</v>
      </c>
      <c r="M36" s="492">
        <v>0</v>
      </c>
      <c r="N36" s="492">
        <f t="shared" si="2"/>
        <v>97054224</v>
      </c>
      <c r="O36" s="492"/>
      <c r="P36" s="492">
        <v>0</v>
      </c>
      <c r="Q36" s="492">
        <v>0</v>
      </c>
      <c r="R36" s="492">
        <f t="shared" si="3"/>
        <v>0</v>
      </c>
      <c r="S36" s="803"/>
    </row>
    <row r="37" spans="1:19" x14ac:dyDescent="0.35">
      <c r="A37" s="474"/>
      <c r="B37" s="257" t="s">
        <v>332</v>
      </c>
      <c r="C37" s="492">
        <v>700207200</v>
      </c>
      <c r="D37" s="492">
        <v>39690320</v>
      </c>
      <c r="E37" s="492">
        <v>1229000</v>
      </c>
      <c r="F37" s="492">
        <v>741126520</v>
      </c>
      <c r="G37" s="492">
        <v>720207200</v>
      </c>
      <c r="H37" s="492">
        <v>39690320</v>
      </c>
      <c r="I37" s="492">
        <v>1229000</v>
      </c>
      <c r="J37" s="492">
        <v>761126520</v>
      </c>
      <c r="K37" s="492">
        <v>282383073</v>
      </c>
      <c r="L37" s="492"/>
      <c r="M37" s="492"/>
      <c r="N37" s="492">
        <f t="shared" si="2"/>
        <v>282383073</v>
      </c>
      <c r="O37" s="492">
        <f>O39+O45-O33-O36</f>
        <v>0</v>
      </c>
      <c r="P37" s="492">
        <f>P39+P45-P33-P36</f>
        <v>0</v>
      </c>
      <c r="Q37" s="492">
        <f>Q39+Q45-Q33-Q36</f>
        <v>0</v>
      </c>
      <c r="R37" s="492">
        <f t="shared" si="3"/>
        <v>0</v>
      </c>
      <c r="S37" s="803"/>
    </row>
    <row r="38" spans="1:19" x14ac:dyDescent="0.35">
      <c r="A38" s="509"/>
      <c r="B38" s="510" t="s">
        <v>333</v>
      </c>
      <c r="C38" s="354">
        <v>702747200</v>
      </c>
      <c r="D38" s="354">
        <v>39690320</v>
      </c>
      <c r="E38" s="354">
        <v>1229000</v>
      </c>
      <c r="F38" s="354">
        <v>743666520</v>
      </c>
      <c r="G38" s="537">
        <v>819801424</v>
      </c>
      <c r="H38" s="537">
        <v>39690320</v>
      </c>
      <c r="I38" s="537">
        <v>1229000</v>
      </c>
      <c r="J38" s="537">
        <v>860720744</v>
      </c>
      <c r="K38" s="537">
        <f>K34+K25+K8</f>
        <v>381802482</v>
      </c>
      <c r="L38" s="537">
        <f>L34+L25+L8</f>
        <v>0</v>
      </c>
      <c r="M38" s="537">
        <f>M34+M25+M8</f>
        <v>0</v>
      </c>
      <c r="N38" s="537">
        <f t="shared" si="2"/>
        <v>381802482</v>
      </c>
      <c r="O38" s="537">
        <f>O34+O25+O8</f>
        <v>0</v>
      </c>
      <c r="P38" s="537">
        <f>P34+P25+P8</f>
        <v>0</v>
      </c>
      <c r="Q38" s="537">
        <f>Q34+Q25+Q8</f>
        <v>0</v>
      </c>
      <c r="R38" s="537">
        <f t="shared" si="3"/>
        <v>0</v>
      </c>
      <c r="S38" s="803"/>
    </row>
    <row r="39" spans="1:19" x14ac:dyDescent="0.35">
      <c r="A39" s="502" t="s">
        <v>309</v>
      </c>
      <c r="B39" s="503" t="s">
        <v>334</v>
      </c>
      <c r="C39" s="504">
        <v>700842200</v>
      </c>
      <c r="D39" s="504">
        <v>39690320</v>
      </c>
      <c r="E39" s="504">
        <v>1229000</v>
      </c>
      <c r="F39" s="504">
        <v>741761520</v>
      </c>
      <c r="G39" s="504">
        <v>816513011</v>
      </c>
      <c r="H39" s="504">
        <v>39680930</v>
      </c>
      <c r="I39" s="504">
        <v>1316430</v>
      </c>
      <c r="J39" s="504">
        <v>857510371</v>
      </c>
      <c r="K39" s="504">
        <f>SUM(K40:K44)</f>
        <v>270381412</v>
      </c>
      <c r="L39" s="504">
        <f>SUM(L40:L44)</f>
        <v>18260799</v>
      </c>
      <c r="M39" s="504">
        <f>SUM(M40:M44)</f>
        <v>89891</v>
      </c>
      <c r="N39" s="504">
        <f t="shared" si="2"/>
        <v>288732102</v>
      </c>
      <c r="O39" s="504">
        <f>SUM(O40:O44)</f>
        <v>0</v>
      </c>
      <c r="P39" s="504">
        <f>SUM(P40:P44)</f>
        <v>0</v>
      </c>
      <c r="Q39" s="504">
        <f>SUM(Q40:Q44)</f>
        <v>0</v>
      </c>
      <c r="R39" s="504">
        <f t="shared" si="3"/>
        <v>0</v>
      </c>
      <c r="S39" s="803"/>
    </row>
    <row r="40" spans="1:19" x14ac:dyDescent="0.35">
      <c r="A40" s="505" t="s">
        <v>311</v>
      </c>
      <c r="B40" s="506" t="s">
        <v>286</v>
      </c>
      <c r="C40" s="507">
        <v>430446400</v>
      </c>
      <c r="D40" s="507">
        <v>28264200</v>
      </c>
      <c r="E40" s="507">
        <v>40000</v>
      </c>
      <c r="F40" s="507">
        <v>458750600</v>
      </c>
      <c r="G40" s="507">
        <v>467658970</v>
      </c>
      <c r="H40" s="507">
        <v>28264200</v>
      </c>
      <c r="I40" s="507">
        <v>127430</v>
      </c>
      <c r="J40" s="507">
        <v>496050600</v>
      </c>
      <c r="K40" s="507">
        <f>'3.2 melléklet'!N7+'3.2 melléklet'!N13</f>
        <v>178582120</v>
      </c>
      <c r="L40" s="507">
        <f>'3.2 melléklet'!N22+'3.2 melléklet'!N27</f>
        <v>14308755</v>
      </c>
      <c r="M40" s="507">
        <f>'3.2 melléklet'!N35</f>
        <v>0</v>
      </c>
      <c r="N40" s="507">
        <f t="shared" si="2"/>
        <v>192890875</v>
      </c>
      <c r="O40" s="507">
        <f>'3.2 melléklet'!R7+'3.2 melléklet'!R13</f>
        <v>0</v>
      </c>
      <c r="P40" s="507">
        <f>'3.2 melléklet'!R22+'3.2 melléklet'!R27</f>
        <v>0</v>
      </c>
      <c r="Q40" s="507">
        <f>'3.2 melléklet'!R35</f>
        <v>0</v>
      </c>
      <c r="R40" s="507">
        <f t="shared" si="3"/>
        <v>0</v>
      </c>
      <c r="S40" s="803"/>
    </row>
    <row r="41" spans="1:19" ht="29" x14ac:dyDescent="0.35">
      <c r="A41" s="505" t="s">
        <v>322</v>
      </c>
      <c r="B41" s="506" t="s">
        <v>335</v>
      </c>
      <c r="C41" s="507">
        <v>73047000</v>
      </c>
      <c r="D41" s="507">
        <v>4381520</v>
      </c>
      <c r="E41" s="507">
        <v>16000</v>
      </c>
      <c r="F41" s="507">
        <v>77444520</v>
      </c>
      <c r="G41" s="507">
        <v>78847000</v>
      </c>
      <c r="H41" s="507">
        <v>4381520</v>
      </c>
      <c r="I41" s="507">
        <v>16000</v>
      </c>
      <c r="J41" s="507">
        <v>83244520</v>
      </c>
      <c r="K41" s="507">
        <f>'3.2 melléklet'!N8+'3.2 melléklet'!N14</f>
        <v>28810646</v>
      </c>
      <c r="L41" s="507">
        <f>'3.2 melléklet'!N23+'3.2 melléklet'!N28</f>
        <v>2196222</v>
      </c>
      <c r="M41" s="507">
        <f>'3.2 melléklet'!N36</f>
        <v>0</v>
      </c>
      <c r="N41" s="507">
        <f t="shared" si="2"/>
        <v>31006868</v>
      </c>
      <c r="O41" s="507">
        <f>'3.2 melléklet'!R8+'3.2 melléklet'!R14</f>
        <v>0</v>
      </c>
      <c r="P41" s="507">
        <f>'3.2 melléklet'!R23+'3.2 melléklet'!R28</f>
        <v>0</v>
      </c>
      <c r="Q41" s="507">
        <f>'3.2 melléklet'!R36</f>
        <v>0</v>
      </c>
      <c r="R41" s="507">
        <f t="shared" si="3"/>
        <v>0</v>
      </c>
      <c r="S41" s="803"/>
    </row>
    <row r="42" spans="1:19" x14ac:dyDescent="0.35">
      <c r="A42" s="505" t="s">
        <v>315</v>
      </c>
      <c r="B42" s="506" t="s">
        <v>292</v>
      </c>
      <c r="C42" s="507">
        <v>197348800</v>
      </c>
      <c r="D42" s="507">
        <v>7044600</v>
      </c>
      <c r="E42" s="507">
        <v>1173000</v>
      </c>
      <c r="F42" s="516">
        <v>205566400</v>
      </c>
      <c r="G42" s="507">
        <v>206253666</v>
      </c>
      <c r="H42" s="507">
        <v>7035210</v>
      </c>
      <c r="I42" s="507">
        <v>1173000</v>
      </c>
      <c r="J42" s="516">
        <v>214461876</v>
      </c>
      <c r="K42" s="507">
        <f>'3.2 melléklet'!N9+'3.2 melléklet'!N15+'3.2 melléklet'!N18</f>
        <v>62988646</v>
      </c>
      <c r="L42" s="507">
        <f>'3.2 melléklet'!N24+'3.2 melléklet'!N29</f>
        <v>1755822</v>
      </c>
      <c r="M42" s="507">
        <f>'3.2 melléklet'!N37</f>
        <v>89891</v>
      </c>
      <c r="N42" s="516">
        <f t="shared" si="2"/>
        <v>64834359</v>
      </c>
      <c r="O42" s="507">
        <f>'3.2 melléklet'!R9+'3.2 melléklet'!R15+'3.2 melléklet'!R18</f>
        <v>0</v>
      </c>
      <c r="P42" s="507">
        <f>'3.2 melléklet'!R24+'3.2 melléklet'!R29</f>
        <v>0</v>
      </c>
      <c r="Q42" s="507">
        <f>'3.2 melléklet'!R37</f>
        <v>0</v>
      </c>
      <c r="R42" s="516">
        <f t="shared" si="3"/>
        <v>0</v>
      </c>
      <c r="S42" s="803"/>
    </row>
    <row r="43" spans="1:19" x14ac:dyDescent="0.35">
      <c r="A43" s="505" t="s">
        <v>336</v>
      </c>
      <c r="B43" s="506" t="s">
        <v>337</v>
      </c>
      <c r="C43" s="507">
        <v>0</v>
      </c>
      <c r="D43" s="507">
        <v>0</v>
      </c>
      <c r="E43" s="507">
        <v>0</v>
      </c>
      <c r="F43" s="507">
        <v>0</v>
      </c>
      <c r="G43" s="507">
        <v>0</v>
      </c>
      <c r="H43" s="507">
        <v>0</v>
      </c>
      <c r="I43" s="507">
        <v>0</v>
      </c>
      <c r="J43" s="507">
        <v>0</v>
      </c>
      <c r="K43" s="507">
        <f>'3.2 melléklet'!K44</f>
        <v>0</v>
      </c>
      <c r="L43" s="507">
        <f>'3.2 melléklet'!L44</f>
        <v>0</v>
      </c>
      <c r="M43" s="507">
        <f>'3.2 melléklet'!M44</f>
        <v>0</v>
      </c>
      <c r="N43" s="507">
        <f t="shared" si="2"/>
        <v>0</v>
      </c>
      <c r="O43" s="507">
        <f>'3.2 melléklet'!O44</f>
        <v>0</v>
      </c>
      <c r="P43" s="507">
        <f>'3.2 melléklet'!P44</f>
        <v>0</v>
      </c>
      <c r="Q43" s="507">
        <f>'3.2 melléklet'!Q44</f>
        <v>0</v>
      </c>
      <c r="R43" s="507">
        <f t="shared" si="3"/>
        <v>0</v>
      </c>
      <c r="S43" s="803"/>
    </row>
    <row r="44" spans="1:19" x14ac:dyDescent="0.35">
      <c r="A44" s="505" t="s">
        <v>338</v>
      </c>
      <c r="B44" s="506" t="s">
        <v>339</v>
      </c>
      <c r="C44" s="507">
        <v>0</v>
      </c>
      <c r="D44" s="507">
        <v>0</v>
      </c>
      <c r="E44" s="507">
        <v>0</v>
      </c>
      <c r="F44" s="507">
        <v>0</v>
      </c>
      <c r="G44" s="507">
        <v>63753375</v>
      </c>
      <c r="H44" s="507">
        <v>0</v>
      </c>
      <c r="I44" s="507">
        <v>0</v>
      </c>
      <c r="J44" s="507">
        <v>63753375</v>
      </c>
      <c r="K44" s="507">
        <f>'3.2 melléklet'!N10</f>
        <v>0</v>
      </c>
      <c r="L44" s="507">
        <f>'3.2 melléklet'!L45</f>
        <v>0</v>
      </c>
      <c r="M44" s="507">
        <f>'3.2 melléklet'!M45</f>
        <v>0</v>
      </c>
      <c r="N44" s="507">
        <f t="shared" si="2"/>
        <v>0</v>
      </c>
      <c r="O44" s="507">
        <f>'3.2 melléklet'!R10</f>
        <v>0</v>
      </c>
      <c r="P44" s="507">
        <f>'3.2 melléklet'!P45</f>
        <v>0</v>
      </c>
      <c r="Q44" s="507">
        <f>'3.2 melléklet'!Q45</f>
        <v>0</v>
      </c>
      <c r="R44" s="507">
        <f t="shared" si="3"/>
        <v>0</v>
      </c>
      <c r="S44" s="803"/>
    </row>
    <row r="45" spans="1:19" ht="29" x14ac:dyDescent="0.35">
      <c r="A45" s="502" t="s">
        <v>318</v>
      </c>
      <c r="B45" s="503" t="s">
        <v>340</v>
      </c>
      <c r="C45" s="504">
        <v>1905000</v>
      </c>
      <c r="D45" s="504">
        <v>0</v>
      </c>
      <c r="E45" s="504">
        <v>0</v>
      </c>
      <c r="F45" s="504">
        <v>1905000</v>
      </c>
      <c r="G45" s="504">
        <v>3200983</v>
      </c>
      <c r="H45" s="504">
        <v>9390</v>
      </c>
      <c r="I45" s="504">
        <v>0</v>
      </c>
      <c r="J45" s="504">
        <v>3210373</v>
      </c>
      <c r="K45" s="504">
        <f>SUM(K46:K48)</f>
        <v>459281</v>
      </c>
      <c r="L45" s="504">
        <f>SUM(L46:L48)</f>
        <v>9390</v>
      </c>
      <c r="M45" s="504">
        <f>SUM(M46:M48)</f>
        <v>0</v>
      </c>
      <c r="N45" s="504">
        <f t="shared" si="2"/>
        <v>468671</v>
      </c>
      <c r="O45" s="504">
        <f>SUM(O46:O48)</f>
        <v>0</v>
      </c>
      <c r="P45" s="504">
        <f>SUM(P46:P48)</f>
        <v>0</v>
      </c>
      <c r="Q45" s="504">
        <f>SUM(Q46:Q48)</f>
        <v>0</v>
      </c>
      <c r="R45" s="504">
        <f t="shared" si="3"/>
        <v>0</v>
      </c>
      <c r="S45" s="803"/>
    </row>
    <row r="46" spans="1:19" x14ac:dyDescent="0.35">
      <c r="A46" s="505" t="s">
        <v>311</v>
      </c>
      <c r="B46" s="506" t="s">
        <v>341</v>
      </c>
      <c r="C46" s="507">
        <v>1905000</v>
      </c>
      <c r="D46" s="507">
        <v>0</v>
      </c>
      <c r="E46" s="507">
        <v>0</v>
      </c>
      <c r="F46" s="516">
        <v>1905000</v>
      </c>
      <c r="G46" s="507">
        <v>3200983</v>
      </c>
      <c r="H46" s="507">
        <v>9390</v>
      </c>
      <c r="I46" s="507">
        <v>0</v>
      </c>
      <c r="J46" s="516">
        <v>3210373</v>
      </c>
      <c r="K46" s="507">
        <f>'3.2 melléklet'!N11</f>
        <v>459281</v>
      </c>
      <c r="L46" s="507">
        <f>'3.2 melléklet'!N25+'3.2 melléklet'!N30</f>
        <v>9390</v>
      </c>
      <c r="M46" s="507">
        <f>'3.2 melléklet'!M46</f>
        <v>0</v>
      </c>
      <c r="N46" s="516">
        <f t="shared" si="2"/>
        <v>468671</v>
      </c>
      <c r="O46" s="507">
        <f>'3.2 melléklet'!R11+'3.2 melléklet'!R19</f>
        <v>0</v>
      </c>
      <c r="P46" s="507">
        <f>'3.2 melléklet'!R25+'3.2 melléklet'!R30</f>
        <v>0</v>
      </c>
      <c r="Q46" s="507">
        <f>'3.2 melléklet'!Q46</f>
        <v>0</v>
      </c>
      <c r="R46" s="516">
        <f t="shared" si="3"/>
        <v>0</v>
      </c>
      <c r="S46" s="803"/>
    </row>
    <row r="47" spans="1:19" x14ac:dyDescent="0.35">
      <c r="A47" s="505" t="s">
        <v>322</v>
      </c>
      <c r="B47" s="506" t="s">
        <v>342</v>
      </c>
      <c r="C47" s="507">
        <v>0</v>
      </c>
      <c r="D47" s="507">
        <v>0</v>
      </c>
      <c r="E47" s="507">
        <v>0</v>
      </c>
      <c r="F47" s="507">
        <v>0</v>
      </c>
      <c r="G47" s="507">
        <v>0</v>
      </c>
      <c r="H47" s="507">
        <v>0</v>
      </c>
      <c r="I47" s="507">
        <v>0</v>
      </c>
      <c r="J47" s="507">
        <v>0</v>
      </c>
      <c r="K47" s="507">
        <f>'3.2 melléklet'!K47</f>
        <v>0</v>
      </c>
      <c r="L47" s="507">
        <f>'3.2 melléklet'!L47</f>
        <v>0</v>
      </c>
      <c r="M47" s="507">
        <f>'3.2 melléklet'!M47</f>
        <v>0</v>
      </c>
      <c r="N47" s="507">
        <f t="shared" si="2"/>
        <v>0</v>
      </c>
      <c r="O47" s="507">
        <f>'3.2 melléklet'!O47</f>
        <v>0</v>
      </c>
      <c r="P47" s="507">
        <f>'3.2 melléklet'!P47</f>
        <v>0</v>
      </c>
      <c r="Q47" s="507">
        <f>'3.2 melléklet'!Q47</f>
        <v>0</v>
      </c>
      <c r="R47" s="507">
        <f t="shared" si="3"/>
        <v>0</v>
      </c>
      <c r="S47" s="803"/>
    </row>
    <row r="48" spans="1:19" x14ac:dyDescent="0.35">
      <c r="A48" s="505" t="s">
        <v>315</v>
      </c>
      <c r="B48" s="506" t="s">
        <v>343</v>
      </c>
      <c r="C48" s="507">
        <v>0</v>
      </c>
      <c r="D48" s="507">
        <v>0</v>
      </c>
      <c r="E48" s="507">
        <v>0</v>
      </c>
      <c r="F48" s="507">
        <v>0</v>
      </c>
      <c r="G48" s="507">
        <v>0</v>
      </c>
      <c r="H48" s="507">
        <v>0</v>
      </c>
      <c r="I48" s="507">
        <v>0</v>
      </c>
      <c r="J48" s="507">
        <v>0</v>
      </c>
      <c r="K48" s="507">
        <f>'3.2 melléklet'!K48</f>
        <v>0</v>
      </c>
      <c r="L48" s="507">
        <f>'3.2 melléklet'!L48</f>
        <v>0</v>
      </c>
      <c r="M48" s="507">
        <f>'3.2 melléklet'!M48</f>
        <v>0</v>
      </c>
      <c r="N48" s="507">
        <f t="shared" si="2"/>
        <v>0</v>
      </c>
      <c r="O48" s="507">
        <f>'3.2 melléklet'!O48</f>
        <v>0</v>
      </c>
      <c r="P48" s="507">
        <f>'3.2 melléklet'!P48</f>
        <v>0</v>
      </c>
      <c r="Q48" s="507">
        <f>'3.2 melléklet'!Q48</f>
        <v>0</v>
      </c>
      <c r="R48" s="507">
        <f t="shared" si="3"/>
        <v>0</v>
      </c>
      <c r="S48" s="803"/>
    </row>
    <row r="49" spans="1:19" x14ac:dyDescent="0.35">
      <c r="A49" s="509"/>
      <c r="B49" s="510" t="s">
        <v>344</v>
      </c>
      <c r="C49" s="354">
        <v>702747200</v>
      </c>
      <c r="D49" s="354">
        <v>39690320</v>
      </c>
      <c r="E49" s="354">
        <v>1229000</v>
      </c>
      <c r="F49" s="354">
        <v>743666520</v>
      </c>
      <c r="G49" s="537">
        <v>819713994</v>
      </c>
      <c r="H49" s="537">
        <v>39690320</v>
      </c>
      <c r="I49" s="537">
        <v>1316430</v>
      </c>
      <c r="J49" s="537">
        <v>860720744</v>
      </c>
      <c r="K49" s="537">
        <f>K39+K45</f>
        <v>270840693</v>
      </c>
      <c r="L49" s="537">
        <f>L39+L45</f>
        <v>18270189</v>
      </c>
      <c r="M49" s="537">
        <f>M39+M45</f>
        <v>89891</v>
      </c>
      <c r="N49" s="537">
        <f t="shared" si="2"/>
        <v>289200773</v>
      </c>
      <c r="O49" s="537">
        <f>O39+O45</f>
        <v>0</v>
      </c>
      <c r="P49" s="537">
        <f>P39+P45</f>
        <v>0</v>
      </c>
      <c r="Q49" s="537">
        <f>Q39+Q45</f>
        <v>0</v>
      </c>
      <c r="R49" s="537">
        <f t="shared" si="3"/>
        <v>0</v>
      </c>
      <c r="S49" s="803"/>
    </row>
    <row r="50" spans="1:19" x14ac:dyDescent="0.35">
      <c r="J50" s="480"/>
      <c r="N50" s="803">
        <f>+N49-J49</f>
        <v>-571519971</v>
      </c>
      <c r="R50" s="803">
        <f>+R49-N49</f>
        <v>-289200773</v>
      </c>
    </row>
  </sheetData>
  <mergeCells count="6">
    <mergeCell ref="O3:R3"/>
    <mergeCell ref="A3:A4"/>
    <mergeCell ref="B3:B4"/>
    <mergeCell ref="C3:F3"/>
    <mergeCell ref="G3:J3"/>
    <mergeCell ref="K3:N3"/>
  </mergeCells>
  <printOptions horizontalCentered="1"/>
  <pageMargins left="0.31496062992125984" right="0.27559055118110237" top="0.62992125984251968" bottom="0.31496062992125984" header="0.15748031496062992" footer="0.15748031496062992"/>
  <pageSetup paperSize="9" scale="44" orientation="portrait" r:id="rId1"/>
  <headerFooter>
    <oddHeader>&amp;L3.1  melléklet&amp;C&amp;"-,Félkövér"&amp;16
A Polgármesteri Hivatal 2021. évi bevételei és kiadásai jogcímenként és feladatonként</oddHeader>
    <oddFooter>&amp;C&amp;P&amp;R&amp;D,&amp;T</oddFooter>
  </headerFooter>
  <colBreaks count="1" manualBreakCount="1">
    <brk id="14" max="4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49"/>
  <sheetViews>
    <sheetView view="pageBreakPreview" topLeftCell="A3" zoomScale="84" zoomScaleNormal="100" zoomScaleSheetLayoutView="84" workbookViewId="0">
      <selection activeCell="C4" sqref="C4:J38"/>
    </sheetView>
  </sheetViews>
  <sheetFormatPr defaultColWidth="9.1796875" defaultRowHeight="14.5" x14ac:dyDescent="0.35"/>
  <cols>
    <col min="1" max="1" width="7.7265625" style="478" bestFit="1" customWidth="1"/>
    <col min="2" max="2" width="41.81640625" style="479" customWidth="1"/>
    <col min="3" max="3" width="9" style="268" customWidth="1"/>
    <col min="4" max="4" width="8.26953125" style="268" customWidth="1"/>
    <col min="5" max="5" width="8" style="268" customWidth="1"/>
    <col min="6" max="6" width="13.1796875" style="268" customWidth="1"/>
    <col min="7" max="8" width="7.453125" style="268" customWidth="1"/>
    <col min="9" max="9" width="7.7265625" style="268" customWidth="1"/>
    <col min="10" max="10" width="13.1796875" style="268" customWidth="1"/>
    <col min="11" max="12" width="7.453125" style="268" hidden="1" customWidth="1"/>
    <col min="13" max="13" width="7.7265625" style="268" hidden="1" customWidth="1"/>
    <col min="14" max="14" width="13.1796875" style="268" hidden="1" customWidth="1"/>
    <col min="15" max="16" width="7.453125" style="268" hidden="1" customWidth="1"/>
    <col min="17" max="17" width="7.7265625" style="268" hidden="1" customWidth="1"/>
    <col min="18" max="18" width="13.1796875" style="268" hidden="1" customWidth="1"/>
    <col min="19" max="19" width="15.453125" style="268" customWidth="1"/>
    <col min="20" max="21" width="9.1796875" style="268"/>
    <col min="22" max="22" width="14.54296875" style="268" bestFit="1" customWidth="1"/>
    <col min="23" max="16384" width="9.1796875" style="268"/>
  </cols>
  <sheetData>
    <row r="1" spans="1:22" ht="15" customHeight="1" x14ac:dyDescent="0.35">
      <c r="F1" s="31"/>
      <c r="J1" s="31" t="s">
        <v>1638</v>
      </c>
      <c r="N1" s="31" t="s">
        <v>1638</v>
      </c>
    </row>
    <row r="2" spans="1:22" ht="72.5" x14ac:dyDescent="0.35">
      <c r="A2" s="1070" t="s">
        <v>548</v>
      </c>
      <c r="B2" s="1070" t="s">
        <v>306</v>
      </c>
      <c r="C2" s="500" t="s">
        <v>1344</v>
      </c>
      <c r="D2" s="500" t="s">
        <v>1292</v>
      </c>
      <c r="E2" s="500" t="s">
        <v>1294</v>
      </c>
      <c r="F2" s="539" t="s">
        <v>345</v>
      </c>
      <c r="G2" s="500" t="s">
        <v>1344</v>
      </c>
      <c r="H2" s="500" t="s">
        <v>1292</v>
      </c>
      <c r="I2" s="500" t="s">
        <v>1294</v>
      </c>
      <c r="J2" s="719" t="s">
        <v>345</v>
      </c>
      <c r="K2" s="500" t="s">
        <v>1344</v>
      </c>
      <c r="L2" s="500" t="s">
        <v>1292</v>
      </c>
      <c r="M2" s="500" t="s">
        <v>1294</v>
      </c>
      <c r="N2" s="719" t="s">
        <v>345</v>
      </c>
      <c r="O2" s="500" t="s">
        <v>1344</v>
      </c>
      <c r="P2" s="500" t="s">
        <v>1292</v>
      </c>
      <c r="Q2" s="500" t="s">
        <v>1294</v>
      </c>
      <c r="R2" s="719" t="s">
        <v>345</v>
      </c>
    </row>
    <row r="3" spans="1:22" s="232" customFormat="1" ht="30.4" customHeight="1" x14ac:dyDescent="0.35">
      <c r="A3" s="1071"/>
      <c r="B3" s="1071"/>
      <c r="C3" s="1063" t="s">
        <v>1794</v>
      </c>
      <c r="D3" s="1064"/>
      <c r="E3" s="1064"/>
      <c r="F3" s="1065"/>
      <c r="G3" s="1063" t="s">
        <v>1796</v>
      </c>
      <c r="H3" s="1064"/>
      <c r="I3" s="1064"/>
      <c r="J3" s="1065"/>
      <c r="K3" s="1063" t="s">
        <v>1797</v>
      </c>
      <c r="L3" s="1064"/>
      <c r="M3" s="1064"/>
      <c r="N3" s="1065"/>
      <c r="O3" s="1063"/>
      <c r="P3" s="1064"/>
      <c r="Q3" s="1064"/>
      <c r="R3" s="1065"/>
    </row>
    <row r="4" spans="1:22" s="232" customFormat="1" x14ac:dyDescent="0.35">
      <c r="A4" s="481" t="s">
        <v>322</v>
      </c>
      <c r="B4" s="345" t="s">
        <v>646</v>
      </c>
      <c r="C4" s="482">
        <v>84</v>
      </c>
      <c r="D4" s="482">
        <v>0</v>
      </c>
      <c r="E4" s="482">
        <v>7</v>
      </c>
      <c r="F4" s="354">
        <v>743666520</v>
      </c>
      <c r="G4" s="482">
        <v>84</v>
      </c>
      <c r="H4" s="482">
        <v>0</v>
      </c>
      <c r="I4" s="482">
        <v>7</v>
      </c>
      <c r="J4" s="537">
        <v>860720744</v>
      </c>
      <c r="K4" s="482">
        <f>+K5+K20</f>
        <v>84</v>
      </c>
      <c r="L4" s="482">
        <v>0</v>
      </c>
      <c r="M4" s="482">
        <v>7</v>
      </c>
      <c r="N4" s="537">
        <f>+N5+N20+N31</f>
        <v>289200773</v>
      </c>
      <c r="O4" s="482">
        <f>+O5+O20</f>
        <v>84</v>
      </c>
      <c r="P4" s="482">
        <v>0</v>
      </c>
      <c r="Q4" s="482">
        <v>7</v>
      </c>
      <c r="R4" s="537">
        <f>+R5+R20+R31</f>
        <v>0</v>
      </c>
      <c r="S4" s="803"/>
      <c r="T4" s="1045"/>
      <c r="V4" s="1027"/>
    </row>
    <row r="5" spans="1:22" x14ac:dyDescent="0.35">
      <c r="A5" s="483" t="s">
        <v>309</v>
      </c>
      <c r="B5" s="484" t="s">
        <v>348</v>
      </c>
      <c r="C5" s="486">
        <v>79</v>
      </c>
      <c r="D5" s="486">
        <v>0</v>
      </c>
      <c r="E5" s="486">
        <v>7</v>
      </c>
      <c r="F5" s="485">
        <v>702747200</v>
      </c>
      <c r="G5" s="486">
        <v>79</v>
      </c>
      <c r="H5" s="486">
        <v>0</v>
      </c>
      <c r="I5" s="486">
        <v>7</v>
      </c>
      <c r="J5" s="485">
        <v>819713994</v>
      </c>
      <c r="K5" s="486">
        <f>+K6</f>
        <v>79</v>
      </c>
      <c r="L5" s="486">
        <v>0</v>
      </c>
      <c r="M5" s="486">
        <v>7</v>
      </c>
      <c r="N5" s="485">
        <f>+N6+N12+N17</f>
        <v>270840693</v>
      </c>
      <c r="O5" s="486">
        <f>+O6</f>
        <v>79</v>
      </c>
      <c r="P5" s="486">
        <v>0</v>
      </c>
      <c r="Q5" s="486">
        <v>7</v>
      </c>
      <c r="R5" s="485">
        <f>+R6+R17</f>
        <v>0</v>
      </c>
      <c r="S5" s="803"/>
      <c r="V5" s="1027"/>
    </row>
    <row r="6" spans="1:22" x14ac:dyDescent="0.35">
      <c r="A6" s="487" t="s">
        <v>311</v>
      </c>
      <c r="B6" s="477" t="s">
        <v>647</v>
      </c>
      <c r="C6" s="489">
        <v>79</v>
      </c>
      <c r="D6" s="489"/>
      <c r="E6" s="489">
        <v>7</v>
      </c>
      <c r="F6" s="488">
        <v>702747200</v>
      </c>
      <c r="G6" s="489">
        <v>79</v>
      </c>
      <c r="H6" s="489"/>
      <c r="I6" s="489">
        <v>7</v>
      </c>
      <c r="J6" s="488">
        <v>819683067</v>
      </c>
      <c r="K6" s="489">
        <f>74+5</f>
        <v>79</v>
      </c>
      <c r="L6" s="489"/>
      <c r="M6" s="489">
        <v>7</v>
      </c>
      <c r="N6" s="488">
        <f>SUM(N7:N11)</f>
        <v>270809766</v>
      </c>
      <c r="O6" s="489">
        <f>74+5</f>
        <v>79</v>
      </c>
      <c r="P6" s="489"/>
      <c r="Q6" s="489">
        <v>7</v>
      </c>
      <c r="R6" s="488">
        <f>SUM(R7:R11)</f>
        <v>0</v>
      </c>
      <c r="S6" s="803"/>
    </row>
    <row r="7" spans="1:22" x14ac:dyDescent="0.35">
      <c r="A7" s="490"/>
      <c r="B7" s="491" t="s">
        <v>286</v>
      </c>
      <c r="C7" s="493"/>
      <c r="D7" s="493"/>
      <c r="E7" s="493"/>
      <c r="F7" s="492">
        <v>430446400</v>
      </c>
      <c r="G7" s="493"/>
      <c r="H7" s="493"/>
      <c r="I7" s="493"/>
      <c r="J7" s="492">
        <v>467658970</v>
      </c>
      <c r="K7" s="493"/>
      <c r="L7" s="493"/>
      <c r="M7" s="493"/>
      <c r="N7" s="492">
        <f>170304787+8277333</f>
        <v>178582120</v>
      </c>
      <c r="O7" s="493"/>
      <c r="P7" s="493"/>
      <c r="Q7" s="493"/>
      <c r="R7" s="492"/>
      <c r="S7" s="803"/>
      <c r="T7" s="803"/>
    </row>
    <row r="8" spans="1:22" x14ac:dyDescent="0.35">
      <c r="A8" s="490"/>
      <c r="B8" s="491" t="s">
        <v>287</v>
      </c>
      <c r="C8" s="493"/>
      <c r="D8" s="493"/>
      <c r="E8" s="493"/>
      <c r="F8" s="492">
        <v>73047000</v>
      </c>
      <c r="G8" s="493"/>
      <c r="H8" s="493"/>
      <c r="I8" s="493"/>
      <c r="J8" s="492">
        <v>78847000</v>
      </c>
      <c r="K8" s="493"/>
      <c r="L8" s="493"/>
      <c r="M8" s="493"/>
      <c r="N8" s="492">
        <f>27563763+1246883</f>
        <v>28810646</v>
      </c>
      <c r="O8" s="493"/>
      <c r="P8" s="493"/>
      <c r="Q8" s="493"/>
      <c r="R8" s="492"/>
      <c r="S8" s="803"/>
    </row>
    <row r="9" spans="1:22" x14ac:dyDescent="0.35">
      <c r="A9" s="490"/>
      <c r="B9" s="491" t="s">
        <v>292</v>
      </c>
      <c r="C9" s="493"/>
      <c r="D9" s="493"/>
      <c r="E9" s="493"/>
      <c r="F9" s="466">
        <v>197348800</v>
      </c>
      <c r="G9" s="493"/>
      <c r="H9" s="493"/>
      <c r="I9" s="493"/>
      <c r="J9" s="466">
        <v>206222739</v>
      </c>
      <c r="K9" s="493"/>
      <c r="L9" s="493"/>
      <c r="M9" s="493"/>
      <c r="N9" s="466">
        <f>62913367+44352</f>
        <v>62957719</v>
      </c>
      <c r="O9" s="493"/>
      <c r="P9" s="493"/>
      <c r="Q9" s="493"/>
      <c r="R9" s="466"/>
      <c r="S9" s="803"/>
      <c r="T9" s="803"/>
    </row>
    <row r="10" spans="1:22" ht="29" x14ac:dyDescent="0.35">
      <c r="A10" s="490"/>
      <c r="B10" s="491" t="s">
        <v>564</v>
      </c>
      <c r="C10" s="493"/>
      <c r="D10" s="493"/>
      <c r="E10" s="493"/>
      <c r="F10" s="466"/>
      <c r="G10" s="493"/>
      <c r="H10" s="493"/>
      <c r="I10" s="493"/>
      <c r="J10" s="466">
        <v>63753375</v>
      </c>
      <c r="K10" s="493"/>
      <c r="L10" s="493"/>
      <c r="M10" s="493"/>
      <c r="N10" s="466"/>
      <c r="O10" s="493"/>
      <c r="P10" s="493"/>
      <c r="Q10" s="493"/>
      <c r="R10" s="466"/>
      <c r="S10" s="803"/>
    </row>
    <row r="11" spans="1:22" x14ac:dyDescent="0.35">
      <c r="A11" s="490"/>
      <c r="B11" s="491" t="s">
        <v>351</v>
      </c>
      <c r="C11" s="493"/>
      <c r="D11" s="493"/>
      <c r="E11" s="493"/>
      <c r="F11" s="466">
        <v>1905000</v>
      </c>
      <c r="G11" s="493"/>
      <c r="H11" s="493"/>
      <c r="I11" s="493"/>
      <c r="J11" s="466">
        <v>3200983</v>
      </c>
      <c r="K11" s="493"/>
      <c r="L11" s="493"/>
      <c r="M11" s="493"/>
      <c r="N11" s="466">
        <v>459281</v>
      </c>
      <c r="O11" s="493"/>
      <c r="P11" s="493"/>
      <c r="Q11" s="493"/>
      <c r="R11" s="466"/>
      <c r="S11" s="803"/>
    </row>
    <row r="12" spans="1:22" s="494" customFormat="1" ht="15" hidden="1" customHeight="1" x14ac:dyDescent="0.35">
      <c r="A12" s="487" t="s">
        <v>1243</v>
      </c>
      <c r="B12" s="477" t="s">
        <v>1425</v>
      </c>
      <c r="C12" s="489"/>
      <c r="D12" s="489"/>
      <c r="E12" s="489"/>
      <c r="F12" s="488">
        <v>0</v>
      </c>
      <c r="G12" s="489"/>
      <c r="H12" s="489"/>
      <c r="I12" s="489"/>
      <c r="J12" s="488">
        <v>0</v>
      </c>
      <c r="K12" s="489"/>
      <c r="L12" s="489"/>
      <c r="M12" s="489"/>
      <c r="N12" s="488">
        <f>SUM(N13:N15)</f>
        <v>0</v>
      </c>
      <c r="O12" s="489"/>
      <c r="P12" s="489"/>
      <c r="Q12" s="489"/>
      <c r="R12" s="488">
        <f>SUM(R13:R15)</f>
        <v>0</v>
      </c>
      <c r="S12" s="803"/>
    </row>
    <row r="13" spans="1:22" ht="15" hidden="1" customHeight="1" x14ac:dyDescent="0.35">
      <c r="A13" s="490"/>
      <c r="B13" s="491" t="s">
        <v>286</v>
      </c>
      <c r="C13" s="493"/>
      <c r="D13" s="493"/>
      <c r="E13" s="493"/>
      <c r="F13" s="492"/>
      <c r="G13" s="493"/>
      <c r="H13" s="493"/>
      <c r="I13" s="493"/>
      <c r="J13" s="492"/>
      <c r="K13" s="493"/>
      <c r="L13" s="493"/>
      <c r="M13" s="493"/>
      <c r="N13" s="492"/>
      <c r="O13" s="493"/>
      <c r="P13" s="493"/>
      <c r="Q13" s="493"/>
      <c r="R13" s="492"/>
      <c r="S13" s="803"/>
    </row>
    <row r="14" spans="1:22" ht="15" hidden="1" customHeight="1" x14ac:dyDescent="0.35">
      <c r="A14" s="490"/>
      <c r="B14" s="491" t="s">
        <v>287</v>
      </c>
      <c r="C14" s="493"/>
      <c r="D14" s="493"/>
      <c r="E14" s="493"/>
      <c r="F14" s="492"/>
      <c r="G14" s="493"/>
      <c r="H14" s="493"/>
      <c r="I14" s="493"/>
      <c r="J14" s="492"/>
      <c r="K14" s="493"/>
      <c r="L14" s="493"/>
      <c r="M14" s="493"/>
      <c r="N14" s="492"/>
      <c r="O14" s="493"/>
      <c r="P14" s="493"/>
      <c r="Q14" s="493"/>
      <c r="R14" s="492"/>
      <c r="S14" s="803"/>
    </row>
    <row r="15" spans="1:22" ht="15" hidden="1" customHeight="1" x14ac:dyDescent="0.35">
      <c r="A15" s="490"/>
      <c r="B15" s="491" t="s">
        <v>292</v>
      </c>
      <c r="C15" s="493"/>
      <c r="D15" s="493"/>
      <c r="E15" s="493"/>
      <c r="F15" s="492"/>
      <c r="G15" s="493"/>
      <c r="H15" s="493"/>
      <c r="I15" s="493"/>
      <c r="J15" s="492"/>
      <c r="K15" s="493"/>
      <c r="L15" s="493"/>
      <c r="M15" s="493"/>
      <c r="N15" s="492"/>
      <c r="O15" s="493"/>
      <c r="P15" s="493"/>
      <c r="Q15" s="493"/>
      <c r="R15" s="492"/>
      <c r="S15" s="803"/>
    </row>
    <row r="16" spans="1:22" ht="15" hidden="1" customHeight="1" x14ac:dyDescent="0.35">
      <c r="A16" s="490"/>
      <c r="B16" s="491" t="s">
        <v>351</v>
      </c>
      <c r="C16" s="493"/>
      <c r="D16" s="493"/>
      <c r="E16" s="493"/>
      <c r="F16" s="492"/>
      <c r="G16" s="493"/>
      <c r="H16" s="493"/>
      <c r="I16" s="493"/>
      <c r="J16" s="492"/>
      <c r="K16" s="493"/>
      <c r="L16" s="493"/>
      <c r="M16" s="493"/>
      <c r="N16" s="492"/>
      <c r="O16" s="493"/>
      <c r="P16" s="493"/>
      <c r="Q16" s="493"/>
      <c r="R16" s="492"/>
      <c r="S16" s="803"/>
    </row>
    <row r="17" spans="1:19" s="494" customFormat="1" ht="15" customHeight="1" x14ac:dyDescent="0.35">
      <c r="A17" s="487" t="s">
        <v>1763</v>
      </c>
      <c r="B17" s="401" t="s">
        <v>1729</v>
      </c>
      <c r="C17" s="489"/>
      <c r="D17" s="489"/>
      <c r="E17" s="489"/>
      <c r="F17" s="488"/>
      <c r="G17" s="489"/>
      <c r="H17" s="489"/>
      <c r="I17" s="489"/>
      <c r="J17" s="488">
        <v>30927</v>
      </c>
      <c r="K17" s="489"/>
      <c r="L17" s="489"/>
      <c r="M17" s="489"/>
      <c r="N17" s="488">
        <f>SUM(N18:N19)</f>
        <v>30927</v>
      </c>
      <c r="O17" s="489"/>
      <c r="P17" s="489"/>
      <c r="Q17" s="489"/>
      <c r="R17" s="488">
        <f>SUM(R18:R19)</f>
        <v>0</v>
      </c>
      <c r="S17" s="803"/>
    </row>
    <row r="18" spans="1:19" ht="15" customHeight="1" x14ac:dyDescent="0.35">
      <c r="A18" s="490"/>
      <c r="B18" s="491" t="s">
        <v>292</v>
      </c>
      <c r="C18" s="493"/>
      <c r="D18" s="493"/>
      <c r="E18" s="493"/>
      <c r="F18" s="492"/>
      <c r="G18" s="493"/>
      <c r="H18" s="493"/>
      <c r="I18" s="493"/>
      <c r="J18" s="492">
        <v>30927</v>
      </c>
      <c r="K18" s="493"/>
      <c r="L18" s="493"/>
      <c r="M18" s="493"/>
      <c r="N18" s="492">
        <v>30927</v>
      </c>
      <c r="O18" s="493"/>
      <c r="P18" s="493"/>
      <c r="Q18" s="493"/>
      <c r="R18" s="492"/>
      <c r="S18" s="803"/>
    </row>
    <row r="19" spans="1:19" ht="15" customHeight="1" x14ac:dyDescent="0.35">
      <c r="A19" s="490"/>
      <c r="B19" s="491" t="s">
        <v>351</v>
      </c>
      <c r="C19" s="493"/>
      <c r="D19" s="493"/>
      <c r="E19" s="493"/>
      <c r="F19" s="492"/>
      <c r="G19" s="493"/>
      <c r="H19" s="493"/>
      <c r="I19" s="493"/>
      <c r="J19" s="492"/>
      <c r="K19" s="493"/>
      <c r="L19" s="493"/>
      <c r="M19" s="493"/>
      <c r="N19" s="492"/>
      <c r="O19" s="493"/>
      <c r="P19" s="493"/>
      <c r="Q19" s="493"/>
      <c r="R19" s="492"/>
      <c r="S19" s="803"/>
    </row>
    <row r="20" spans="1:19" x14ac:dyDescent="0.35">
      <c r="A20" s="483" t="s">
        <v>318</v>
      </c>
      <c r="B20" s="484" t="s">
        <v>353</v>
      </c>
      <c r="C20" s="486">
        <v>5</v>
      </c>
      <c r="D20" s="486">
        <v>0</v>
      </c>
      <c r="E20" s="486">
        <v>0</v>
      </c>
      <c r="F20" s="485">
        <v>39690320</v>
      </c>
      <c r="G20" s="486">
        <v>5</v>
      </c>
      <c r="H20" s="486">
        <v>0</v>
      </c>
      <c r="I20" s="486">
        <v>0</v>
      </c>
      <c r="J20" s="485">
        <v>39690320</v>
      </c>
      <c r="K20" s="486">
        <v>5</v>
      </c>
      <c r="L20" s="486">
        <v>0</v>
      </c>
      <c r="M20" s="486">
        <v>0</v>
      </c>
      <c r="N20" s="485">
        <f>+N21+N26</f>
        <v>18270189</v>
      </c>
      <c r="O20" s="486">
        <v>5</v>
      </c>
      <c r="P20" s="486">
        <v>0</v>
      </c>
      <c r="Q20" s="486">
        <v>0</v>
      </c>
      <c r="R20" s="485">
        <f>+R21+R26</f>
        <v>0</v>
      </c>
      <c r="S20" s="803"/>
    </row>
    <row r="21" spans="1:19" s="494" customFormat="1" x14ac:dyDescent="0.35">
      <c r="A21" s="487" t="s">
        <v>311</v>
      </c>
      <c r="B21" s="477" t="s">
        <v>1378</v>
      </c>
      <c r="C21" s="489">
        <v>4</v>
      </c>
      <c r="D21" s="489"/>
      <c r="E21" s="489"/>
      <c r="F21" s="488">
        <v>33826800</v>
      </c>
      <c r="G21" s="489">
        <v>4</v>
      </c>
      <c r="H21" s="489"/>
      <c r="I21" s="489"/>
      <c r="J21" s="488">
        <v>33826800</v>
      </c>
      <c r="K21" s="489">
        <v>4</v>
      </c>
      <c r="L21" s="489"/>
      <c r="M21" s="489"/>
      <c r="N21" s="488">
        <f>SUM(N22:N25)</f>
        <v>15513407</v>
      </c>
      <c r="O21" s="489">
        <v>4</v>
      </c>
      <c r="P21" s="489"/>
      <c r="Q21" s="489"/>
      <c r="R21" s="488">
        <f>SUM(R22:R25)</f>
        <v>0</v>
      </c>
      <c r="S21" s="803"/>
    </row>
    <row r="22" spans="1:19" x14ac:dyDescent="0.35">
      <c r="A22" s="490"/>
      <c r="B22" s="491" t="s">
        <v>286</v>
      </c>
      <c r="C22" s="493"/>
      <c r="D22" s="493"/>
      <c r="E22" s="493"/>
      <c r="F22" s="492">
        <v>24480200</v>
      </c>
      <c r="G22" s="493"/>
      <c r="H22" s="493"/>
      <c r="I22" s="493"/>
      <c r="J22" s="492">
        <v>24480200</v>
      </c>
      <c r="K22" s="493"/>
      <c r="L22" s="493"/>
      <c r="M22" s="493"/>
      <c r="N22" s="803">
        <v>12176078</v>
      </c>
      <c r="O22" s="493"/>
      <c r="P22" s="493"/>
      <c r="Q22" s="493"/>
      <c r="R22" s="492"/>
      <c r="S22" s="803"/>
    </row>
    <row r="23" spans="1:19" x14ac:dyDescent="0.35">
      <c r="A23" s="490"/>
      <c r="B23" s="491" t="s">
        <v>287</v>
      </c>
      <c r="C23" s="493"/>
      <c r="D23" s="493"/>
      <c r="E23" s="493"/>
      <c r="F23" s="492">
        <v>3795000</v>
      </c>
      <c r="G23" s="493"/>
      <c r="H23" s="493"/>
      <c r="I23" s="493"/>
      <c r="J23" s="492">
        <v>3795000</v>
      </c>
      <c r="K23" s="493"/>
      <c r="L23" s="493"/>
      <c r="M23" s="493"/>
      <c r="N23" s="803">
        <v>1870959</v>
      </c>
      <c r="O23" s="493"/>
      <c r="P23" s="493"/>
      <c r="Q23" s="493"/>
      <c r="R23" s="492"/>
      <c r="S23" s="803"/>
    </row>
    <row r="24" spans="1:19" x14ac:dyDescent="0.35">
      <c r="A24" s="490"/>
      <c r="B24" s="491" t="s">
        <v>292</v>
      </c>
      <c r="C24" s="493"/>
      <c r="D24" s="493"/>
      <c r="E24" s="493"/>
      <c r="F24" s="466">
        <v>5551600</v>
      </c>
      <c r="G24" s="493"/>
      <c r="H24" s="493"/>
      <c r="I24" s="493"/>
      <c r="J24" s="466">
        <v>5542210</v>
      </c>
      <c r="K24" s="493"/>
      <c r="L24" s="493"/>
      <c r="M24" s="493"/>
      <c r="N24" s="803">
        <v>1456980</v>
      </c>
      <c r="O24" s="493"/>
      <c r="P24" s="493"/>
      <c r="Q24" s="493"/>
      <c r="R24" s="466"/>
      <c r="S24" s="803"/>
    </row>
    <row r="25" spans="1:19" x14ac:dyDescent="0.35">
      <c r="A25" s="490"/>
      <c r="B25" s="491" t="s">
        <v>351</v>
      </c>
      <c r="C25" s="493"/>
      <c r="D25" s="493"/>
      <c r="E25" s="493"/>
      <c r="F25" s="466"/>
      <c r="G25" s="493"/>
      <c r="H25" s="493"/>
      <c r="I25" s="493"/>
      <c r="J25" s="466">
        <v>9390</v>
      </c>
      <c r="K25" s="493"/>
      <c r="L25" s="493"/>
      <c r="M25" s="493"/>
      <c r="N25" s="466">
        <v>9390</v>
      </c>
      <c r="O25" s="493"/>
      <c r="P25" s="493"/>
      <c r="Q25" s="493"/>
      <c r="R25" s="466"/>
      <c r="S25" s="803"/>
    </row>
    <row r="26" spans="1:19" s="494" customFormat="1" x14ac:dyDescent="0.35">
      <c r="A26" s="487" t="s">
        <v>322</v>
      </c>
      <c r="B26" s="477" t="s">
        <v>1379</v>
      </c>
      <c r="C26" s="489">
        <v>1</v>
      </c>
      <c r="D26" s="489"/>
      <c r="E26" s="489"/>
      <c r="F26" s="464">
        <v>5863520</v>
      </c>
      <c r="G26" s="489">
        <v>1</v>
      </c>
      <c r="H26" s="489"/>
      <c r="I26" s="489"/>
      <c r="J26" s="464">
        <v>5863520</v>
      </c>
      <c r="K26" s="489">
        <v>1</v>
      </c>
      <c r="L26" s="489"/>
      <c r="M26" s="489"/>
      <c r="N26" s="464">
        <f>SUM(N27:N30)</f>
        <v>2756782</v>
      </c>
      <c r="O26" s="489">
        <v>1</v>
      </c>
      <c r="P26" s="489"/>
      <c r="Q26" s="489"/>
      <c r="R26" s="464">
        <f>SUM(R27:R30)</f>
        <v>0</v>
      </c>
      <c r="S26" s="803"/>
    </row>
    <row r="27" spans="1:19" x14ac:dyDescent="0.35">
      <c r="A27" s="490"/>
      <c r="B27" s="491" t="s">
        <v>286</v>
      </c>
      <c r="C27" s="493"/>
      <c r="D27" s="493"/>
      <c r="E27" s="493"/>
      <c r="F27" s="466">
        <v>3784000</v>
      </c>
      <c r="G27" s="493"/>
      <c r="H27" s="493"/>
      <c r="I27" s="493"/>
      <c r="J27" s="466">
        <v>3784000</v>
      </c>
      <c r="K27" s="493"/>
      <c r="L27" s="493"/>
      <c r="M27" s="493"/>
      <c r="N27" s="803">
        <v>2132677</v>
      </c>
      <c r="O27" s="493"/>
      <c r="P27" s="493"/>
      <c r="Q27" s="493"/>
      <c r="R27" s="466"/>
      <c r="S27" s="803"/>
    </row>
    <row r="28" spans="1:19" x14ac:dyDescent="0.35">
      <c r="A28" s="490"/>
      <c r="B28" s="491" t="s">
        <v>287</v>
      </c>
      <c r="C28" s="493"/>
      <c r="D28" s="493"/>
      <c r="E28" s="493"/>
      <c r="F28" s="466">
        <v>586520</v>
      </c>
      <c r="G28" s="493"/>
      <c r="H28" s="493"/>
      <c r="I28" s="493"/>
      <c r="J28" s="466">
        <v>586520</v>
      </c>
      <c r="K28" s="493"/>
      <c r="L28" s="493"/>
      <c r="M28" s="493"/>
      <c r="N28" s="803">
        <v>325263</v>
      </c>
      <c r="O28" s="493"/>
      <c r="P28" s="493"/>
      <c r="Q28" s="493"/>
      <c r="R28" s="466"/>
      <c r="S28" s="803"/>
    </row>
    <row r="29" spans="1:19" x14ac:dyDescent="0.35">
      <c r="A29" s="490"/>
      <c r="B29" s="491" t="s">
        <v>292</v>
      </c>
      <c r="C29" s="493"/>
      <c r="D29" s="493"/>
      <c r="E29" s="493"/>
      <c r="F29" s="466">
        <v>1493000</v>
      </c>
      <c r="G29" s="493"/>
      <c r="H29" s="493"/>
      <c r="I29" s="493"/>
      <c r="J29" s="466">
        <v>1493000</v>
      </c>
      <c r="K29" s="493"/>
      <c r="L29" s="493"/>
      <c r="M29" s="493"/>
      <c r="N29" s="803">
        <v>298842</v>
      </c>
      <c r="O29" s="493"/>
      <c r="P29" s="493"/>
      <c r="Q29" s="493"/>
      <c r="R29" s="466"/>
      <c r="S29" s="803"/>
    </row>
    <row r="30" spans="1:19" x14ac:dyDescent="0.35">
      <c r="A30" s="490"/>
      <c r="B30" s="491" t="s">
        <v>351</v>
      </c>
      <c r="C30" s="493"/>
      <c r="D30" s="493"/>
      <c r="E30" s="493"/>
      <c r="F30" s="492"/>
      <c r="G30" s="493"/>
      <c r="H30" s="493"/>
      <c r="I30" s="493"/>
      <c r="J30" s="492"/>
      <c r="K30" s="493"/>
      <c r="L30" s="493"/>
      <c r="M30" s="493"/>
      <c r="N30" s="492"/>
      <c r="O30" s="493"/>
      <c r="P30" s="493"/>
      <c r="Q30" s="493"/>
      <c r="R30" s="492"/>
      <c r="S30" s="803"/>
    </row>
    <row r="31" spans="1:19" x14ac:dyDescent="0.35">
      <c r="A31" s="483" t="s">
        <v>328</v>
      </c>
      <c r="B31" s="484" t="s">
        <v>650</v>
      </c>
      <c r="C31" s="486"/>
      <c r="D31" s="486"/>
      <c r="E31" s="486"/>
      <c r="F31" s="485">
        <v>1229000</v>
      </c>
      <c r="G31" s="486"/>
      <c r="H31" s="486"/>
      <c r="I31" s="486"/>
      <c r="J31" s="485">
        <v>1316430</v>
      </c>
      <c r="K31" s="486"/>
      <c r="L31" s="486"/>
      <c r="M31" s="486"/>
      <c r="N31" s="485">
        <f>+N32+N34</f>
        <v>89891</v>
      </c>
      <c r="O31" s="486"/>
      <c r="P31" s="486"/>
      <c r="Q31" s="486"/>
      <c r="R31" s="485">
        <f>+R32+R34</f>
        <v>0</v>
      </c>
      <c r="S31" s="803"/>
    </row>
    <row r="32" spans="1:19" x14ac:dyDescent="0.35">
      <c r="A32" s="487" t="s">
        <v>311</v>
      </c>
      <c r="B32" s="477" t="s">
        <v>1119</v>
      </c>
      <c r="C32" s="489"/>
      <c r="D32" s="489"/>
      <c r="E32" s="489"/>
      <c r="F32" s="488">
        <v>0</v>
      </c>
      <c r="G32" s="489"/>
      <c r="H32" s="489"/>
      <c r="I32" s="489"/>
      <c r="J32" s="488">
        <v>0</v>
      </c>
      <c r="K32" s="489"/>
      <c r="L32" s="489"/>
      <c r="M32" s="489"/>
      <c r="N32" s="488">
        <f>+N33</f>
        <v>0</v>
      </c>
      <c r="O32" s="489"/>
      <c r="P32" s="489"/>
      <c r="Q32" s="489"/>
      <c r="R32" s="488">
        <f>+R33</f>
        <v>0</v>
      </c>
      <c r="S32" s="803"/>
    </row>
    <row r="33" spans="1:19" x14ac:dyDescent="0.35">
      <c r="A33" s="495"/>
      <c r="B33" s="491" t="s">
        <v>337</v>
      </c>
      <c r="C33" s="493"/>
      <c r="D33" s="493"/>
      <c r="E33" s="493"/>
      <c r="F33" s="496">
        <v>0</v>
      </c>
      <c r="G33" s="493"/>
      <c r="H33" s="493"/>
      <c r="I33" s="493"/>
      <c r="J33" s="496">
        <v>0</v>
      </c>
      <c r="K33" s="493"/>
      <c r="L33" s="493"/>
      <c r="M33" s="493"/>
      <c r="N33" s="496">
        <v>0</v>
      </c>
      <c r="O33" s="493"/>
      <c r="P33" s="493"/>
      <c r="Q33" s="493"/>
      <c r="R33" s="496">
        <v>0</v>
      </c>
      <c r="S33" s="803"/>
    </row>
    <row r="34" spans="1:19" s="494" customFormat="1" x14ac:dyDescent="0.35">
      <c r="A34" s="487" t="s">
        <v>322</v>
      </c>
      <c r="B34" s="477" t="s">
        <v>651</v>
      </c>
      <c r="C34" s="489"/>
      <c r="D34" s="489"/>
      <c r="E34" s="489"/>
      <c r="F34" s="488">
        <v>1229000</v>
      </c>
      <c r="G34" s="489"/>
      <c r="H34" s="489"/>
      <c r="I34" s="489"/>
      <c r="J34" s="488">
        <v>1316430</v>
      </c>
      <c r="K34" s="489"/>
      <c r="L34" s="489"/>
      <c r="M34" s="489"/>
      <c r="N34" s="488">
        <f>SUM(N35:N38)</f>
        <v>89891</v>
      </c>
      <c r="O34" s="489"/>
      <c r="P34" s="489"/>
      <c r="Q34" s="489"/>
      <c r="R34" s="488">
        <f>SUM(R35:R38)</f>
        <v>0</v>
      </c>
      <c r="S34" s="803"/>
    </row>
    <row r="35" spans="1:19" s="497" customFormat="1" x14ac:dyDescent="0.35">
      <c r="A35" s="495"/>
      <c r="B35" s="491" t="s">
        <v>286</v>
      </c>
      <c r="C35" s="493"/>
      <c r="D35" s="493"/>
      <c r="E35" s="493"/>
      <c r="F35" s="496">
        <v>40000</v>
      </c>
      <c r="G35" s="493"/>
      <c r="H35" s="493"/>
      <c r="I35" s="493"/>
      <c r="J35" s="496">
        <v>127430</v>
      </c>
      <c r="K35" s="493"/>
      <c r="L35" s="493"/>
      <c r="M35" s="493"/>
      <c r="N35" s="496"/>
      <c r="O35" s="493"/>
      <c r="P35" s="493"/>
      <c r="Q35" s="493"/>
      <c r="R35" s="496"/>
      <c r="S35" s="803"/>
    </row>
    <row r="36" spans="1:19" s="497" customFormat="1" x14ac:dyDescent="0.35">
      <c r="A36" s="495"/>
      <c r="B36" s="498" t="s">
        <v>287</v>
      </c>
      <c r="C36" s="493"/>
      <c r="D36" s="493"/>
      <c r="E36" s="493"/>
      <c r="F36" s="496">
        <v>16000</v>
      </c>
      <c r="G36" s="493"/>
      <c r="H36" s="493"/>
      <c r="I36" s="493"/>
      <c r="J36" s="496">
        <v>16000</v>
      </c>
      <c r="K36" s="493"/>
      <c r="L36" s="493"/>
      <c r="M36" s="493"/>
      <c r="N36" s="496"/>
      <c r="O36" s="493"/>
      <c r="P36" s="493"/>
      <c r="Q36" s="493"/>
      <c r="R36" s="496"/>
      <c r="S36" s="803"/>
    </row>
    <row r="37" spans="1:19" x14ac:dyDescent="0.35">
      <c r="A37" s="490"/>
      <c r="B37" s="491" t="s">
        <v>292</v>
      </c>
      <c r="C37" s="493"/>
      <c r="D37" s="493"/>
      <c r="E37" s="493"/>
      <c r="F37" s="466">
        <v>1173000</v>
      </c>
      <c r="G37" s="493"/>
      <c r="H37" s="493"/>
      <c r="I37" s="493"/>
      <c r="J37" s="466">
        <v>1173000</v>
      </c>
      <c r="K37" s="493"/>
      <c r="L37" s="493"/>
      <c r="M37" s="493"/>
      <c r="N37" s="466">
        <v>89891</v>
      </c>
      <c r="O37" s="493"/>
      <c r="P37" s="493"/>
      <c r="Q37" s="493"/>
      <c r="R37" s="466"/>
      <c r="S37" s="803"/>
    </row>
    <row r="38" spans="1:19" x14ac:dyDescent="0.35">
      <c r="A38" s="490"/>
      <c r="B38" s="491" t="s">
        <v>351</v>
      </c>
      <c r="C38" s="493"/>
      <c r="D38" s="493"/>
      <c r="E38" s="493"/>
      <c r="F38" s="492"/>
      <c r="G38" s="493"/>
      <c r="H38" s="493"/>
      <c r="I38" s="493"/>
      <c r="J38" s="492"/>
      <c r="K38" s="493"/>
      <c r="L38" s="493"/>
      <c r="M38" s="493"/>
      <c r="N38" s="492"/>
      <c r="O38" s="493"/>
      <c r="P38" s="493"/>
      <c r="Q38" s="493"/>
      <c r="R38" s="492"/>
      <c r="S38" s="803"/>
    </row>
    <row r="41" spans="1:19" x14ac:dyDescent="0.35">
      <c r="B41" s="479" t="s">
        <v>286</v>
      </c>
    </row>
    <row r="42" spans="1:19" x14ac:dyDescent="0.35">
      <c r="B42" s="479" t="s">
        <v>287</v>
      </c>
    </row>
    <row r="43" spans="1:19" x14ac:dyDescent="0.35">
      <c r="B43" s="479" t="s">
        <v>292</v>
      </c>
    </row>
    <row r="44" spans="1:19" x14ac:dyDescent="0.35">
      <c r="B44" s="479" t="s">
        <v>337</v>
      </c>
    </row>
    <row r="45" spans="1:19" x14ac:dyDescent="0.35">
      <c r="B45" s="479" t="s">
        <v>339</v>
      </c>
    </row>
    <row r="46" spans="1:19" x14ac:dyDescent="0.35">
      <c r="B46" s="479" t="s">
        <v>351</v>
      </c>
    </row>
    <row r="47" spans="1:19" x14ac:dyDescent="0.35">
      <c r="B47" s="479" t="s">
        <v>342</v>
      </c>
    </row>
    <row r="48" spans="1:19" x14ac:dyDescent="0.35">
      <c r="B48" s="479" t="s">
        <v>343</v>
      </c>
    </row>
    <row r="49" spans="2:2" x14ac:dyDescent="0.35">
      <c r="B49" s="499" t="s">
        <v>1282</v>
      </c>
    </row>
  </sheetData>
  <mergeCells count="6">
    <mergeCell ref="O3:R3"/>
    <mergeCell ref="A2:A3"/>
    <mergeCell ref="B2:B3"/>
    <mergeCell ref="C3:F3"/>
    <mergeCell ref="G3:J3"/>
    <mergeCell ref="K3:N3"/>
  </mergeCells>
  <printOptions horizontalCentered="1"/>
  <pageMargins left="0.27559055118110237" right="0.19685039370078741" top="1.0236220472440944" bottom="0.19685039370078741" header="0.31496062992125984" footer="0.31496062992125984"/>
  <pageSetup paperSize="9" scale="47" fitToWidth="2" pageOrder="overThenDown" orientation="portrait" r:id="rId1"/>
  <headerFooter>
    <oddHeader>&amp;L3/B.  melléklet a ......./2021. (.................) önkormányzati rendelethez&amp;C&amp;"-,Félkövér"&amp;16
A Polgármesteri Hivatal 2021. évi kiadásai feladatonként részletes bontásban</oddHeader>
    <oddFooter>&amp;C&amp;P&amp;R&amp;D, &amp;T</oddFooter>
  </headerFooter>
  <colBreaks count="1" manualBreakCount="1">
    <brk id="14" max="3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47"/>
  <sheetViews>
    <sheetView view="pageBreakPreview" topLeftCell="A7" zoomScale="96" zoomScaleNormal="100" zoomScaleSheetLayoutView="96" workbookViewId="0">
      <selection activeCell="H18" sqref="H18"/>
    </sheetView>
  </sheetViews>
  <sheetFormatPr defaultRowHeight="14.5" x14ac:dyDescent="0.35"/>
  <cols>
    <col min="1" max="1" width="7.1796875" style="30" customWidth="1"/>
    <col min="2" max="2" width="50" customWidth="1"/>
    <col min="3" max="3" width="12.81640625" customWidth="1"/>
    <col min="4" max="4" width="6.81640625" customWidth="1"/>
    <col min="5" max="5" width="13.1796875" customWidth="1"/>
    <col min="6" max="6" width="12.81640625" customWidth="1"/>
    <col min="7" max="7" width="9.1796875" customWidth="1"/>
    <col min="8" max="8" width="16.54296875" customWidth="1"/>
    <col min="9" max="9" width="12.81640625" hidden="1" customWidth="1"/>
    <col min="10" max="10" width="8.7265625" hidden="1" customWidth="1"/>
    <col min="11" max="11" width="16.54296875" hidden="1" customWidth="1"/>
    <col min="12" max="12" width="12.81640625" hidden="1" customWidth="1"/>
    <col min="13" max="13" width="0" hidden="1" customWidth="1"/>
    <col min="14" max="14" width="16.54296875" hidden="1" customWidth="1"/>
    <col min="15" max="15" width="9.1796875" bestFit="1" customWidth="1"/>
  </cols>
  <sheetData>
    <row r="1" spans="1:14" x14ac:dyDescent="0.35">
      <c r="E1" s="31"/>
      <c r="H1" s="31" t="s">
        <v>1638</v>
      </c>
      <c r="K1" s="31" t="s">
        <v>1638</v>
      </c>
    </row>
    <row r="2" spans="1:14" ht="29" x14ac:dyDescent="0.35">
      <c r="A2" s="328" t="s">
        <v>303</v>
      </c>
      <c r="B2" s="328" t="s">
        <v>1410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</row>
    <row r="3" spans="1:14" x14ac:dyDescent="0.35">
      <c r="A3" s="328" t="s">
        <v>304</v>
      </c>
      <c r="B3" s="328" t="s">
        <v>1466</v>
      </c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</row>
    <row r="4" spans="1:14" ht="60.75" customHeight="1" x14ac:dyDescent="0.35">
      <c r="A4" s="1066" t="s">
        <v>305</v>
      </c>
      <c r="B4" s="1091" t="s">
        <v>306</v>
      </c>
      <c r="C4" s="1063" t="s">
        <v>1794</v>
      </c>
      <c r="D4" s="1064"/>
      <c r="E4" s="1065"/>
      <c r="F4" s="1092" t="s">
        <v>1796</v>
      </c>
      <c r="G4" s="1064"/>
      <c r="H4" s="1065"/>
      <c r="I4" s="1092" t="s">
        <v>1799</v>
      </c>
      <c r="J4" s="1064"/>
      <c r="K4" s="1064"/>
      <c r="L4" s="1063"/>
      <c r="M4" s="1064"/>
      <c r="N4" s="1065"/>
    </row>
    <row r="5" spans="1:14" ht="72.5" x14ac:dyDescent="0.35">
      <c r="A5" s="1066"/>
      <c r="B5" s="1091"/>
      <c r="C5" s="539" t="s">
        <v>1289</v>
      </c>
      <c r="D5" s="539" t="s">
        <v>1290</v>
      </c>
      <c r="E5" s="539" t="s">
        <v>549</v>
      </c>
      <c r="F5" s="719" t="s">
        <v>1289</v>
      </c>
      <c r="G5" s="719" t="s">
        <v>1290</v>
      </c>
      <c r="H5" s="719" t="s">
        <v>549</v>
      </c>
      <c r="I5" s="719" t="s">
        <v>1289</v>
      </c>
      <c r="J5" s="719" t="s">
        <v>1290</v>
      </c>
      <c r="K5" s="719" t="s">
        <v>549</v>
      </c>
      <c r="L5" s="719" t="s">
        <v>1289</v>
      </c>
      <c r="M5" s="719" t="s">
        <v>1290</v>
      </c>
      <c r="N5" s="719" t="s">
        <v>549</v>
      </c>
    </row>
    <row r="6" spans="1:14" x14ac:dyDescent="0.35">
      <c r="A6" s="329"/>
      <c r="B6" s="330" t="s">
        <v>307</v>
      </c>
      <c r="C6" s="331">
        <v>13</v>
      </c>
      <c r="D6" s="331"/>
      <c r="E6" s="331">
        <f t="shared" ref="E6:E7" si="0">SUM(C6:D6)</f>
        <v>13</v>
      </c>
      <c r="F6" s="331">
        <v>13</v>
      </c>
      <c r="G6" s="331"/>
      <c r="H6" s="331">
        <f t="shared" ref="H6:H7" si="1">SUM(F6:G6)</f>
        <v>13</v>
      </c>
      <c r="I6" s="331">
        <v>13</v>
      </c>
      <c r="J6" s="331"/>
      <c r="K6" s="331">
        <f t="shared" ref="K6:K46" si="2">SUM(I6:J6)</f>
        <v>13</v>
      </c>
      <c r="L6" s="331">
        <v>13</v>
      </c>
      <c r="M6" s="331"/>
      <c r="N6" s="331">
        <f t="shared" ref="N6:N46" si="3">SUM(L6:M6)</f>
        <v>13</v>
      </c>
    </row>
    <row r="7" spans="1:14" x14ac:dyDescent="0.35">
      <c r="A7" s="329"/>
      <c r="B7" s="330" t="s">
        <v>308</v>
      </c>
      <c r="C7" s="331"/>
      <c r="D7" s="331"/>
      <c r="E7" s="331">
        <f t="shared" si="0"/>
        <v>0</v>
      </c>
      <c r="F7" s="331"/>
      <c r="G7" s="331"/>
      <c r="H7" s="331">
        <f t="shared" si="1"/>
        <v>0</v>
      </c>
      <c r="I7" s="331"/>
      <c r="J7" s="331"/>
      <c r="K7" s="331">
        <f t="shared" si="2"/>
        <v>0</v>
      </c>
      <c r="L7" s="331"/>
      <c r="M7" s="331"/>
      <c r="N7" s="331">
        <f t="shared" si="3"/>
        <v>0</v>
      </c>
    </row>
    <row r="8" spans="1:14" x14ac:dyDescent="0.35">
      <c r="A8" s="332" t="s">
        <v>309</v>
      </c>
      <c r="B8" s="333" t="s">
        <v>310</v>
      </c>
      <c r="C8" s="334">
        <v>1270000</v>
      </c>
      <c r="D8" s="334">
        <v>0</v>
      </c>
      <c r="E8" s="334">
        <v>1270000</v>
      </c>
      <c r="F8" s="524">
        <v>1270000</v>
      </c>
      <c r="G8" s="524">
        <v>0</v>
      </c>
      <c r="H8" s="524">
        <v>1270000</v>
      </c>
      <c r="I8" s="524">
        <f>I9+I11+I20</f>
        <v>887589</v>
      </c>
      <c r="J8" s="524">
        <f>J9+J11+J20</f>
        <v>0</v>
      </c>
      <c r="K8" s="524">
        <f t="shared" si="2"/>
        <v>887589</v>
      </c>
      <c r="L8" s="524">
        <f>L9+L11+L20</f>
        <v>0</v>
      </c>
      <c r="M8" s="524">
        <f>M9+M11+M20</f>
        <v>0</v>
      </c>
      <c r="N8" s="524">
        <f t="shared" si="3"/>
        <v>0</v>
      </c>
    </row>
    <row r="9" spans="1:14" x14ac:dyDescent="0.35">
      <c r="A9" s="335" t="s">
        <v>311</v>
      </c>
      <c r="B9" s="336" t="s">
        <v>312</v>
      </c>
      <c r="C9" s="337">
        <v>0</v>
      </c>
      <c r="D9" s="337">
        <v>0</v>
      </c>
      <c r="E9" s="337">
        <v>0</v>
      </c>
      <c r="F9" s="526">
        <v>0</v>
      </c>
      <c r="G9" s="526">
        <v>0</v>
      </c>
      <c r="H9" s="526">
        <v>0</v>
      </c>
      <c r="I9" s="526">
        <f>I10</f>
        <v>0</v>
      </c>
      <c r="J9" s="526">
        <f>J10</f>
        <v>0</v>
      </c>
      <c r="K9" s="526">
        <f t="shared" si="2"/>
        <v>0</v>
      </c>
      <c r="L9" s="526">
        <f>L10</f>
        <v>0</v>
      </c>
      <c r="M9" s="526">
        <f>M10</f>
        <v>0</v>
      </c>
      <c r="N9" s="526">
        <f t="shared" si="3"/>
        <v>0</v>
      </c>
    </row>
    <row r="10" spans="1:14" ht="30" hidden="1" customHeight="1" x14ac:dyDescent="0.35">
      <c r="A10" s="370"/>
      <c r="B10" s="338" t="s">
        <v>313</v>
      </c>
      <c r="C10" s="258">
        <v>0</v>
      </c>
      <c r="D10" s="258">
        <v>0</v>
      </c>
      <c r="E10" s="258">
        <v>0</v>
      </c>
      <c r="F10" s="258">
        <v>0</v>
      </c>
      <c r="G10" s="258">
        <v>0</v>
      </c>
      <c r="H10" s="258">
        <v>0</v>
      </c>
      <c r="I10" s="258">
        <v>0</v>
      </c>
      <c r="J10" s="258">
        <v>0</v>
      </c>
      <c r="K10" s="258">
        <f t="shared" si="2"/>
        <v>0</v>
      </c>
      <c r="L10" s="258">
        <v>0</v>
      </c>
      <c r="M10" s="258">
        <v>0</v>
      </c>
      <c r="N10" s="258">
        <f t="shared" si="3"/>
        <v>0</v>
      </c>
    </row>
    <row r="11" spans="1:14" x14ac:dyDescent="0.35">
      <c r="A11" s="335" t="s">
        <v>322</v>
      </c>
      <c r="B11" s="336" t="s">
        <v>314</v>
      </c>
      <c r="C11" s="337">
        <v>1270000</v>
      </c>
      <c r="D11" s="337">
        <v>0</v>
      </c>
      <c r="E11" s="337">
        <v>1270000</v>
      </c>
      <c r="F11" s="526">
        <v>1270000</v>
      </c>
      <c r="G11" s="526">
        <v>0</v>
      </c>
      <c r="H11" s="526">
        <v>1270000</v>
      </c>
      <c r="I11" s="526">
        <f>SUM(I12:I19)</f>
        <v>887589</v>
      </c>
      <c r="J11" s="526">
        <f>SUM(J12:J19)</f>
        <v>0</v>
      </c>
      <c r="K11" s="526">
        <f t="shared" si="2"/>
        <v>887589</v>
      </c>
      <c r="L11" s="526">
        <f>SUM(L12:L19)</f>
        <v>0</v>
      </c>
      <c r="M11" s="526">
        <f>SUM(M12:M19)</f>
        <v>0</v>
      </c>
      <c r="N11" s="526">
        <f t="shared" si="3"/>
        <v>0</v>
      </c>
    </row>
    <row r="12" spans="1:14" x14ac:dyDescent="0.35">
      <c r="A12" s="370"/>
      <c r="B12" s="338" t="s">
        <v>644</v>
      </c>
      <c r="C12" s="258">
        <v>0</v>
      </c>
      <c r="D12" s="258">
        <v>0</v>
      </c>
      <c r="E12" s="258">
        <v>0</v>
      </c>
      <c r="F12" s="258">
        <v>0</v>
      </c>
      <c r="G12" s="258">
        <v>0</v>
      </c>
      <c r="H12" s="258">
        <v>0</v>
      </c>
      <c r="I12" s="258">
        <v>0</v>
      </c>
      <c r="J12" s="258">
        <v>0</v>
      </c>
      <c r="K12" s="258">
        <v>0</v>
      </c>
      <c r="L12" s="258">
        <v>0</v>
      </c>
      <c r="M12" s="258">
        <v>0</v>
      </c>
      <c r="N12" s="258">
        <f t="shared" si="3"/>
        <v>0</v>
      </c>
    </row>
    <row r="13" spans="1:14" x14ac:dyDescent="0.35">
      <c r="A13" s="370"/>
      <c r="B13" s="338" t="s">
        <v>645</v>
      </c>
      <c r="C13" s="258">
        <v>0</v>
      </c>
      <c r="D13" s="258">
        <v>0</v>
      </c>
      <c r="E13" s="258">
        <v>0</v>
      </c>
      <c r="F13" s="258">
        <v>0</v>
      </c>
      <c r="G13" s="258">
        <v>0</v>
      </c>
      <c r="H13" s="258">
        <v>0</v>
      </c>
      <c r="I13" s="258">
        <v>0</v>
      </c>
      <c r="J13" s="258">
        <v>0</v>
      </c>
      <c r="K13" s="258">
        <v>0</v>
      </c>
      <c r="L13" s="258">
        <v>0</v>
      </c>
      <c r="M13" s="258">
        <v>0</v>
      </c>
      <c r="N13" s="258">
        <f t="shared" si="3"/>
        <v>0</v>
      </c>
    </row>
    <row r="14" spans="1:14" x14ac:dyDescent="0.35">
      <c r="A14" s="370"/>
      <c r="B14" s="338" t="s">
        <v>652</v>
      </c>
      <c r="C14" s="258">
        <v>0</v>
      </c>
      <c r="D14" s="258">
        <v>0</v>
      </c>
      <c r="E14" s="258">
        <v>0</v>
      </c>
      <c r="F14" s="258">
        <v>0</v>
      </c>
      <c r="G14" s="258">
        <v>0</v>
      </c>
      <c r="H14" s="258">
        <v>0</v>
      </c>
      <c r="I14" s="258">
        <v>0</v>
      </c>
      <c r="J14" s="258">
        <v>0</v>
      </c>
      <c r="K14" s="258">
        <v>0</v>
      </c>
      <c r="L14" s="258">
        <v>0</v>
      </c>
      <c r="M14" s="258">
        <v>0</v>
      </c>
      <c r="N14" s="258">
        <f t="shared" si="3"/>
        <v>0</v>
      </c>
    </row>
    <row r="15" spans="1:14" x14ac:dyDescent="0.35">
      <c r="A15" s="370"/>
      <c r="B15" s="338" t="s">
        <v>653</v>
      </c>
      <c r="C15" s="258">
        <v>1000000</v>
      </c>
      <c r="D15" s="258">
        <v>0</v>
      </c>
      <c r="E15" s="258">
        <v>1000000</v>
      </c>
      <c r="F15" s="258">
        <v>1000000</v>
      </c>
      <c r="G15" s="258">
        <v>0</v>
      </c>
      <c r="H15" s="258">
        <v>1000000</v>
      </c>
      <c r="I15" s="258">
        <v>495301</v>
      </c>
      <c r="J15" s="258">
        <v>0</v>
      </c>
      <c r="K15" s="258">
        <f t="shared" ref="K15:K19" si="4">SUM(I15:J15)</f>
        <v>495301</v>
      </c>
      <c r="L15" s="258"/>
      <c r="M15" s="258">
        <v>0</v>
      </c>
      <c r="N15" s="258">
        <f t="shared" si="3"/>
        <v>0</v>
      </c>
    </row>
    <row r="16" spans="1:14" x14ac:dyDescent="0.35">
      <c r="A16" s="370"/>
      <c r="B16" s="338" t="s">
        <v>654</v>
      </c>
      <c r="C16" s="258">
        <v>270000</v>
      </c>
      <c r="D16" s="258">
        <v>0</v>
      </c>
      <c r="E16" s="258">
        <v>270000</v>
      </c>
      <c r="F16" s="258">
        <v>270000</v>
      </c>
      <c r="G16" s="258">
        <v>0</v>
      </c>
      <c r="H16" s="258">
        <v>270000</v>
      </c>
      <c r="I16" s="258">
        <v>133737</v>
      </c>
      <c r="J16" s="258">
        <v>0</v>
      </c>
      <c r="K16" s="258">
        <f t="shared" si="4"/>
        <v>133737</v>
      </c>
      <c r="L16" s="258"/>
      <c r="M16" s="258">
        <v>0</v>
      </c>
      <c r="N16" s="258">
        <f t="shared" si="3"/>
        <v>0</v>
      </c>
    </row>
    <row r="17" spans="1:14" x14ac:dyDescent="0.35">
      <c r="A17" s="370"/>
      <c r="B17" s="338" t="s">
        <v>655</v>
      </c>
      <c r="C17" s="258"/>
      <c r="D17" s="258">
        <v>0</v>
      </c>
      <c r="E17" s="258">
        <v>0</v>
      </c>
      <c r="F17" s="258">
        <v>0</v>
      </c>
      <c r="G17" s="258">
        <v>0</v>
      </c>
      <c r="H17" s="258">
        <v>0</v>
      </c>
      <c r="I17" s="258">
        <v>257000</v>
      </c>
      <c r="J17" s="258">
        <v>0</v>
      </c>
      <c r="K17" s="258">
        <f t="shared" si="4"/>
        <v>257000</v>
      </c>
      <c r="L17" s="258">
        <v>0</v>
      </c>
      <c r="M17" s="258">
        <v>0</v>
      </c>
      <c r="N17" s="258">
        <f t="shared" si="3"/>
        <v>0</v>
      </c>
    </row>
    <row r="18" spans="1:14" x14ac:dyDescent="0.35">
      <c r="A18" s="370"/>
      <c r="B18" s="338" t="s">
        <v>656</v>
      </c>
      <c r="C18" s="258">
        <v>0</v>
      </c>
      <c r="D18" s="258">
        <v>0</v>
      </c>
      <c r="E18" s="258">
        <v>0</v>
      </c>
      <c r="F18" s="258">
        <v>0</v>
      </c>
      <c r="G18" s="258">
        <v>0</v>
      </c>
      <c r="H18" s="258">
        <v>0</v>
      </c>
      <c r="I18" s="258">
        <v>0</v>
      </c>
      <c r="J18" s="258">
        <v>0</v>
      </c>
      <c r="K18" s="258">
        <f t="shared" si="4"/>
        <v>0</v>
      </c>
      <c r="L18" s="258">
        <v>0</v>
      </c>
      <c r="M18" s="258">
        <v>0</v>
      </c>
      <c r="N18" s="258">
        <f t="shared" si="3"/>
        <v>0</v>
      </c>
    </row>
    <row r="19" spans="1:14" x14ac:dyDescent="0.35">
      <c r="A19" s="370"/>
      <c r="B19" s="338" t="s">
        <v>657</v>
      </c>
      <c r="C19" s="258">
        <v>0</v>
      </c>
      <c r="D19" s="258">
        <v>0</v>
      </c>
      <c r="E19" s="258">
        <v>0</v>
      </c>
      <c r="F19" s="258">
        <v>0</v>
      </c>
      <c r="G19" s="258">
        <v>0</v>
      </c>
      <c r="H19" s="258">
        <v>0</v>
      </c>
      <c r="I19" s="258">
        <f>1547+4</f>
        <v>1551</v>
      </c>
      <c r="J19" s="258">
        <v>0</v>
      </c>
      <c r="K19" s="258">
        <f t="shared" si="4"/>
        <v>1551</v>
      </c>
      <c r="L19" s="258">
        <v>0</v>
      </c>
      <c r="M19" s="258">
        <v>0</v>
      </c>
      <c r="N19" s="258">
        <f t="shared" si="3"/>
        <v>0</v>
      </c>
    </row>
    <row r="20" spans="1:14" x14ac:dyDescent="0.35">
      <c r="A20" s="335" t="s">
        <v>315</v>
      </c>
      <c r="B20" s="336" t="s">
        <v>316</v>
      </c>
      <c r="C20" s="337">
        <v>0</v>
      </c>
      <c r="D20" s="337">
        <v>0</v>
      </c>
      <c r="E20" s="337">
        <v>0</v>
      </c>
      <c r="F20" s="526">
        <v>0</v>
      </c>
      <c r="G20" s="526">
        <v>0</v>
      </c>
      <c r="H20" s="526">
        <v>0</v>
      </c>
      <c r="I20" s="526">
        <f>I21</f>
        <v>0</v>
      </c>
      <c r="J20" s="526">
        <f>J21</f>
        <v>0</v>
      </c>
      <c r="K20" s="526">
        <f t="shared" si="2"/>
        <v>0</v>
      </c>
      <c r="L20" s="526">
        <f>L21</f>
        <v>0</v>
      </c>
      <c r="M20" s="526">
        <f>M21</f>
        <v>0</v>
      </c>
      <c r="N20" s="526">
        <f t="shared" si="3"/>
        <v>0</v>
      </c>
    </row>
    <row r="21" spans="1:14" ht="15" hidden="1" customHeight="1" x14ac:dyDescent="0.35">
      <c r="A21" s="370"/>
      <c r="B21" s="338" t="s">
        <v>317</v>
      </c>
      <c r="C21" s="258">
        <v>0</v>
      </c>
      <c r="D21" s="258">
        <v>0</v>
      </c>
      <c r="E21" s="258">
        <v>0</v>
      </c>
      <c r="F21" s="258">
        <v>0</v>
      </c>
      <c r="G21" s="258">
        <v>0</v>
      </c>
      <c r="H21" s="258">
        <v>0</v>
      </c>
      <c r="I21" s="258">
        <v>0</v>
      </c>
      <c r="J21" s="258">
        <v>0</v>
      </c>
      <c r="K21" s="258">
        <f t="shared" si="2"/>
        <v>0</v>
      </c>
      <c r="L21" s="258">
        <v>0</v>
      </c>
      <c r="M21" s="258">
        <v>0</v>
      </c>
      <c r="N21" s="258">
        <f t="shared" si="3"/>
        <v>0</v>
      </c>
    </row>
    <row r="22" spans="1:14" x14ac:dyDescent="0.35">
      <c r="A22" s="332" t="s">
        <v>318</v>
      </c>
      <c r="B22" s="333" t="s">
        <v>319</v>
      </c>
      <c r="C22" s="334">
        <v>0</v>
      </c>
      <c r="D22" s="334">
        <v>0</v>
      </c>
      <c r="E22" s="334">
        <v>0</v>
      </c>
      <c r="F22" s="524">
        <v>0</v>
      </c>
      <c r="G22" s="524">
        <v>0</v>
      </c>
      <c r="H22" s="524">
        <v>0</v>
      </c>
      <c r="I22" s="524">
        <f>I23+I25+I28</f>
        <v>0</v>
      </c>
      <c r="J22" s="524">
        <f>J23+J25+J28</f>
        <v>0</v>
      </c>
      <c r="K22" s="524">
        <f t="shared" si="2"/>
        <v>0</v>
      </c>
      <c r="L22" s="524">
        <f>L23+L25+L28</f>
        <v>0</v>
      </c>
      <c r="M22" s="524">
        <f>M23+M25+M28</f>
        <v>0</v>
      </c>
      <c r="N22" s="524">
        <f t="shared" si="3"/>
        <v>0</v>
      </c>
    </row>
    <row r="23" spans="1:14" ht="15" hidden="1" customHeight="1" x14ac:dyDescent="0.35">
      <c r="A23" s="335" t="s">
        <v>311</v>
      </c>
      <c r="B23" s="336" t="s">
        <v>320</v>
      </c>
      <c r="C23" s="337">
        <v>0</v>
      </c>
      <c r="D23" s="337">
        <v>0</v>
      </c>
      <c r="E23" s="337">
        <v>0</v>
      </c>
      <c r="F23" s="526">
        <v>0</v>
      </c>
      <c r="G23" s="526">
        <v>0</v>
      </c>
      <c r="H23" s="526">
        <v>0</v>
      </c>
      <c r="I23" s="526">
        <f>I24</f>
        <v>0</v>
      </c>
      <c r="J23" s="526">
        <f>J24</f>
        <v>0</v>
      </c>
      <c r="K23" s="526">
        <f t="shared" si="2"/>
        <v>0</v>
      </c>
      <c r="L23" s="526">
        <f>L24</f>
        <v>0</v>
      </c>
      <c r="M23" s="526">
        <f>M24</f>
        <v>0</v>
      </c>
      <c r="N23" s="526">
        <f t="shared" si="3"/>
        <v>0</v>
      </c>
    </row>
    <row r="24" spans="1:14" ht="30" hidden="1" customHeight="1" x14ac:dyDescent="0.35">
      <c r="A24" s="370"/>
      <c r="B24" s="257" t="s">
        <v>321</v>
      </c>
      <c r="C24" s="258">
        <v>0</v>
      </c>
      <c r="D24" s="258">
        <v>0</v>
      </c>
      <c r="E24" s="258">
        <v>0</v>
      </c>
      <c r="F24" s="258">
        <v>0</v>
      </c>
      <c r="G24" s="258">
        <v>0</v>
      </c>
      <c r="H24" s="258">
        <v>0</v>
      </c>
      <c r="I24" s="258">
        <v>0</v>
      </c>
      <c r="J24" s="258">
        <v>0</v>
      </c>
      <c r="K24" s="258">
        <f t="shared" si="2"/>
        <v>0</v>
      </c>
      <c r="L24" s="258">
        <v>0</v>
      </c>
      <c r="M24" s="258">
        <v>0</v>
      </c>
      <c r="N24" s="258">
        <f t="shared" si="3"/>
        <v>0</v>
      </c>
    </row>
    <row r="25" spans="1:14" ht="15" hidden="1" customHeight="1" x14ac:dyDescent="0.35">
      <c r="A25" s="335" t="s">
        <v>322</v>
      </c>
      <c r="B25" s="336" t="s">
        <v>257</v>
      </c>
      <c r="C25" s="337">
        <v>0</v>
      </c>
      <c r="D25" s="337">
        <v>0</v>
      </c>
      <c r="E25" s="337">
        <v>0</v>
      </c>
      <c r="F25" s="526">
        <v>0</v>
      </c>
      <c r="G25" s="526">
        <v>0</v>
      </c>
      <c r="H25" s="526">
        <v>0</v>
      </c>
      <c r="I25" s="526">
        <f>SUM(I26:I27)</f>
        <v>0</v>
      </c>
      <c r="J25" s="526">
        <f>SUM(J26:J27)</f>
        <v>0</v>
      </c>
      <c r="K25" s="526">
        <f t="shared" si="2"/>
        <v>0</v>
      </c>
      <c r="L25" s="526">
        <f>SUM(L26:L27)</f>
        <v>0</v>
      </c>
      <c r="M25" s="526">
        <f>SUM(M26:M27)</f>
        <v>0</v>
      </c>
      <c r="N25" s="526">
        <f t="shared" si="3"/>
        <v>0</v>
      </c>
    </row>
    <row r="26" spans="1:14" ht="15" hidden="1" customHeight="1" x14ac:dyDescent="0.35">
      <c r="A26" s="370"/>
      <c r="B26" s="340" t="s">
        <v>323</v>
      </c>
      <c r="C26" s="258">
        <v>0</v>
      </c>
      <c r="D26" s="258">
        <v>0</v>
      </c>
      <c r="E26" s="258">
        <v>0</v>
      </c>
      <c r="F26" s="258">
        <v>0</v>
      </c>
      <c r="G26" s="258">
        <v>0</v>
      </c>
      <c r="H26" s="258">
        <v>0</v>
      </c>
      <c r="I26" s="258">
        <v>0</v>
      </c>
      <c r="J26" s="258">
        <v>0</v>
      </c>
      <c r="K26" s="258">
        <f t="shared" si="2"/>
        <v>0</v>
      </c>
      <c r="L26" s="258">
        <v>0</v>
      </c>
      <c r="M26" s="258">
        <v>0</v>
      </c>
      <c r="N26" s="258">
        <f t="shared" si="3"/>
        <v>0</v>
      </c>
    </row>
    <row r="27" spans="1:14" ht="15" hidden="1" customHeight="1" x14ac:dyDescent="0.35">
      <c r="A27" s="370"/>
      <c r="B27" s="340" t="s">
        <v>324</v>
      </c>
      <c r="C27" s="258">
        <v>0</v>
      </c>
      <c r="D27" s="258">
        <v>0</v>
      </c>
      <c r="E27" s="258">
        <v>0</v>
      </c>
      <c r="F27" s="258">
        <v>0</v>
      </c>
      <c r="G27" s="258">
        <v>0</v>
      </c>
      <c r="H27" s="258">
        <v>0</v>
      </c>
      <c r="I27" s="258">
        <v>0</v>
      </c>
      <c r="J27" s="258">
        <v>0</v>
      </c>
      <c r="K27" s="258">
        <f t="shared" si="2"/>
        <v>0</v>
      </c>
      <c r="L27" s="258">
        <v>0</v>
      </c>
      <c r="M27" s="258">
        <v>0</v>
      </c>
      <c r="N27" s="258">
        <f t="shared" si="3"/>
        <v>0</v>
      </c>
    </row>
    <row r="28" spans="1:14" ht="15" hidden="1" customHeight="1" x14ac:dyDescent="0.35">
      <c r="A28" s="335" t="s">
        <v>315</v>
      </c>
      <c r="B28" s="336" t="s">
        <v>325</v>
      </c>
      <c r="C28" s="337">
        <v>0</v>
      </c>
      <c r="D28" s="337">
        <v>0</v>
      </c>
      <c r="E28" s="337">
        <v>0</v>
      </c>
      <c r="F28" s="526">
        <v>0</v>
      </c>
      <c r="G28" s="526">
        <v>0</v>
      </c>
      <c r="H28" s="526">
        <v>0</v>
      </c>
      <c r="I28" s="526">
        <f>I29</f>
        <v>0</v>
      </c>
      <c r="J28" s="526">
        <f>J29</f>
        <v>0</v>
      </c>
      <c r="K28" s="526">
        <f t="shared" si="2"/>
        <v>0</v>
      </c>
      <c r="L28" s="526">
        <f>L29</f>
        <v>0</v>
      </c>
      <c r="M28" s="526">
        <f>M29</f>
        <v>0</v>
      </c>
      <c r="N28" s="526">
        <f t="shared" si="3"/>
        <v>0</v>
      </c>
    </row>
    <row r="29" spans="1:14" ht="15" hidden="1" customHeight="1" x14ac:dyDescent="0.35">
      <c r="A29" s="370"/>
      <c r="B29" s="340" t="s">
        <v>326</v>
      </c>
      <c r="C29" s="258">
        <v>0</v>
      </c>
      <c r="D29" s="258">
        <v>0</v>
      </c>
      <c r="E29" s="258">
        <v>0</v>
      </c>
      <c r="F29" s="258">
        <v>0</v>
      </c>
      <c r="G29" s="258">
        <v>0</v>
      </c>
      <c r="H29" s="258">
        <v>0</v>
      </c>
      <c r="I29" s="258">
        <v>0</v>
      </c>
      <c r="J29" s="258">
        <v>0</v>
      </c>
      <c r="K29" s="258">
        <f t="shared" si="2"/>
        <v>0</v>
      </c>
      <c r="L29" s="258">
        <v>0</v>
      </c>
      <c r="M29" s="258">
        <v>0</v>
      </c>
      <c r="N29" s="258">
        <f t="shared" si="3"/>
        <v>0</v>
      </c>
    </row>
    <row r="30" spans="1:14" x14ac:dyDescent="0.35">
      <c r="A30" s="368"/>
      <c r="B30" s="341" t="s">
        <v>327</v>
      </c>
      <c r="C30" s="342">
        <v>1270000</v>
      </c>
      <c r="D30" s="342">
        <v>0</v>
      </c>
      <c r="E30" s="342">
        <v>1270000</v>
      </c>
      <c r="F30" s="534">
        <v>1270000</v>
      </c>
      <c r="G30" s="534">
        <v>0</v>
      </c>
      <c r="H30" s="534">
        <v>1270000</v>
      </c>
      <c r="I30" s="534">
        <f>I8+I22</f>
        <v>887589</v>
      </c>
      <c r="J30" s="534">
        <f>J8+J22</f>
        <v>0</v>
      </c>
      <c r="K30" s="534">
        <f t="shared" si="2"/>
        <v>887589</v>
      </c>
      <c r="L30" s="534">
        <f>L8+L22</f>
        <v>0</v>
      </c>
      <c r="M30" s="534">
        <f>M8+M22</f>
        <v>0</v>
      </c>
      <c r="N30" s="534">
        <f t="shared" si="3"/>
        <v>0</v>
      </c>
    </row>
    <row r="31" spans="1:14" x14ac:dyDescent="0.35">
      <c r="A31" s="332" t="s">
        <v>328</v>
      </c>
      <c r="B31" s="333" t="s">
        <v>329</v>
      </c>
      <c r="C31" s="334">
        <v>72180920</v>
      </c>
      <c r="D31" s="334">
        <v>0</v>
      </c>
      <c r="E31" s="334">
        <v>72180920</v>
      </c>
      <c r="F31" s="524">
        <v>75748216</v>
      </c>
      <c r="G31" s="524">
        <v>0</v>
      </c>
      <c r="H31" s="524">
        <v>75748216</v>
      </c>
      <c r="I31" s="524">
        <f>I32</f>
        <v>29461712</v>
      </c>
      <c r="J31" s="524">
        <f>J32</f>
        <v>0</v>
      </c>
      <c r="K31" s="524">
        <f t="shared" si="2"/>
        <v>29461712</v>
      </c>
      <c r="L31" s="524">
        <f>L32</f>
        <v>0</v>
      </c>
      <c r="M31" s="524">
        <f>M32</f>
        <v>0</v>
      </c>
      <c r="N31" s="524">
        <f t="shared" si="3"/>
        <v>0</v>
      </c>
    </row>
    <row r="32" spans="1:14" x14ac:dyDescent="0.35">
      <c r="A32" s="335" t="s">
        <v>311</v>
      </c>
      <c r="B32" s="336" t="s">
        <v>330</v>
      </c>
      <c r="C32" s="337">
        <v>72180920</v>
      </c>
      <c r="D32" s="337">
        <v>0</v>
      </c>
      <c r="E32" s="337">
        <v>72180920</v>
      </c>
      <c r="F32" s="526">
        <v>75748216</v>
      </c>
      <c r="G32" s="526">
        <v>0</v>
      </c>
      <c r="H32" s="526">
        <v>75748216</v>
      </c>
      <c r="I32" s="526">
        <f>SUM(I33:I34)</f>
        <v>29461712</v>
      </c>
      <c r="J32" s="526">
        <f>SUM(J33:J34)</f>
        <v>0</v>
      </c>
      <c r="K32" s="526">
        <f t="shared" si="2"/>
        <v>29461712</v>
      </c>
      <c r="L32" s="526">
        <f>SUM(L33:L34)</f>
        <v>0</v>
      </c>
      <c r="M32" s="526">
        <f>SUM(M33:M34)</f>
        <v>0</v>
      </c>
      <c r="N32" s="526">
        <f t="shared" si="3"/>
        <v>0</v>
      </c>
    </row>
    <row r="33" spans="1:15" x14ac:dyDescent="0.35">
      <c r="A33" s="370"/>
      <c r="B33" s="340" t="s">
        <v>331</v>
      </c>
      <c r="C33" s="258"/>
      <c r="D33" s="258">
        <v>0</v>
      </c>
      <c r="E33" s="258">
        <v>0</v>
      </c>
      <c r="F33" s="258">
        <v>1727296</v>
      </c>
      <c r="G33" s="258">
        <v>0</v>
      </c>
      <c r="H33" s="258">
        <v>1727296</v>
      </c>
      <c r="I33" s="258">
        <v>1727296</v>
      </c>
      <c r="J33" s="258">
        <v>0</v>
      </c>
      <c r="K33" s="258">
        <f t="shared" si="2"/>
        <v>1727296</v>
      </c>
      <c r="L33" s="258"/>
      <c r="M33" s="258">
        <v>0</v>
      </c>
      <c r="N33" s="258">
        <f t="shared" si="3"/>
        <v>0</v>
      </c>
      <c r="O33" s="39"/>
    </row>
    <row r="34" spans="1:15" x14ac:dyDescent="0.35">
      <c r="A34" s="370"/>
      <c r="B34" s="340" t="s">
        <v>332</v>
      </c>
      <c r="C34" s="258">
        <v>72180920</v>
      </c>
      <c r="D34" s="258">
        <v>0</v>
      </c>
      <c r="E34" s="258">
        <v>72180920</v>
      </c>
      <c r="F34" s="258">
        <v>74020920</v>
      </c>
      <c r="G34" s="258">
        <v>0</v>
      </c>
      <c r="H34" s="258">
        <v>74020920</v>
      </c>
      <c r="I34" s="258">
        <f>27916906-182490</f>
        <v>27734416</v>
      </c>
      <c r="J34" s="258">
        <f>J46-J30-J33</f>
        <v>0</v>
      </c>
      <c r="K34" s="258">
        <f t="shared" si="2"/>
        <v>27734416</v>
      </c>
      <c r="L34" s="258">
        <f>L46-L30-L33</f>
        <v>0</v>
      </c>
      <c r="M34" s="258">
        <f>M46-M30-M33</f>
        <v>0</v>
      </c>
      <c r="N34" s="258">
        <f t="shared" si="3"/>
        <v>0</v>
      </c>
      <c r="O34" s="39"/>
    </row>
    <row r="35" spans="1:15" x14ac:dyDescent="0.35">
      <c r="A35" s="343"/>
      <c r="B35" s="344" t="s">
        <v>333</v>
      </c>
      <c r="C35" s="316">
        <v>73450920</v>
      </c>
      <c r="D35" s="316">
        <v>0</v>
      </c>
      <c r="E35" s="316">
        <v>73450920</v>
      </c>
      <c r="F35" s="316">
        <v>77018216</v>
      </c>
      <c r="G35" s="316">
        <v>0</v>
      </c>
      <c r="H35" s="316">
        <v>77018216</v>
      </c>
      <c r="I35" s="316">
        <f>I30+I31</f>
        <v>30349301</v>
      </c>
      <c r="J35" s="316">
        <f>J30+J31</f>
        <v>0</v>
      </c>
      <c r="K35" s="316">
        <f t="shared" si="2"/>
        <v>30349301</v>
      </c>
      <c r="L35" s="316">
        <f>L30+L31</f>
        <v>0</v>
      </c>
      <c r="M35" s="316">
        <f>M30+M31</f>
        <v>0</v>
      </c>
      <c r="N35" s="316">
        <f t="shared" si="3"/>
        <v>0</v>
      </c>
      <c r="O35" s="39"/>
    </row>
    <row r="36" spans="1:15" x14ac:dyDescent="0.35">
      <c r="A36" s="332" t="s">
        <v>309</v>
      </c>
      <c r="B36" s="333" t="s">
        <v>334</v>
      </c>
      <c r="C36" s="334">
        <v>72020900</v>
      </c>
      <c r="D36" s="334">
        <v>0</v>
      </c>
      <c r="E36" s="334">
        <v>72020900</v>
      </c>
      <c r="F36" s="524">
        <v>75588196</v>
      </c>
      <c r="G36" s="524">
        <v>0</v>
      </c>
      <c r="H36" s="524">
        <v>75588196</v>
      </c>
      <c r="I36" s="524">
        <f>SUM(I37:I41)</f>
        <v>27197965</v>
      </c>
      <c r="J36" s="524">
        <f>SUM(J37:J41)</f>
        <v>0</v>
      </c>
      <c r="K36" s="524">
        <f t="shared" si="2"/>
        <v>27197965</v>
      </c>
      <c r="L36" s="524">
        <f>SUM(L37:L41)</f>
        <v>0</v>
      </c>
      <c r="M36" s="524">
        <f>SUM(M37:M41)</f>
        <v>0</v>
      </c>
      <c r="N36" s="524">
        <f t="shared" si="3"/>
        <v>0</v>
      </c>
      <c r="O36" s="39"/>
    </row>
    <row r="37" spans="1:15" x14ac:dyDescent="0.35">
      <c r="A37" s="335" t="s">
        <v>311</v>
      </c>
      <c r="B37" s="336" t="s">
        <v>286</v>
      </c>
      <c r="C37" s="337">
        <v>48780000</v>
      </c>
      <c r="D37" s="337">
        <v>0</v>
      </c>
      <c r="E37" s="337">
        <v>48780000</v>
      </c>
      <c r="F37" s="526">
        <v>50620000</v>
      </c>
      <c r="G37" s="526">
        <v>0</v>
      </c>
      <c r="H37" s="526">
        <v>50620000</v>
      </c>
      <c r="I37" s="526">
        <f>'5. melléklet'!K9+'5. melléklet'!K16</f>
        <v>19266283</v>
      </c>
      <c r="J37" s="526">
        <f>'5. melléklet'!J9+'5. melléklet'!J16</f>
        <v>0</v>
      </c>
      <c r="K37" s="526">
        <f t="shared" si="2"/>
        <v>19266283</v>
      </c>
      <c r="L37" s="526">
        <f>'5. melléklet'!N9+'5. melléklet'!N16</f>
        <v>0</v>
      </c>
      <c r="M37" s="526">
        <f>'5. melléklet'!M9+'5. melléklet'!M16</f>
        <v>0</v>
      </c>
      <c r="N37" s="526">
        <f t="shared" si="3"/>
        <v>0</v>
      </c>
      <c r="O37" s="39"/>
    </row>
    <row r="38" spans="1:15" x14ac:dyDescent="0.35">
      <c r="A38" s="335" t="s">
        <v>322</v>
      </c>
      <c r="B38" s="336" t="s">
        <v>335</v>
      </c>
      <c r="C38" s="337">
        <v>7560900</v>
      </c>
      <c r="D38" s="337">
        <v>0</v>
      </c>
      <c r="E38" s="337">
        <v>7560900</v>
      </c>
      <c r="F38" s="526">
        <v>7560900</v>
      </c>
      <c r="G38" s="526">
        <v>0</v>
      </c>
      <c r="H38" s="526">
        <v>7560900</v>
      </c>
      <c r="I38" s="526">
        <f>'5. melléklet'!K10+'5. melléklet'!K17</f>
        <v>2959838</v>
      </c>
      <c r="J38" s="526">
        <f>'5. melléklet'!J10+'5. melléklet'!J17</f>
        <v>0</v>
      </c>
      <c r="K38" s="526">
        <f t="shared" si="2"/>
        <v>2959838</v>
      </c>
      <c r="L38" s="526">
        <f>'5. melléklet'!N10+'5. melléklet'!N17</f>
        <v>0</v>
      </c>
      <c r="M38" s="526">
        <f>'5. melléklet'!M10+'5. melléklet'!M17</f>
        <v>0</v>
      </c>
      <c r="N38" s="526">
        <f t="shared" si="3"/>
        <v>0</v>
      </c>
      <c r="O38" s="39"/>
    </row>
    <row r="39" spans="1:15" x14ac:dyDescent="0.35">
      <c r="A39" s="335" t="s">
        <v>315</v>
      </c>
      <c r="B39" s="336" t="s">
        <v>292</v>
      </c>
      <c r="C39" s="337">
        <v>15680000</v>
      </c>
      <c r="D39" s="337">
        <v>0</v>
      </c>
      <c r="E39" s="337">
        <v>15680000</v>
      </c>
      <c r="F39" s="526">
        <v>15752850</v>
      </c>
      <c r="G39" s="526">
        <v>0</v>
      </c>
      <c r="H39" s="526">
        <v>15752850</v>
      </c>
      <c r="I39" s="526">
        <f>'5. melléklet'!K11+'5. melléklet'!K18</f>
        <v>4971844</v>
      </c>
      <c r="J39" s="526">
        <f>'5. melléklet'!J11+'5. melléklet'!J18</f>
        <v>0</v>
      </c>
      <c r="K39" s="526">
        <f t="shared" si="2"/>
        <v>4971844</v>
      </c>
      <c r="L39" s="526">
        <f>'5. melléklet'!N11+'5. melléklet'!N18+'5. melléklet'!N21</f>
        <v>0</v>
      </c>
      <c r="M39" s="526">
        <f>'5. melléklet'!M11+'5. melléklet'!M18</f>
        <v>0</v>
      </c>
      <c r="N39" s="526">
        <f t="shared" si="3"/>
        <v>0</v>
      </c>
      <c r="O39" s="39"/>
    </row>
    <row r="40" spans="1:15" x14ac:dyDescent="0.35">
      <c r="A40" s="335" t="s">
        <v>336</v>
      </c>
      <c r="B40" s="336" t="s">
        <v>337</v>
      </c>
      <c r="C40" s="337">
        <v>0</v>
      </c>
      <c r="D40" s="337">
        <v>0</v>
      </c>
      <c r="E40" s="337">
        <v>0</v>
      </c>
      <c r="F40" s="526">
        <v>0</v>
      </c>
      <c r="G40" s="526">
        <v>0</v>
      </c>
      <c r="H40" s="526">
        <v>0</v>
      </c>
      <c r="I40" s="526">
        <v>0</v>
      </c>
      <c r="J40" s="526">
        <v>0</v>
      </c>
      <c r="K40" s="526">
        <f t="shared" si="2"/>
        <v>0</v>
      </c>
      <c r="L40" s="526">
        <v>0</v>
      </c>
      <c r="M40" s="526">
        <v>0</v>
      </c>
      <c r="N40" s="526">
        <f t="shared" si="3"/>
        <v>0</v>
      </c>
    </row>
    <row r="41" spans="1:15" x14ac:dyDescent="0.35">
      <c r="A41" s="335" t="s">
        <v>338</v>
      </c>
      <c r="B41" s="336" t="s">
        <v>339</v>
      </c>
      <c r="C41" s="337">
        <v>0</v>
      </c>
      <c r="D41" s="337">
        <v>0</v>
      </c>
      <c r="E41" s="337">
        <v>0</v>
      </c>
      <c r="F41" s="526">
        <v>1654446</v>
      </c>
      <c r="G41" s="526">
        <v>0</v>
      </c>
      <c r="H41" s="526">
        <v>1654446</v>
      </c>
      <c r="I41" s="526">
        <f>+'5. melléklet'!K12</f>
        <v>0</v>
      </c>
      <c r="J41" s="526">
        <f>+'5. melléklet'!J12</f>
        <v>0</v>
      </c>
      <c r="K41" s="526">
        <f t="shared" si="2"/>
        <v>0</v>
      </c>
      <c r="L41" s="526">
        <f>+'5. melléklet'!N12</f>
        <v>0</v>
      </c>
      <c r="M41" s="526">
        <f>+'5. melléklet'!M12</f>
        <v>0</v>
      </c>
      <c r="N41" s="526">
        <f t="shared" si="3"/>
        <v>0</v>
      </c>
      <c r="O41" s="39"/>
    </row>
    <row r="42" spans="1:15" x14ac:dyDescent="0.35">
      <c r="A42" s="332" t="s">
        <v>318</v>
      </c>
      <c r="B42" s="333" t="s">
        <v>340</v>
      </c>
      <c r="C42" s="334">
        <v>1430020</v>
      </c>
      <c r="D42" s="334">
        <v>0</v>
      </c>
      <c r="E42" s="777">
        <v>1430020</v>
      </c>
      <c r="F42" s="524">
        <v>1430020</v>
      </c>
      <c r="G42" s="524">
        <v>0</v>
      </c>
      <c r="H42" s="777">
        <v>1430020</v>
      </c>
      <c r="I42" s="524">
        <f>SUM(I43:I45)</f>
        <v>212388</v>
      </c>
      <c r="J42" s="524">
        <f>SUM(J43:J45)</f>
        <v>0</v>
      </c>
      <c r="K42" s="777">
        <f t="shared" si="2"/>
        <v>212388</v>
      </c>
      <c r="L42" s="524">
        <f>SUM(L43:L45)</f>
        <v>0</v>
      </c>
      <c r="M42" s="524">
        <f>SUM(M43:M45)</f>
        <v>0</v>
      </c>
      <c r="N42" s="777">
        <f t="shared" si="3"/>
        <v>0</v>
      </c>
      <c r="O42" s="39"/>
    </row>
    <row r="43" spans="1:15" x14ac:dyDescent="0.35">
      <c r="A43" s="335" t="s">
        <v>311</v>
      </c>
      <c r="B43" s="336" t="s">
        <v>341</v>
      </c>
      <c r="C43" s="337">
        <v>1430020</v>
      </c>
      <c r="D43" s="337">
        <v>0</v>
      </c>
      <c r="E43" s="337">
        <v>1430020</v>
      </c>
      <c r="F43" s="526">
        <v>1430020</v>
      </c>
      <c r="G43" s="526">
        <v>0</v>
      </c>
      <c r="H43" s="526">
        <v>1430020</v>
      </c>
      <c r="I43" s="526">
        <f>'5. melléklet'!K13+'5. melléklet'!K19</f>
        <v>212388</v>
      </c>
      <c r="J43" s="526">
        <f>'5. melléklet'!J13+'5. melléklet'!J19</f>
        <v>0</v>
      </c>
      <c r="K43" s="526">
        <f t="shared" si="2"/>
        <v>212388</v>
      </c>
      <c r="L43" s="526">
        <f>'5. melléklet'!N13+'5. melléklet'!N19</f>
        <v>0</v>
      </c>
      <c r="M43" s="526">
        <f>'5. melléklet'!M13+'5. melléklet'!M19</f>
        <v>0</v>
      </c>
      <c r="N43" s="526">
        <f t="shared" si="3"/>
        <v>0</v>
      </c>
      <c r="O43" s="39"/>
    </row>
    <row r="44" spans="1:15" x14ac:dyDescent="0.35">
      <c r="A44" s="335" t="s">
        <v>322</v>
      </c>
      <c r="B44" s="336" t="s">
        <v>342</v>
      </c>
      <c r="C44" s="337">
        <v>0</v>
      </c>
      <c r="D44" s="337">
        <v>0</v>
      </c>
      <c r="E44" s="337">
        <v>0</v>
      </c>
      <c r="F44" s="526">
        <v>0</v>
      </c>
      <c r="G44" s="526">
        <v>0</v>
      </c>
      <c r="H44" s="526">
        <v>0</v>
      </c>
      <c r="I44" s="526">
        <f>'5. melléklet'!K14+'5. melléklet'!K22</f>
        <v>0</v>
      </c>
      <c r="J44" s="526">
        <v>0</v>
      </c>
      <c r="K44" s="526">
        <f t="shared" si="2"/>
        <v>0</v>
      </c>
      <c r="L44" s="526">
        <f>'5. melléklet'!N14+'5. melléklet'!N22</f>
        <v>0</v>
      </c>
      <c r="M44" s="526">
        <v>0</v>
      </c>
      <c r="N44" s="526">
        <f t="shared" si="3"/>
        <v>0</v>
      </c>
    </row>
    <row r="45" spans="1:15" x14ac:dyDescent="0.35">
      <c r="A45" s="335" t="s">
        <v>315</v>
      </c>
      <c r="B45" s="336" t="s">
        <v>343</v>
      </c>
      <c r="C45" s="337">
        <v>0</v>
      </c>
      <c r="D45" s="337">
        <v>0</v>
      </c>
      <c r="E45" s="337">
        <v>0</v>
      </c>
      <c r="F45" s="526">
        <v>0</v>
      </c>
      <c r="G45" s="526">
        <v>0</v>
      </c>
      <c r="H45" s="526">
        <v>0</v>
      </c>
      <c r="I45" s="526">
        <v>0</v>
      </c>
      <c r="J45" s="526">
        <v>0</v>
      </c>
      <c r="K45" s="526">
        <f t="shared" si="2"/>
        <v>0</v>
      </c>
      <c r="L45" s="526">
        <v>0</v>
      </c>
      <c r="M45" s="526">
        <v>0</v>
      </c>
      <c r="N45" s="526">
        <f t="shared" si="3"/>
        <v>0</v>
      </c>
    </row>
    <row r="46" spans="1:15" x14ac:dyDescent="0.35">
      <c r="A46" s="343"/>
      <c r="B46" s="344" t="s">
        <v>344</v>
      </c>
      <c r="C46" s="316">
        <v>73450920</v>
      </c>
      <c r="D46" s="316">
        <v>0</v>
      </c>
      <c r="E46" s="316">
        <v>73450920</v>
      </c>
      <c r="F46" s="316">
        <v>77018216</v>
      </c>
      <c r="G46" s="316">
        <v>0</v>
      </c>
      <c r="H46" s="316">
        <v>77018216</v>
      </c>
      <c r="I46" s="316">
        <f>I36+I42</f>
        <v>27410353</v>
      </c>
      <c r="J46" s="316">
        <f>J36+J42</f>
        <v>0</v>
      </c>
      <c r="K46" s="316">
        <f t="shared" si="2"/>
        <v>27410353</v>
      </c>
      <c r="L46" s="316">
        <f>L36+L42</f>
        <v>0</v>
      </c>
      <c r="M46" s="316">
        <f>M36+M42</f>
        <v>0</v>
      </c>
      <c r="N46" s="316">
        <f t="shared" si="3"/>
        <v>0</v>
      </c>
      <c r="O46" s="39"/>
    </row>
    <row r="47" spans="1:15" x14ac:dyDescent="0.35">
      <c r="H47" s="39"/>
      <c r="K47" s="39">
        <f>+K46-H46</f>
        <v>-49607863</v>
      </c>
      <c r="N47" s="39">
        <f>+N46-K46</f>
        <v>-27410353</v>
      </c>
    </row>
  </sheetData>
  <mergeCells count="6">
    <mergeCell ref="L4:N4"/>
    <mergeCell ref="A4:A5"/>
    <mergeCell ref="C4:E4"/>
    <mergeCell ref="B4:B5"/>
    <mergeCell ref="F4:H4"/>
    <mergeCell ref="I4:K4"/>
  </mergeCells>
  <printOptions horizontalCentered="1"/>
  <pageMargins left="0.19685039370078741" right="0.19685039370078741" top="0.82677165354330717" bottom="0.19685039370078741" header="0.31496062992125984" footer="0.31496062992125984"/>
  <pageSetup paperSize="9" scale="44" fitToWidth="0" fitToHeight="0" orientation="portrait" copies="2" r:id="rId1"/>
  <headerFooter>
    <oddHeader>&amp;L4.1  mellékle&amp;C&amp;"-,Félkövér"&amp;16
A Walla József Óvoda 2021. évi bevételei és kiadásai jogcímenként és feladatonként</oddHeader>
    <oddFooter>&amp;C&amp;P&amp;R&amp;D, &amp;T</oddFooter>
  </headerFooter>
  <colBreaks count="1" manualBreakCount="1">
    <brk id="11" max="4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47"/>
  <sheetViews>
    <sheetView view="pageBreakPreview" topLeftCell="A7" zoomScale="96" zoomScaleNormal="100" zoomScaleSheetLayoutView="96" workbookViewId="0">
      <selection activeCell="H18" sqref="H18"/>
    </sheetView>
  </sheetViews>
  <sheetFormatPr defaultRowHeight="14.5" x14ac:dyDescent="0.35"/>
  <cols>
    <col min="1" max="1" width="7.1796875" style="30" customWidth="1"/>
    <col min="2" max="2" width="43.54296875" customWidth="1"/>
    <col min="3" max="3" width="13.26953125" customWidth="1"/>
    <col min="4" max="4" width="9.1796875" customWidth="1"/>
    <col min="5" max="5" width="12.7265625" customWidth="1"/>
    <col min="6" max="6" width="13.26953125" customWidth="1"/>
    <col min="7" max="7" width="9.1796875" customWidth="1"/>
    <col min="8" max="8" width="16.54296875" customWidth="1"/>
    <col min="9" max="9" width="13.26953125" hidden="1" customWidth="1"/>
    <col min="10" max="10" width="8.7265625" hidden="1" customWidth="1"/>
    <col min="11" max="11" width="16.54296875" hidden="1" customWidth="1"/>
    <col min="12" max="12" width="13.26953125" hidden="1" customWidth="1"/>
    <col min="13" max="13" width="0" hidden="1" customWidth="1"/>
    <col min="14" max="14" width="16.54296875" hidden="1" customWidth="1"/>
  </cols>
  <sheetData>
    <row r="1" spans="1:14" x14ac:dyDescent="0.35">
      <c r="E1" s="31"/>
      <c r="H1" s="31" t="s">
        <v>1638</v>
      </c>
      <c r="K1" s="31" t="s">
        <v>1638</v>
      </c>
    </row>
    <row r="2" spans="1:14" ht="15" customHeight="1" x14ac:dyDescent="0.35">
      <c r="A2" s="328" t="s">
        <v>303</v>
      </c>
      <c r="B2" s="328" t="s">
        <v>1410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</row>
    <row r="3" spans="1:14" x14ac:dyDescent="0.35">
      <c r="A3" s="328" t="s">
        <v>304</v>
      </c>
      <c r="B3" s="328" t="s">
        <v>1465</v>
      </c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</row>
    <row r="4" spans="1:14" ht="57.75" customHeight="1" x14ac:dyDescent="0.35">
      <c r="A4" s="1066" t="s">
        <v>305</v>
      </c>
      <c r="B4" s="1091" t="s">
        <v>306</v>
      </c>
      <c r="C4" s="1063" t="s">
        <v>1794</v>
      </c>
      <c r="D4" s="1064"/>
      <c r="E4" s="1065"/>
      <c r="F4" s="1092" t="s">
        <v>1796</v>
      </c>
      <c r="G4" s="1064"/>
      <c r="H4" s="1065"/>
      <c r="I4" s="1092" t="s">
        <v>1799</v>
      </c>
      <c r="J4" s="1064"/>
      <c r="K4" s="1064"/>
      <c r="L4" s="1063"/>
      <c r="M4" s="1064"/>
      <c r="N4" s="1065"/>
    </row>
    <row r="5" spans="1:14" ht="58" x14ac:dyDescent="0.35">
      <c r="A5" s="1066"/>
      <c r="B5" s="1091"/>
      <c r="C5" s="539" t="s">
        <v>1289</v>
      </c>
      <c r="D5" s="539" t="s">
        <v>1290</v>
      </c>
      <c r="E5" s="539" t="s">
        <v>549</v>
      </c>
      <c r="F5" s="719" t="s">
        <v>1289</v>
      </c>
      <c r="G5" s="719" t="s">
        <v>1290</v>
      </c>
      <c r="H5" s="719" t="s">
        <v>549</v>
      </c>
      <c r="I5" s="719" t="s">
        <v>1289</v>
      </c>
      <c r="J5" s="719" t="s">
        <v>1290</v>
      </c>
      <c r="K5" s="719" t="s">
        <v>549</v>
      </c>
      <c r="L5" s="719" t="s">
        <v>1289</v>
      </c>
      <c r="M5" s="719" t="s">
        <v>1290</v>
      </c>
      <c r="N5" s="719" t="s">
        <v>549</v>
      </c>
    </row>
    <row r="6" spans="1:14" x14ac:dyDescent="0.35">
      <c r="A6" s="329"/>
      <c r="B6" s="330" t="s">
        <v>307</v>
      </c>
      <c r="C6" s="331">
        <v>32</v>
      </c>
      <c r="D6" s="331"/>
      <c r="E6" s="331">
        <f t="shared" ref="E6:E7" si="0">SUM(C6:D6)</f>
        <v>32</v>
      </c>
      <c r="F6" s="331">
        <v>32</v>
      </c>
      <c r="G6" s="331"/>
      <c r="H6" s="331">
        <f t="shared" ref="H6:H7" si="1">SUM(F6:G6)</f>
        <v>32</v>
      </c>
      <c r="I6" s="331">
        <v>32</v>
      </c>
      <c r="J6" s="331"/>
      <c r="K6" s="331">
        <f t="shared" ref="K6:K46" si="2">SUM(I6:J6)</f>
        <v>32</v>
      </c>
      <c r="L6" s="331">
        <v>32</v>
      </c>
      <c r="M6" s="331"/>
      <c r="N6" s="331">
        <f t="shared" ref="N6:N46" si="3">SUM(L6:M6)</f>
        <v>32</v>
      </c>
    </row>
    <row r="7" spans="1:14" x14ac:dyDescent="0.35">
      <c r="A7" s="329"/>
      <c r="B7" s="330" t="s">
        <v>308</v>
      </c>
      <c r="C7" s="331"/>
      <c r="D7" s="331"/>
      <c r="E7" s="331">
        <f t="shared" si="0"/>
        <v>0</v>
      </c>
      <c r="F7" s="331"/>
      <c r="G7" s="331"/>
      <c r="H7" s="331">
        <f t="shared" si="1"/>
        <v>0</v>
      </c>
      <c r="I7" s="331"/>
      <c r="J7" s="331"/>
      <c r="K7" s="331">
        <f t="shared" si="2"/>
        <v>0</v>
      </c>
      <c r="L7" s="331"/>
      <c r="M7" s="331"/>
      <c r="N7" s="331">
        <f t="shared" si="3"/>
        <v>0</v>
      </c>
    </row>
    <row r="8" spans="1:14" x14ac:dyDescent="0.35">
      <c r="A8" s="332" t="s">
        <v>309</v>
      </c>
      <c r="B8" s="333" t="s">
        <v>310</v>
      </c>
      <c r="C8" s="334">
        <v>3810000</v>
      </c>
      <c r="D8" s="334">
        <v>0</v>
      </c>
      <c r="E8" s="334">
        <v>3810000</v>
      </c>
      <c r="F8" s="524">
        <v>3810000</v>
      </c>
      <c r="G8" s="524">
        <v>0</v>
      </c>
      <c r="H8" s="524">
        <v>3810000</v>
      </c>
      <c r="I8" s="524">
        <f>I9+I11+I20</f>
        <v>2329353</v>
      </c>
      <c r="J8" s="524">
        <f>J9+J11+J20</f>
        <v>0</v>
      </c>
      <c r="K8" s="524">
        <f t="shared" si="2"/>
        <v>2329353</v>
      </c>
      <c r="L8" s="524">
        <f>L9+L11+L20</f>
        <v>0</v>
      </c>
      <c r="M8" s="524">
        <f>M9+M11+M20</f>
        <v>0</v>
      </c>
      <c r="N8" s="524">
        <f t="shared" si="3"/>
        <v>0</v>
      </c>
    </row>
    <row r="9" spans="1:14" x14ac:dyDescent="0.35">
      <c r="A9" s="335" t="s">
        <v>311</v>
      </c>
      <c r="B9" s="336" t="s">
        <v>312</v>
      </c>
      <c r="C9" s="337">
        <v>0</v>
      </c>
      <c r="D9" s="337">
        <v>0</v>
      </c>
      <c r="E9" s="337">
        <v>0</v>
      </c>
      <c r="F9" s="526">
        <v>0</v>
      </c>
      <c r="G9" s="526">
        <v>0</v>
      </c>
      <c r="H9" s="526">
        <v>0</v>
      </c>
      <c r="I9" s="526">
        <f>I10</f>
        <v>0</v>
      </c>
      <c r="J9" s="526">
        <f>J10</f>
        <v>0</v>
      </c>
      <c r="K9" s="526">
        <f t="shared" si="2"/>
        <v>0</v>
      </c>
      <c r="L9" s="526">
        <f>L10</f>
        <v>0</v>
      </c>
      <c r="M9" s="526">
        <f>M10</f>
        <v>0</v>
      </c>
      <c r="N9" s="526">
        <f t="shared" si="3"/>
        <v>0</v>
      </c>
    </row>
    <row r="10" spans="1:14" ht="30" hidden="1" customHeight="1" x14ac:dyDescent="0.35">
      <c r="A10" s="370"/>
      <c r="B10" s="338" t="s">
        <v>313</v>
      </c>
      <c r="C10" s="258">
        <v>0</v>
      </c>
      <c r="D10" s="258">
        <v>0</v>
      </c>
      <c r="E10" s="258">
        <v>0</v>
      </c>
      <c r="F10" s="258">
        <v>0</v>
      </c>
      <c r="G10" s="258">
        <v>0</v>
      </c>
      <c r="H10" s="258">
        <v>0</v>
      </c>
      <c r="I10" s="258">
        <v>0</v>
      </c>
      <c r="J10" s="258">
        <v>0</v>
      </c>
      <c r="K10" s="258">
        <f t="shared" si="2"/>
        <v>0</v>
      </c>
      <c r="L10" s="258">
        <v>0</v>
      </c>
      <c r="M10" s="258">
        <v>0</v>
      </c>
      <c r="N10" s="258">
        <f t="shared" si="3"/>
        <v>0</v>
      </c>
    </row>
    <row r="11" spans="1:14" x14ac:dyDescent="0.35">
      <c r="A11" s="335" t="s">
        <v>322</v>
      </c>
      <c r="B11" s="336" t="s">
        <v>314</v>
      </c>
      <c r="C11" s="337">
        <v>3810000</v>
      </c>
      <c r="D11" s="337">
        <v>0</v>
      </c>
      <c r="E11" s="337">
        <v>3810000</v>
      </c>
      <c r="F11" s="526">
        <v>3810000</v>
      </c>
      <c r="G11" s="526">
        <v>0</v>
      </c>
      <c r="H11" s="526">
        <v>3810000</v>
      </c>
      <c r="I11" s="526">
        <f>I12+I13+I14+I15+I16+I17+I18+I19</f>
        <v>2329353</v>
      </c>
      <c r="J11" s="526">
        <f>J12+J13+J14+J15+J16+J17+J18+J19</f>
        <v>0</v>
      </c>
      <c r="K11" s="526">
        <f t="shared" ref="K11" si="4">SUM(I11:J11)</f>
        <v>2329353</v>
      </c>
      <c r="L11" s="526">
        <f>L12+L13+L14+L15+L16+L17+L18+L19</f>
        <v>0</v>
      </c>
      <c r="M11" s="526">
        <f>M12+M13+M14+M15+M16+M17+M18+M19</f>
        <v>0</v>
      </c>
      <c r="N11" s="526">
        <f t="shared" si="3"/>
        <v>0</v>
      </c>
    </row>
    <row r="12" spans="1:14" x14ac:dyDescent="0.35">
      <c r="A12" s="370"/>
      <c r="B12" s="338" t="s">
        <v>644</v>
      </c>
      <c r="C12" s="258">
        <v>0</v>
      </c>
      <c r="D12" s="258">
        <v>0</v>
      </c>
      <c r="E12" s="258">
        <v>0</v>
      </c>
      <c r="F12" s="258">
        <v>0</v>
      </c>
      <c r="G12" s="258">
        <v>0</v>
      </c>
      <c r="H12" s="258">
        <v>0</v>
      </c>
      <c r="I12" s="258">
        <v>0</v>
      </c>
      <c r="J12" s="258">
        <v>0</v>
      </c>
      <c r="K12" s="258">
        <v>0</v>
      </c>
      <c r="L12" s="258">
        <v>0</v>
      </c>
      <c r="M12" s="258">
        <v>0</v>
      </c>
      <c r="N12" s="258">
        <f t="shared" si="3"/>
        <v>0</v>
      </c>
    </row>
    <row r="13" spans="1:14" x14ac:dyDescent="0.35">
      <c r="A13" s="370"/>
      <c r="B13" s="338" t="s">
        <v>645</v>
      </c>
      <c r="C13" s="339">
        <v>0</v>
      </c>
      <c r="D13" s="339">
        <v>0</v>
      </c>
      <c r="E13" s="339">
        <v>0</v>
      </c>
      <c r="F13" s="339">
        <v>0</v>
      </c>
      <c r="G13" s="339">
        <v>0</v>
      </c>
      <c r="H13" s="339">
        <v>0</v>
      </c>
      <c r="I13" s="339">
        <v>0</v>
      </c>
      <c r="J13" s="339">
        <v>0</v>
      </c>
      <c r="K13" s="339">
        <v>0</v>
      </c>
      <c r="L13" s="339">
        <v>0</v>
      </c>
      <c r="M13" s="339">
        <v>0</v>
      </c>
      <c r="N13" s="339">
        <f t="shared" si="3"/>
        <v>0</v>
      </c>
    </row>
    <row r="14" spans="1:14" x14ac:dyDescent="0.35">
      <c r="A14" s="370"/>
      <c r="B14" s="338" t="s">
        <v>652</v>
      </c>
      <c r="C14" s="339">
        <v>0</v>
      </c>
      <c r="D14" s="339">
        <v>0</v>
      </c>
      <c r="E14" s="339">
        <v>0</v>
      </c>
      <c r="F14" s="339">
        <v>0</v>
      </c>
      <c r="G14" s="339">
        <v>0</v>
      </c>
      <c r="H14" s="339">
        <v>0</v>
      </c>
      <c r="I14" s="339">
        <v>0</v>
      </c>
      <c r="J14" s="339">
        <v>0</v>
      </c>
      <c r="K14" s="339">
        <v>0</v>
      </c>
      <c r="L14" s="339">
        <v>0</v>
      </c>
      <c r="M14" s="339">
        <v>0</v>
      </c>
      <c r="N14" s="339">
        <f t="shared" si="3"/>
        <v>0</v>
      </c>
    </row>
    <row r="15" spans="1:14" x14ac:dyDescent="0.35">
      <c r="A15" s="370"/>
      <c r="B15" s="338" t="s">
        <v>653</v>
      </c>
      <c r="C15" s="258">
        <v>3000000</v>
      </c>
      <c r="D15" s="258">
        <v>0</v>
      </c>
      <c r="E15" s="258">
        <v>3000000</v>
      </c>
      <c r="F15" s="258">
        <v>3000000</v>
      </c>
      <c r="G15" s="258">
        <v>0</v>
      </c>
      <c r="H15" s="258">
        <v>3000000</v>
      </c>
      <c r="I15" s="258">
        <v>1147012</v>
      </c>
      <c r="J15" s="258">
        <v>0</v>
      </c>
      <c r="K15" s="258">
        <f t="shared" ref="K15:K19" si="5">SUM(I15:J15)</f>
        <v>1147012</v>
      </c>
      <c r="L15" s="258"/>
      <c r="M15" s="258">
        <v>0</v>
      </c>
      <c r="N15" s="258">
        <f t="shared" si="3"/>
        <v>0</v>
      </c>
    </row>
    <row r="16" spans="1:14" x14ac:dyDescent="0.35">
      <c r="A16" s="370"/>
      <c r="B16" s="338" t="s">
        <v>654</v>
      </c>
      <c r="C16" s="258">
        <v>810000</v>
      </c>
      <c r="D16" s="258">
        <v>0</v>
      </c>
      <c r="E16" s="258">
        <v>810000</v>
      </c>
      <c r="F16" s="258">
        <v>810000</v>
      </c>
      <c r="G16" s="258">
        <v>0</v>
      </c>
      <c r="H16" s="258">
        <v>810000</v>
      </c>
      <c r="I16" s="258">
        <v>309694</v>
      </c>
      <c r="J16" s="258">
        <v>0</v>
      </c>
      <c r="K16" s="258">
        <f t="shared" si="5"/>
        <v>309694</v>
      </c>
      <c r="L16" s="258"/>
      <c r="M16" s="258">
        <v>0</v>
      </c>
      <c r="N16" s="258">
        <f t="shared" si="3"/>
        <v>0</v>
      </c>
    </row>
    <row r="17" spans="1:14" x14ac:dyDescent="0.35">
      <c r="A17" s="370"/>
      <c r="B17" s="338" t="s">
        <v>655</v>
      </c>
      <c r="C17" s="258"/>
      <c r="D17" s="258">
        <v>0</v>
      </c>
      <c r="E17" s="258">
        <v>0</v>
      </c>
      <c r="F17" s="258"/>
      <c r="G17" s="258">
        <v>0</v>
      </c>
      <c r="H17" s="258">
        <v>0</v>
      </c>
      <c r="I17" s="258">
        <v>871000</v>
      </c>
      <c r="J17" s="258">
        <v>0</v>
      </c>
      <c r="K17" s="258">
        <f t="shared" si="5"/>
        <v>871000</v>
      </c>
      <c r="L17" s="258"/>
      <c r="M17" s="258">
        <v>0</v>
      </c>
      <c r="N17" s="258">
        <f t="shared" si="3"/>
        <v>0</v>
      </c>
    </row>
    <row r="18" spans="1:14" x14ac:dyDescent="0.35">
      <c r="A18" s="370"/>
      <c r="B18" s="338" t="s">
        <v>656</v>
      </c>
      <c r="C18" s="258">
        <v>0</v>
      </c>
      <c r="D18" s="258">
        <v>0</v>
      </c>
      <c r="E18" s="258">
        <v>0</v>
      </c>
      <c r="F18" s="258">
        <v>0</v>
      </c>
      <c r="G18" s="258">
        <v>0</v>
      </c>
      <c r="H18" s="258">
        <v>0</v>
      </c>
      <c r="I18" s="258">
        <v>0</v>
      </c>
      <c r="J18" s="258">
        <v>0</v>
      </c>
      <c r="K18" s="258">
        <f t="shared" si="5"/>
        <v>0</v>
      </c>
      <c r="L18" s="258">
        <v>0</v>
      </c>
      <c r="M18" s="258">
        <v>0</v>
      </c>
      <c r="N18" s="258">
        <f t="shared" si="3"/>
        <v>0</v>
      </c>
    </row>
    <row r="19" spans="1:14" x14ac:dyDescent="0.35">
      <c r="A19" s="370"/>
      <c r="B19" s="338" t="s">
        <v>657</v>
      </c>
      <c r="C19" s="258">
        <v>0</v>
      </c>
      <c r="D19" s="258">
        <v>0</v>
      </c>
      <c r="E19" s="258">
        <v>0</v>
      </c>
      <c r="F19" s="258">
        <v>0</v>
      </c>
      <c r="G19" s="258">
        <v>0</v>
      </c>
      <c r="H19" s="258">
        <v>0</v>
      </c>
      <c r="I19" s="258">
        <f>1404+243</f>
        <v>1647</v>
      </c>
      <c r="J19" s="258">
        <v>0</v>
      </c>
      <c r="K19" s="258">
        <f t="shared" si="5"/>
        <v>1647</v>
      </c>
      <c r="L19" s="258">
        <v>0</v>
      </c>
      <c r="M19" s="258">
        <v>0</v>
      </c>
      <c r="N19" s="258">
        <f t="shared" si="3"/>
        <v>0</v>
      </c>
    </row>
    <row r="20" spans="1:14" x14ac:dyDescent="0.35">
      <c r="A20" s="335" t="s">
        <v>315</v>
      </c>
      <c r="B20" s="336" t="s">
        <v>316</v>
      </c>
      <c r="C20" s="337">
        <v>0</v>
      </c>
      <c r="D20" s="337">
        <v>0</v>
      </c>
      <c r="E20" s="337">
        <v>0</v>
      </c>
      <c r="F20" s="526">
        <v>0</v>
      </c>
      <c r="G20" s="526">
        <v>0</v>
      </c>
      <c r="H20" s="526">
        <v>0</v>
      </c>
      <c r="I20" s="526">
        <v>0</v>
      </c>
      <c r="J20" s="526">
        <v>0</v>
      </c>
      <c r="K20" s="526">
        <v>0</v>
      </c>
      <c r="L20" s="526">
        <f>SUM(L21:L21)</f>
        <v>0</v>
      </c>
      <c r="M20" s="526">
        <f>SUM(M21:M21)</f>
        <v>0</v>
      </c>
      <c r="N20" s="526">
        <f t="shared" si="3"/>
        <v>0</v>
      </c>
    </row>
    <row r="21" spans="1:14" ht="15" hidden="1" customHeight="1" x14ac:dyDescent="0.35">
      <c r="A21" s="370"/>
      <c r="B21" s="338" t="s">
        <v>317</v>
      </c>
      <c r="C21" s="258">
        <v>0</v>
      </c>
      <c r="D21" s="258">
        <v>0</v>
      </c>
      <c r="E21" s="258">
        <v>0</v>
      </c>
      <c r="F21" s="258">
        <v>0</v>
      </c>
      <c r="G21" s="258">
        <v>0</v>
      </c>
      <c r="H21" s="258">
        <v>0</v>
      </c>
      <c r="I21" s="258">
        <v>0</v>
      </c>
      <c r="J21" s="258">
        <v>0</v>
      </c>
      <c r="K21" s="258">
        <f t="shared" si="2"/>
        <v>0</v>
      </c>
      <c r="L21" s="258">
        <v>0</v>
      </c>
      <c r="M21" s="258">
        <v>0</v>
      </c>
      <c r="N21" s="258">
        <f t="shared" si="3"/>
        <v>0</v>
      </c>
    </row>
    <row r="22" spans="1:14" x14ac:dyDescent="0.35">
      <c r="A22" s="332" t="s">
        <v>318</v>
      </c>
      <c r="B22" s="333" t="s">
        <v>319</v>
      </c>
      <c r="C22" s="334">
        <v>0</v>
      </c>
      <c r="D22" s="334">
        <v>0</v>
      </c>
      <c r="E22" s="334">
        <v>0</v>
      </c>
      <c r="F22" s="524">
        <v>0</v>
      </c>
      <c r="G22" s="524">
        <v>0</v>
      </c>
      <c r="H22" s="524">
        <v>0</v>
      </c>
      <c r="I22" s="524">
        <f>I23+I25+I28</f>
        <v>0</v>
      </c>
      <c r="J22" s="524">
        <f>J23+J25+J28</f>
        <v>0</v>
      </c>
      <c r="K22" s="524">
        <f t="shared" si="2"/>
        <v>0</v>
      </c>
      <c r="L22" s="524">
        <f>L23+L25+L28</f>
        <v>0</v>
      </c>
      <c r="M22" s="524">
        <f>M23+M25+M28</f>
        <v>0</v>
      </c>
      <c r="N22" s="524">
        <f t="shared" si="3"/>
        <v>0</v>
      </c>
    </row>
    <row r="23" spans="1:14" ht="15" hidden="1" customHeight="1" x14ac:dyDescent="0.35">
      <c r="A23" s="335" t="s">
        <v>311</v>
      </c>
      <c r="B23" s="336" t="s">
        <v>320</v>
      </c>
      <c r="C23" s="337">
        <v>0</v>
      </c>
      <c r="D23" s="337">
        <v>0</v>
      </c>
      <c r="E23" s="337">
        <v>0</v>
      </c>
      <c r="F23" s="526">
        <v>0</v>
      </c>
      <c r="G23" s="526">
        <v>0</v>
      </c>
      <c r="H23" s="526">
        <v>0</v>
      </c>
      <c r="I23" s="526">
        <f>SUM(I24:I24)</f>
        <v>0</v>
      </c>
      <c r="J23" s="526">
        <f>SUM(J24:J24)</f>
        <v>0</v>
      </c>
      <c r="K23" s="526">
        <f t="shared" si="2"/>
        <v>0</v>
      </c>
      <c r="L23" s="526">
        <f>SUM(L24:L24)</f>
        <v>0</v>
      </c>
      <c r="M23" s="526">
        <f>SUM(M24:M24)</f>
        <v>0</v>
      </c>
      <c r="N23" s="526">
        <f t="shared" si="3"/>
        <v>0</v>
      </c>
    </row>
    <row r="24" spans="1:14" ht="30" hidden="1" customHeight="1" x14ac:dyDescent="0.35">
      <c r="A24" s="370"/>
      <c r="B24" s="257" t="s">
        <v>321</v>
      </c>
      <c r="C24" s="258">
        <v>0</v>
      </c>
      <c r="D24" s="258">
        <v>0</v>
      </c>
      <c r="E24" s="258">
        <v>0</v>
      </c>
      <c r="F24" s="258">
        <v>0</v>
      </c>
      <c r="G24" s="258">
        <v>0</v>
      </c>
      <c r="H24" s="258">
        <v>0</v>
      </c>
      <c r="I24" s="258">
        <v>0</v>
      </c>
      <c r="J24" s="258">
        <v>0</v>
      </c>
      <c r="K24" s="258">
        <f t="shared" si="2"/>
        <v>0</v>
      </c>
      <c r="L24" s="258">
        <v>0</v>
      </c>
      <c r="M24" s="258">
        <v>0</v>
      </c>
      <c r="N24" s="258">
        <f t="shared" si="3"/>
        <v>0</v>
      </c>
    </row>
    <row r="25" spans="1:14" ht="15" hidden="1" customHeight="1" x14ac:dyDescent="0.35">
      <c r="A25" s="335" t="s">
        <v>322</v>
      </c>
      <c r="B25" s="336" t="s">
        <v>257</v>
      </c>
      <c r="C25" s="337">
        <v>0</v>
      </c>
      <c r="D25" s="337">
        <v>0</v>
      </c>
      <c r="E25" s="337">
        <v>0</v>
      </c>
      <c r="F25" s="526">
        <v>0</v>
      </c>
      <c r="G25" s="526">
        <v>0</v>
      </c>
      <c r="H25" s="526">
        <v>0</v>
      </c>
      <c r="I25" s="526">
        <f>SUM(I26:I27)</f>
        <v>0</v>
      </c>
      <c r="J25" s="526">
        <f>SUM(J26:J27)</f>
        <v>0</v>
      </c>
      <c r="K25" s="526">
        <f t="shared" si="2"/>
        <v>0</v>
      </c>
      <c r="L25" s="526">
        <f>SUM(L26:L27)</f>
        <v>0</v>
      </c>
      <c r="M25" s="526">
        <f>SUM(M26:M27)</f>
        <v>0</v>
      </c>
      <c r="N25" s="526">
        <f t="shared" si="3"/>
        <v>0</v>
      </c>
    </row>
    <row r="26" spans="1:14" ht="15" hidden="1" customHeight="1" x14ac:dyDescent="0.35">
      <c r="A26" s="370"/>
      <c r="B26" s="340" t="s">
        <v>323</v>
      </c>
      <c r="C26" s="258">
        <v>0</v>
      </c>
      <c r="D26" s="258">
        <v>0</v>
      </c>
      <c r="E26" s="258">
        <v>0</v>
      </c>
      <c r="F26" s="258">
        <v>0</v>
      </c>
      <c r="G26" s="258">
        <v>0</v>
      </c>
      <c r="H26" s="258">
        <v>0</v>
      </c>
      <c r="I26" s="258">
        <v>0</v>
      </c>
      <c r="J26" s="258">
        <v>0</v>
      </c>
      <c r="K26" s="258">
        <f t="shared" si="2"/>
        <v>0</v>
      </c>
      <c r="L26" s="258">
        <v>0</v>
      </c>
      <c r="M26" s="258">
        <v>0</v>
      </c>
      <c r="N26" s="258">
        <f t="shared" si="3"/>
        <v>0</v>
      </c>
    </row>
    <row r="27" spans="1:14" ht="15" hidden="1" customHeight="1" x14ac:dyDescent="0.35">
      <c r="A27" s="370"/>
      <c r="B27" s="340" t="s">
        <v>324</v>
      </c>
      <c r="C27" s="258">
        <v>0</v>
      </c>
      <c r="D27" s="258">
        <v>0</v>
      </c>
      <c r="E27" s="258">
        <v>0</v>
      </c>
      <c r="F27" s="258">
        <v>0</v>
      </c>
      <c r="G27" s="258">
        <v>0</v>
      </c>
      <c r="H27" s="258">
        <v>0</v>
      </c>
      <c r="I27" s="258">
        <v>0</v>
      </c>
      <c r="J27" s="258">
        <v>0</v>
      </c>
      <c r="K27" s="258">
        <f t="shared" si="2"/>
        <v>0</v>
      </c>
      <c r="L27" s="258">
        <v>0</v>
      </c>
      <c r="M27" s="258">
        <v>0</v>
      </c>
      <c r="N27" s="258">
        <f t="shared" si="3"/>
        <v>0</v>
      </c>
    </row>
    <row r="28" spans="1:14" ht="15" hidden="1" customHeight="1" x14ac:dyDescent="0.35">
      <c r="A28" s="335" t="s">
        <v>315</v>
      </c>
      <c r="B28" s="336" t="s">
        <v>325</v>
      </c>
      <c r="C28" s="337">
        <v>0</v>
      </c>
      <c r="D28" s="337">
        <v>0</v>
      </c>
      <c r="E28" s="337">
        <v>0</v>
      </c>
      <c r="F28" s="526">
        <v>0</v>
      </c>
      <c r="G28" s="526">
        <v>0</v>
      </c>
      <c r="H28" s="526">
        <v>0</v>
      </c>
      <c r="I28" s="526">
        <f>SUM(I29:I29)</f>
        <v>0</v>
      </c>
      <c r="J28" s="526">
        <f>SUM(J29:J29)</f>
        <v>0</v>
      </c>
      <c r="K28" s="526">
        <f t="shared" si="2"/>
        <v>0</v>
      </c>
      <c r="L28" s="526">
        <f>SUM(L29:L29)</f>
        <v>0</v>
      </c>
      <c r="M28" s="526">
        <f>SUM(M29:M29)</f>
        <v>0</v>
      </c>
      <c r="N28" s="526">
        <f t="shared" si="3"/>
        <v>0</v>
      </c>
    </row>
    <row r="29" spans="1:14" ht="15" hidden="1" customHeight="1" x14ac:dyDescent="0.35">
      <c r="A29" s="370"/>
      <c r="B29" s="340" t="s">
        <v>326</v>
      </c>
      <c r="C29" s="258">
        <v>0</v>
      </c>
      <c r="D29" s="258">
        <v>0</v>
      </c>
      <c r="E29" s="258">
        <v>0</v>
      </c>
      <c r="F29" s="258">
        <v>0</v>
      </c>
      <c r="G29" s="258">
        <v>0</v>
      </c>
      <c r="H29" s="258">
        <v>0</v>
      </c>
      <c r="I29" s="258">
        <v>0</v>
      </c>
      <c r="J29" s="258">
        <v>0</v>
      </c>
      <c r="K29" s="258">
        <f t="shared" si="2"/>
        <v>0</v>
      </c>
      <c r="L29" s="258">
        <v>0</v>
      </c>
      <c r="M29" s="258">
        <v>0</v>
      </c>
      <c r="N29" s="258">
        <f t="shared" si="3"/>
        <v>0</v>
      </c>
    </row>
    <row r="30" spans="1:14" x14ac:dyDescent="0.35">
      <c r="A30" s="368"/>
      <c r="B30" s="341" t="s">
        <v>327</v>
      </c>
      <c r="C30" s="342">
        <v>3810000</v>
      </c>
      <c r="D30" s="342">
        <v>0</v>
      </c>
      <c r="E30" s="342">
        <v>3810000</v>
      </c>
      <c r="F30" s="534">
        <v>3810000</v>
      </c>
      <c r="G30" s="534">
        <v>0</v>
      </c>
      <c r="H30" s="534">
        <v>3810000</v>
      </c>
      <c r="I30" s="534">
        <f>I22+I8</f>
        <v>2329353</v>
      </c>
      <c r="J30" s="534">
        <f>J22+J8</f>
        <v>0</v>
      </c>
      <c r="K30" s="534">
        <f t="shared" si="2"/>
        <v>2329353</v>
      </c>
      <c r="L30" s="534">
        <f>L22+L8</f>
        <v>0</v>
      </c>
      <c r="M30" s="534">
        <f>M22+M8</f>
        <v>0</v>
      </c>
      <c r="N30" s="534">
        <f t="shared" si="3"/>
        <v>0</v>
      </c>
    </row>
    <row r="31" spans="1:14" x14ac:dyDescent="0.35">
      <c r="A31" s="332" t="s">
        <v>328</v>
      </c>
      <c r="B31" s="333" t="s">
        <v>329</v>
      </c>
      <c r="C31" s="334">
        <v>199583540</v>
      </c>
      <c r="D31" s="334">
        <v>0</v>
      </c>
      <c r="E31" s="334">
        <v>199583540</v>
      </c>
      <c r="F31" s="524">
        <v>205452579</v>
      </c>
      <c r="G31" s="524">
        <v>0</v>
      </c>
      <c r="H31" s="524">
        <v>205452579</v>
      </c>
      <c r="I31" s="524">
        <f>I32</f>
        <v>74676164</v>
      </c>
      <c r="J31" s="524">
        <f>J32</f>
        <v>0</v>
      </c>
      <c r="K31" s="524">
        <f t="shared" si="2"/>
        <v>74676164</v>
      </c>
      <c r="L31" s="524">
        <f>L32</f>
        <v>0</v>
      </c>
      <c r="M31" s="524">
        <f>M32</f>
        <v>0</v>
      </c>
      <c r="N31" s="524">
        <f t="shared" si="3"/>
        <v>0</v>
      </c>
    </row>
    <row r="32" spans="1:14" x14ac:dyDescent="0.35">
      <c r="A32" s="335" t="s">
        <v>311</v>
      </c>
      <c r="B32" s="336" t="s">
        <v>330</v>
      </c>
      <c r="C32" s="337">
        <v>199583540</v>
      </c>
      <c r="D32" s="337">
        <v>0</v>
      </c>
      <c r="E32" s="337">
        <v>199583540</v>
      </c>
      <c r="F32" s="526">
        <v>205452579</v>
      </c>
      <c r="G32" s="526">
        <v>0</v>
      </c>
      <c r="H32" s="526">
        <v>205452579</v>
      </c>
      <c r="I32" s="526">
        <f>SUM(I33:I34)</f>
        <v>74676164</v>
      </c>
      <c r="J32" s="526">
        <f>SUM(J33:J34)</f>
        <v>0</v>
      </c>
      <c r="K32" s="526">
        <f t="shared" si="2"/>
        <v>74676164</v>
      </c>
      <c r="L32" s="526">
        <f>SUM(L33:L34)</f>
        <v>0</v>
      </c>
      <c r="M32" s="526">
        <f>SUM(M33:M34)</f>
        <v>0</v>
      </c>
      <c r="N32" s="526">
        <f t="shared" si="3"/>
        <v>0</v>
      </c>
    </row>
    <row r="33" spans="1:15" x14ac:dyDescent="0.35">
      <c r="A33" s="370"/>
      <c r="B33" s="340" t="s">
        <v>331</v>
      </c>
      <c r="C33" s="258"/>
      <c r="D33" s="258">
        <v>0</v>
      </c>
      <c r="E33" s="258">
        <v>0</v>
      </c>
      <c r="F33" s="258">
        <v>1099039</v>
      </c>
      <c r="G33" s="258">
        <v>0</v>
      </c>
      <c r="H33" s="258">
        <v>1099039</v>
      </c>
      <c r="I33" s="258">
        <f>1099039</f>
        <v>1099039</v>
      </c>
      <c r="J33" s="258">
        <v>0</v>
      </c>
      <c r="K33" s="258">
        <f t="shared" ref="K33:K34" si="6">SUM(I33:J33)</f>
        <v>1099039</v>
      </c>
      <c r="L33" s="258"/>
      <c r="M33" s="258">
        <v>0</v>
      </c>
      <c r="N33" s="258">
        <f t="shared" si="3"/>
        <v>0</v>
      </c>
      <c r="O33" s="39"/>
    </row>
    <row r="34" spans="1:15" x14ac:dyDescent="0.35">
      <c r="A34" s="370"/>
      <c r="B34" s="340" t="s">
        <v>332</v>
      </c>
      <c r="C34" s="258">
        <v>199583540</v>
      </c>
      <c r="D34" s="258">
        <v>0</v>
      </c>
      <c r="E34" s="258">
        <v>199583540</v>
      </c>
      <c r="F34" s="258">
        <v>204353540</v>
      </c>
      <c r="G34" s="258">
        <v>0</v>
      </c>
      <c r="H34" s="258">
        <v>204353540</v>
      </c>
      <c r="I34" s="258">
        <f>73643252-66127</f>
        <v>73577125</v>
      </c>
      <c r="J34" s="258">
        <f>J36+J42-J8-J22-J33</f>
        <v>0</v>
      </c>
      <c r="K34" s="258">
        <f t="shared" si="6"/>
        <v>73577125</v>
      </c>
      <c r="L34" s="258">
        <f>L36+L42-L8-L22-L33</f>
        <v>0</v>
      </c>
      <c r="M34" s="258">
        <f>M36+M42-M8-M22-M33</f>
        <v>0</v>
      </c>
      <c r="N34" s="258">
        <f t="shared" si="3"/>
        <v>0</v>
      </c>
      <c r="O34" s="39"/>
    </row>
    <row r="35" spans="1:15" x14ac:dyDescent="0.35">
      <c r="A35" s="343"/>
      <c r="B35" s="344" t="s">
        <v>333</v>
      </c>
      <c r="C35" s="316">
        <v>203393540</v>
      </c>
      <c r="D35" s="316">
        <v>0</v>
      </c>
      <c r="E35" s="316">
        <v>203393540</v>
      </c>
      <c r="F35" s="316">
        <v>209262579</v>
      </c>
      <c r="G35" s="316">
        <v>0</v>
      </c>
      <c r="H35" s="316">
        <v>209262579</v>
      </c>
      <c r="I35" s="316">
        <f>I31+I22+I8</f>
        <v>77005517</v>
      </c>
      <c r="J35" s="316">
        <f>J31+J22+J8</f>
        <v>0</v>
      </c>
      <c r="K35" s="316">
        <f t="shared" si="2"/>
        <v>77005517</v>
      </c>
      <c r="L35" s="316">
        <f>L31+L22+L8</f>
        <v>0</v>
      </c>
      <c r="M35" s="316">
        <f>M31+M22+M8</f>
        <v>0</v>
      </c>
      <c r="N35" s="316">
        <f t="shared" si="3"/>
        <v>0</v>
      </c>
      <c r="O35" s="39"/>
    </row>
    <row r="36" spans="1:15" x14ac:dyDescent="0.35">
      <c r="A36" s="332" t="s">
        <v>309</v>
      </c>
      <c r="B36" s="333" t="s">
        <v>334</v>
      </c>
      <c r="C36" s="334">
        <v>199266040</v>
      </c>
      <c r="D36" s="334">
        <v>0</v>
      </c>
      <c r="E36" s="334">
        <v>199266040</v>
      </c>
      <c r="F36" s="524">
        <v>205135079</v>
      </c>
      <c r="G36" s="524">
        <v>0</v>
      </c>
      <c r="H36" s="524">
        <v>205135079</v>
      </c>
      <c r="I36" s="524">
        <f>SUM(I37:I41)</f>
        <v>72557518</v>
      </c>
      <c r="J36" s="524">
        <f>SUM(J37:J41)</f>
        <v>0</v>
      </c>
      <c r="K36" s="524">
        <f t="shared" si="2"/>
        <v>72557518</v>
      </c>
      <c r="L36" s="524">
        <f>SUM(L37:L41)</f>
        <v>0</v>
      </c>
      <c r="M36" s="524">
        <f>SUM(M37:M41)</f>
        <v>0</v>
      </c>
      <c r="N36" s="524">
        <f t="shared" si="3"/>
        <v>0</v>
      </c>
      <c r="O36" s="39"/>
    </row>
    <row r="37" spans="1:15" x14ac:dyDescent="0.35">
      <c r="A37" s="335" t="s">
        <v>311</v>
      </c>
      <c r="B37" s="336" t="s">
        <v>286</v>
      </c>
      <c r="C37" s="337">
        <v>130432040</v>
      </c>
      <c r="D37" s="337">
        <v>0</v>
      </c>
      <c r="E37" s="337">
        <v>130432040</v>
      </c>
      <c r="F37" s="526">
        <v>135202040</v>
      </c>
      <c r="G37" s="526">
        <v>0</v>
      </c>
      <c r="H37" s="526">
        <v>135202040</v>
      </c>
      <c r="I37" s="526">
        <f>'5. melléklet'!K26+'5. melléklet'!K32</f>
        <v>50934518</v>
      </c>
      <c r="J37" s="526">
        <f>'5. melléklet'!J26+'5. melléklet'!J32</f>
        <v>0</v>
      </c>
      <c r="K37" s="526">
        <f t="shared" si="2"/>
        <v>50934518</v>
      </c>
      <c r="L37" s="526">
        <f>'5. melléklet'!N26+'5. melléklet'!N32</f>
        <v>0</v>
      </c>
      <c r="M37" s="526">
        <f>'5. melléklet'!M26+'5. melléklet'!M32</f>
        <v>0</v>
      </c>
      <c r="N37" s="526">
        <f t="shared" si="3"/>
        <v>0</v>
      </c>
      <c r="O37" s="39"/>
    </row>
    <row r="38" spans="1:15" x14ac:dyDescent="0.35">
      <c r="A38" s="335" t="s">
        <v>322</v>
      </c>
      <c r="B38" s="336" t="s">
        <v>335</v>
      </c>
      <c r="C38" s="337">
        <v>22628000</v>
      </c>
      <c r="D38" s="337">
        <v>0</v>
      </c>
      <c r="E38" s="337">
        <v>22628000</v>
      </c>
      <c r="F38" s="526">
        <v>22628000</v>
      </c>
      <c r="G38" s="526">
        <v>0</v>
      </c>
      <c r="H38" s="526">
        <v>22628000</v>
      </c>
      <c r="I38" s="526">
        <f>'5. melléklet'!K27+'5. melléklet'!K33</f>
        <v>9284835</v>
      </c>
      <c r="J38" s="526">
        <f>'5. melléklet'!J27+'5. melléklet'!J33</f>
        <v>0</v>
      </c>
      <c r="K38" s="526">
        <f t="shared" si="2"/>
        <v>9284835</v>
      </c>
      <c r="L38" s="526">
        <f>'5. melléklet'!N27+'5. melléklet'!N33</f>
        <v>0</v>
      </c>
      <c r="M38" s="526">
        <f>'5. melléklet'!M27+'5. melléklet'!M33</f>
        <v>0</v>
      </c>
      <c r="N38" s="526">
        <f t="shared" si="3"/>
        <v>0</v>
      </c>
      <c r="O38" s="39"/>
    </row>
    <row r="39" spans="1:15" x14ac:dyDescent="0.35">
      <c r="A39" s="335" t="s">
        <v>315</v>
      </c>
      <c r="B39" s="336" t="s">
        <v>292</v>
      </c>
      <c r="C39" s="337">
        <v>46206000</v>
      </c>
      <c r="D39" s="337">
        <v>0</v>
      </c>
      <c r="E39" s="337">
        <v>46206000</v>
      </c>
      <c r="F39" s="526">
        <v>46245878</v>
      </c>
      <c r="G39" s="526">
        <v>0</v>
      </c>
      <c r="H39" s="526">
        <v>46245878</v>
      </c>
      <c r="I39" s="526">
        <f>'5. melléklet'!K28+'5. melléklet'!K34</f>
        <v>12338165</v>
      </c>
      <c r="J39" s="526">
        <f>'5. melléklet'!J28+'5. melléklet'!J34</f>
        <v>0</v>
      </c>
      <c r="K39" s="526">
        <f t="shared" si="2"/>
        <v>12338165</v>
      </c>
      <c r="L39" s="526">
        <f>'5. melléklet'!N28+'5. melléklet'!N34+'5. melléklet'!N37</f>
        <v>0</v>
      </c>
      <c r="M39" s="526">
        <f>'5. melléklet'!M28+'5. melléklet'!M34</f>
        <v>0</v>
      </c>
      <c r="N39" s="526">
        <f t="shared" si="3"/>
        <v>0</v>
      </c>
      <c r="O39" s="39"/>
    </row>
    <row r="40" spans="1:15" x14ac:dyDescent="0.35">
      <c r="A40" s="335" t="s">
        <v>336</v>
      </c>
      <c r="B40" s="336" t="s">
        <v>337</v>
      </c>
      <c r="C40" s="337">
        <v>0</v>
      </c>
      <c r="D40" s="337">
        <v>0</v>
      </c>
      <c r="E40" s="337">
        <v>0</v>
      </c>
      <c r="F40" s="526">
        <v>0</v>
      </c>
      <c r="G40" s="526">
        <v>0</v>
      </c>
      <c r="H40" s="526">
        <v>0</v>
      </c>
      <c r="I40" s="526">
        <v>0</v>
      </c>
      <c r="J40" s="526">
        <v>0</v>
      </c>
      <c r="K40" s="526">
        <f t="shared" si="2"/>
        <v>0</v>
      </c>
      <c r="L40" s="526">
        <v>0</v>
      </c>
      <c r="M40" s="526">
        <v>0</v>
      </c>
      <c r="N40" s="526">
        <f t="shared" si="3"/>
        <v>0</v>
      </c>
    </row>
    <row r="41" spans="1:15" x14ac:dyDescent="0.35">
      <c r="A41" s="335" t="s">
        <v>338</v>
      </c>
      <c r="B41" s="336" t="s">
        <v>339</v>
      </c>
      <c r="C41" s="337">
        <v>0</v>
      </c>
      <c r="D41" s="337">
        <v>0</v>
      </c>
      <c r="E41" s="337">
        <v>0</v>
      </c>
      <c r="F41" s="526">
        <v>1059161</v>
      </c>
      <c r="G41" s="526">
        <v>0</v>
      </c>
      <c r="H41" s="526">
        <v>1059161</v>
      </c>
      <c r="I41" s="526">
        <f>+'5. melléklet'!K29</f>
        <v>0</v>
      </c>
      <c r="J41" s="526">
        <f>+'5. melléklet'!J29</f>
        <v>0</v>
      </c>
      <c r="K41" s="526">
        <f t="shared" si="2"/>
        <v>0</v>
      </c>
      <c r="L41" s="526">
        <f>+'5. melléklet'!N29</f>
        <v>0</v>
      </c>
      <c r="M41" s="526">
        <f>+'5. melléklet'!M29</f>
        <v>0</v>
      </c>
      <c r="N41" s="526">
        <f t="shared" si="3"/>
        <v>0</v>
      </c>
      <c r="O41" s="39"/>
    </row>
    <row r="42" spans="1:15" x14ac:dyDescent="0.35">
      <c r="A42" s="332" t="s">
        <v>318</v>
      </c>
      <c r="B42" s="333" t="s">
        <v>340</v>
      </c>
      <c r="C42" s="334">
        <v>4127500</v>
      </c>
      <c r="D42" s="334">
        <v>0</v>
      </c>
      <c r="E42" s="334">
        <v>4127500</v>
      </c>
      <c r="F42" s="524">
        <v>4127500</v>
      </c>
      <c r="G42" s="524">
        <v>0</v>
      </c>
      <c r="H42" s="524">
        <v>4127500</v>
      </c>
      <c r="I42" s="524">
        <f>SUM(I43:I45)</f>
        <v>91769</v>
      </c>
      <c r="J42" s="524">
        <f>SUM(J43:J45)</f>
        <v>0</v>
      </c>
      <c r="K42" s="524">
        <f t="shared" si="2"/>
        <v>91769</v>
      </c>
      <c r="L42" s="524">
        <f>SUM(L43:L45)</f>
        <v>0</v>
      </c>
      <c r="M42" s="524">
        <f>SUM(M43:M45)</f>
        <v>0</v>
      </c>
      <c r="N42" s="524">
        <f t="shared" si="3"/>
        <v>0</v>
      </c>
      <c r="O42" s="39"/>
    </row>
    <row r="43" spans="1:15" x14ac:dyDescent="0.35">
      <c r="A43" s="335" t="s">
        <v>311</v>
      </c>
      <c r="B43" s="336" t="s">
        <v>341</v>
      </c>
      <c r="C43" s="337">
        <v>4127500</v>
      </c>
      <c r="D43" s="337">
        <v>0</v>
      </c>
      <c r="E43" s="337">
        <v>4127500</v>
      </c>
      <c r="F43" s="526">
        <v>4127500</v>
      </c>
      <c r="G43" s="526">
        <v>0</v>
      </c>
      <c r="H43" s="526">
        <v>4127500</v>
      </c>
      <c r="I43" s="526">
        <f>'5. melléklet'!K30+'5. melléklet'!K35</f>
        <v>91769</v>
      </c>
      <c r="J43" s="526">
        <f>'5. melléklet'!J30+'5. melléklet'!J35</f>
        <v>0</v>
      </c>
      <c r="K43" s="526">
        <f t="shared" si="2"/>
        <v>91769</v>
      </c>
      <c r="L43" s="526">
        <f>'5. melléklet'!N30+'5. melléklet'!N35</f>
        <v>0</v>
      </c>
      <c r="M43" s="526">
        <f>'5. melléklet'!M30+'5. melléklet'!M35</f>
        <v>0</v>
      </c>
      <c r="N43" s="526">
        <f t="shared" si="3"/>
        <v>0</v>
      </c>
      <c r="O43" s="39"/>
    </row>
    <row r="44" spans="1:15" x14ac:dyDescent="0.35">
      <c r="A44" s="335" t="s">
        <v>322</v>
      </c>
      <c r="B44" s="336" t="s">
        <v>342</v>
      </c>
      <c r="C44" s="337">
        <v>0</v>
      </c>
      <c r="D44" s="337">
        <v>0</v>
      </c>
      <c r="E44" s="337">
        <v>0</v>
      </c>
      <c r="F44" s="526">
        <v>0</v>
      </c>
      <c r="G44" s="526">
        <v>0</v>
      </c>
      <c r="H44" s="526">
        <v>0</v>
      </c>
      <c r="I44" s="526">
        <v>0</v>
      </c>
      <c r="J44" s="526">
        <v>0</v>
      </c>
      <c r="K44" s="526">
        <f t="shared" si="2"/>
        <v>0</v>
      </c>
      <c r="L44" s="526">
        <v>0</v>
      </c>
      <c r="M44" s="526">
        <v>0</v>
      </c>
      <c r="N44" s="526">
        <f t="shared" si="3"/>
        <v>0</v>
      </c>
    </row>
    <row r="45" spans="1:15" x14ac:dyDescent="0.35">
      <c r="A45" s="335" t="s">
        <v>315</v>
      </c>
      <c r="B45" s="336" t="s">
        <v>343</v>
      </c>
      <c r="C45" s="337">
        <v>0</v>
      </c>
      <c r="D45" s="337">
        <v>0</v>
      </c>
      <c r="E45" s="337">
        <v>0</v>
      </c>
      <c r="F45" s="526">
        <v>0</v>
      </c>
      <c r="G45" s="526">
        <v>0</v>
      </c>
      <c r="H45" s="526">
        <v>0</v>
      </c>
      <c r="I45" s="526">
        <v>0</v>
      </c>
      <c r="J45" s="526">
        <v>0</v>
      </c>
      <c r="K45" s="526">
        <f t="shared" si="2"/>
        <v>0</v>
      </c>
      <c r="L45" s="526">
        <v>0</v>
      </c>
      <c r="M45" s="526">
        <v>0</v>
      </c>
      <c r="N45" s="526">
        <f t="shared" si="3"/>
        <v>0</v>
      </c>
    </row>
    <row r="46" spans="1:15" x14ac:dyDescent="0.35">
      <c r="A46" s="343"/>
      <c r="B46" s="344" t="s">
        <v>344</v>
      </c>
      <c r="C46" s="316">
        <v>203393540</v>
      </c>
      <c r="D46" s="316">
        <v>0</v>
      </c>
      <c r="E46" s="316">
        <v>203393540</v>
      </c>
      <c r="F46" s="316">
        <v>209262579</v>
      </c>
      <c r="G46" s="316">
        <v>0</v>
      </c>
      <c r="H46" s="316">
        <v>209262579</v>
      </c>
      <c r="I46" s="316">
        <f>I36+I42</f>
        <v>72649287</v>
      </c>
      <c r="J46" s="316">
        <f>J36+J42</f>
        <v>0</v>
      </c>
      <c r="K46" s="316">
        <f t="shared" si="2"/>
        <v>72649287</v>
      </c>
      <c r="L46" s="316">
        <f>L36+L42</f>
        <v>0</v>
      </c>
      <c r="M46" s="316">
        <f>M36+M42</f>
        <v>0</v>
      </c>
      <c r="N46" s="316">
        <f t="shared" si="3"/>
        <v>0</v>
      </c>
      <c r="O46" s="39"/>
    </row>
    <row r="47" spans="1:15" x14ac:dyDescent="0.35">
      <c r="H47" s="39"/>
      <c r="K47" s="39">
        <f>+K46-H46</f>
        <v>-136613292</v>
      </c>
      <c r="N47" s="39">
        <f>+N46-K46</f>
        <v>-72649287</v>
      </c>
    </row>
  </sheetData>
  <mergeCells count="6">
    <mergeCell ref="L4:N4"/>
    <mergeCell ref="A4:A5"/>
    <mergeCell ref="B4:B5"/>
    <mergeCell ref="C4:E4"/>
    <mergeCell ref="F4:H4"/>
    <mergeCell ref="I4:K4"/>
  </mergeCells>
  <printOptions horizontalCentered="1"/>
  <pageMargins left="0.19685039370078741" right="0.19685039370078741" top="0.9055118110236221" bottom="0.19685039370078741" header="0.31496062992125984" footer="0.31496062992125984"/>
  <pageSetup paperSize="9" scale="46" fitToWidth="0" fitToHeight="0" orientation="portrait" copies="2" r:id="rId1"/>
  <headerFooter>
    <oddHeader>&amp;L4.2  melléklet &amp;C&amp;"-,Félkövér"&amp;16
A Törökbálinti Nyitnikék Óvoda 2021. évi bevételei és kiadásai jogcímenként és feladatonként</oddHeader>
    <oddFooter>&amp;C&amp;P&amp;R&amp;D, &amp;T</oddFooter>
  </headerFooter>
  <colBreaks count="1" manualBreakCount="1">
    <brk id="11" max="4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47"/>
  <sheetViews>
    <sheetView view="pageBreakPreview" topLeftCell="A35" zoomScaleNormal="100" zoomScaleSheetLayoutView="100" workbookViewId="0">
      <selection activeCell="H47" sqref="H47"/>
    </sheetView>
  </sheetViews>
  <sheetFormatPr defaultRowHeight="14.5" x14ac:dyDescent="0.35"/>
  <cols>
    <col min="1" max="1" width="3.54296875" style="30" customWidth="1"/>
    <col min="2" max="2" width="45" customWidth="1"/>
    <col min="3" max="3" width="15" customWidth="1"/>
    <col min="4" max="4" width="10.54296875" customWidth="1"/>
    <col min="5" max="6" width="15" customWidth="1"/>
    <col min="7" max="7" width="8.7265625" customWidth="1"/>
    <col min="8" max="8" width="15" customWidth="1"/>
    <col min="9" max="9" width="15" hidden="1" customWidth="1"/>
    <col min="10" max="10" width="10.26953125" hidden="1" customWidth="1"/>
    <col min="11" max="11" width="13.1796875" hidden="1" customWidth="1"/>
    <col min="12" max="12" width="12.81640625" hidden="1" customWidth="1"/>
    <col min="13" max="13" width="9.7265625" hidden="1" customWidth="1"/>
    <col min="14" max="14" width="15" hidden="1" customWidth="1"/>
    <col min="15" max="15" width="9.26953125" bestFit="1" customWidth="1"/>
  </cols>
  <sheetData>
    <row r="1" spans="1:14" x14ac:dyDescent="0.35">
      <c r="E1" s="31"/>
      <c r="H1" s="31" t="s">
        <v>1638</v>
      </c>
      <c r="K1" s="31" t="s">
        <v>1638</v>
      </c>
    </row>
    <row r="2" spans="1:14" ht="29" x14ac:dyDescent="0.35">
      <c r="A2" s="328" t="s">
        <v>303</v>
      </c>
      <c r="B2" s="328" t="s">
        <v>1410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</row>
    <row r="3" spans="1:14" ht="29" x14ac:dyDescent="0.35">
      <c r="A3" s="328" t="s">
        <v>304</v>
      </c>
      <c r="B3" s="328" t="s">
        <v>1464</v>
      </c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</row>
    <row r="4" spans="1:14" ht="42" customHeight="1" x14ac:dyDescent="0.35">
      <c r="A4" s="369" t="s">
        <v>305</v>
      </c>
      <c r="B4" s="368" t="s">
        <v>306</v>
      </c>
      <c r="C4" s="1063" t="s">
        <v>1794</v>
      </c>
      <c r="D4" s="1064"/>
      <c r="E4" s="1065"/>
      <c r="F4" s="1092" t="s">
        <v>1796</v>
      </c>
      <c r="G4" s="1064"/>
      <c r="H4" s="1065"/>
      <c r="I4" s="1092" t="s">
        <v>1799</v>
      </c>
      <c r="J4" s="1064"/>
      <c r="K4" s="1064"/>
      <c r="L4" s="1063"/>
      <c r="M4" s="1064"/>
      <c r="N4" s="1065"/>
    </row>
    <row r="5" spans="1:14" ht="58" x14ac:dyDescent="0.35">
      <c r="A5" s="369"/>
      <c r="B5" s="368"/>
      <c r="C5" s="539" t="s">
        <v>1289</v>
      </c>
      <c r="D5" s="539" t="s">
        <v>1290</v>
      </c>
      <c r="E5" s="539" t="s">
        <v>549</v>
      </c>
      <c r="F5" s="719" t="s">
        <v>1289</v>
      </c>
      <c r="G5" s="719" t="s">
        <v>1290</v>
      </c>
      <c r="H5" s="719" t="s">
        <v>549</v>
      </c>
      <c r="I5" s="719" t="s">
        <v>1289</v>
      </c>
      <c r="J5" s="719" t="s">
        <v>1290</v>
      </c>
      <c r="K5" s="719" t="s">
        <v>549</v>
      </c>
      <c r="L5" s="719" t="s">
        <v>1289</v>
      </c>
      <c r="M5" s="719" t="s">
        <v>1290</v>
      </c>
      <c r="N5" s="719" t="s">
        <v>549</v>
      </c>
    </row>
    <row r="6" spans="1:14" x14ac:dyDescent="0.35">
      <c r="A6" s="329"/>
      <c r="B6" s="330" t="s">
        <v>307</v>
      </c>
      <c r="C6" s="331">
        <f>+'5. melléklet'!C39</f>
        <v>55</v>
      </c>
      <c r="D6" s="331"/>
      <c r="E6" s="331">
        <f t="shared" ref="E6:E7" si="0">SUM(C6:D6)</f>
        <v>55</v>
      </c>
      <c r="F6" s="331">
        <f>+'5. melléklet'!F39</f>
        <v>55</v>
      </c>
      <c r="G6" s="331"/>
      <c r="H6" s="331">
        <f t="shared" ref="H6:H7" si="1">SUM(F6:G6)</f>
        <v>55</v>
      </c>
      <c r="I6" s="331">
        <f>+'5. melléklet'!I39</f>
        <v>55</v>
      </c>
      <c r="J6" s="331"/>
      <c r="K6" s="331">
        <f t="shared" ref="K6:K46" si="2">SUM(I6:J6)</f>
        <v>55</v>
      </c>
      <c r="L6" s="331">
        <f>+'5. melléklet'!L39</f>
        <v>55</v>
      </c>
      <c r="M6" s="331"/>
      <c r="N6" s="331">
        <f t="shared" ref="N6:N46" si="3">SUM(L6:M6)</f>
        <v>55</v>
      </c>
    </row>
    <row r="7" spans="1:14" x14ac:dyDescent="0.35">
      <c r="A7" s="329"/>
      <c r="B7" s="330" t="s">
        <v>308</v>
      </c>
      <c r="C7" s="331"/>
      <c r="D7" s="331"/>
      <c r="E7" s="331">
        <f t="shared" si="0"/>
        <v>0</v>
      </c>
      <c r="F7" s="331"/>
      <c r="G7" s="331"/>
      <c r="H7" s="331">
        <f t="shared" si="1"/>
        <v>0</v>
      </c>
      <c r="I7" s="331"/>
      <c r="J7" s="331"/>
      <c r="K7" s="331">
        <f t="shared" si="2"/>
        <v>0</v>
      </c>
      <c r="L7" s="331"/>
      <c r="M7" s="331"/>
      <c r="N7" s="331">
        <f t="shared" si="3"/>
        <v>0</v>
      </c>
    </row>
    <row r="8" spans="1:14" x14ac:dyDescent="0.35">
      <c r="A8" s="332" t="s">
        <v>309</v>
      </c>
      <c r="B8" s="333" t="s">
        <v>310</v>
      </c>
      <c r="C8" s="334">
        <v>7874000</v>
      </c>
      <c r="D8" s="334">
        <v>0</v>
      </c>
      <c r="E8" s="334">
        <v>7874000</v>
      </c>
      <c r="F8" s="524">
        <v>7874000</v>
      </c>
      <c r="G8" s="524">
        <v>0</v>
      </c>
      <c r="H8" s="524">
        <v>7874000</v>
      </c>
      <c r="I8" s="524">
        <f>I9+I11+I20</f>
        <v>4959323</v>
      </c>
      <c r="J8" s="524">
        <f>J9+J11+J20</f>
        <v>0</v>
      </c>
      <c r="K8" s="524">
        <f t="shared" si="2"/>
        <v>4959323</v>
      </c>
      <c r="L8" s="524">
        <f>L9+L11+L20</f>
        <v>0</v>
      </c>
      <c r="M8" s="524">
        <f>M9+M11+M20</f>
        <v>0</v>
      </c>
      <c r="N8" s="524">
        <f t="shared" si="3"/>
        <v>0</v>
      </c>
    </row>
    <row r="9" spans="1:14" x14ac:dyDescent="0.35">
      <c r="A9" s="335" t="s">
        <v>311</v>
      </c>
      <c r="B9" s="336" t="s">
        <v>312</v>
      </c>
      <c r="C9" s="337">
        <v>0</v>
      </c>
      <c r="D9" s="337">
        <v>0</v>
      </c>
      <c r="E9" s="337">
        <v>0</v>
      </c>
      <c r="F9" s="526">
        <v>0</v>
      </c>
      <c r="G9" s="526">
        <v>0</v>
      </c>
      <c r="H9" s="526">
        <v>0</v>
      </c>
      <c r="I9" s="526">
        <v>0</v>
      </c>
      <c r="J9" s="526">
        <f>J10</f>
        <v>0</v>
      </c>
      <c r="K9" s="526">
        <f t="shared" si="2"/>
        <v>0</v>
      </c>
      <c r="L9" s="526">
        <f>L10</f>
        <v>0</v>
      </c>
      <c r="M9" s="526">
        <f>M10</f>
        <v>0</v>
      </c>
      <c r="N9" s="526">
        <f t="shared" si="3"/>
        <v>0</v>
      </c>
    </row>
    <row r="10" spans="1:14" ht="30" hidden="1" customHeight="1" x14ac:dyDescent="0.35">
      <c r="A10" s="370"/>
      <c r="B10" s="338" t="s">
        <v>313</v>
      </c>
      <c r="C10" s="258">
        <v>0</v>
      </c>
      <c r="D10" s="258">
        <v>0</v>
      </c>
      <c r="E10" s="258">
        <v>0</v>
      </c>
      <c r="F10" s="258">
        <v>0</v>
      </c>
      <c r="G10" s="258">
        <v>0</v>
      </c>
      <c r="H10" s="258">
        <v>0</v>
      </c>
      <c r="I10" s="258">
        <v>0</v>
      </c>
      <c r="J10" s="258">
        <v>0</v>
      </c>
      <c r="K10" s="258">
        <f t="shared" si="2"/>
        <v>0</v>
      </c>
      <c r="L10" s="258">
        <v>0</v>
      </c>
      <c r="M10" s="258">
        <v>0</v>
      </c>
      <c r="N10" s="258">
        <f t="shared" si="3"/>
        <v>0</v>
      </c>
    </row>
    <row r="11" spans="1:14" x14ac:dyDescent="0.35">
      <c r="A11" s="335" t="s">
        <v>322</v>
      </c>
      <c r="B11" s="336" t="s">
        <v>314</v>
      </c>
      <c r="C11" s="337">
        <v>7874000</v>
      </c>
      <c r="D11" s="337">
        <v>0</v>
      </c>
      <c r="E11" s="337">
        <v>7874000</v>
      </c>
      <c r="F11" s="526">
        <v>7874000</v>
      </c>
      <c r="G11" s="526">
        <v>0</v>
      </c>
      <c r="H11" s="526">
        <v>7874000</v>
      </c>
      <c r="I11" s="526">
        <f>I12+I13+I14+I15+I16+I17+I18+I19</f>
        <v>4959323</v>
      </c>
      <c r="J11" s="526">
        <f>J12+J13+J14+J15+J16+J17+J18+J19</f>
        <v>0</v>
      </c>
      <c r="K11" s="526">
        <f t="shared" si="2"/>
        <v>4959323</v>
      </c>
      <c r="L11" s="526">
        <f>L12+L13+L14+L15+L16+L17+L18+L19</f>
        <v>0</v>
      </c>
      <c r="M11" s="526">
        <f>M12+M13+M14+M15+M16+M17+M18+M19</f>
        <v>0</v>
      </c>
      <c r="N11" s="526">
        <f t="shared" si="3"/>
        <v>0</v>
      </c>
    </row>
    <row r="12" spans="1:14" x14ac:dyDescent="0.35">
      <c r="A12" s="370"/>
      <c r="B12" s="338" t="s">
        <v>644</v>
      </c>
      <c r="C12" s="258">
        <v>0</v>
      </c>
      <c r="D12" s="258">
        <v>0</v>
      </c>
      <c r="E12" s="258">
        <v>0</v>
      </c>
      <c r="F12" s="258">
        <v>0</v>
      </c>
      <c r="G12" s="258">
        <v>0</v>
      </c>
      <c r="H12" s="258">
        <v>0</v>
      </c>
      <c r="I12" s="258">
        <v>0</v>
      </c>
      <c r="J12" s="258">
        <v>0</v>
      </c>
      <c r="K12" s="258">
        <f t="shared" si="2"/>
        <v>0</v>
      </c>
      <c r="L12" s="258">
        <v>0</v>
      </c>
      <c r="M12" s="258">
        <v>0</v>
      </c>
      <c r="N12" s="258">
        <f t="shared" si="3"/>
        <v>0</v>
      </c>
    </row>
    <row r="13" spans="1:14" x14ac:dyDescent="0.35">
      <c r="A13" s="370"/>
      <c r="B13" s="338" t="s">
        <v>645</v>
      </c>
      <c r="C13" s="258">
        <v>0</v>
      </c>
      <c r="D13" s="258">
        <v>0</v>
      </c>
      <c r="E13" s="258">
        <v>0</v>
      </c>
      <c r="F13" s="258">
        <v>0</v>
      </c>
      <c r="G13" s="258">
        <v>0</v>
      </c>
      <c r="H13" s="258">
        <v>0</v>
      </c>
      <c r="I13" s="258">
        <v>0</v>
      </c>
      <c r="J13" s="258">
        <v>0</v>
      </c>
      <c r="K13" s="258">
        <f t="shared" si="2"/>
        <v>0</v>
      </c>
      <c r="L13" s="258">
        <v>0</v>
      </c>
      <c r="M13" s="258">
        <v>0</v>
      </c>
      <c r="N13" s="258">
        <f t="shared" si="3"/>
        <v>0</v>
      </c>
    </row>
    <row r="14" spans="1:14" x14ac:dyDescent="0.35">
      <c r="A14" s="370"/>
      <c r="B14" s="338" t="s">
        <v>652</v>
      </c>
      <c r="C14" s="258">
        <v>0</v>
      </c>
      <c r="D14" s="258">
        <v>0</v>
      </c>
      <c r="E14" s="258">
        <v>0</v>
      </c>
      <c r="F14" s="258">
        <v>0</v>
      </c>
      <c r="G14" s="258">
        <v>0</v>
      </c>
      <c r="H14" s="258">
        <v>0</v>
      </c>
      <c r="I14" s="258">
        <v>0</v>
      </c>
      <c r="J14" s="258">
        <v>0</v>
      </c>
      <c r="K14" s="258">
        <f t="shared" si="2"/>
        <v>0</v>
      </c>
      <c r="L14" s="258">
        <v>0</v>
      </c>
      <c r="M14" s="258">
        <v>0</v>
      </c>
      <c r="N14" s="258">
        <f t="shared" si="3"/>
        <v>0</v>
      </c>
    </row>
    <row r="15" spans="1:14" x14ac:dyDescent="0.35">
      <c r="A15" s="370"/>
      <c r="B15" s="338" t="s">
        <v>653</v>
      </c>
      <c r="C15" s="258">
        <v>6200000</v>
      </c>
      <c r="D15" s="258">
        <v>0</v>
      </c>
      <c r="E15" s="258">
        <v>6200000</v>
      </c>
      <c r="F15" s="258">
        <v>6200000</v>
      </c>
      <c r="G15" s="258">
        <v>0</v>
      </c>
      <c r="H15" s="258">
        <v>6200000</v>
      </c>
      <c r="I15" s="258">
        <v>2398125</v>
      </c>
      <c r="J15" s="258">
        <v>0</v>
      </c>
      <c r="K15" s="258">
        <f t="shared" si="2"/>
        <v>2398125</v>
      </c>
      <c r="L15" s="258"/>
      <c r="M15" s="258"/>
      <c r="N15" s="258">
        <f t="shared" si="3"/>
        <v>0</v>
      </c>
    </row>
    <row r="16" spans="1:14" x14ac:dyDescent="0.35">
      <c r="A16" s="370"/>
      <c r="B16" s="338" t="s">
        <v>654</v>
      </c>
      <c r="C16" s="258">
        <v>1674000</v>
      </c>
      <c r="D16" s="258">
        <v>0</v>
      </c>
      <c r="E16" s="258">
        <v>1674000</v>
      </c>
      <c r="F16" s="258">
        <v>1674000</v>
      </c>
      <c r="G16" s="258">
        <v>0</v>
      </c>
      <c r="H16" s="258">
        <v>1674000</v>
      </c>
      <c r="I16" s="258">
        <v>647491</v>
      </c>
      <c r="J16" s="258">
        <v>0</v>
      </c>
      <c r="K16" s="258">
        <f t="shared" si="2"/>
        <v>647491</v>
      </c>
      <c r="L16" s="258"/>
      <c r="M16" s="258"/>
      <c r="N16" s="258">
        <f t="shared" si="3"/>
        <v>0</v>
      </c>
    </row>
    <row r="17" spans="1:14" x14ac:dyDescent="0.35">
      <c r="A17" s="370"/>
      <c r="B17" s="338" t="s">
        <v>655</v>
      </c>
      <c r="C17" s="258"/>
      <c r="D17" s="258">
        <v>0</v>
      </c>
      <c r="E17" s="258">
        <v>0</v>
      </c>
      <c r="F17" s="258"/>
      <c r="G17" s="258">
        <v>0</v>
      </c>
      <c r="H17" s="258">
        <v>0</v>
      </c>
      <c r="I17" s="258">
        <v>1913000</v>
      </c>
      <c r="J17" s="258">
        <v>0</v>
      </c>
      <c r="K17" s="258">
        <f t="shared" si="2"/>
        <v>1913000</v>
      </c>
      <c r="L17" s="258"/>
      <c r="M17" s="258">
        <v>0</v>
      </c>
      <c r="N17" s="258">
        <f t="shared" si="3"/>
        <v>0</v>
      </c>
    </row>
    <row r="18" spans="1:14" x14ac:dyDescent="0.35">
      <c r="A18" s="370"/>
      <c r="B18" s="338" t="s">
        <v>656</v>
      </c>
      <c r="C18" s="258">
        <v>0</v>
      </c>
      <c r="D18" s="258">
        <v>0</v>
      </c>
      <c r="E18" s="258">
        <v>0</v>
      </c>
      <c r="F18" s="258"/>
      <c r="G18" s="258">
        <v>0</v>
      </c>
      <c r="H18" s="258">
        <v>0</v>
      </c>
      <c r="I18" s="258">
        <v>0</v>
      </c>
      <c r="J18" s="258">
        <v>0</v>
      </c>
      <c r="K18" s="258">
        <f t="shared" si="2"/>
        <v>0</v>
      </c>
      <c r="L18" s="258">
        <v>0</v>
      </c>
      <c r="M18" s="258">
        <v>0</v>
      </c>
      <c r="N18" s="258">
        <f t="shared" si="3"/>
        <v>0</v>
      </c>
    </row>
    <row r="19" spans="1:14" x14ac:dyDescent="0.35">
      <c r="A19" s="370"/>
      <c r="B19" s="338" t="s">
        <v>657</v>
      </c>
      <c r="C19" s="258">
        <v>0</v>
      </c>
      <c r="D19" s="258">
        <v>0</v>
      </c>
      <c r="E19" s="258">
        <v>0</v>
      </c>
      <c r="F19" s="258">
        <v>0</v>
      </c>
      <c r="G19" s="258">
        <v>0</v>
      </c>
      <c r="H19" s="258">
        <v>0</v>
      </c>
      <c r="I19" s="258">
        <v>707</v>
      </c>
      <c r="J19" s="258">
        <v>0</v>
      </c>
      <c r="K19" s="258">
        <f t="shared" si="2"/>
        <v>707</v>
      </c>
      <c r="L19" s="258">
        <v>0</v>
      </c>
      <c r="M19" s="258">
        <v>0</v>
      </c>
      <c r="N19" s="258">
        <f t="shared" si="3"/>
        <v>0</v>
      </c>
    </row>
    <row r="20" spans="1:14" x14ac:dyDescent="0.35">
      <c r="A20" s="335" t="s">
        <v>315</v>
      </c>
      <c r="B20" s="336" t="s">
        <v>316</v>
      </c>
      <c r="C20" s="337">
        <v>0</v>
      </c>
      <c r="D20" s="337">
        <v>0</v>
      </c>
      <c r="E20" s="337">
        <v>0</v>
      </c>
      <c r="F20" s="526">
        <v>0</v>
      </c>
      <c r="G20" s="526">
        <v>0</v>
      </c>
      <c r="H20" s="526">
        <v>0</v>
      </c>
      <c r="I20" s="526">
        <f>SUM(I21:I21)</f>
        <v>0</v>
      </c>
      <c r="J20" s="526">
        <f>SUM(J21:J21)</f>
        <v>0</v>
      </c>
      <c r="K20" s="526">
        <f t="shared" si="2"/>
        <v>0</v>
      </c>
      <c r="L20" s="526">
        <f>SUM(L21:L21)</f>
        <v>0</v>
      </c>
      <c r="M20" s="526">
        <f>SUM(M21:M21)</f>
        <v>0</v>
      </c>
      <c r="N20" s="526">
        <f t="shared" si="3"/>
        <v>0</v>
      </c>
    </row>
    <row r="21" spans="1:14" ht="15" hidden="1" customHeight="1" x14ac:dyDescent="0.35">
      <c r="A21" s="370"/>
      <c r="B21" s="338" t="s">
        <v>317</v>
      </c>
      <c r="C21" s="258">
        <v>0</v>
      </c>
      <c r="D21" s="258">
        <v>0</v>
      </c>
      <c r="E21" s="258">
        <v>0</v>
      </c>
      <c r="F21" s="258">
        <v>0</v>
      </c>
      <c r="G21" s="258">
        <v>0</v>
      </c>
      <c r="H21" s="258">
        <v>0</v>
      </c>
      <c r="I21" s="258">
        <v>0</v>
      </c>
      <c r="J21" s="258">
        <v>0</v>
      </c>
      <c r="K21" s="258">
        <f t="shared" si="2"/>
        <v>0</v>
      </c>
      <c r="L21" s="258">
        <v>0</v>
      </c>
      <c r="M21" s="258">
        <v>0</v>
      </c>
      <c r="N21" s="258">
        <f t="shared" si="3"/>
        <v>0</v>
      </c>
    </row>
    <row r="22" spans="1:14" x14ac:dyDescent="0.35">
      <c r="A22" s="332" t="s">
        <v>318</v>
      </c>
      <c r="B22" s="333" t="s">
        <v>319</v>
      </c>
      <c r="C22" s="334">
        <v>0</v>
      </c>
      <c r="D22" s="334">
        <v>0</v>
      </c>
      <c r="E22" s="334">
        <v>0</v>
      </c>
      <c r="F22" s="524">
        <v>0</v>
      </c>
      <c r="G22" s="524">
        <v>0</v>
      </c>
      <c r="H22" s="524">
        <v>0</v>
      </c>
      <c r="I22" s="524">
        <f>I23+I25+I28</f>
        <v>0</v>
      </c>
      <c r="J22" s="524">
        <f>J23+J25+J28</f>
        <v>0</v>
      </c>
      <c r="K22" s="524">
        <f t="shared" si="2"/>
        <v>0</v>
      </c>
      <c r="L22" s="524">
        <f>L23+L25+L28</f>
        <v>0</v>
      </c>
      <c r="M22" s="524">
        <f>M23+M25+M28</f>
        <v>0</v>
      </c>
      <c r="N22" s="524">
        <f t="shared" si="3"/>
        <v>0</v>
      </c>
    </row>
    <row r="23" spans="1:14" ht="15" hidden="1" customHeight="1" x14ac:dyDescent="0.35">
      <c r="A23" s="335" t="s">
        <v>311</v>
      </c>
      <c r="B23" s="336" t="s">
        <v>320</v>
      </c>
      <c r="C23" s="337">
        <v>0</v>
      </c>
      <c r="D23" s="337">
        <v>0</v>
      </c>
      <c r="E23" s="337">
        <v>0</v>
      </c>
      <c r="F23" s="526">
        <v>0</v>
      </c>
      <c r="G23" s="526">
        <v>0</v>
      </c>
      <c r="H23" s="526">
        <v>0</v>
      </c>
      <c r="I23" s="526">
        <f>SUM(I24:I24)</f>
        <v>0</v>
      </c>
      <c r="J23" s="526">
        <f>SUM(J24:J24)</f>
        <v>0</v>
      </c>
      <c r="K23" s="526">
        <f t="shared" si="2"/>
        <v>0</v>
      </c>
      <c r="L23" s="526">
        <f>SUM(L24:L24)</f>
        <v>0</v>
      </c>
      <c r="M23" s="526">
        <f>SUM(M24:M24)</f>
        <v>0</v>
      </c>
      <c r="N23" s="526">
        <f t="shared" si="3"/>
        <v>0</v>
      </c>
    </row>
    <row r="24" spans="1:14" ht="30" hidden="1" customHeight="1" x14ac:dyDescent="0.35">
      <c r="A24" s="370"/>
      <c r="B24" s="257" t="s">
        <v>321</v>
      </c>
      <c r="C24" s="258">
        <v>0</v>
      </c>
      <c r="D24" s="258">
        <v>0</v>
      </c>
      <c r="E24" s="258">
        <v>0</v>
      </c>
      <c r="F24" s="258">
        <v>0</v>
      </c>
      <c r="G24" s="258">
        <v>0</v>
      </c>
      <c r="H24" s="258">
        <v>0</v>
      </c>
      <c r="I24" s="258">
        <v>0</v>
      </c>
      <c r="J24" s="258">
        <v>0</v>
      </c>
      <c r="K24" s="258">
        <f t="shared" si="2"/>
        <v>0</v>
      </c>
      <c r="L24" s="258">
        <v>0</v>
      </c>
      <c r="M24" s="258">
        <v>0</v>
      </c>
      <c r="N24" s="258">
        <f t="shared" si="3"/>
        <v>0</v>
      </c>
    </row>
    <row r="25" spans="1:14" ht="15" hidden="1" customHeight="1" x14ac:dyDescent="0.35">
      <c r="A25" s="335" t="s">
        <v>322</v>
      </c>
      <c r="B25" s="336" t="s">
        <v>257</v>
      </c>
      <c r="C25" s="337">
        <v>0</v>
      </c>
      <c r="D25" s="337">
        <v>0</v>
      </c>
      <c r="E25" s="337">
        <v>0</v>
      </c>
      <c r="F25" s="526">
        <v>0</v>
      </c>
      <c r="G25" s="526">
        <v>0</v>
      </c>
      <c r="H25" s="526">
        <v>0</v>
      </c>
      <c r="I25" s="526">
        <f>SUM(I26:I27)</f>
        <v>0</v>
      </c>
      <c r="J25" s="526">
        <f>SUM(J26:J27)</f>
        <v>0</v>
      </c>
      <c r="K25" s="526">
        <f t="shared" si="2"/>
        <v>0</v>
      </c>
      <c r="L25" s="526">
        <f>SUM(L26:L27)</f>
        <v>0</v>
      </c>
      <c r="M25" s="526">
        <f>SUM(M26:M27)</f>
        <v>0</v>
      </c>
      <c r="N25" s="526">
        <f t="shared" si="3"/>
        <v>0</v>
      </c>
    </row>
    <row r="26" spans="1:14" ht="15" hidden="1" customHeight="1" x14ac:dyDescent="0.35">
      <c r="A26" s="370"/>
      <c r="B26" s="340" t="s">
        <v>323</v>
      </c>
      <c r="C26" s="258">
        <v>0</v>
      </c>
      <c r="D26" s="258">
        <v>0</v>
      </c>
      <c r="E26" s="258">
        <v>0</v>
      </c>
      <c r="F26" s="258">
        <v>0</v>
      </c>
      <c r="G26" s="258">
        <v>0</v>
      </c>
      <c r="H26" s="258">
        <v>0</v>
      </c>
      <c r="I26" s="258">
        <v>0</v>
      </c>
      <c r="J26" s="258">
        <v>0</v>
      </c>
      <c r="K26" s="258">
        <f t="shared" si="2"/>
        <v>0</v>
      </c>
      <c r="L26" s="258">
        <v>0</v>
      </c>
      <c r="M26" s="258">
        <v>0</v>
      </c>
      <c r="N26" s="258">
        <f t="shared" si="3"/>
        <v>0</v>
      </c>
    </row>
    <row r="27" spans="1:14" ht="15" hidden="1" customHeight="1" x14ac:dyDescent="0.35">
      <c r="A27" s="370"/>
      <c r="B27" s="340" t="s">
        <v>324</v>
      </c>
      <c r="C27" s="258">
        <v>0</v>
      </c>
      <c r="D27" s="258">
        <v>0</v>
      </c>
      <c r="E27" s="258">
        <v>0</v>
      </c>
      <c r="F27" s="258">
        <v>0</v>
      </c>
      <c r="G27" s="258">
        <v>0</v>
      </c>
      <c r="H27" s="258">
        <v>0</v>
      </c>
      <c r="I27" s="258">
        <v>0</v>
      </c>
      <c r="J27" s="258">
        <v>0</v>
      </c>
      <c r="K27" s="258">
        <f t="shared" si="2"/>
        <v>0</v>
      </c>
      <c r="L27" s="258">
        <v>0</v>
      </c>
      <c r="M27" s="258">
        <v>0</v>
      </c>
      <c r="N27" s="258">
        <f t="shared" si="3"/>
        <v>0</v>
      </c>
    </row>
    <row r="28" spans="1:14" ht="15" hidden="1" customHeight="1" x14ac:dyDescent="0.35">
      <c r="A28" s="335" t="s">
        <v>315</v>
      </c>
      <c r="B28" s="336" t="s">
        <v>325</v>
      </c>
      <c r="C28" s="337">
        <v>0</v>
      </c>
      <c r="D28" s="337">
        <v>0</v>
      </c>
      <c r="E28" s="337">
        <v>0</v>
      </c>
      <c r="F28" s="526">
        <v>0</v>
      </c>
      <c r="G28" s="526">
        <v>0</v>
      </c>
      <c r="H28" s="526">
        <v>0</v>
      </c>
      <c r="I28" s="526">
        <f>SUM(I29:I29)</f>
        <v>0</v>
      </c>
      <c r="J28" s="526">
        <f>SUM(J29:J29)</f>
        <v>0</v>
      </c>
      <c r="K28" s="526">
        <f t="shared" si="2"/>
        <v>0</v>
      </c>
      <c r="L28" s="526">
        <f>SUM(L29:L29)</f>
        <v>0</v>
      </c>
      <c r="M28" s="526">
        <f>SUM(M29:M29)</f>
        <v>0</v>
      </c>
      <c r="N28" s="526">
        <f t="shared" si="3"/>
        <v>0</v>
      </c>
    </row>
    <row r="29" spans="1:14" ht="15" hidden="1" customHeight="1" x14ac:dyDescent="0.35">
      <c r="A29" s="370"/>
      <c r="B29" s="340" t="s">
        <v>326</v>
      </c>
      <c r="C29" s="258">
        <v>0</v>
      </c>
      <c r="D29" s="258">
        <v>0</v>
      </c>
      <c r="E29" s="258">
        <v>0</v>
      </c>
      <c r="F29" s="258">
        <v>0</v>
      </c>
      <c r="G29" s="258">
        <v>0</v>
      </c>
      <c r="H29" s="258">
        <v>0</v>
      </c>
      <c r="I29" s="258">
        <v>0</v>
      </c>
      <c r="J29" s="258">
        <v>0</v>
      </c>
      <c r="K29" s="258">
        <f t="shared" si="2"/>
        <v>0</v>
      </c>
      <c r="L29" s="258">
        <v>0</v>
      </c>
      <c r="M29" s="258">
        <v>0</v>
      </c>
      <c r="N29" s="258">
        <f t="shared" si="3"/>
        <v>0</v>
      </c>
    </row>
    <row r="30" spans="1:14" x14ac:dyDescent="0.35">
      <c r="A30" s="368"/>
      <c r="B30" s="341" t="s">
        <v>327</v>
      </c>
      <c r="C30" s="342">
        <v>7874000</v>
      </c>
      <c r="D30" s="342">
        <v>0</v>
      </c>
      <c r="E30" s="342">
        <v>7874000</v>
      </c>
      <c r="F30" s="534">
        <v>7874000</v>
      </c>
      <c r="G30" s="534">
        <v>0</v>
      </c>
      <c r="H30" s="534">
        <v>7874000</v>
      </c>
      <c r="I30" s="534">
        <f>I22+I8</f>
        <v>4959323</v>
      </c>
      <c r="J30" s="534">
        <f>J22+J8</f>
        <v>0</v>
      </c>
      <c r="K30" s="534">
        <f t="shared" si="2"/>
        <v>4959323</v>
      </c>
      <c r="L30" s="534">
        <f>L22+L8</f>
        <v>0</v>
      </c>
      <c r="M30" s="534">
        <f>M22+M8</f>
        <v>0</v>
      </c>
      <c r="N30" s="534">
        <f t="shared" si="3"/>
        <v>0</v>
      </c>
    </row>
    <row r="31" spans="1:14" x14ac:dyDescent="0.35">
      <c r="A31" s="332" t="s">
        <v>328</v>
      </c>
      <c r="B31" s="333" t="s">
        <v>329</v>
      </c>
      <c r="C31" s="334">
        <v>330987810</v>
      </c>
      <c r="D31" s="334">
        <v>0</v>
      </c>
      <c r="E31" s="334">
        <v>330987810</v>
      </c>
      <c r="F31" s="524">
        <v>341666011</v>
      </c>
      <c r="G31" s="524">
        <v>0</v>
      </c>
      <c r="H31" s="524">
        <v>341666011</v>
      </c>
      <c r="I31" s="524">
        <f>I32</f>
        <v>133710336</v>
      </c>
      <c r="J31" s="524">
        <f>J32</f>
        <v>0</v>
      </c>
      <c r="K31" s="524">
        <f t="shared" si="2"/>
        <v>133710336</v>
      </c>
      <c r="L31" s="524">
        <f>L32</f>
        <v>0</v>
      </c>
      <c r="M31" s="524">
        <f>M32</f>
        <v>0</v>
      </c>
      <c r="N31" s="524">
        <f t="shared" si="3"/>
        <v>0</v>
      </c>
    </row>
    <row r="32" spans="1:14" x14ac:dyDescent="0.35">
      <c r="A32" s="335" t="s">
        <v>311</v>
      </c>
      <c r="B32" s="336" t="s">
        <v>330</v>
      </c>
      <c r="C32" s="337">
        <v>330987810</v>
      </c>
      <c r="D32" s="337">
        <v>0</v>
      </c>
      <c r="E32" s="337">
        <v>330987810</v>
      </c>
      <c r="F32" s="526">
        <v>341666011</v>
      </c>
      <c r="G32" s="526">
        <v>0</v>
      </c>
      <c r="H32" s="526">
        <v>341666011</v>
      </c>
      <c r="I32" s="526">
        <f>SUM(I33:I34)</f>
        <v>133710336</v>
      </c>
      <c r="J32" s="526">
        <f>SUM(J33:J34)</f>
        <v>0</v>
      </c>
      <c r="K32" s="526">
        <f t="shared" si="2"/>
        <v>133710336</v>
      </c>
      <c r="L32" s="526">
        <f>SUM(L33:L34)</f>
        <v>0</v>
      </c>
      <c r="M32" s="526">
        <f>SUM(M33:M34)</f>
        <v>0</v>
      </c>
      <c r="N32" s="526">
        <f t="shared" si="3"/>
        <v>0</v>
      </c>
    </row>
    <row r="33" spans="1:15" x14ac:dyDescent="0.35">
      <c r="A33" s="370"/>
      <c r="B33" s="340" t="s">
        <v>331</v>
      </c>
      <c r="C33" s="258"/>
      <c r="D33" s="258">
        <v>0</v>
      </c>
      <c r="E33" s="258">
        <v>0</v>
      </c>
      <c r="F33" s="258">
        <v>2363201</v>
      </c>
      <c r="G33" s="258">
        <v>0</v>
      </c>
      <c r="H33" s="258">
        <v>2363201</v>
      </c>
      <c r="I33" s="258">
        <f>2363201</f>
        <v>2363201</v>
      </c>
      <c r="J33" s="258">
        <v>0</v>
      </c>
      <c r="K33" s="258">
        <f t="shared" ref="K33:K34" si="4">SUM(I33:J33)</f>
        <v>2363201</v>
      </c>
      <c r="L33" s="258"/>
      <c r="M33" s="258">
        <v>0</v>
      </c>
      <c r="N33" s="258">
        <f t="shared" si="3"/>
        <v>0</v>
      </c>
      <c r="O33" s="39"/>
    </row>
    <row r="34" spans="1:15" x14ac:dyDescent="0.35">
      <c r="A34" s="370"/>
      <c r="B34" s="340" t="s">
        <v>332</v>
      </c>
      <c r="C34" s="258">
        <v>330987810</v>
      </c>
      <c r="D34" s="258">
        <v>0</v>
      </c>
      <c r="E34" s="258">
        <v>330987810</v>
      </c>
      <c r="F34" s="258">
        <v>339302810</v>
      </c>
      <c r="G34" s="258">
        <v>0</v>
      </c>
      <c r="H34" s="258">
        <v>339302810</v>
      </c>
      <c r="I34" s="258">
        <f>132799286-1452151</f>
        <v>131347135</v>
      </c>
      <c r="J34" s="258">
        <f>J46-J30-J33</f>
        <v>0</v>
      </c>
      <c r="K34" s="258">
        <f t="shared" si="4"/>
        <v>131347135</v>
      </c>
      <c r="L34" s="258">
        <f>L46-L30-L33</f>
        <v>0</v>
      </c>
      <c r="M34" s="258">
        <f>M46-M30-M33</f>
        <v>0</v>
      </c>
      <c r="N34" s="258">
        <f t="shared" si="3"/>
        <v>0</v>
      </c>
      <c r="O34" s="39"/>
    </row>
    <row r="35" spans="1:15" x14ac:dyDescent="0.35">
      <c r="A35" s="343"/>
      <c r="B35" s="344" t="s">
        <v>333</v>
      </c>
      <c r="C35" s="316">
        <v>338861810</v>
      </c>
      <c r="D35" s="316">
        <v>0</v>
      </c>
      <c r="E35" s="316">
        <v>338861810</v>
      </c>
      <c r="F35" s="316">
        <v>349540011</v>
      </c>
      <c r="G35" s="316">
        <v>0</v>
      </c>
      <c r="H35" s="316">
        <v>349540011</v>
      </c>
      <c r="I35" s="316">
        <f>I31+I22+I8</f>
        <v>138669659</v>
      </c>
      <c r="J35" s="316">
        <f>J31+J22+J8</f>
        <v>0</v>
      </c>
      <c r="K35" s="316">
        <f t="shared" si="2"/>
        <v>138669659</v>
      </c>
      <c r="L35" s="316">
        <f>L31+L22+L8</f>
        <v>0</v>
      </c>
      <c r="M35" s="316">
        <f>M31+M22+M8</f>
        <v>0</v>
      </c>
      <c r="N35" s="316">
        <f t="shared" si="3"/>
        <v>0</v>
      </c>
      <c r="O35" s="39"/>
    </row>
    <row r="36" spans="1:15" x14ac:dyDescent="0.35">
      <c r="A36" s="332" t="s">
        <v>309</v>
      </c>
      <c r="B36" s="333" t="s">
        <v>334</v>
      </c>
      <c r="C36" s="334">
        <v>338290310</v>
      </c>
      <c r="D36" s="334">
        <v>0</v>
      </c>
      <c r="E36" s="334">
        <v>338290310</v>
      </c>
      <c r="F36" s="524">
        <v>348968511</v>
      </c>
      <c r="G36" s="524">
        <v>0</v>
      </c>
      <c r="H36" s="524">
        <v>348968511</v>
      </c>
      <c r="I36" s="524">
        <f>SUM(I37:I41)</f>
        <v>132078448</v>
      </c>
      <c r="J36" s="524">
        <f>SUM(J37:J41)</f>
        <v>0</v>
      </c>
      <c r="K36" s="524">
        <f t="shared" si="2"/>
        <v>132078448</v>
      </c>
      <c r="L36" s="524">
        <f>SUM(L37:L41)</f>
        <v>0</v>
      </c>
      <c r="M36" s="524">
        <f>SUM(M37:M41)</f>
        <v>0</v>
      </c>
      <c r="N36" s="524">
        <f t="shared" si="3"/>
        <v>0</v>
      </c>
      <c r="O36" s="39"/>
    </row>
    <row r="37" spans="1:15" x14ac:dyDescent="0.35">
      <c r="A37" s="335" t="s">
        <v>311</v>
      </c>
      <c r="B37" s="336" t="s">
        <v>286</v>
      </c>
      <c r="C37" s="337">
        <v>219310010</v>
      </c>
      <c r="D37" s="337">
        <v>0</v>
      </c>
      <c r="E37" s="337">
        <v>219310010</v>
      </c>
      <c r="F37" s="526">
        <v>227625010</v>
      </c>
      <c r="G37" s="526">
        <v>0</v>
      </c>
      <c r="H37" s="526">
        <v>227625010</v>
      </c>
      <c r="I37" s="526">
        <f>'5. melléklet'!K42+'5. melléklet'!K48</f>
        <v>90875060</v>
      </c>
      <c r="J37" s="526">
        <f>'5. melléklet'!J42+'5. melléklet'!J48</f>
        <v>0</v>
      </c>
      <c r="K37" s="526">
        <f t="shared" si="2"/>
        <v>90875060</v>
      </c>
      <c r="L37" s="526">
        <f>'5. melléklet'!N42+'5. melléklet'!N48</f>
        <v>0</v>
      </c>
      <c r="M37" s="526">
        <f>'5. melléklet'!M42+'5. melléklet'!M48</f>
        <v>0</v>
      </c>
      <c r="N37" s="526">
        <f t="shared" si="3"/>
        <v>0</v>
      </c>
      <c r="O37" s="39"/>
    </row>
    <row r="38" spans="1:15" x14ac:dyDescent="0.35">
      <c r="A38" s="335" t="s">
        <v>322</v>
      </c>
      <c r="B38" s="336" t="s">
        <v>335</v>
      </c>
      <c r="C38" s="337">
        <v>38136300</v>
      </c>
      <c r="D38" s="337">
        <v>0</v>
      </c>
      <c r="E38" s="337">
        <v>38136300</v>
      </c>
      <c r="F38" s="526">
        <v>38136300</v>
      </c>
      <c r="G38" s="526">
        <v>0</v>
      </c>
      <c r="H38" s="526">
        <v>38136300</v>
      </c>
      <c r="I38" s="526">
        <f>'5. melléklet'!K43+'5. melléklet'!K49</f>
        <v>16224965</v>
      </c>
      <c r="J38" s="526">
        <f>'5. melléklet'!J43+'5. melléklet'!J49</f>
        <v>0</v>
      </c>
      <c r="K38" s="526">
        <f t="shared" si="2"/>
        <v>16224965</v>
      </c>
      <c r="L38" s="526">
        <f>'5. melléklet'!N43+'5. melléklet'!N49</f>
        <v>0</v>
      </c>
      <c r="M38" s="526">
        <f>'5. melléklet'!M43+'5. melléklet'!M49</f>
        <v>0</v>
      </c>
      <c r="N38" s="526">
        <f t="shared" si="3"/>
        <v>0</v>
      </c>
      <c r="O38" s="39"/>
    </row>
    <row r="39" spans="1:15" x14ac:dyDescent="0.35">
      <c r="A39" s="335" t="s">
        <v>315</v>
      </c>
      <c r="B39" s="336" t="s">
        <v>292</v>
      </c>
      <c r="C39" s="337">
        <v>80844000</v>
      </c>
      <c r="D39" s="337">
        <v>0</v>
      </c>
      <c r="E39" s="647">
        <v>80844000</v>
      </c>
      <c r="F39" s="526">
        <v>81644127</v>
      </c>
      <c r="G39" s="526">
        <v>0</v>
      </c>
      <c r="H39" s="647">
        <v>81644127</v>
      </c>
      <c r="I39" s="526">
        <f>'5. melléklet'!K44+'5. melléklet'!K50</f>
        <v>24978423</v>
      </c>
      <c r="J39" s="526">
        <f>'5. melléklet'!J44+'5. melléklet'!J50</f>
        <v>0</v>
      </c>
      <c r="K39" s="647">
        <f t="shared" si="2"/>
        <v>24978423</v>
      </c>
      <c r="L39" s="526">
        <f>'5. melléklet'!N44+'5. melléklet'!N50+'5. melléklet'!N53</f>
        <v>0</v>
      </c>
      <c r="M39" s="526">
        <f>'5. melléklet'!M44+'5. melléklet'!M50</f>
        <v>0</v>
      </c>
      <c r="N39" s="647">
        <f t="shared" si="3"/>
        <v>0</v>
      </c>
      <c r="O39" s="39"/>
    </row>
    <row r="40" spans="1:15" x14ac:dyDescent="0.35">
      <c r="A40" s="335" t="s">
        <v>336</v>
      </c>
      <c r="B40" s="336" t="s">
        <v>337</v>
      </c>
      <c r="C40" s="337">
        <v>0</v>
      </c>
      <c r="D40" s="337">
        <v>0</v>
      </c>
      <c r="E40" s="337">
        <v>0</v>
      </c>
      <c r="F40" s="526">
        <v>0</v>
      </c>
      <c r="G40" s="526">
        <v>0</v>
      </c>
      <c r="H40" s="526">
        <v>0</v>
      </c>
      <c r="I40" s="526">
        <v>0</v>
      </c>
      <c r="J40" s="526">
        <v>0</v>
      </c>
      <c r="K40" s="526">
        <f t="shared" si="2"/>
        <v>0</v>
      </c>
      <c r="L40" s="526">
        <v>0</v>
      </c>
      <c r="M40" s="526">
        <v>0</v>
      </c>
      <c r="N40" s="526">
        <f t="shared" si="3"/>
        <v>0</v>
      </c>
      <c r="O40" s="39"/>
    </row>
    <row r="41" spans="1:15" x14ac:dyDescent="0.35">
      <c r="A41" s="335" t="s">
        <v>338</v>
      </c>
      <c r="B41" s="336" t="s">
        <v>339</v>
      </c>
      <c r="C41" s="337">
        <v>0</v>
      </c>
      <c r="D41" s="337">
        <v>0</v>
      </c>
      <c r="E41" s="337">
        <v>0</v>
      </c>
      <c r="F41" s="526">
        <v>1563074</v>
      </c>
      <c r="G41" s="526">
        <v>0</v>
      </c>
      <c r="H41" s="526">
        <v>1563074</v>
      </c>
      <c r="I41" s="526">
        <f>+'5. melléklet'!K45</f>
        <v>0</v>
      </c>
      <c r="J41" s="526">
        <f>+'5. melléklet'!J45</f>
        <v>0</v>
      </c>
      <c r="K41" s="526">
        <f t="shared" si="2"/>
        <v>0</v>
      </c>
      <c r="L41" s="526">
        <f>+'5. melléklet'!N45</f>
        <v>0</v>
      </c>
      <c r="M41" s="526">
        <f>+'5. melléklet'!M45</f>
        <v>0</v>
      </c>
      <c r="N41" s="526">
        <f t="shared" si="3"/>
        <v>0</v>
      </c>
      <c r="O41" s="39"/>
    </row>
    <row r="42" spans="1:15" x14ac:dyDescent="0.35">
      <c r="A42" s="332" t="s">
        <v>318</v>
      </c>
      <c r="B42" s="333" t="s">
        <v>340</v>
      </c>
      <c r="C42" s="334">
        <v>571500</v>
      </c>
      <c r="D42" s="334">
        <v>0</v>
      </c>
      <c r="E42" s="334">
        <v>571500</v>
      </c>
      <c r="F42" s="524">
        <v>571500</v>
      </c>
      <c r="G42" s="524">
        <v>0</v>
      </c>
      <c r="H42" s="524">
        <v>571500</v>
      </c>
      <c r="I42" s="524">
        <f>SUM(I43:I45)</f>
        <v>0</v>
      </c>
      <c r="J42" s="524">
        <f>SUM(J43:J45)</f>
        <v>0</v>
      </c>
      <c r="K42" s="524">
        <f t="shared" si="2"/>
        <v>0</v>
      </c>
      <c r="L42" s="524">
        <f>SUM(L43:L45)</f>
        <v>0</v>
      </c>
      <c r="M42" s="524">
        <f>SUM(M43:M45)</f>
        <v>0</v>
      </c>
      <c r="N42" s="524">
        <f t="shared" si="3"/>
        <v>0</v>
      </c>
      <c r="O42" s="39"/>
    </row>
    <row r="43" spans="1:15" x14ac:dyDescent="0.35">
      <c r="A43" s="335" t="s">
        <v>311</v>
      </c>
      <c r="B43" s="336" t="s">
        <v>341</v>
      </c>
      <c r="C43" s="337">
        <v>571500</v>
      </c>
      <c r="D43" s="337">
        <v>0</v>
      </c>
      <c r="E43" s="337">
        <v>571500</v>
      </c>
      <c r="F43" s="526">
        <v>571500</v>
      </c>
      <c r="G43" s="526">
        <v>0</v>
      </c>
      <c r="H43" s="526">
        <v>571500</v>
      </c>
      <c r="I43" s="526">
        <f>'5. melléklet'!K46+'5. melléklet'!K51</f>
        <v>0</v>
      </c>
      <c r="J43" s="526">
        <f>'5. melléklet'!J46+'5. melléklet'!J51</f>
        <v>0</v>
      </c>
      <c r="K43" s="526">
        <f t="shared" si="2"/>
        <v>0</v>
      </c>
      <c r="L43" s="526">
        <f>'5. melléklet'!N46+'5. melléklet'!N51+'5. melléklet'!N54</f>
        <v>0</v>
      </c>
      <c r="M43" s="526">
        <f>'5. melléklet'!M46+'5. melléklet'!M51</f>
        <v>0</v>
      </c>
      <c r="N43" s="526">
        <f t="shared" si="3"/>
        <v>0</v>
      </c>
      <c r="O43" s="39"/>
    </row>
    <row r="44" spans="1:15" x14ac:dyDescent="0.35">
      <c r="A44" s="335" t="s">
        <v>322</v>
      </c>
      <c r="B44" s="336" t="s">
        <v>342</v>
      </c>
      <c r="C44" s="337">
        <v>0</v>
      </c>
      <c r="D44" s="337">
        <v>0</v>
      </c>
      <c r="E44" s="337">
        <v>0</v>
      </c>
      <c r="F44" s="526">
        <v>0</v>
      </c>
      <c r="G44" s="526">
        <v>0</v>
      </c>
      <c r="H44" s="526">
        <v>0</v>
      </c>
      <c r="I44" s="526">
        <v>0</v>
      </c>
      <c r="J44" s="526">
        <v>0</v>
      </c>
      <c r="K44" s="526">
        <f t="shared" si="2"/>
        <v>0</v>
      </c>
      <c r="L44" s="526">
        <v>0</v>
      </c>
      <c r="M44" s="526">
        <v>0</v>
      </c>
      <c r="N44" s="526">
        <f t="shared" si="3"/>
        <v>0</v>
      </c>
      <c r="O44" s="39"/>
    </row>
    <row r="45" spans="1:15" x14ac:dyDescent="0.35">
      <c r="A45" s="335" t="s">
        <v>315</v>
      </c>
      <c r="B45" s="336" t="s">
        <v>343</v>
      </c>
      <c r="C45" s="337">
        <v>0</v>
      </c>
      <c r="D45" s="337">
        <v>0</v>
      </c>
      <c r="E45" s="337">
        <v>0</v>
      </c>
      <c r="F45" s="526">
        <v>0</v>
      </c>
      <c r="G45" s="526">
        <v>0</v>
      </c>
      <c r="H45" s="526">
        <v>0</v>
      </c>
      <c r="I45" s="526">
        <v>0</v>
      </c>
      <c r="J45" s="526">
        <v>0</v>
      </c>
      <c r="K45" s="526">
        <f t="shared" si="2"/>
        <v>0</v>
      </c>
      <c r="L45" s="526">
        <v>0</v>
      </c>
      <c r="M45" s="526">
        <v>0</v>
      </c>
      <c r="N45" s="526">
        <f t="shared" si="3"/>
        <v>0</v>
      </c>
      <c r="O45" s="39"/>
    </row>
    <row r="46" spans="1:15" x14ac:dyDescent="0.35">
      <c r="A46" s="343"/>
      <c r="B46" s="344" t="s">
        <v>344</v>
      </c>
      <c r="C46" s="316">
        <v>338861810</v>
      </c>
      <c r="D46" s="316">
        <v>0</v>
      </c>
      <c r="E46" s="316">
        <v>338861810</v>
      </c>
      <c r="F46" s="316">
        <v>349540011</v>
      </c>
      <c r="G46" s="316">
        <v>0</v>
      </c>
      <c r="H46" s="316">
        <v>349540011</v>
      </c>
      <c r="I46" s="316">
        <f>I36+I42</f>
        <v>132078448</v>
      </c>
      <c r="J46" s="316">
        <f>J36+J42</f>
        <v>0</v>
      </c>
      <c r="K46" s="316">
        <f t="shared" si="2"/>
        <v>132078448</v>
      </c>
      <c r="L46" s="316">
        <f>L36+L42</f>
        <v>0</v>
      </c>
      <c r="M46" s="316">
        <f>M36+M42</f>
        <v>0</v>
      </c>
      <c r="N46" s="316">
        <f t="shared" si="3"/>
        <v>0</v>
      </c>
      <c r="O46" s="39"/>
    </row>
    <row r="47" spans="1:15" x14ac:dyDescent="0.35">
      <c r="E47" s="797"/>
      <c r="H47" s="39"/>
      <c r="K47" s="39"/>
      <c r="N47" s="39">
        <f>+N46-K46</f>
        <v>-132078448</v>
      </c>
    </row>
  </sheetData>
  <mergeCells count="4">
    <mergeCell ref="C4:E4"/>
    <mergeCell ref="F4:H4"/>
    <mergeCell ref="I4:K4"/>
    <mergeCell ref="L4:N4"/>
  </mergeCells>
  <printOptions horizontalCentered="1"/>
  <pageMargins left="0.19685039370078741" right="0.19685039370078741" top="0.9055118110236221" bottom="0.19685039370078741" header="0.31496062992125984" footer="0.31496062992125984"/>
  <pageSetup paperSize="9" scale="46" fitToWidth="0" fitToHeight="0" orientation="portrait" copies="2" r:id="rId1"/>
  <headerFooter>
    <oddHeader>&amp;L4.3  melléklet&amp;C&amp;"-,Félkövér"&amp;16
A Törökbálinti Bóbita Óvoda 2021. évi bevételei és kiadásai jogcímenként és feladatonként</oddHeader>
    <oddFooter>&amp;C&amp;P&amp;R&amp;D, &amp;T</oddFooter>
  </headerFooter>
  <colBreaks count="1" manualBreakCount="1">
    <brk id="11" max="4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0"/>
  <sheetViews>
    <sheetView view="pageBreakPreview" topLeftCell="A42" zoomScale="98" zoomScaleNormal="100" zoomScaleSheetLayoutView="98" workbookViewId="0">
      <selection activeCell="H47" sqref="H47:H50"/>
    </sheetView>
  </sheetViews>
  <sheetFormatPr defaultRowHeight="14.5" x14ac:dyDescent="0.35"/>
  <cols>
    <col min="1" max="1" width="7.1796875" style="30" customWidth="1"/>
    <col min="2" max="2" width="46.7265625" customWidth="1"/>
    <col min="3" max="3" width="12" customWidth="1"/>
    <col min="4" max="4" width="13.1796875" customWidth="1"/>
    <col min="5" max="5" width="13.453125" customWidth="1"/>
    <col min="6" max="6" width="12" customWidth="1"/>
    <col min="7" max="7" width="9.1796875" customWidth="1"/>
    <col min="8" max="8" width="13.453125" customWidth="1"/>
    <col min="9" max="9" width="12" hidden="1" customWidth="1"/>
    <col min="10" max="10" width="8.7265625" hidden="1" customWidth="1"/>
    <col min="11" max="11" width="13.453125" hidden="1" customWidth="1"/>
    <col min="12" max="12" width="12" hidden="1" customWidth="1"/>
    <col min="13" max="13" width="0" hidden="1" customWidth="1"/>
    <col min="14" max="14" width="13.453125" hidden="1" customWidth="1"/>
    <col min="15" max="15" width="14.453125" customWidth="1"/>
    <col min="16" max="16" width="9.26953125" bestFit="1" customWidth="1"/>
  </cols>
  <sheetData>
    <row r="1" spans="1:15" x14ac:dyDescent="0.35">
      <c r="E1" s="31"/>
      <c r="H1" s="31" t="s">
        <v>1638</v>
      </c>
      <c r="K1" s="31" t="s">
        <v>1638</v>
      </c>
    </row>
    <row r="2" spans="1:15" ht="29" x14ac:dyDescent="0.35">
      <c r="A2" s="328" t="s">
        <v>303</v>
      </c>
      <c r="B2" s="328" t="s">
        <v>1410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</row>
    <row r="3" spans="1:15" x14ac:dyDescent="0.35">
      <c r="A3" s="328" t="s">
        <v>304</v>
      </c>
      <c r="B3" s="328" t="s">
        <v>1463</v>
      </c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</row>
    <row r="4" spans="1:15" ht="37.5" customHeight="1" x14ac:dyDescent="0.35">
      <c r="A4" s="1066" t="s">
        <v>305</v>
      </c>
      <c r="B4" s="1091" t="s">
        <v>306</v>
      </c>
      <c r="C4" s="1063" t="s">
        <v>1794</v>
      </c>
      <c r="D4" s="1064"/>
      <c r="E4" s="1065"/>
      <c r="F4" s="1092" t="s">
        <v>1796</v>
      </c>
      <c r="G4" s="1064"/>
      <c r="H4" s="1065"/>
      <c r="I4" s="1092" t="s">
        <v>1799</v>
      </c>
      <c r="J4" s="1064"/>
      <c r="K4" s="1064"/>
      <c r="L4" s="1063"/>
      <c r="M4" s="1064"/>
      <c r="N4" s="1065"/>
    </row>
    <row r="5" spans="1:15" ht="58" x14ac:dyDescent="0.35">
      <c r="A5" s="1066"/>
      <c r="B5" s="1091"/>
      <c r="C5" s="539" t="s">
        <v>1289</v>
      </c>
      <c r="D5" s="539" t="s">
        <v>1290</v>
      </c>
      <c r="E5" s="539" t="s">
        <v>549</v>
      </c>
      <c r="F5" s="719" t="s">
        <v>1289</v>
      </c>
      <c r="G5" s="719" t="s">
        <v>1290</v>
      </c>
      <c r="H5" s="719" t="s">
        <v>549</v>
      </c>
      <c r="I5" s="719" t="s">
        <v>1289</v>
      </c>
      <c r="J5" s="719" t="s">
        <v>1290</v>
      </c>
      <c r="K5" s="719" t="s">
        <v>549</v>
      </c>
      <c r="L5" s="719" t="s">
        <v>1289</v>
      </c>
      <c r="M5" s="719" t="s">
        <v>1290</v>
      </c>
      <c r="N5" s="719" t="s">
        <v>549</v>
      </c>
    </row>
    <row r="6" spans="1:15" x14ac:dyDescent="0.35">
      <c r="A6" s="329"/>
      <c r="B6" s="330" t="s">
        <v>307</v>
      </c>
      <c r="C6" s="331">
        <f>+'5. melléklet'!C58+'5. melléklet'!C65</f>
        <v>15.5</v>
      </c>
      <c r="D6" s="331">
        <v>0</v>
      </c>
      <c r="E6" s="331">
        <f t="shared" ref="E6:E7" si="0">SUM(C6:D6)</f>
        <v>15.5</v>
      </c>
      <c r="F6" s="331">
        <f>+'5. melléklet'!F58+'5. melléklet'!F65</f>
        <v>16</v>
      </c>
      <c r="G6" s="331">
        <v>0</v>
      </c>
      <c r="H6" s="331">
        <f t="shared" ref="H6:H7" si="1">SUM(F6:G6)</f>
        <v>16</v>
      </c>
      <c r="I6" s="331">
        <f>+'5. melléklet'!I58+'5. melléklet'!I65</f>
        <v>16</v>
      </c>
      <c r="J6" s="331">
        <v>0</v>
      </c>
      <c r="K6" s="331">
        <f t="shared" ref="K6:K46" si="2">SUM(I6:J6)</f>
        <v>16</v>
      </c>
      <c r="L6" s="331">
        <f>15+0.5</f>
        <v>15.5</v>
      </c>
      <c r="M6" s="331">
        <v>0</v>
      </c>
      <c r="N6" s="331">
        <f t="shared" ref="N6:N46" si="3">SUM(L6:M6)</f>
        <v>15.5</v>
      </c>
    </row>
    <row r="7" spans="1:15" x14ac:dyDescent="0.35">
      <c r="A7" s="329"/>
      <c r="B7" s="330" t="s">
        <v>308</v>
      </c>
      <c r="C7" s="331">
        <v>0</v>
      </c>
      <c r="D7" s="331">
        <v>0</v>
      </c>
      <c r="E7" s="331">
        <f t="shared" si="0"/>
        <v>0</v>
      </c>
      <c r="F7" s="331">
        <v>0</v>
      </c>
      <c r="G7" s="331">
        <v>0</v>
      </c>
      <c r="H7" s="331">
        <f t="shared" si="1"/>
        <v>0</v>
      </c>
      <c r="I7" s="331">
        <v>0</v>
      </c>
      <c r="J7" s="331">
        <v>0</v>
      </c>
      <c r="K7" s="331">
        <f t="shared" si="2"/>
        <v>0</v>
      </c>
      <c r="L7" s="331">
        <v>0</v>
      </c>
      <c r="M7" s="331">
        <v>0</v>
      </c>
      <c r="N7" s="331">
        <f t="shared" si="3"/>
        <v>0</v>
      </c>
    </row>
    <row r="8" spans="1:15" x14ac:dyDescent="0.35">
      <c r="A8" s="332" t="s">
        <v>309</v>
      </c>
      <c r="B8" s="333" t="s">
        <v>310</v>
      </c>
      <c r="C8" s="334">
        <v>18415000</v>
      </c>
      <c r="D8" s="334">
        <v>0</v>
      </c>
      <c r="E8" s="334">
        <v>18415000</v>
      </c>
      <c r="F8" s="524">
        <v>20315000</v>
      </c>
      <c r="G8" s="524">
        <v>0</v>
      </c>
      <c r="H8" s="524">
        <v>20315000</v>
      </c>
      <c r="I8" s="524">
        <f>I9+I11+I20</f>
        <v>3534248</v>
      </c>
      <c r="J8" s="524">
        <f>J9+J11+J20</f>
        <v>0</v>
      </c>
      <c r="K8" s="524">
        <f t="shared" si="2"/>
        <v>3534248</v>
      </c>
      <c r="L8" s="524">
        <f>L9+L11+L20</f>
        <v>0</v>
      </c>
      <c r="M8" s="524">
        <f>M9+M11+M20</f>
        <v>0</v>
      </c>
      <c r="N8" s="524">
        <f t="shared" si="3"/>
        <v>0</v>
      </c>
      <c r="O8" s="39"/>
    </row>
    <row r="9" spans="1:15" x14ac:dyDescent="0.35">
      <c r="A9" s="335" t="s">
        <v>311</v>
      </c>
      <c r="B9" s="336" t="s">
        <v>312</v>
      </c>
      <c r="C9" s="337">
        <v>0</v>
      </c>
      <c r="D9" s="337">
        <v>0</v>
      </c>
      <c r="E9" s="337">
        <v>0</v>
      </c>
      <c r="F9" s="526">
        <v>1900000</v>
      </c>
      <c r="G9" s="526">
        <v>0</v>
      </c>
      <c r="H9" s="526">
        <v>1900000</v>
      </c>
      <c r="I9" s="526">
        <f>+I10</f>
        <v>1900000</v>
      </c>
      <c r="J9" s="526">
        <f>J10</f>
        <v>0</v>
      </c>
      <c r="K9" s="526">
        <f t="shared" ref="K9" si="4">SUM(I9:J9)</f>
        <v>1900000</v>
      </c>
      <c r="L9" s="526">
        <f>L10</f>
        <v>0</v>
      </c>
      <c r="M9" s="526">
        <f>M10</f>
        <v>0</v>
      </c>
      <c r="N9" s="526">
        <f t="shared" si="3"/>
        <v>0</v>
      </c>
      <c r="O9" s="39"/>
    </row>
    <row r="10" spans="1:15" ht="30" customHeight="1" x14ac:dyDescent="0.35">
      <c r="A10" s="370"/>
      <c r="B10" s="338" t="s">
        <v>313</v>
      </c>
      <c r="C10" s="258">
        <v>0</v>
      </c>
      <c r="D10" s="258">
        <v>0</v>
      </c>
      <c r="E10" s="258">
        <v>0</v>
      </c>
      <c r="F10" s="258">
        <v>1900000</v>
      </c>
      <c r="G10" s="258">
        <v>0</v>
      </c>
      <c r="H10" s="258">
        <v>1900000</v>
      </c>
      <c r="I10" s="258">
        <f>1500000+400000</f>
        <v>1900000</v>
      </c>
      <c r="J10" s="258">
        <v>0</v>
      </c>
      <c r="K10" s="258">
        <f t="shared" ref="K10:K11" si="5">SUM(I10:J10)</f>
        <v>1900000</v>
      </c>
      <c r="L10" s="258"/>
      <c r="M10" s="258">
        <v>0</v>
      </c>
      <c r="N10" s="258">
        <f t="shared" si="3"/>
        <v>0</v>
      </c>
      <c r="O10" s="39"/>
    </row>
    <row r="11" spans="1:15" x14ac:dyDescent="0.35">
      <c r="A11" s="335" t="s">
        <v>322</v>
      </c>
      <c r="B11" s="336" t="s">
        <v>314</v>
      </c>
      <c r="C11" s="337">
        <v>18415000</v>
      </c>
      <c r="D11" s="337">
        <v>0</v>
      </c>
      <c r="E11" s="337">
        <v>18415000</v>
      </c>
      <c r="F11" s="526">
        <v>18415000</v>
      </c>
      <c r="G11" s="526">
        <v>0</v>
      </c>
      <c r="H11" s="526">
        <v>18415000</v>
      </c>
      <c r="I11" s="526">
        <f>I12+I13+I14+I15+I16+I17+I18+I19</f>
        <v>1634248</v>
      </c>
      <c r="J11" s="526">
        <f>J12+J13+J14+J15+J16+J17+J18+J19</f>
        <v>0</v>
      </c>
      <c r="K11" s="526">
        <f t="shared" si="5"/>
        <v>1634248</v>
      </c>
      <c r="L11" s="526">
        <f>L12+L13+L14+L15+L16+L17+L18+L19</f>
        <v>0</v>
      </c>
      <c r="M11" s="526">
        <f>M12+M13+M14+M15+M16+M17+M18+M19</f>
        <v>0</v>
      </c>
      <c r="N11" s="526">
        <f t="shared" si="3"/>
        <v>0</v>
      </c>
      <c r="O11" s="39"/>
    </row>
    <row r="12" spans="1:15" x14ac:dyDescent="0.35">
      <c r="A12" s="370"/>
      <c r="B12" s="338" t="s">
        <v>644</v>
      </c>
      <c r="C12" s="258">
        <v>0</v>
      </c>
      <c r="D12" s="258">
        <v>0</v>
      </c>
      <c r="E12" s="258">
        <v>0</v>
      </c>
      <c r="F12" s="258">
        <v>0</v>
      </c>
      <c r="G12" s="258">
        <v>0</v>
      </c>
      <c r="H12" s="258">
        <v>0</v>
      </c>
      <c r="I12" s="258">
        <v>0</v>
      </c>
      <c r="J12" s="258">
        <v>0</v>
      </c>
      <c r="K12" s="258">
        <v>0</v>
      </c>
      <c r="L12" s="258">
        <v>0</v>
      </c>
      <c r="M12" s="258">
        <v>0</v>
      </c>
      <c r="N12" s="258">
        <f t="shared" si="3"/>
        <v>0</v>
      </c>
      <c r="O12" s="39"/>
    </row>
    <row r="13" spans="1:15" x14ac:dyDescent="0.35">
      <c r="A13" s="370"/>
      <c r="B13" s="338" t="s">
        <v>645</v>
      </c>
      <c r="C13" s="339">
        <v>14500000</v>
      </c>
      <c r="D13" s="339">
        <v>0</v>
      </c>
      <c r="E13" s="339">
        <v>14500000</v>
      </c>
      <c r="F13" s="339">
        <v>14500000</v>
      </c>
      <c r="G13" s="339">
        <v>0</v>
      </c>
      <c r="H13" s="339">
        <v>14500000</v>
      </c>
      <c r="I13" s="339">
        <f>735057+474820+75506</f>
        <v>1285383</v>
      </c>
      <c r="J13" s="339">
        <v>0</v>
      </c>
      <c r="K13" s="339">
        <f t="shared" ref="K13:K16" si="6">SUM(I13:J13)</f>
        <v>1285383</v>
      </c>
      <c r="L13" s="339"/>
      <c r="M13" s="339">
        <v>0</v>
      </c>
      <c r="N13" s="339">
        <f t="shared" si="3"/>
        <v>0</v>
      </c>
      <c r="O13" s="39"/>
    </row>
    <row r="14" spans="1:15" x14ac:dyDescent="0.35">
      <c r="A14" s="370"/>
      <c r="B14" s="338" t="s">
        <v>652</v>
      </c>
      <c r="C14" s="339"/>
      <c r="D14" s="339">
        <v>0</v>
      </c>
      <c r="E14" s="339">
        <v>0</v>
      </c>
      <c r="F14" s="339"/>
      <c r="G14" s="339">
        <v>0</v>
      </c>
      <c r="H14" s="339">
        <v>0</v>
      </c>
      <c r="I14" s="339"/>
      <c r="J14" s="339">
        <v>0</v>
      </c>
      <c r="K14" s="339">
        <f t="shared" si="6"/>
        <v>0</v>
      </c>
      <c r="L14" s="339"/>
      <c r="M14" s="339">
        <v>0</v>
      </c>
      <c r="N14" s="339">
        <f t="shared" si="3"/>
        <v>0</v>
      </c>
      <c r="O14" s="39"/>
    </row>
    <row r="15" spans="1:15" x14ac:dyDescent="0.35">
      <c r="A15" s="370"/>
      <c r="B15" s="338" t="s">
        <v>653</v>
      </c>
      <c r="C15" s="258"/>
      <c r="D15" s="258">
        <v>0</v>
      </c>
      <c r="E15" s="258">
        <v>0</v>
      </c>
      <c r="F15" s="258"/>
      <c r="G15" s="258">
        <v>0</v>
      </c>
      <c r="H15" s="258">
        <v>0</v>
      </c>
      <c r="I15" s="258"/>
      <c r="J15" s="258">
        <v>0</v>
      </c>
      <c r="K15" s="258">
        <f t="shared" si="6"/>
        <v>0</v>
      </c>
      <c r="L15" s="258"/>
      <c r="M15" s="258">
        <v>0</v>
      </c>
      <c r="N15" s="258">
        <f t="shared" si="3"/>
        <v>0</v>
      </c>
      <c r="O15" s="39"/>
    </row>
    <row r="16" spans="1:15" x14ac:dyDescent="0.35">
      <c r="A16" s="370"/>
      <c r="B16" s="338" t="s">
        <v>654</v>
      </c>
      <c r="C16" s="258">
        <v>3915000</v>
      </c>
      <c r="D16" s="258">
        <v>0</v>
      </c>
      <c r="E16" s="258">
        <v>3915000</v>
      </c>
      <c r="F16" s="258">
        <v>3915000</v>
      </c>
      <c r="G16" s="258">
        <v>0</v>
      </c>
      <c r="H16" s="258">
        <v>3915000</v>
      </c>
      <c r="I16" s="258">
        <f>198463+148587</f>
        <v>347050</v>
      </c>
      <c r="J16" s="258">
        <v>0</v>
      </c>
      <c r="K16" s="258">
        <f t="shared" si="6"/>
        <v>347050</v>
      </c>
      <c r="L16" s="258"/>
      <c r="M16" s="258">
        <v>0</v>
      </c>
      <c r="N16" s="258">
        <f t="shared" si="3"/>
        <v>0</v>
      </c>
    </row>
    <row r="17" spans="1:15" x14ac:dyDescent="0.35">
      <c r="A17" s="370"/>
      <c r="B17" s="338" t="s">
        <v>655</v>
      </c>
      <c r="C17" s="258"/>
      <c r="D17" s="258">
        <v>0</v>
      </c>
      <c r="E17" s="258">
        <v>0</v>
      </c>
      <c r="F17" s="258"/>
      <c r="G17" s="258">
        <v>0</v>
      </c>
      <c r="H17" s="258">
        <v>0</v>
      </c>
      <c r="I17" s="258"/>
      <c r="J17" s="258">
        <v>0</v>
      </c>
      <c r="K17" s="258">
        <f t="shared" ref="K17:K19" si="7">SUM(I17:J17)</f>
        <v>0</v>
      </c>
      <c r="L17" s="258"/>
      <c r="M17" s="258">
        <v>0</v>
      </c>
      <c r="N17" s="258">
        <f t="shared" si="3"/>
        <v>0</v>
      </c>
    </row>
    <row r="18" spans="1:15" x14ac:dyDescent="0.35">
      <c r="A18" s="370"/>
      <c r="B18" s="338" t="s">
        <v>656</v>
      </c>
      <c r="C18" s="258"/>
      <c r="D18" s="258">
        <v>0</v>
      </c>
      <c r="E18" s="258">
        <v>0</v>
      </c>
      <c r="F18" s="258"/>
      <c r="G18" s="258">
        <v>0</v>
      </c>
      <c r="H18" s="258">
        <v>0</v>
      </c>
      <c r="I18" s="258"/>
      <c r="J18" s="258">
        <v>0</v>
      </c>
      <c r="K18" s="258">
        <f t="shared" si="7"/>
        <v>0</v>
      </c>
      <c r="L18" s="258"/>
      <c r="M18" s="258">
        <v>0</v>
      </c>
      <c r="N18" s="258">
        <f t="shared" si="3"/>
        <v>0</v>
      </c>
    </row>
    <row r="19" spans="1:15" x14ac:dyDescent="0.35">
      <c r="A19" s="370"/>
      <c r="B19" s="338" t="s">
        <v>657</v>
      </c>
      <c r="C19" s="258"/>
      <c r="D19" s="258">
        <v>0</v>
      </c>
      <c r="E19" s="258">
        <v>0</v>
      </c>
      <c r="F19" s="258"/>
      <c r="G19" s="258">
        <v>0</v>
      </c>
      <c r="H19" s="258">
        <v>0</v>
      </c>
      <c r="I19" s="258">
        <v>1815</v>
      </c>
      <c r="J19" s="258">
        <v>0</v>
      </c>
      <c r="K19" s="258">
        <f t="shared" si="7"/>
        <v>1815</v>
      </c>
      <c r="L19" s="258"/>
      <c r="M19" s="258">
        <v>0</v>
      </c>
      <c r="N19" s="258">
        <f t="shared" si="3"/>
        <v>0</v>
      </c>
    </row>
    <row r="20" spans="1:15" x14ac:dyDescent="0.35">
      <c r="A20" s="335" t="s">
        <v>315</v>
      </c>
      <c r="B20" s="336" t="s">
        <v>316</v>
      </c>
      <c r="C20" s="337">
        <v>0</v>
      </c>
      <c r="D20" s="337">
        <v>0</v>
      </c>
      <c r="E20" s="337">
        <v>0</v>
      </c>
      <c r="F20" s="526">
        <v>0</v>
      </c>
      <c r="G20" s="526">
        <v>0</v>
      </c>
      <c r="H20" s="526">
        <v>0</v>
      </c>
      <c r="I20" s="526">
        <v>0</v>
      </c>
      <c r="J20" s="526">
        <v>0</v>
      </c>
      <c r="K20" s="526">
        <v>0</v>
      </c>
      <c r="L20" s="526">
        <f>SUM(L21:L21)</f>
        <v>0</v>
      </c>
      <c r="M20" s="526">
        <f>SUM(M21:M21)</f>
        <v>0</v>
      </c>
      <c r="N20" s="526">
        <f t="shared" si="3"/>
        <v>0</v>
      </c>
    </row>
    <row r="21" spans="1:15" ht="15" hidden="1" customHeight="1" x14ac:dyDescent="0.35">
      <c r="A21" s="370"/>
      <c r="B21" s="338" t="s">
        <v>317</v>
      </c>
      <c r="C21" s="258">
        <v>0</v>
      </c>
      <c r="D21" s="258">
        <v>0</v>
      </c>
      <c r="E21" s="258">
        <v>0</v>
      </c>
      <c r="F21" s="258">
        <v>0</v>
      </c>
      <c r="G21" s="258">
        <v>0</v>
      </c>
      <c r="H21" s="258">
        <v>0</v>
      </c>
      <c r="I21" s="258">
        <v>0</v>
      </c>
      <c r="J21" s="258">
        <v>0</v>
      </c>
      <c r="K21" s="258">
        <f t="shared" si="2"/>
        <v>0</v>
      </c>
      <c r="L21" s="258">
        <v>0</v>
      </c>
      <c r="M21" s="258">
        <v>0</v>
      </c>
      <c r="N21" s="258">
        <f t="shared" si="3"/>
        <v>0</v>
      </c>
    </row>
    <row r="22" spans="1:15" x14ac:dyDescent="0.35">
      <c r="A22" s="332" t="s">
        <v>318</v>
      </c>
      <c r="B22" s="333" t="s">
        <v>319</v>
      </c>
      <c r="C22" s="334">
        <v>0</v>
      </c>
      <c r="D22" s="334">
        <v>0</v>
      </c>
      <c r="E22" s="334">
        <v>0</v>
      </c>
      <c r="F22" s="524">
        <v>0</v>
      </c>
      <c r="G22" s="524">
        <v>0</v>
      </c>
      <c r="H22" s="524">
        <v>0</v>
      </c>
      <c r="I22" s="524">
        <f>I23+I25+I28</f>
        <v>0</v>
      </c>
      <c r="J22" s="524">
        <f>J23+J25+J28</f>
        <v>0</v>
      </c>
      <c r="K22" s="524">
        <f t="shared" si="2"/>
        <v>0</v>
      </c>
      <c r="L22" s="524">
        <f>L23+L25+L28</f>
        <v>0</v>
      </c>
      <c r="M22" s="524">
        <f>M23+M25+M28</f>
        <v>0</v>
      </c>
      <c r="N22" s="524">
        <f t="shared" si="3"/>
        <v>0</v>
      </c>
    </row>
    <row r="23" spans="1:15" ht="15" hidden="1" customHeight="1" x14ac:dyDescent="0.35">
      <c r="A23" s="335" t="s">
        <v>311</v>
      </c>
      <c r="B23" s="336" t="s">
        <v>320</v>
      </c>
      <c r="C23" s="337">
        <v>0</v>
      </c>
      <c r="D23" s="337">
        <v>0</v>
      </c>
      <c r="E23" s="337">
        <v>0</v>
      </c>
      <c r="F23" s="526">
        <v>0</v>
      </c>
      <c r="G23" s="526">
        <v>0</v>
      </c>
      <c r="H23" s="526">
        <v>0</v>
      </c>
      <c r="I23" s="526">
        <f>SUM(I24:I24)</f>
        <v>0</v>
      </c>
      <c r="J23" s="526">
        <f>SUM(J24:J24)</f>
        <v>0</v>
      </c>
      <c r="K23" s="526">
        <f t="shared" si="2"/>
        <v>0</v>
      </c>
      <c r="L23" s="526">
        <f>SUM(L24:L24)</f>
        <v>0</v>
      </c>
      <c r="M23" s="526">
        <f>SUM(M24:M24)</f>
        <v>0</v>
      </c>
      <c r="N23" s="526">
        <f t="shared" si="3"/>
        <v>0</v>
      </c>
    </row>
    <row r="24" spans="1:15" ht="30" hidden="1" customHeight="1" x14ac:dyDescent="0.35">
      <c r="A24" s="370"/>
      <c r="B24" s="257" t="s">
        <v>321</v>
      </c>
      <c r="C24" s="258">
        <v>0</v>
      </c>
      <c r="D24" s="258">
        <v>0</v>
      </c>
      <c r="E24" s="258">
        <v>0</v>
      </c>
      <c r="F24" s="258">
        <v>0</v>
      </c>
      <c r="G24" s="258">
        <v>0</v>
      </c>
      <c r="H24" s="258">
        <v>0</v>
      </c>
      <c r="I24" s="258">
        <v>0</v>
      </c>
      <c r="J24" s="258">
        <v>0</v>
      </c>
      <c r="K24" s="258">
        <f t="shared" si="2"/>
        <v>0</v>
      </c>
      <c r="L24" s="258">
        <v>0</v>
      </c>
      <c r="M24" s="258">
        <v>0</v>
      </c>
      <c r="N24" s="258">
        <f t="shared" si="3"/>
        <v>0</v>
      </c>
    </row>
    <row r="25" spans="1:15" ht="15" hidden="1" customHeight="1" x14ac:dyDescent="0.35">
      <c r="A25" s="335" t="s">
        <v>322</v>
      </c>
      <c r="B25" s="336" t="s">
        <v>257</v>
      </c>
      <c r="C25" s="337">
        <v>0</v>
      </c>
      <c r="D25" s="337">
        <v>0</v>
      </c>
      <c r="E25" s="337">
        <v>0</v>
      </c>
      <c r="F25" s="526">
        <v>0</v>
      </c>
      <c r="G25" s="526">
        <v>0</v>
      </c>
      <c r="H25" s="526">
        <v>0</v>
      </c>
      <c r="I25" s="526">
        <f>SUM(I26:I27)</f>
        <v>0</v>
      </c>
      <c r="J25" s="526">
        <f>SUM(J26:J27)</f>
        <v>0</v>
      </c>
      <c r="K25" s="526">
        <f t="shared" si="2"/>
        <v>0</v>
      </c>
      <c r="L25" s="526">
        <f>SUM(L26:L27)</f>
        <v>0</v>
      </c>
      <c r="M25" s="526">
        <f>SUM(M26:M27)</f>
        <v>0</v>
      </c>
      <c r="N25" s="526">
        <f t="shared" si="3"/>
        <v>0</v>
      </c>
    </row>
    <row r="26" spans="1:15" ht="15" hidden="1" customHeight="1" x14ac:dyDescent="0.35">
      <c r="A26" s="370"/>
      <c r="B26" s="340" t="s">
        <v>323</v>
      </c>
      <c r="C26" s="258">
        <v>0</v>
      </c>
      <c r="D26" s="258">
        <v>0</v>
      </c>
      <c r="E26" s="258">
        <v>0</v>
      </c>
      <c r="F26" s="258">
        <v>0</v>
      </c>
      <c r="G26" s="258">
        <v>0</v>
      </c>
      <c r="H26" s="258">
        <v>0</v>
      </c>
      <c r="I26" s="258">
        <v>0</v>
      </c>
      <c r="J26" s="258">
        <v>0</v>
      </c>
      <c r="K26" s="258">
        <f t="shared" si="2"/>
        <v>0</v>
      </c>
      <c r="L26" s="258">
        <v>0</v>
      </c>
      <c r="M26" s="258">
        <v>0</v>
      </c>
      <c r="N26" s="258">
        <f t="shared" si="3"/>
        <v>0</v>
      </c>
    </row>
    <row r="27" spans="1:15" ht="15" hidden="1" customHeight="1" x14ac:dyDescent="0.35">
      <c r="A27" s="370"/>
      <c r="B27" s="340" t="s">
        <v>324</v>
      </c>
      <c r="C27" s="258">
        <v>0</v>
      </c>
      <c r="D27" s="258">
        <v>0</v>
      </c>
      <c r="E27" s="258">
        <v>0</v>
      </c>
      <c r="F27" s="258">
        <v>0</v>
      </c>
      <c r="G27" s="258">
        <v>0</v>
      </c>
      <c r="H27" s="258">
        <v>0</v>
      </c>
      <c r="I27" s="258">
        <v>0</v>
      </c>
      <c r="J27" s="258">
        <v>0</v>
      </c>
      <c r="K27" s="258">
        <f t="shared" si="2"/>
        <v>0</v>
      </c>
      <c r="L27" s="258">
        <v>0</v>
      </c>
      <c r="M27" s="258">
        <v>0</v>
      </c>
      <c r="N27" s="258">
        <f t="shared" si="3"/>
        <v>0</v>
      </c>
    </row>
    <row r="28" spans="1:15" ht="15" hidden="1" customHeight="1" x14ac:dyDescent="0.35">
      <c r="A28" s="335" t="s">
        <v>315</v>
      </c>
      <c r="B28" s="336" t="s">
        <v>325</v>
      </c>
      <c r="C28" s="337">
        <v>0</v>
      </c>
      <c r="D28" s="337">
        <v>0</v>
      </c>
      <c r="E28" s="337">
        <v>0</v>
      </c>
      <c r="F28" s="526">
        <v>0</v>
      </c>
      <c r="G28" s="526">
        <v>0</v>
      </c>
      <c r="H28" s="526">
        <v>0</v>
      </c>
      <c r="I28" s="526">
        <f>SUM(I29:I29)</f>
        <v>0</v>
      </c>
      <c r="J28" s="526">
        <f>SUM(J29:J29)</f>
        <v>0</v>
      </c>
      <c r="K28" s="526">
        <f t="shared" si="2"/>
        <v>0</v>
      </c>
      <c r="L28" s="526">
        <f>SUM(L29:L29)</f>
        <v>0</v>
      </c>
      <c r="M28" s="526">
        <f>SUM(M29:M29)</f>
        <v>0</v>
      </c>
      <c r="N28" s="526">
        <f t="shared" si="3"/>
        <v>0</v>
      </c>
    </row>
    <row r="29" spans="1:15" ht="15" hidden="1" customHeight="1" x14ac:dyDescent="0.35">
      <c r="A29" s="370"/>
      <c r="B29" s="340" t="s">
        <v>326</v>
      </c>
      <c r="C29" s="258">
        <v>0</v>
      </c>
      <c r="D29" s="258">
        <v>0</v>
      </c>
      <c r="E29" s="258">
        <v>0</v>
      </c>
      <c r="F29" s="258">
        <v>0</v>
      </c>
      <c r="G29" s="258">
        <v>0</v>
      </c>
      <c r="H29" s="258">
        <v>0</v>
      </c>
      <c r="I29" s="258">
        <v>0</v>
      </c>
      <c r="J29" s="258">
        <v>0</v>
      </c>
      <c r="K29" s="258">
        <f t="shared" si="2"/>
        <v>0</v>
      </c>
      <c r="L29" s="258">
        <v>0</v>
      </c>
      <c r="M29" s="258">
        <v>0</v>
      </c>
      <c r="N29" s="258">
        <f t="shared" si="3"/>
        <v>0</v>
      </c>
    </row>
    <row r="30" spans="1:15" x14ac:dyDescent="0.35">
      <c r="A30" s="368"/>
      <c r="B30" s="341" t="s">
        <v>327</v>
      </c>
      <c r="C30" s="342">
        <v>18415000</v>
      </c>
      <c r="D30" s="342">
        <v>0</v>
      </c>
      <c r="E30" s="342">
        <v>18415000</v>
      </c>
      <c r="F30" s="534">
        <v>20315000</v>
      </c>
      <c r="G30" s="534">
        <v>0</v>
      </c>
      <c r="H30" s="534">
        <v>20315000</v>
      </c>
      <c r="I30" s="534">
        <f>I22+I8</f>
        <v>3534248</v>
      </c>
      <c r="J30" s="534">
        <f>J22+J8</f>
        <v>0</v>
      </c>
      <c r="K30" s="534">
        <f t="shared" si="2"/>
        <v>3534248</v>
      </c>
      <c r="L30" s="534">
        <f>L22+L8</f>
        <v>0</v>
      </c>
      <c r="M30" s="534">
        <f>M22+M8</f>
        <v>0</v>
      </c>
      <c r="N30" s="534">
        <f t="shared" si="3"/>
        <v>0</v>
      </c>
      <c r="O30" s="39"/>
    </row>
    <row r="31" spans="1:15" x14ac:dyDescent="0.35">
      <c r="A31" s="332" t="s">
        <v>328</v>
      </c>
      <c r="B31" s="333" t="s">
        <v>329</v>
      </c>
      <c r="C31" s="334">
        <v>220077300</v>
      </c>
      <c r="D31" s="334">
        <v>0</v>
      </c>
      <c r="E31" s="334">
        <v>220077300</v>
      </c>
      <c r="F31" s="524">
        <v>252755990</v>
      </c>
      <c r="G31" s="524">
        <v>0</v>
      </c>
      <c r="H31" s="524">
        <v>252755990</v>
      </c>
      <c r="I31" s="524">
        <f>I32</f>
        <v>112581124</v>
      </c>
      <c r="J31" s="524">
        <f>J32</f>
        <v>0</v>
      </c>
      <c r="K31" s="524">
        <f t="shared" si="2"/>
        <v>112581124</v>
      </c>
      <c r="L31" s="524">
        <f>L32</f>
        <v>0</v>
      </c>
      <c r="M31" s="524">
        <f>M32</f>
        <v>0</v>
      </c>
      <c r="N31" s="524">
        <f t="shared" si="3"/>
        <v>0</v>
      </c>
      <c r="O31" s="39"/>
    </row>
    <row r="32" spans="1:15" x14ac:dyDescent="0.35">
      <c r="A32" s="335" t="s">
        <v>311</v>
      </c>
      <c r="B32" s="336" t="s">
        <v>330</v>
      </c>
      <c r="C32" s="337">
        <v>220077300</v>
      </c>
      <c r="D32" s="337">
        <v>0</v>
      </c>
      <c r="E32" s="337">
        <v>220077300</v>
      </c>
      <c r="F32" s="526">
        <v>252755990</v>
      </c>
      <c r="G32" s="526">
        <v>0</v>
      </c>
      <c r="H32" s="526">
        <v>252755990</v>
      </c>
      <c r="I32" s="526">
        <f>SUM(I33:I34)</f>
        <v>112581124</v>
      </c>
      <c r="J32" s="526">
        <f>SUM(J33:J34)</f>
        <v>0</v>
      </c>
      <c r="K32" s="526">
        <f t="shared" si="2"/>
        <v>112581124</v>
      </c>
      <c r="L32" s="526">
        <f>SUM(L33:L34)</f>
        <v>0</v>
      </c>
      <c r="M32" s="526">
        <f>SUM(M33:M34)</f>
        <v>0</v>
      </c>
      <c r="N32" s="526">
        <f t="shared" si="3"/>
        <v>0</v>
      </c>
      <c r="O32" s="39"/>
    </row>
    <row r="33" spans="1:16" x14ac:dyDescent="0.35">
      <c r="A33" s="370"/>
      <c r="B33" s="340" t="s">
        <v>331</v>
      </c>
      <c r="C33" s="258"/>
      <c r="D33" s="258">
        <v>0</v>
      </c>
      <c r="E33" s="258">
        <v>0</v>
      </c>
      <c r="F33" s="258">
        <v>30023690</v>
      </c>
      <c r="G33" s="258">
        <v>0</v>
      </c>
      <c r="H33" s="258">
        <v>30023690</v>
      </c>
      <c r="I33" s="258">
        <v>30023690</v>
      </c>
      <c r="J33" s="258">
        <v>0</v>
      </c>
      <c r="K33" s="258">
        <f t="shared" ref="K33:K34" si="8">SUM(I33:J33)</f>
        <v>30023690</v>
      </c>
      <c r="L33" s="258"/>
      <c r="M33" s="258">
        <v>0</v>
      </c>
      <c r="N33" s="258">
        <f t="shared" si="3"/>
        <v>0</v>
      </c>
      <c r="O33" s="39"/>
    </row>
    <row r="34" spans="1:16" x14ac:dyDescent="0.35">
      <c r="A34" s="370"/>
      <c r="B34" s="340" t="s">
        <v>332</v>
      </c>
      <c r="C34" s="258">
        <v>220077300</v>
      </c>
      <c r="D34" s="258">
        <v>0</v>
      </c>
      <c r="E34" s="258">
        <v>220077300</v>
      </c>
      <c r="F34" s="258">
        <v>222732300</v>
      </c>
      <c r="G34" s="258">
        <v>0</v>
      </c>
      <c r="H34" s="258">
        <v>222732300</v>
      </c>
      <c r="I34" s="258">
        <v>82557434</v>
      </c>
      <c r="J34" s="258">
        <f>J36+J42-J8-J22-J33</f>
        <v>0</v>
      </c>
      <c r="K34" s="258">
        <f t="shared" si="8"/>
        <v>82557434</v>
      </c>
      <c r="L34" s="258">
        <f>L36+L42-L8-L22-L33</f>
        <v>0</v>
      </c>
      <c r="M34" s="258">
        <f>M36+M42-M8-M22-M33</f>
        <v>0</v>
      </c>
      <c r="N34" s="258">
        <f t="shared" si="3"/>
        <v>0</v>
      </c>
      <c r="O34" s="39"/>
    </row>
    <row r="35" spans="1:16" x14ac:dyDescent="0.35">
      <c r="A35" s="343"/>
      <c r="B35" s="344" t="s">
        <v>333</v>
      </c>
      <c r="C35" s="316">
        <v>238492300</v>
      </c>
      <c r="D35" s="316">
        <v>0</v>
      </c>
      <c r="E35" s="316">
        <v>238492300</v>
      </c>
      <c r="F35" s="316">
        <v>273070990</v>
      </c>
      <c r="G35" s="316">
        <v>0</v>
      </c>
      <c r="H35" s="316">
        <v>273070990</v>
      </c>
      <c r="I35" s="316">
        <f>I31+I22+I8</f>
        <v>116115372</v>
      </c>
      <c r="J35" s="316">
        <f>J31+J22+J8</f>
        <v>0</v>
      </c>
      <c r="K35" s="316">
        <f t="shared" si="2"/>
        <v>116115372</v>
      </c>
      <c r="L35" s="316">
        <f>L31+L22+L8</f>
        <v>0</v>
      </c>
      <c r="M35" s="316">
        <f>M31+M22+M8</f>
        <v>0</v>
      </c>
      <c r="N35" s="316">
        <f t="shared" si="3"/>
        <v>0</v>
      </c>
      <c r="O35" s="39"/>
    </row>
    <row r="36" spans="1:16" x14ac:dyDescent="0.35">
      <c r="A36" s="332" t="s">
        <v>309</v>
      </c>
      <c r="B36" s="333" t="s">
        <v>334</v>
      </c>
      <c r="C36" s="334">
        <v>235495100</v>
      </c>
      <c r="D36" s="334">
        <v>0</v>
      </c>
      <c r="E36" s="334">
        <v>235495100</v>
      </c>
      <c r="F36" s="524">
        <v>255668180</v>
      </c>
      <c r="G36" s="524">
        <v>0</v>
      </c>
      <c r="H36" s="524">
        <v>255668180</v>
      </c>
      <c r="I36" s="524">
        <f>SUM(I37:I41)</f>
        <v>79677488</v>
      </c>
      <c r="J36" s="524">
        <f>SUM(J37:J41)</f>
        <v>0</v>
      </c>
      <c r="K36" s="524">
        <f t="shared" si="2"/>
        <v>79677488</v>
      </c>
      <c r="L36" s="524">
        <f>SUM(L37:L41)</f>
        <v>0</v>
      </c>
      <c r="M36" s="524">
        <f>SUM(M37:M41)</f>
        <v>0</v>
      </c>
      <c r="N36" s="524">
        <f t="shared" si="3"/>
        <v>0</v>
      </c>
      <c r="O36" s="39"/>
    </row>
    <row r="37" spans="1:16" x14ac:dyDescent="0.35">
      <c r="A37" s="335" t="s">
        <v>311</v>
      </c>
      <c r="B37" s="336" t="s">
        <v>286</v>
      </c>
      <c r="C37" s="337">
        <v>75748000</v>
      </c>
      <c r="D37" s="526">
        <v>0</v>
      </c>
      <c r="E37" s="337">
        <v>75748000</v>
      </c>
      <c r="F37" s="526">
        <v>78403000</v>
      </c>
      <c r="G37" s="526">
        <v>0</v>
      </c>
      <c r="H37" s="526">
        <v>78403000</v>
      </c>
      <c r="I37" s="526">
        <f>'5. melléklet'!K59+'5. melléklet'!K66+'5. melléklet'!K73</f>
        <v>31397785</v>
      </c>
      <c r="J37" s="526">
        <f>'5. melléklet'!J59+'5. melléklet'!J66+'5. melléklet'!J73+'5. melléklet'!K82</f>
        <v>0</v>
      </c>
      <c r="K37" s="526">
        <f t="shared" si="2"/>
        <v>31397785</v>
      </c>
      <c r="L37" s="526">
        <f>'5. melléklet'!N59+'5. melléklet'!N66+'5. melléklet'!N73</f>
        <v>0</v>
      </c>
      <c r="M37" s="526">
        <f>'5. melléklet'!M59+'5. melléklet'!M66+'5. melléklet'!M73+'5. melléklet'!N83</f>
        <v>0</v>
      </c>
      <c r="N37" s="526">
        <f t="shared" si="3"/>
        <v>0</v>
      </c>
      <c r="O37" s="39"/>
    </row>
    <row r="38" spans="1:16" x14ac:dyDescent="0.35">
      <c r="A38" s="335" t="s">
        <v>322</v>
      </c>
      <c r="B38" s="336" t="s">
        <v>335</v>
      </c>
      <c r="C38" s="337">
        <v>11742000</v>
      </c>
      <c r="D38" s="526">
        <v>0</v>
      </c>
      <c r="E38" s="337">
        <v>11742000</v>
      </c>
      <c r="F38" s="526">
        <v>11742000</v>
      </c>
      <c r="G38" s="526">
        <v>0</v>
      </c>
      <c r="H38" s="526">
        <v>11742000</v>
      </c>
      <c r="I38" s="526">
        <f>'5. melléklet'!K60+'5. melléklet'!K67+'5. melléklet'!K74</f>
        <v>6797074</v>
      </c>
      <c r="J38" s="526">
        <f>'5. melléklet'!J60+'5. melléklet'!J67+'5. melléklet'!J74+'5. melléklet'!K83</f>
        <v>0</v>
      </c>
      <c r="K38" s="526">
        <f t="shared" si="2"/>
        <v>6797074</v>
      </c>
      <c r="L38" s="526">
        <f>'5. melléklet'!N60+'5. melléklet'!N67+'5. melléklet'!N74</f>
        <v>0</v>
      </c>
      <c r="M38" s="526">
        <f>'5. melléklet'!M60+'5. melléklet'!M67+'5. melléklet'!M74+'5. melléklet'!N84</f>
        <v>0</v>
      </c>
      <c r="N38" s="526">
        <f t="shared" si="3"/>
        <v>0</v>
      </c>
      <c r="O38" s="39"/>
    </row>
    <row r="39" spans="1:16" x14ac:dyDescent="0.35">
      <c r="A39" s="335" t="s">
        <v>315</v>
      </c>
      <c r="B39" s="336" t="s">
        <v>292</v>
      </c>
      <c r="C39" s="337">
        <v>148005100</v>
      </c>
      <c r="D39" s="526">
        <v>0</v>
      </c>
      <c r="E39" s="647">
        <v>148005100</v>
      </c>
      <c r="F39" s="526">
        <v>154087210</v>
      </c>
      <c r="G39" s="526">
        <v>0</v>
      </c>
      <c r="H39" s="647">
        <v>154087210</v>
      </c>
      <c r="I39" s="526">
        <f>'5. melléklet'!K61+'5. melléklet'!K68+'5. melléklet'!K75+'5. melléklet'!K78</f>
        <v>41482629</v>
      </c>
      <c r="J39" s="526">
        <f>'5. melléklet'!J61+'5. melléklet'!J68+'5. melléklet'!J75+'5. melléklet'!K84</f>
        <v>0</v>
      </c>
      <c r="K39" s="647">
        <f t="shared" si="2"/>
        <v>41482629</v>
      </c>
      <c r="L39" s="526">
        <f>'5. melléklet'!N61+'5. melléklet'!N68+'5. melléklet'!N75+'5. melléklet'!N78</f>
        <v>0</v>
      </c>
      <c r="M39" s="526">
        <f>'5. melléklet'!M61+'5. melléklet'!M68+'5. melléklet'!M75+'5. melléklet'!N85</f>
        <v>0</v>
      </c>
      <c r="N39" s="647">
        <f t="shared" si="3"/>
        <v>0</v>
      </c>
      <c r="O39" s="39"/>
      <c r="P39" s="39"/>
    </row>
    <row r="40" spans="1:16" x14ac:dyDescent="0.35">
      <c r="A40" s="335" t="s">
        <v>336</v>
      </c>
      <c r="B40" s="336" t="s">
        <v>337</v>
      </c>
      <c r="C40" s="337">
        <v>0</v>
      </c>
      <c r="D40" s="526">
        <v>0</v>
      </c>
      <c r="E40" s="337">
        <v>0</v>
      </c>
      <c r="F40" s="526">
        <v>0</v>
      </c>
      <c r="G40" s="526">
        <v>0</v>
      </c>
      <c r="H40" s="526">
        <v>0</v>
      </c>
      <c r="I40" s="526">
        <v>0</v>
      </c>
      <c r="J40" s="526">
        <v>0</v>
      </c>
      <c r="K40" s="526">
        <f t="shared" si="2"/>
        <v>0</v>
      </c>
      <c r="L40" s="526">
        <v>0</v>
      </c>
      <c r="M40" s="526">
        <v>0</v>
      </c>
      <c r="N40" s="526">
        <f t="shared" si="3"/>
        <v>0</v>
      </c>
      <c r="O40" s="39"/>
    </row>
    <row r="41" spans="1:16" x14ac:dyDescent="0.35">
      <c r="A41" s="335" t="s">
        <v>338</v>
      </c>
      <c r="B41" s="336" t="s">
        <v>339</v>
      </c>
      <c r="C41" s="337">
        <v>0</v>
      </c>
      <c r="D41" s="526">
        <v>0</v>
      </c>
      <c r="E41" s="337">
        <v>0</v>
      </c>
      <c r="F41" s="526">
        <v>11435970</v>
      </c>
      <c r="G41" s="526">
        <v>0</v>
      </c>
      <c r="H41" s="526">
        <v>11435970</v>
      </c>
      <c r="I41" s="526">
        <f>+'5. melléklet'!K69</f>
        <v>0</v>
      </c>
      <c r="J41" s="526">
        <v>0</v>
      </c>
      <c r="K41" s="526">
        <f t="shared" si="2"/>
        <v>0</v>
      </c>
      <c r="L41" s="526">
        <f>+'5. melléklet'!N62+'5. melléklet'!N69</f>
        <v>0</v>
      </c>
      <c r="M41" s="526">
        <v>0</v>
      </c>
      <c r="N41" s="526">
        <f t="shared" si="3"/>
        <v>0</v>
      </c>
      <c r="O41" s="39"/>
    </row>
    <row r="42" spans="1:16" x14ac:dyDescent="0.35">
      <c r="A42" s="332" t="s">
        <v>318</v>
      </c>
      <c r="B42" s="333" t="s">
        <v>340</v>
      </c>
      <c r="C42" s="334">
        <v>2997200</v>
      </c>
      <c r="D42" s="334">
        <v>0</v>
      </c>
      <c r="E42" s="334">
        <v>2997200</v>
      </c>
      <c r="F42" s="524">
        <v>17402810</v>
      </c>
      <c r="G42" s="524">
        <v>0</v>
      </c>
      <c r="H42" s="524">
        <v>17402810</v>
      </c>
      <c r="I42" s="524">
        <f>SUM(I43:I45)</f>
        <v>15979572</v>
      </c>
      <c r="J42" s="524">
        <f>SUM(J43:J45)</f>
        <v>0</v>
      </c>
      <c r="K42" s="524">
        <f t="shared" si="2"/>
        <v>15979572</v>
      </c>
      <c r="L42" s="524">
        <f>SUM(L43:L45)</f>
        <v>0</v>
      </c>
      <c r="M42" s="524">
        <f>SUM(M43:M45)</f>
        <v>0</v>
      </c>
      <c r="N42" s="524">
        <f t="shared" si="3"/>
        <v>0</v>
      </c>
      <c r="O42" s="39"/>
    </row>
    <row r="43" spans="1:16" x14ac:dyDescent="0.35">
      <c r="A43" s="335" t="s">
        <v>311</v>
      </c>
      <c r="B43" s="336" t="s">
        <v>341</v>
      </c>
      <c r="C43" s="337">
        <v>1498600</v>
      </c>
      <c r="D43" s="526">
        <v>0</v>
      </c>
      <c r="E43" s="647">
        <v>1498600</v>
      </c>
      <c r="F43" s="526">
        <v>3020060</v>
      </c>
      <c r="G43" s="526">
        <v>0</v>
      </c>
      <c r="H43" s="647">
        <v>3020060</v>
      </c>
      <c r="I43" s="526">
        <f>'5. melléklet'!K63+'5. melléklet'!K70+'5. melléklet'!K76</f>
        <v>1596822</v>
      </c>
      <c r="J43" s="526">
        <f>'5. melléklet'!J63+'5. melléklet'!J70+'5. melléklet'!J76</f>
        <v>0</v>
      </c>
      <c r="K43" s="647">
        <f t="shared" si="2"/>
        <v>1596822</v>
      </c>
      <c r="L43" s="526">
        <f>'5. melléklet'!N63+'5. melléklet'!N70+'5. melléklet'!N76+'5. melléklet'!N79</f>
        <v>0</v>
      </c>
      <c r="M43" s="526">
        <f>'5. melléklet'!M63+'5. melléklet'!M70+'5. melléklet'!M76</f>
        <v>0</v>
      </c>
      <c r="N43" s="647">
        <f t="shared" si="3"/>
        <v>0</v>
      </c>
      <c r="O43" s="39"/>
    </row>
    <row r="44" spans="1:16" x14ac:dyDescent="0.35">
      <c r="A44" s="335" t="s">
        <v>322</v>
      </c>
      <c r="B44" s="336" t="s">
        <v>342</v>
      </c>
      <c r="C44" s="526">
        <v>1498600</v>
      </c>
      <c r="D44" s="526">
        <v>0</v>
      </c>
      <c r="E44" s="337">
        <v>1498600</v>
      </c>
      <c r="F44" s="526">
        <v>14382750</v>
      </c>
      <c r="G44" s="526">
        <v>0</v>
      </c>
      <c r="H44" s="526">
        <v>14382750</v>
      </c>
      <c r="I44" s="526">
        <f>+'5. melléklet'!K64+'5. melléklet'!K71</f>
        <v>14382750</v>
      </c>
      <c r="J44" s="526">
        <v>0</v>
      </c>
      <c r="K44" s="526">
        <f t="shared" si="2"/>
        <v>14382750</v>
      </c>
      <c r="L44" s="526">
        <f>+'5. melléklet'!N64+'5. melléklet'!N71</f>
        <v>0</v>
      </c>
      <c r="M44" s="526">
        <v>0</v>
      </c>
      <c r="N44" s="526">
        <f t="shared" si="3"/>
        <v>0</v>
      </c>
      <c r="O44" s="39"/>
    </row>
    <row r="45" spans="1:16" x14ac:dyDescent="0.35">
      <c r="A45" s="335" t="s">
        <v>315</v>
      </c>
      <c r="B45" s="336" t="s">
        <v>343</v>
      </c>
      <c r="C45" s="337" t="s">
        <v>1622</v>
      </c>
      <c r="D45" s="526">
        <v>0</v>
      </c>
      <c r="E45" s="337">
        <v>0</v>
      </c>
      <c r="F45" s="526"/>
      <c r="G45" s="526">
        <v>0</v>
      </c>
      <c r="H45" s="526">
        <v>0</v>
      </c>
      <c r="I45" s="526"/>
      <c r="J45" s="526">
        <v>0</v>
      </c>
      <c r="K45" s="526">
        <f t="shared" si="2"/>
        <v>0</v>
      </c>
      <c r="L45" s="526"/>
      <c r="M45" s="526">
        <v>0</v>
      </c>
      <c r="N45" s="526">
        <f t="shared" si="3"/>
        <v>0</v>
      </c>
      <c r="O45" s="39"/>
    </row>
    <row r="46" spans="1:16" x14ac:dyDescent="0.35">
      <c r="A46" s="343"/>
      <c r="B46" s="344" t="s">
        <v>344</v>
      </c>
      <c r="C46" s="316">
        <v>238492300</v>
      </c>
      <c r="D46" s="316">
        <v>0</v>
      </c>
      <c r="E46" s="316">
        <v>238492300</v>
      </c>
      <c r="F46" s="316">
        <v>273070990</v>
      </c>
      <c r="G46" s="316">
        <v>0</v>
      </c>
      <c r="H46" s="316">
        <v>273070990</v>
      </c>
      <c r="I46" s="316">
        <f>I36+I42</f>
        <v>95657060</v>
      </c>
      <c r="J46" s="316">
        <f>J36+J42</f>
        <v>0</v>
      </c>
      <c r="K46" s="316">
        <f t="shared" si="2"/>
        <v>95657060</v>
      </c>
      <c r="L46" s="316">
        <f>L36+L42</f>
        <v>0</v>
      </c>
      <c r="M46" s="316">
        <f>M36+M42</f>
        <v>0</v>
      </c>
      <c r="N46" s="316">
        <f t="shared" si="3"/>
        <v>0</v>
      </c>
      <c r="O46" s="39"/>
    </row>
    <row r="47" spans="1:16" x14ac:dyDescent="0.35">
      <c r="H47" s="39"/>
      <c r="K47" s="39"/>
      <c r="N47" s="39">
        <f>+N46-K46</f>
        <v>-95657060</v>
      </c>
      <c r="O47" s="39"/>
    </row>
    <row r="49" spans="8:14" x14ac:dyDescent="0.35">
      <c r="H49" s="39"/>
      <c r="K49" s="39"/>
      <c r="N49" s="39"/>
    </row>
    <row r="50" spans="8:14" x14ac:dyDescent="0.35">
      <c r="H50" s="39"/>
    </row>
  </sheetData>
  <mergeCells count="6">
    <mergeCell ref="L4:N4"/>
    <mergeCell ref="A4:A5"/>
    <mergeCell ref="C4:E4"/>
    <mergeCell ref="B4:B5"/>
    <mergeCell ref="F4:H4"/>
    <mergeCell ref="I4:K4"/>
  </mergeCells>
  <printOptions horizontalCentered="1"/>
  <pageMargins left="0.19685039370078741" right="0.19685039370078741" top="0.78740157480314965" bottom="0.19685039370078741" header="0.31496062992125984" footer="0.31496062992125984"/>
  <pageSetup paperSize="9" scale="46" fitToWidth="0" fitToHeight="0" orientation="portrait" copies="2" r:id="rId1"/>
  <headerFooter>
    <oddHeader>&amp;L4.4  melléklet&amp;C&amp;"-,Félkövér"&amp;16
A Munkácsy Mihály Művelődési Ház 2021. évi bevételei és kiadásai jogcímenként és feladatonként</oddHeader>
    <oddFooter>&amp;C&amp;P&amp;R&amp;D, &amp;T</oddFooter>
  </headerFooter>
  <colBreaks count="1" manualBreakCount="1">
    <brk id="11" max="4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47"/>
  <sheetViews>
    <sheetView view="pageBreakPreview" topLeftCell="A30" zoomScale="98" zoomScaleNormal="100" zoomScaleSheetLayoutView="98" workbookViewId="0">
      <selection activeCell="B48" sqref="B48"/>
    </sheetView>
  </sheetViews>
  <sheetFormatPr defaultRowHeight="14.5" x14ac:dyDescent="0.35"/>
  <cols>
    <col min="1" max="1" width="5.453125" style="30" customWidth="1"/>
    <col min="2" max="2" width="44.453125" customWidth="1"/>
    <col min="3" max="3" width="13" customWidth="1"/>
    <col min="4" max="4" width="13.54296875" customWidth="1"/>
    <col min="5" max="5" width="12.26953125" customWidth="1"/>
    <col min="6" max="6" width="11.7265625" customWidth="1"/>
    <col min="7" max="7" width="12" customWidth="1"/>
    <col min="8" max="8" width="14.1796875" customWidth="1"/>
    <col min="9" max="9" width="11.54296875" hidden="1" customWidth="1"/>
    <col min="10" max="11" width="12.26953125" hidden="1" customWidth="1"/>
    <col min="12" max="12" width="12.81640625" hidden="1" customWidth="1"/>
    <col min="13" max="13" width="12" hidden="1" customWidth="1"/>
    <col min="14" max="14" width="15.1796875" hidden="1" customWidth="1"/>
    <col min="15" max="15" width="9.26953125" bestFit="1" customWidth="1"/>
  </cols>
  <sheetData>
    <row r="1" spans="1:14" x14ac:dyDescent="0.35">
      <c r="E1" s="31"/>
      <c r="H1" s="31" t="s">
        <v>1638</v>
      </c>
      <c r="K1" s="31" t="s">
        <v>1638</v>
      </c>
      <c r="N1" s="31" t="s">
        <v>1638</v>
      </c>
    </row>
    <row r="2" spans="1:14" ht="29" x14ac:dyDescent="0.35">
      <c r="A2" s="328" t="s">
        <v>303</v>
      </c>
      <c r="B2" s="328" t="s">
        <v>1410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</row>
    <row r="3" spans="1:14" ht="29" x14ac:dyDescent="0.35">
      <c r="A3" s="328" t="s">
        <v>304</v>
      </c>
      <c r="B3" s="328" t="s">
        <v>1462</v>
      </c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</row>
    <row r="4" spans="1:14" ht="47.15" customHeight="1" x14ac:dyDescent="0.35">
      <c r="A4" s="1066" t="s">
        <v>305</v>
      </c>
      <c r="B4" s="1091" t="s">
        <v>306</v>
      </c>
      <c r="C4" s="1063" t="s">
        <v>1794</v>
      </c>
      <c r="D4" s="1064"/>
      <c r="E4" s="1065"/>
      <c r="F4" s="1092" t="s">
        <v>1796</v>
      </c>
      <c r="G4" s="1064"/>
      <c r="H4" s="1065"/>
      <c r="I4" s="1092" t="s">
        <v>1799</v>
      </c>
      <c r="J4" s="1064"/>
      <c r="K4" s="1064"/>
      <c r="L4" s="1063"/>
      <c r="M4" s="1064"/>
      <c r="N4" s="1065"/>
    </row>
    <row r="5" spans="1:14" ht="43.5" x14ac:dyDescent="0.35">
      <c r="A5" s="1066"/>
      <c r="B5" s="1091"/>
      <c r="C5" s="539" t="s">
        <v>1289</v>
      </c>
      <c r="D5" s="539" t="s">
        <v>1290</v>
      </c>
      <c r="E5" s="539" t="s">
        <v>549</v>
      </c>
      <c r="F5" s="719" t="s">
        <v>1289</v>
      </c>
      <c r="G5" s="719" t="s">
        <v>1290</v>
      </c>
      <c r="H5" s="719" t="s">
        <v>549</v>
      </c>
      <c r="I5" s="719" t="s">
        <v>1289</v>
      </c>
      <c r="J5" s="719" t="s">
        <v>1290</v>
      </c>
      <c r="K5" s="719" t="s">
        <v>549</v>
      </c>
      <c r="L5" s="719" t="s">
        <v>1289</v>
      </c>
      <c r="M5" s="719" t="s">
        <v>1290</v>
      </c>
      <c r="N5" s="719" t="s">
        <v>549</v>
      </c>
    </row>
    <row r="6" spans="1:14" x14ac:dyDescent="0.35">
      <c r="A6" s="329"/>
      <c r="B6" s="330" t="s">
        <v>307</v>
      </c>
      <c r="C6" s="331">
        <v>4.5</v>
      </c>
      <c r="D6" s="331">
        <v>1</v>
      </c>
      <c r="E6" s="331">
        <f t="shared" ref="E6:E30" si="0">SUM(C6:D6)</f>
        <v>5.5</v>
      </c>
      <c r="F6" s="331">
        <v>4.5</v>
      </c>
      <c r="G6" s="331">
        <v>1</v>
      </c>
      <c r="H6" s="331">
        <f t="shared" ref="H6:H30" si="1">SUM(F6:G6)</f>
        <v>5.5</v>
      </c>
      <c r="I6" s="331">
        <v>4.5</v>
      </c>
      <c r="J6" s="331">
        <v>1</v>
      </c>
      <c r="K6" s="331">
        <f t="shared" ref="K6:K46" si="2">SUM(I6:J6)</f>
        <v>5.5</v>
      </c>
      <c r="L6" s="331">
        <v>4.5</v>
      </c>
      <c r="M6" s="331">
        <v>1</v>
      </c>
      <c r="N6" s="331">
        <f t="shared" ref="N6:N46" si="3">SUM(L6:M6)</f>
        <v>5.5</v>
      </c>
    </row>
    <row r="7" spans="1:14" x14ac:dyDescent="0.35">
      <c r="A7" s="329"/>
      <c r="B7" s="330" t="s">
        <v>308</v>
      </c>
      <c r="C7" s="331"/>
      <c r="D7" s="331"/>
      <c r="E7" s="331">
        <f t="shared" si="0"/>
        <v>0</v>
      </c>
      <c r="F7" s="331"/>
      <c r="G7" s="331"/>
      <c r="H7" s="331">
        <f t="shared" si="1"/>
        <v>0</v>
      </c>
      <c r="I7" s="331"/>
      <c r="J7" s="331"/>
      <c r="K7" s="331">
        <f t="shared" si="2"/>
        <v>0</v>
      </c>
      <c r="L7" s="331"/>
      <c r="M7" s="331"/>
      <c r="N7" s="331">
        <f t="shared" si="3"/>
        <v>0</v>
      </c>
    </row>
    <row r="8" spans="1:14" x14ac:dyDescent="0.35">
      <c r="A8" s="332" t="s">
        <v>309</v>
      </c>
      <c r="B8" s="333" t="s">
        <v>310</v>
      </c>
      <c r="C8" s="334">
        <f>C9+C11+C20</f>
        <v>0</v>
      </c>
      <c r="D8" s="334">
        <f>D9+D11+D20</f>
        <v>0</v>
      </c>
      <c r="E8" s="334">
        <f t="shared" si="0"/>
        <v>0</v>
      </c>
      <c r="F8" s="524">
        <f>F9+F11+F20</f>
        <v>0</v>
      </c>
      <c r="G8" s="524">
        <f>G9+G11+G20</f>
        <v>0</v>
      </c>
      <c r="H8" s="524">
        <f t="shared" si="1"/>
        <v>0</v>
      </c>
      <c r="I8" s="524">
        <f>I9+I11+I20</f>
        <v>1274</v>
      </c>
      <c r="J8" s="524">
        <f>J9+J11+J20</f>
        <v>16380</v>
      </c>
      <c r="K8" s="524">
        <f t="shared" si="2"/>
        <v>17654</v>
      </c>
      <c r="L8" s="524">
        <f>L9+L11+L20</f>
        <v>0</v>
      </c>
      <c r="M8" s="524">
        <f>M9+M11+M20</f>
        <v>0</v>
      </c>
      <c r="N8" s="524">
        <f t="shared" si="3"/>
        <v>0</v>
      </c>
    </row>
    <row r="9" spans="1:14" x14ac:dyDescent="0.35">
      <c r="A9" s="335" t="s">
        <v>311</v>
      </c>
      <c r="B9" s="336" t="s">
        <v>312</v>
      </c>
      <c r="C9" s="337">
        <f>C10</f>
        <v>0</v>
      </c>
      <c r="D9" s="337">
        <f>D10</f>
        <v>0</v>
      </c>
      <c r="E9" s="337">
        <f t="shared" si="0"/>
        <v>0</v>
      </c>
      <c r="F9" s="526">
        <f>F10</f>
        <v>0</v>
      </c>
      <c r="G9" s="526">
        <f>G10</f>
        <v>0</v>
      </c>
      <c r="H9" s="526">
        <f t="shared" si="1"/>
        <v>0</v>
      </c>
      <c r="I9" s="526">
        <v>0</v>
      </c>
      <c r="J9" s="526">
        <v>0</v>
      </c>
      <c r="K9" s="526">
        <v>0</v>
      </c>
      <c r="L9" s="526">
        <f>L10</f>
        <v>0</v>
      </c>
      <c r="M9" s="526">
        <f>M10</f>
        <v>0</v>
      </c>
      <c r="N9" s="526">
        <f t="shared" si="3"/>
        <v>0</v>
      </c>
    </row>
    <row r="10" spans="1:14" ht="30" hidden="1" customHeight="1" x14ac:dyDescent="0.35">
      <c r="A10" s="370"/>
      <c r="B10" s="338" t="s">
        <v>313</v>
      </c>
      <c r="C10" s="258">
        <v>0</v>
      </c>
      <c r="D10" s="258">
        <v>0</v>
      </c>
      <c r="E10" s="258">
        <f t="shared" si="0"/>
        <v>0</v>
      </c>
      <c r="F10" s="258">
        <v>0</v>
      </c>
      <c r="G10" s="258">
        <v>0</v>
      </c>
      <c r="H10" s="258">
        <f t="shared" si="1"/>
        <v>0</v>
      </c>
      <c r="I10" s="258">
        <v>0</v>
      </c>
      <c r="J10" s="258">
        <v>0</v>
      </c>
      <c r="K10" s="258">
        <v>0</v>
      </c>
      <c r="L10" s="258">
        <v>0</v>
      </c>
      <c r="M10" s="258">
        <v>0</v>
      </c>
      <c r="N10" s="258">
        <f t="shared" si="3"/>
        <v>0</v>
      </c>
    </row>
    <row r="11" spans="1:14" x14ac:dyDescent="0.35">
      <c r="A11" s="335" t="s">
        <v>322</v>
      </c>
      <c r="B11" s="336" t="s">
        <v>314</v>
      </c>
      <c r="C11" s="337">
        <f>C12+C13+C14+C15+C16+C17+C18+C19</f>
        <v>0</v>
      </c>
      <c r="D11" s="337">
        <f>D12+D13+D14+D15+D16+D17+D18+D19</f>
        <v>0</v>
      </c>
      <c r="E11" s="337">
        <f t="shared" si="0"/>
        <v>0</v>
      </c>
      <c r="F11" s="526">
        <f>F12+F13+F14+F15+F16+F17+F18+F19</f>
        <v>0</v>
      </c>
      <c r="G11" s="526">
        <f>G12+G13+G14+G15+G16+G17+G18+G19</f>
        <v>0</v>
      </c>
      <c r="H11" s="526">
        <f t="shared" si="1"/>
        <v>0</v>
      </c>
      <c r="I11" s="526">
        <f>SUM(I12:I19)</f>
        <v>1274</v>
      </c>
      <c r="J11" s="526">
        <f>SUM(J12:J19)</f>
        <v>16380</v>
      </c>
      <c r="K11" s="526">
        <f t="shared" ref="K11" si="4">SUM(I11:J11)</f>
        <v>17654</v>
      </c>
      <c r="L11" s="526">
        <f>L12+L13+L14+L15+L16+L17+L18+L19</f>
        <v>0</v>
      </c>
      <c r="M11" s="526">
        <f>M12+M13+M14+M15+M16+M17+M18+M19</f>
        <v>0</v>
      </c>
      <c r="N11" s="526">
        <f t="shared" si="3"/>
        <v>0</v>
      </c>
    </row>
    <row r="12" spans="1:14" x14ac:dyDescent="0.35">
      <c r="A12" s="370"/>
      <c r="B12" s="338" t="s">
        <v>644</v>
      </c>
      <c r="C12" s="258">
        <v>0</v>
      </c>
      <c r="D12" s="258">
        <v>0</v>
      </c>
      <c r="E12" s="258">
        <f t="shared" si="0"/>
        <v>0</v>
      </c>
      <c r="F12" s="258">
        <v>0</v>
      </c>
      <c r="G12" s="258">
        <v>0</v>
      </c>
      <c r="H12" s="258">
        <f t="shared" si="1"/>
        <v>0</v>
      </c>
      <c r="I12" s="258">
        <v>0</v>
      </c>
      <c r="J12" s="258">
        <v>0</v>
      </c>
      <c r="K12" s="258">
        <v>0</v>
      </c>
      <c r="L12" s="258">
        <v>0</v>
      </c>
      <c r="M12" s="258">
        <v>0</v>
      </c>
      <c r="N12" s="258">
        <f t="shared" si="3"/>
        <v>0</v>
      </c>
    </row>
    <row r="13" spans="1:14" x14ac:dyDescent="0.35">
      <c r="A13" s="370"/>
      <c r="B13" s="338" t="s">
        <v>645</v>
      </c>
      <c r="C13" s="258">
        <v>0</v>
      </c>
      <c r="D13" s="258">
        <v>0</v>
      </c>
      <c r="E13" s="258">
        <f t="shared" si="0"/>
        <v>0</v>
      </c>
      <c r="F13" s="258">
        <v>0</v>
      </c>
      <c r="G13" s="258">
        <v>0</v>
      </c>
      <c r="H13" s="258">
        <f t="shared" si="1"/>
        <v>0</v>
      </c>
      <c r="I13" s="258">
        <v>0</v>
      </c>
      <c r="J13" s="258">
        <v>0</v>
      </c>
      <c r="K13" s="258">
        <v>0</v>
      </c>
      <c r="L13" s="258">
        <v>0</v>
      </c>
      <c r="M13" s="258">
        <v>0</v>
      </c>
      <c r="N13" s="258">
        <f t="shared" si="3"/>
        <v>0</v>
      </c>
    </row>
    <row r="14" spans="1:14" x14ac:dyDescent="0.35">
      <c r="A14" s="370"/>
      <c r="B14" s="338" t="s">
        <v>652</v>
      </c>
      <c r="C14" s="258">
        <v>0</v>
      </c>
      <c r="D14" s="258">
        <v>0</v>
      </c>
      <c r="E14" s="258">
        <f t="shared" si="0"/>
        <v>0</v>
      </c>
      <c r="F14" s="258">
        <v>0</v>
      </c>
      <c r="G14" s="258">
        <v>0</v>
      </c>
      <c r="H14" s="258">
        <f t="shared" si="1"/>
        <v>0</v>
      </c>
      <c r="I14" s="258">
        <v>0</v>
      </c>
      <c r="J14" s="258">
        <v>0</v>
      </c>
      <c r="K14" s="258">
        <v>0</v>
      </c>
      <c r="L14" s="258">
        <v>0</v>
      </c>
      <c r="M14" s="258">
        <v>0</v>
      </c>
      <c r="N14" s="258">
        <f t="shared" si="3"/>
        <v>0</v>
      </c>
    </row>
    <row r="15" spans="1:14" x14ac:dyDescent="0.35">
      <c r="A15" s="370"/>
      <c r="B15" s="338" t="s">
        <v>653</v>
      </c>
      <c r="C15" s="258">
        <v>0</v>
      </c>
      <c r="D15" s="258">
        <v>0</v>
      </c>
      <c r="E15" s="258">
        <f t="shared" si="0"/>
        <v>0</v>
      </c>
      <c r="F15" s="258">
        <v>0</v>
      </c>
      <c r="G15" s="258">
        <v>0</v>
      </c>
      <c r="H15" s="258">
        <f t="shared" si="1"/>
        <v>0</v>
      </c>
      <c r="I15" s="258">
        <v>0</v>
      </c>
      <c r="J15" s="258">
        <v>0</v>
      </c>
      <c r="K15" s="258">
        <v>0</v>
      </c>
      <c r="L15" s="258">
        <v>0</v>
      </c>
      <c r="M15" s="258">
        <v>0</v>
      </c>
      <c r="N15" s="258">
        <f t="shared" si="3"/>
        <v>0</v>
      </c>
    </row>
    <row r="16" spans="1:14" x14ac:dyDescent="0.35">
      <c r="A16" s="370"/>
      <c r="B16" s="338" t="s">
        <v>654</v>
      </c>
      <c r="C16" s="258">
        <v>0</v>
      </c>
      <c r="D16" s="258">
        <v>0</v>
      </c>
      <c r="E16" s="258">
        <f t="shared" si="0"/>
        <v>0</v>
      </c>
      <c r="F16" s="258">
        <v>0</v>
      </c>
      <c r="G16" s="258">
        <v>0</v>
      </c>
      <c r="H16" s="258">
        <f t="shared" si="1"/>
        <v>0</v>
      </c>
      <c r="I16" s="258">
        <v>0</v>
      </c>
      <c r="J16" s="258">
        <v>0</v>
      </c>
      <c r="K16" s="258">
        <v>0</v>
      </c>
      <c r="L16" s="258">
        <v>0</v>
      </c>
      <c r="M16" s="258">
        <v>0</v>
      </c>
      <c r="N16" s="258">
        <f t="shared" si="3"/>
        <v>0</v>
      </c>
    </row>
    <row r="17" spans="1:14" x14ac:dyDescent="0.35">
      <c r="A17" s="370"/>
      <c r="B17" s="338" t="s">
        <v>655</v>
      </c>
      <c r="C17" s="258">
        <v>0</v>
      </c>
      <c r="D17" s="258">
        <v>0</v>
      </c>
      <c r="E17" s="258">
        <f t="shared" si="0"/>
        <v>0</v>
      </c>
      <c r="F17" s="258">
        <v>0</v>
      </c>
      <c r="G17" s="258">
        <v>0</v>
      </c>
      <c r="H17" s="258">
        <f t="shared" si="1"/>
        <v>0</v>
      </c>
      <c r="I17" s="258">
        <v>0</v>
      </c>
      <c r="J17" s="258">
        <v>0</v>
      </c>
      <c r="K17" s="258">
        <v>0</v>
      </c>
      <c r="L17" s="258">
        <v>0</v>
      </c>
      <c r="M17" s="258">
        <v>0</v>
      </c>
      <c r="N17" s="258">
        <f t="shared" si="3"/>
        <v>0</v>
      </c>
    </row>
    <row r="18" spans="1:14" x14ac:dyDescent="0.35">
      <c r="A18" s="370"/>
      <c r="B18" s="338" t="s">
        <v>656</v>
      </c>
      <c r="C18" s="258">
        <v>0</v>
      </c>
      <c r="D18" s="258">
        <v>0</v>
      </c>
      <c r="E18" s="258">
        <f t="shared" si="0"/>
        <v>0</v>
      </c>
      <c r="F18" s="258">
        <v>0</v>
      </c>
      <c r="G18" s="258">
        <v>0</v>
      </c>
      <c r="H18" s="258">
        <f t="shared" si="1"/>
        <v>0</v>
      </c>
      <c r="I18" s="258">
        <v>0</v>
      </c>
      <c r="J18" s="258">
        <v>0</v>
      </c>
      <c r="K18" s="258">
        <v>0</v>
      </c>
      <c r="L18" s="258">
        <v>0</v>
      </c>
      <c r="M18" s="258">
        <v>0</v>
      </c>
      <c r="N18" s="258">
        <f t="shared" si="3"/>
        <v>0</v>
      </c>
    </row>
    <row r="19" spans="1:14" x14ac:dyDescent="0.35">
      <c r="A19" s="370"/>
      <c r="B19" s="338" t="s">
        <v>657</v>
      </c>
      <c r="C19" s="258">
        <v>0</v>
      </c>
      <c r="D19" s="258">
        <v>0</v>
      </c>
      <c r="E19" s="258">
        <f t="shared" si="0"/>
        <v>0</v>
      </c>
      <c r="F19" s="258">
        <v>0</v>
      </c>
      <c r="G19" s="258">
        <v>0</v>
      </c>
      <c r="H19" s="258">
        <f t="shared" si="1"/>
        <v>0</v>
      </c>
      <c r="I19" s="258">
        <v>1274</v>
      </c>
      <c r="J19" s="258">
        <v>16380</v>
      </c>
      <c r="K19" s="258">
        <f t="shared" ref="K19" si="5">SUM(I19:J19)</f>
        <v>17654</v>
      </c>
      <c r="L19" s="258">
        <v>0</v>
      </c>
      <c r="M19" s="258">
        <v>0</v>
      </c>
      <c r="N19" s="258">
        <f t="shared" si="3"/>
        <v>0</v>
      </c>
    </row>
    <row r="20" spans="1:14" x14ac:dyDescent="0.35">
      <c r="A20" s="335" t="s">
        <v>315</v>
      </c>
      <c r="B20" s="336" t="s">
        <v>316</v>
      </c>
      <c r="C20" s="337">
        <f>SUM(C21:C21)</f>
        <v>0</v>
      </c>
      <c r="D20" s="337">
        <f>SUM(D21:D21)</f>
        <v>0</v>
      </c>
      <c r="E20" s="337">
        <f t="shared" si="0"/>
        <v>0</v>
      </c>
      <c r="F20" s="526">
        <f>SUM(F21:F21)</f>
        <v>0</v>
      </c>
      <c r="G20" s="526">
        <f>SUM(G21:G21)</f>
        <v>0</v>
      </c>
      <c r="H20" s="526">
        <f t="shared" si="1"/>
        <v>0</v>
      </c>
      <c r="I20" s="526">
        <f>SUM(I21:I21)</f>
        <v>0</v>
      </c>
      <c r="J20" s="526">
        <f>SUM(J21:J21)</f>
        <v>0</v>
      </c>
      <c r="K20" s="526">
        <f t="shared" si="2"/>
        <v>0</v>
      </c>
      <c r="L20" s="526">
        <f>SUM(L21:L21)</f>
        <v>0</v>
      </c>
      <c r="M20" s="526">
        <f>SUM(M21:M21)</f>
        <v>0</v>
      </c>
      <c r="N20" s="526">
        <f t="shared" si="3"/>
        <v>0</v>
      </c>
    </row>
    <row r="21" spans="1:14" ht="15" hidden="1" customHeight="1" x14ac:dyDescent="0.35">
      <c r="A21" s="370"/>
      <c r="B21" s="338" t="s">
        <v>317</v>
      </c>
      <c r="C21" s="258">
        <v>0</v>
      </c>
      <c r="D21" s="258">
        <v>0</v>
      </c>
      <c r="E21" s="258">
        <f t="shared" si="0"/>
        <v>0</v>
      </c>
      <c r="F21" s="258">
        <v>0</v>
      </c>
      <c r="G21" s="258">
        <v>0</v>
      </c>
      <c r="H21" s="258">
        <f t="shared" si="1"/>
        <v>0</v>
      </c>
      <c r="I21" s="258">
        <v>0</v>
      </c>
      <c r="J21" s="258">
        <v>0</v>
      </c>
      <c r="K21" s="258">
        <f t="shared" si="2"/>
        <v>0</v>
      </c>
      <c r="L21" s="258">
        <v>0</v>
      </c>
      <c r="M21" s="258">
        <v>0</v>
      </c>
      <c r="N21" s="258">
        <f t="shared" si="3"/>
        <v>0</v>
      </c>
    </row>
    <row r="22" spans="1:14" x14ac:dyDescent="0.35">
      <c r="A22" s="332" t="s">
        <v>318</v>
      </c>
      <c r="B22" s="333" t="s">
        <v>319</v>
      </c>
      <c r="C22" s="334">
        <f>C23+C25+C28</f>
        <v>0</v>
      </c>
      <c r="D22" s="334">
        <f>D23+D25+D28</f>
        <v>0</v>
      </c>
      <c r="E22" s="334">
        <f t="shared" si="0"/>
        <v>0</v>
      </c>
      <c r="F22" s="524">
        <f>F23+F25+F28</f>
        <v>0</v>
      </c>
      <c r="G22" s="524">
        <f>G23+G25+G28</f>
        <v>0</v>
      </c>
      <c r="H22" s="524">
        <f t="shared" si="1"/>
        <v>0</v>
      </c>
      <c r="I22" s="524">
        <f>I23+I25+I28</f>
        <v>0</v>
      </c>
      <c r="J22" s="524">
        <f>J23+J25+J28</f>
        <v>0</v>
      </c>
      <c r="K22" s="524">
        <f t="shared" si="2"/>
        <v>0</v>
      </c>
      <c r="L22" s="524">
        <f>L23+L25+L28</f>
        <v>0</v>
      </c>
      <c r="M22" s="524">
        <f>M23+M25+M28</f>
        <v>0</v>
      </c>
      <c r="N22" s="524">
        <f t="shared" si="3"/>
        <v>0</v>
      </c>
    </row>
    <row r="23" spans="1:14" ht="15" hidden="1" customHeight="1" x14ac:dyDescent="0.35">
      <c r="A23" s="335" t="s">
        <v>311</v>
      </c>
      <c r="B23" s="336" t="s">
        <v>320</v>
      </c>
      <c r="C23" s="337">
        <f>SUM(C24:C24)</f>
        <v>0</v>
      </c>
      <c r="D23" s="337">
        <f>SUM(D24:D24)</f>
        <v>0</v>
      </c>
      <c r="E23" s="337">
        <f t="shared" si="0"/>
        <v>0</v>
      </c>
      <c r="F23" s="526">
        <f>SUM(F24:F24)</f>
        <v>0</v>
      </c>
      <c r="G23" s="526">
        <f>SUM(G24:G24)</f>
        <v>0</v>
      </c>
      <c r="H23" s="526">
        <f t="shared" si="1"/>
        <v>0</v>
      </c>
      <c r="I23" s="526">
        <f>SUM(I24:I24)</f>
        <v>0</v>
      </c>
      <c r="J23" s="526">
        <f>SUM(J24:J24)</f>
        <v>0</v>
      </c>
      <c r="K23" s="526">
        <f t="shared" si="2"/>
        <v>0</v>
      </c>
      <c r="L23" s="526">
        <f>SUM(L24:L24)</f>
        <v>0</v>
      </c>
      <c r="M23" s="526">
        <f>SUM(M24:M24)</f>
        <v>0</v>
      </c>
      <c r="N23" s="526">
        <f t="shared" si="3"/>
        <v>0</v>
      </c>
    </row>
    <row r="24" spans="1:14" ht="30" hidden="1" customHeight="1" x14ac:dyDescent="0.35">
      <c r="A24" s="370"/>
      <c r="B24" s="257" t="s">
        <v>321</v>
      </c>
      <c r="C24" s="258">
        <v>0</v>
      </c>
      <c r="D24" s="258">
        <v>0</v>
      </c>
      <c r="E24" s="258">
        <f t="shared" si="0"/>
        <v>0</v>
      </c>
      <c r="F24" s="258">
        <v>0</v>
      </c>
      <c r="G24" s="258">
        <v>0</v>
      </c>
      <c r="H24" s="258">
        <f t="shared" si="1"/>
        <v>0</v>
      </c>
      <c r="I24" s="258">
        <v>0</v>
      </c>
      <c r="J24" s="258">
        <v>0</v>
      </c>
      <c r="K24" s="258">
        <f t="shared" si="2"/>
        <v>0</v>
      </c>
      <c r="L24" s="258">
        <v>0</v>
      </c>
      <c r="M24" s="258">
        <v>0</v>
      </c>
      <c r="N24" s="258">
        <f t="shared" si="3"/>
        <v>0</v>
      </c>
    </row>
    <row r="25" spans="1:14" ht="15" hidden="1" customHeight="1" x14ac:dyDescent="0.35">
      <c r="A25" s="335" t="s">
        <v>322</v>
      </c>
      <c r="B25" s="336" t="s">
        <v>257</v>
      </c>
      <c r="C25" s="337">
        <f>SUM(C26:C27)</f>
        <v>0</v>
      </c>
      <c r="D25" s="337">
        <f>SUM(D26:D27)</f>
        <v>0</v>
      </c>
      <c r="E25" s="337">
        <f t="shared" si="0"/>
        <v>0</v>
      </c>
      <c r="F25" s="526">
        <f>SUM(F26:F27)</f>
        <v>0</v>
      </c>
      <c r="G25" s="526">
        <f>SUM(G26:G27)</f>
        <v>0</v>
      </c>
      <c r="H25" s="526">
        <f t="shared" si="1"/>
        <v>0</v>
      </c>
      <c r="I25" s="526">
        <f>SUM(I26:I27)</f>
        <v>0</v>
      </c>
      <c r="J25" s="526">
        <f>SUM(J26:J27)</f>
        <v>0</v>
      </c>
      <c r="K25" s="526">
        <f t="shared" si="2"/>
        <v>0</v>
      </c>
      <c r="L25" s="526">
        <f>SUM(L26:L27)</f>
        <v>0</v>
      </c>
      <c r="M25" s="526">
        <f>SUM(M26:M27)</f>
        <v>0</v>
      </c>
      <c r="N25" s="526">
        <f t="shared" si="3"/>
        <v>0</v>
      </c>
    </row>
    <row r="26" spans="1:14" ht="15" hidden="1" customHeight="1" x14ac:dyDescent="0.35">
      <c r="A26" s="370"/>
      <c r="B26" s="340" t="s">
        <v>323</v>
      </c>
      <c r="C26" s="258">
        <v>0</v>
      </c>
      <c r="D26" s="258">
        <v>0</v>
      </c>
      <c r="E26" s="258">
        <f t="shared" si="0"/>
        <v>0</v>
      </c>
      <c r="F26" s="258">
        <v>0</v>
      </c>
      <c r="G26" s="258">
        <v>0</v>
      </c>
      <c r="H26" s="258">
        <f t="shared" si="1"/>
        <v>0</v>
      </c>
      <c r="I26" s="258">
        <v>0</v>
      </c>
      <c r="J26" s="258">
        <v>0</v>
      </c>
      <c r="K26" s="258">
        <f t="shared" si="2"/>
        <v>0</v>
      </c>
      <c r="L26" s="258">
        <v>0</v>
      </c>
      <c r="M26" s="258">
        <v>0</v>
      </c>
      <c r="N26" s="258">
        <f t="shared" si="3"/>
        <v>0</v>
      </c>
    </row>
    <row r="27" spans="1:14" ht="15" hidden="1" customHeight="1" x14ac:dyDescent="0.35">
      <c r="A27" s="370"/>
      <c r="B27" s="340" t="s">
        <v>324</v>
      </c>
      <c r="C27" s="258">
        <v>0</v>
      </c>
      <c r="D27" s="258">
        <v>0</v>
      </c>
      <c r="E27" s="258">
        <f t="shared" si="0"/>
        <v>0</v>
      </c>
      <c r="F27" s="258">
        <v>0</v>
      </c>
      <c r="G27" s="258">
        <v>0</v>
      </c>
      <c r="H27" s="258">
        <f t="shared" si="1"/>
        <v>0</v>
      </c>
      <c r="I27" s="258">
        <v>0</v>
      </c>
      <c r="J27" s="258">
        <v>0</v>
      </c>
      <c r="K27" s="258">
        <f t="shared" si="2"/>
        <v>0</v>
      </c>
      <c r="L27" s="258">
        <v>0</v>
      </c>
      <c r="M27" s="258">
        <v>0</v>
      </c>
      <c r="N27" s="258">
        <f t="shared" si="3"/>
        <v>0</v>
      </c>
    </row>
    <row r="28" spans="1:14" ht="15" hidden="1" customHeight="1" x14ac:dyDescent="0.35">
      <c r="A28" s="335" t="s">
        <v>315</v>
      </c>
      <c r="B28" s="336" t="s">
        <v>325</v>
      </c>
      <c r="C28" s="337">
        <f>SUM(C29:C29)</f>
        <v>0</v>
      </c>
      <c r="D28" s="337">
        <f>SUM(D29:D29)</f>
        <v>0</v>
      </c>
      <c r="E28" s="337">
        <f t="shared" si="0"/>
        <v>0</v>
      </c>
      <c r="F28" s="526">
        <f>SUM(F29:F29)</f>
        <v>0</v>
      </c>
      <c r="G28" s="526">
        <f>SUM(G29:G29)</f>
        <v>0</v>
      </c>
      <c r="H28" s="526">
        <f t="shared" si="1"/>
        <v>0</v>
      </c>
      <c r="I28" s="526">
        <f>SUM(I29:I29)</f>
        <v>0</v>
      </c>
      <c r="J28" s="526">
        <f>SUM(J29:J29)</f>
        <v>0</v>
      </c>
      <c r="K28" s="526">
        <f t="shared" si="2"/>
        <v>0</v>
      </c>
      <c r="L28" s="526">
        <f>SUM(L29:L29)</f>
        <v>0</v>
      </c>
      <c r="M28" s="526">
        <f>SUM(M29:M29)</f>
        <v>0</v>
      </c>
      <c r="N28" s="526">
        <f t="shared" si="3"/>
        <v>0</v>
      </c>
    </row>
    <row r="29" spans="1:14" ht="15" hidden="1" customHeight="1" x14ac:dyDescent="0.35">
      <c r="A29" s="370"/>
      <c r="B29" s="340" t="s">
        <v>326</v>
      </c>
      <c r="C29" s="258">
        <v>0</v>
      </c>
      <c r="D29" s="258">
        <v>0</v>
      </c>
      <c r="E29" s="258">
        <f t="shared" si="0"/>
        <v>0</v>
      </c>
      <c r="F29" s="258">
        <v>0</v>
      </c>
      <c r="G29" s="258">
        <v>0</v>
      </c>
      <c r="H29" s="258">
        <f t="shared" si="1"/>
        <v>0</v>
      </c>
      <c r="I29" s="258">
        <v>0</v>
      </c>
      <c r="J29" s="258">
        <v>0</v>
      </c>
      <c r="K29" s="258">
        <f t="shared" si="2"/>
        <v>0</v>
      </c>
      <c r="L29" s="258">
        <v>0</v>
      </c>
      <c r="M29" s="258">
        <v>0</v>
      </c>
      <c r="N29" s="258">
        <f t="shared" si="3"/>
        <v>0</v>
      </c>
    </row>
    <row r="30" spans="1:14" x14ac:dyDescent="0.35">
      <c r="A30" s="368"/>
      <c r="B30" s="341" t="s">
        <v>327</v>
      </c>
      <c r="C30" s="342">
        <f>C22+C8</f>
        <v>0</v>
      </c>
      <c r="D30" s="342">
        <f>D22+D8</f>
        <v>0</v>
      </c>
      <c r="E30" s="342">
        <f t="shared" si="0"/>
        <v>0</v>
      </c>
      <c r="F30" s="534">
        <f>F22+F8</f>
        <v>0</v>
      </c>
      <c r="G30" s="534">
        <f>G22+G8</f>
        <v>0</v>
      </c>
      <c r="H30" s="534">
        <f t="shared" si="1"/>
        <v>0</v>
      </c>
      <c r="I30" s="534">
        <f>I22+I8</f>
        <v>1274</v>
      </c>
      <c r="J30" s="534">
        <f>J22+J8</f>
        <v>16380</v>
      </c>
      <c r="K30" s="534">
        <f t="shared" si="2"/>
        <v>17654</v>
      </c>
      <c r="L30" s="534">
        <f>L22+L8</f>
        <v>0</v>
      </c>
      <c r="M30" s="534">
        <f>M22+M8</f>
        <v>0</v>
      </c>
      <c r="N30" s="534">
        <f t="shared" si="3"/>
        <v>0</v>
      </c>
    </row>
    <row r="31" spans="1:14" x14ac:dyDescent="0.35">
      <c r="A31" s="332" t="s">
        <v>328</v>
      </c>
      <c r="B31" s="333" t="s">
        <v>329</v>
      </c>
      <c r="C31" s="334">
        <v>44126240</v>
      </c>
      <c r="D31" s="334">
        <v>9376695</v>
      </c>
      <c r="E31" s="334">
        <v>53502935</v>
      </c>
      <c r="F31" s="524">
        <v>53670021</v>
      </c>
      <c r="G31" s="524">
        <v>9376695</v>
      </c>
      <c r="H31" s="524">
        <v>63046716</v>
      </c>
      <c r="I31" s="524">
        <f>I32</f>
        <v>28854141</v>
      </c>
      <c r="J31" s="524">
        <f>J32</f>
        <v>0</v>
      </c>
      <c r="K31" s="524">
        <f t="shared" si="2"/>
        <v>28854141</v>
      </c>
      <c r="L31" s="524">
        <f>L32</f>
        <v>0</v>
      </c>
      <c r="M31" s="524">
        <f>M32</f>
        <v>0</v>
      </c>
      <c r="N31" s="524">
        <f t="shared" si="3"/>
        <v>0</v>
      </c>
    </row>
    <row r="32" spans="1:14" x14ac:dyDescent="0.35">
      <c r="A32" s="335" t="s">
        <v>311</v>
      </c>
      <c r="B32" s="336" t="s">
        <v>330</v>
      </c>
      <c r="C32" s="337">
        <v>44126240</v>
      </c>
      <c r="D32" s="337">
        <v>9376695</v>
      </c>
      <c r="E32" s="337">
        <v>53502935</v>
      </c>
      <c r="F32" s="526">
        <v>53670021</v>
      </c>
      <c r="G32" s="526">
        <v>9376695</v>
      </c>
      <c r="H32" s="526">
        <v>63046716</v>
      </c>
      <c r="I32" s="526">
        <f>SUM(I33:I34)</f>
        <v>28854141</v>
      </c>
      <c r="J32" s="526">
        <f>SUM(J33:J34)</f>
        <v>0</v>
      </c>
      <c r="K32" s="526">
        <f t="shared" si="2"/>
        <v>28854141</v>
      </c>
      <c r="L32" s="526">
        <f>SUM(L33:L34)</f>
        <v>0</v>
      </c>
      <c r="M32" s="526">
        <f>SUM(M33:M34)</f>
        <v>0</v>
      </c>
      <c r="N32" s="526">
        <f t="shared" si="3"/>
        <v>0</v>
      </c>
    </row>
    <row r="33" spans="1:15" x14ac:dyDescent="0.35">
      <c r="A33" s="370"/>
      <c r="B33" s="340" t="s">
        <v>331</v>
      </c>
      <c r="C33" s="258"/>
      <c r="D33" s="258">
        <v>0</v>
      </c>
      <c r="E33" s="258">
        <v>0</v>
      </c>
      <c r="F33" s="258">
        <v>8738781</v>
      </c>
      <c r="G33" s="258">
        <v>0</v>
      </c>
      <c r="H33" s="258">
        <v>8738781</v>
      </c>
      <c r="I33" s="258">
        <v>8738781</v>
      </c>
      <c r="J33" s="258">
        <v>0</v>
      </c>
      <c r="K33" s="258">
        <f t="shared" ref="K33:K34" si="6">SUM(I33:J33)</f>
        <v>8738781</v>
      </c>
      <c r="L33" s="258"/>
      <c r="M33" s="258">
        <v>0</v>
      </c>
      <c r="N33" s="258">
        <f t="shared" si="3"/>
        <v>0</v>
      </c>
      <c r="O33" s="39"/>
    </row>
    <row r="34" spans="1:15" x14ac:dyDescent="0.35">
      <c r="A34" s="370"/>
      <c r="B34" s="340" t="s">
        <v>332</v>
      </c>
      <c r="C34" s="258">
        <v>44126240</v>
      </c>
      <c r="D34" s="258">
        <v>9376695</v>
      </c>
      <c r="E34" s="258">
        <v>53502935</v>
      </c>
      <c r="F34" s="258">
        <v>44931240</v>
      </c>
      <c r="G34" s="258">
        <v>9376695</v>
      </c>
      <c r="H34" s="258">
        <v>54307935</v>
      </c>
      <c r="I34" s="258">
        <v>20115360</v>
      </c>
      <c r="J34" s="258">
        <v>0</v>
      </c>
      <c r="K34" s="258">
        <f t="shared" si="6"/>
        <v>20115360</v>
      </c>
      <c r="L34" s="258">
        <f>L46-L30-L33</f>
        <v>0</v>
      </c>
      <c r="M34" s="258">
        <f>M46-M30-M33</f>
        <v>0</v>
      </c>
      <c r="N34" s="258">
        <f t="shared" si="3"/>
        <v>0</v>
      </c>
      <c r="O34" s="39"/>
    </row>
    <row r="35" spans="1:15" x14ac:dyDescent="0.35">
      <c r="A35" s="343"/>
      <c r="B35" s="344" t="s">
        <v>333</v>
      </c>
      <c r="C35" s="316">
        <v>44126240</v>
      </c>
      <c r="D35" s="316">
        <v>9376695</v>
      </c>
      <c r="E35" s="316">
        <v>53502935</v>
      </c>
      <c r="F35" s="316">
        <v>53670021</v>
      </c>
      <c r="G35" s="316">
        <v>9376695</v>
      </c>
      <c r="H35" s="316">
        <v>63046716</v>
      </c>
      <c r="I35" s="316">
        <f>I31+I22+I8</f>
        <v>28855415</v>
      </c>
      <c r="J35" s="316">
        <f>J31+J22+J8</f>
        <v>16380</v>
      </c>
      <c r="K35" s="316">
        <f t="shared" si="2"/>
        <v>28871795</v>
      </c>
      <c r="L35" s="316">
        <f>L31+L22+L8</f>
        <v>0</v>
      </c>
      <c r="M35" s="316">
        <f>M31+M22+M8</f>
        <v>0</v>
      </c>
      <c r="N35" s="316">
        <f t="shared" si="3"/>
        <v>0</v>
      </c>
      <c r="O35" s="39"/>
    </row>
    <row r="36" spans="1:15" x14ac:dyDescent="0.35">
      <c r="A36" s="332" t="s">
        <v>309</v>
      </c>
      <c r="B36" s="333" t="s">
        <v>334</v>
      </c>
      <c r="C36" s="334">
        <v>40557540</v>
      </c>
      <c r="D36" s="334">
        <v>9376695</v>
      </c>
      <c r="E36" s="334">
        <v>49934235</v>
      </c>
      <c r="F36" s="524">
        <v>50101321</v>
      </c>
      <c r="G36" s="524">
        <v>9376695</v>
      </c>
      <c r="H36" s="524">
        <v>59478016</v>
      </c>
      <c r="I36" s="524">
        <f>SUM(I37:I41)</f>
        <v>12712209</v>
      </c>
      <c r="J36" s="524">
        <f>SUM(J37:J41)</f>
        <v>3541390</v>
      </c>
      <c r="K36" s="524">
        <f t="shared" si="2"/>
        <v>16253599</v>
      </c>
      <c r="L36" s="524">
        <f>SUM(L37:L41)</f>
        <v>0</v>
      </c>
      <c r="M36" s="524">
        <f>SUM(M37:M41)</f>
        <v>0</v>
      </c>
      <c r="N36" s="524">
        <f t="shared" si="3"/>
        <v>0</v>
      </c>
      <c r="O36" s="39"/>
    </row>
    <row r="37" spans="1:15" x14ac:dyDescent="0.35">
      <c r="A37" s="335" t="s">
        <v>311</v>
      </c>
      <c r="B37" s="336" t="s">
        <v>286</v>
      </c>
      <c r="C37" s="337">
        <v>17068000</v>
      </c>
      <c r="D37" s="337">
        <v>6469000</v>
      </c>
      <c r="E37" s="647">
        <v>23537000</v>
      </c>
      <c r="F37" s="526">
        <v>17873000</v>
      </c>
      <c r="G37" s="526">
        <v>6469000</v>
      </c>
      <c r="H37" s="647">
        <v>24342000</v>
      </c>
      <c r="I37" s="526">
        <f>'5. melléklet'!K89+'5. melléklet'!K96</f>
        <v>8953036</v>
      </c>
      <c r="J37" s="526">
        <f>'5. melléklet'!K104</f>
        <v>2304056</v>
      </c>
      <c r="K37" s="647">
        <f t="shared" si="2"/>
        <v>11257092</v>
      </c>
      <c r="L37" s="526">
        <f>'5. melléklet'!N89+'5. melléklet'!N96</f>
        <v>0</v>
      </c>
      <c r="M37" s="526">
        <f>'5. melléklet'!N104</f>
        <v>0</v>
      </c>
      <c r="N37" s="647">
        <f t="shared" si="3"/>
        <v>0</v>
      </c>
      <c r="O37" s="39"/>
    </row>
    <row r="38" spans="1:15" x14ac:dyDescent="0.35">
      <c r="A38" s="335" t="s">
        <v>322</v>
      </c>
      <c r="B38" s="336" t="s">
        <v>335</v>
      </c>
      <c r="C38" s="337">
        <v>2645540</v>
      </c>
      <c r="D38" s="337">
        <v>1002695</v>
      </c>
      <c r="E38" s="647">
        <v>3648235</v>
      </c>
      <c r="F38" s="526">
        <v>2645540</v>
      </c>
      <c r="G38" s="526">
        <v>1002695</v>
      </c>
      <c r="H38" s="647">
        <v>3648235</v>
      </c>
      <c r="I38" s="526">
        <f>'5. melléklet'!K90+'5. melléklet'!K97</f>
        <v>1368244</v>
      </c>
      <c r="J38" s="526">
        <f>'5. melléklet'!K105</f>
        <v>321362</v>
      </c>
      <c r="K38" s="647">
        <f t="shared" si="2"/>
        <v>1689606</v>
      </c>
      <c r="L38" s="526">
        <f>'5. melléklet'!N90+'5. melléklet'!N97</f>
        <v>0</v>
      </c>
      <c r="M38" s="526">
        <f>'5. melléklet'!N105</f>
        <v>0</v>
      </c>
      <c r="N38" s="647">
        <f t="shared" si="3"/>
        <v>0</v>
      </c>
      <c r="O38" s="39"/>
    </row>
    <row r="39" spans="1:15" x14ac:dyDescent="0.35">
      <c r="A39" s="335" t="s">
        <v>315</v>
      </c>
      <c r="B39" s="336" t="s">
        <v>292</v>
      </c>
      <c r="C39" s="337">
        <v>20844000</v>
      </c>
      <c r="D39" s="337">
        <v>1905000</v>
      </c>
      <c r="E39" s="647">
        <v>22749000</v>
      </c>
      <c r="F39" s="526">
        <v>21333022</v>
      </c>
      <c r="G39" s="526">
        <v>1905000</v>
      </c>
      <c r="H39" s="647">
        <v>23238022</v>
      </c>
      <c r="I39" s="526">
        <f>'5. melléklet'!K91+'5. melléklet'!K98+'5. melléklet'!K101</f>
        <v>2390929</v>
      </c>
      <c r="J39" s="526">
        <f>'5. melléklet'!K106</f>
        <v>915972</v>
      </c>
      <c r="K39" s="647">
        <f t="shared" si="2"/>
        <v>3306901</v>
      </c>
      <c r="L39" s="526">
        <f>'5. melléklet'!N91+'5. melléklet'!N98+'5. melléklet'!N101</f>
        <v>0</v>
      </c>
      <c r="M39" s="526">
        <f>'5. melléklet'!N106</f>
        <v>0</v>
      </c>
      <c r="N39" s="647">
        <f t="shared" si="3"/>
        <v>0</v>
      </c>
      <c r="O39" s="39"/>
    </row>
    <row r="40" spans="1:15" x14ac:dyDescent="0.35">
      <c r="A40" s="335" t="s">
        <v>336</v>
      </c>
      <c r="B40" s="336" t="s">
        <v>337</v>
      </c>
      <c r="C40" s="337">
        <v>0</v>
      </c>
      <c r="D40" s="337">
        <v>0</v>
      </c>
      <c r="E40" s="337">
        <v>0</v>
      </c>
      <c r="F40" s="526">
        <v>0</v>
      </c>
      <c r="G40" s="526">
        <v>0</v>
      </c>
      <c r="H40" s="526">
        <v>0</v>
      </c>
      <c r="I40" s="526">
        <v>0</v>
      </c>
      <c r="J40" s="526">
        <v>0</v>
      </c>
      <c r="K40" s="526">
        <f t="shared" si="2"/>
        <v>0</v>
      </c>
      <c r="L40" s="526">
        <v>0</v>
      </c>
      <c r="M40" s="526">
        <v>0</v>
      </c>
      <c r="N40" s="526">
        <f t="shared" si="3"/>
        <v>0</v>
      </c>
      <c r="O40" s="39"/>
    </row>
    <row r="41" spans="1:15" x14ac:dyDescent="0.35">
      <c r="A41" s="335" t="s">
        <v>338</v>
      </c>
      <c r="B41" s="336" t="s">
        <v>339</v>
      </c>
      <c r="C41" s="337">
        <v>0</v>
      </c>
      <c r="D41" s="337">
        <v>0</v>
      </c>
      <c r="E41" s="337">
        <v>0</v>
      </c>
      <c r="F41" s="526">
        <v>8249759</v>
      </c>
      <c r="G41" s="526">
        <v>0</v>
      </c>
      <c r="H41" s="526">
        <v>8249759</v>
      </c>
      <c r="I41" s="526">
        <f>+'5. melléklet'!K92</f>
        <v>0</v>
      </c>
      <c r="J41" s="526">
        <v>0</v>
      </c>
      <c r="K41" s="526">
        <f t="shared" si="2"/>
        <v>0</v>
      </c>
      <c r="L41" s="526">
        <f>+'5. melléklet'!N92</f>
        <v>0</v>
      </c>
      <c r="M41" s="526">
        <v>0</v>
      </c>
      <c r="N41" s="526">
        <f t="shared" si="3"/>
        <v>0</v>
      </c>
      <c r="O41" s="39"/>
    </row>
    <row r="42" spans="1:15" x14ac:dyDescent="0.35">
      <c r="A42" s="332" t="s">
        <v>318</v>
      </c>
      <c r="B42" s="333" t="s">
        <v>340</v>
      </c>
      <c r="C42" s="334">
        <v>3568700</v>
      </c>
      <c r="D42" s="334">
        <v>0</v>
      </c>
      <c r="E42" s="777">
        <v>3568700</v>
      </c>
      <c r="F42" s="524">
        <v>3568700</v>
      </c>
      <c r="G42" s="524">
        <v>0</v>
      </c>
      <c r="H42" s="777">
        <v>3568700</v>
      </c>
      <c r="I42" s="524">
        <f>SUM(I43:I45)</f>
        <v>449329</v>
      </c>
      <c r="J42" s="524">
        <f>SUM(J43:J45)</f>
        <v>0</v>
      </c>
      <c r="K42" s="777">
        <f t="shared" si="2"/>
        <v>449329</v>
      </c>
      <c r="L42" s="524">
        <f>SUM(L43:L45)</f>
        <v>0</v>
      </c>
      <c r="M42" s="524">
        <f>SUM(M43:M45)</f>
        <v>0</v>
      </c>
      <c r="N42" s="777">
        <f t="shared" si="3"/>
        <v>0</v>
      </c>
      <c r="O42" s="39"/>
    </row>
    <row r="43" spans="1:15" x14ac:dyDescent="0.35">
      <c r="A43" s="335" t="s">
        <v>311</v>
      </c>
      <c r="B43" s="336" t="s">
        <v>341</v>
      </c>
      <c r="C43" s="337">
        <v>3568700</v>
      </c>
      <c r="D43" s="337">
        <v>0</v>
      </c>
      <c r="E43" s="337">
        <v>3568700</v>
      </c>
      <c r="F43" s="526">
        <v>3568700</v>
      </c>
      <c r="G43" s="526">
        <v>0</v>
      </c>
      <c r="H43" s="526">
        <v>3568700</v>
      </c>
      <c r="I43" s="526">
        <f>'5. melléklet'!K93+'5. melléklet'!K99</f>
        <v>449329</v>
      </c>
      <c r="J43" s="526">
        <f>'5. melléklet'!K107</f>
        <v>0</v>
      </c>
      <c r="K43" s="526">
        <f t="shared" si="2"/>
        <v>449329</v>
      </c>
      <c r="L43" s="526">
        <f>'5. melléklet'!N93+'5. melléklet'!N99</f>
        <v>0</v>
      </c>
      <c r="M43" s="526">
        <f>'5. melléklet'!N107</f>
        <v>0</v>
      </c>
      <c r="N43" s="526">
        <f t="shared" si="3"/>
        <v>0</v>
      </c>
      <c r="O43" s="39"/>
    </row>
    <row r="44" spans="1:15" x14ac:dyDescent="0.35">
      <c r="A44" s="335" t="s">
        <v>322</v>
      </c>
      <c r="B44" s="336" t="s">
        <v>342</v>
      </c>
      <c r="C44" s="337">
        <v>0</v>
      </c>
      <c r="D44" s="337">
        <v>0</v>
      </c>
      <c r="E44" s="337">
        <v>0</v>
      </c>
      <c r="F44" s="526">
        <v>0</v>
      </c>
      <c r="G44" s="526">
        <v>0</v>
      </c>
      <c r="H44" s="526">
        <v>0</v>
      </c>
      <c r="I44" s="526">
        <f>'5. melléklet'!K94</f>
        <v>0</v>
      </c>
      <c r="J44" s="526">
        <v>0</v>
      </c>
      <c r="K44" s="526">
        <f t="shared" si="2"/>
        <v>0</v>
      </c>
      <c r="L44" s="526">
        <f>'5. melléklet'!N94</f>
        <v>0</v>
      </c>
      <c r="M44" s="526">
        <v>0</v>
      </c>
      <c r="N44" s="526">
        <f t="shared" si="3"/>
        <v>0</v>
      </c>
      <c r="O44" s="39"/>
    </row>
    <row r="45" spans="1:15" x14ac:dyDescent="0.35">
      <c r="A45" s="335" t="s">
        <v>315</v>
      </c>
      <c r="B45" s="336" t="s">
        <v>343</v>
      </c>
      <c r="C45" s="337">
        <v>0</v>
      </c>
      <c r="D45" s="337">
        <v>0</v>
      </c>
      <c r="E45" s="337">
        <v>0</v>
      </c>
      <c r="F45" s="526">
        <v>0</v>
      </c>
      <c r="G45" s="526">
        <v>0</v>
      </c>
      <c r="H45" s="526">
        <v>0</v>
      </c>
      <c r="I45" s="526">
        <v>0</v>
      </c>
      <c r="J45" s="526">
        <v>0</v>
      </c>
      <c r="K45" s="526">
        <f t="shared" si="2"/>
        <v>0</v>
      </c>
      <c r="L45" s="526">
        <v>0</v>
      </c>
      <c r="M45" s="526">
        <v>0</v>
      </c>
      <c r="N45" s="526">
        <f t="shared" si="3"/>
        <v>0</v>
      </c>
      <c r="O45" s="39"/>
    </row>
    <row r="46" spans="1:15" x14ac:dyDescent="0.35">
      <c r="A46" s="343"/>
      <c r="B46" s="344" t="s">
        <v>344</v>
      </c>
      <c r="C46" s="316">
        <v>44126240</v>
      </c>
      <c r="D46" s="316">
        <v>9376695</v>
      </c>
      <c r="E46" s="316">
        <v>53502935</v>
      </c>
      <c r="F46" s="316">
        <v>53670021</v>
      </c>
      <c r="G46" s="316">
        <v>9376695</v>
      </c>
      <c r="H46" s="316">
        <v>63046716</v>
      </c>
      <c r="I46" s="316">
        <f>I36+I42</f>
        <v>13161538</v>
      </c>
      <c r="J46" s="316">
        <f>J36+J42</f>
        <v>3541390</v>
      </c>
      <c r="K46" s="316">
        <f t="shared" si="2"/>
        <v>16702928</v>
      </c>
      <c r="L46" s="316">
        <f>L36+L42</f>
        <v>0</v>
      </c>
      <c r="M46" s="316">
        <f>M36+M42</f>
        <v>0</v>
      </c>
      <c r="N46" s="316">
        <f t="shared" si="3"/>
        <v>0</v>
      </c>
      <c r="O46" s="39"/>
    </row>
    <row r="47" spans="1:15" x14ac:dyDescent="0.35">
      <c r="H47" s="39"/>
      <c r="K47" s="39"/>
      <c r="N47" s="39">
        <f>+N46-K46</f>
        <v>-16702928</v>
      </c>
    </row>
  </sheetData>
  <mergeCells count="6">
    <mergeCell ref="L4:N4"/>
    <mergeCell ref="C4:E4"/>
    <mergeCell ref="A4:A5"/>
    <mergeCell ref="B4:B5"/>
    <mergeCell ref="F4:H4"/>
    <mergeCell ref="I4:K4"/>
  </mergeCells>
  <printOptions horizontalCentered="1"/>
  <pageMargins left="0.19685039370078741" right="0.19685039370078741" top="1.0236220472440944" bottom="0.19685039370078741" header="0.31496062992125984" footer="0.31496062992125984"/>
  <pageSetup paperSize="9" scale="47" fitToWidth="0" fitToHeight="0" orientation="portrait" copies="2" r:id="rId1"/>
  <headerFooter>
    <oddHeader>&amp;L4.5  melléklet&amp;C&amp;"-,Félkövér"&amp;16
A Volf György Könyvtár és Helytörténeti Gyűjtemény 2021. évi bevételei és kiadásai jogcímenként és feladatonként</oddHeader>
    <oddFooter>&amp;C&amp;P&amp;R&amp;D, &amp;T</oddFooter>
  </headerFooter>
  <colBreaks count="1" manualBreakCount="1">
    <brk id="11" max="4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47"/>
  <sheetViews>
    <sheetView view="pageBreakPreview" topLeftCell="A35" zoomScale="99" zoomScaleNormal="100" zoomScaleSheetLayoutView="99" workbookViewId="0">
      <selection activeCell="H47" sqref="H47"/>
    </sheetView>
  </sheetViews>
  <sheetFormatPr defaultRowHeight="14.5" x14ac:dyDescent="0.35"/>
  <cols>
    <col min="1" max="1" width="5.54296875" style="30" customWidth="1"/>
    <col min="2" max="2" width="42.26953125" customWidth="1"/>
    <col min="3" max="3" width="12" customWidth="1"/>
    <col min="4" max="4" width="9.1796875" customWidth="1"/>
    <col min="5" max="5" width="16.54296875" customWidth="1"/>
    <col min="6" max="6" width="12" customWidth="1"/>
    <col min="7" max="7" width="13.7265625" customWidth="1"/>
    <col min="8" max="8" width="16.54296875" customWidth="1"/>
    <col min="9" max="9" width="12" hidden="1" customWidth="1"/>
    <col min="10" max="10" width="8.7265625" hidden="1" customWidth="1"/>
    <col min="11" max="11" width="16.54296875" hidden="1" customWidth="1"/>
    <col min="12" max="12" width="12" hidden="1" customWidth="1"/>
    <col min="13" max="13" width="0" hidden="1" customWidth="1"/>
    <col min="14" max="14" width="16.54296875" hidden="1" customWidth="1"/>
    <col min="15" max="15" width="12.81640625" customWidth="1"/>
  </cols>
  <sheetData>
    <row r="1" spans="1:14" x14ac:dyDescent="0.35">
      <c r="E1" s="31"/>
      <c r="H1" s="31" t="s">
        <v>1638</v>
      </c>
      <c r="K1" s="31" t="s">
        <v>1638</v>
      </c>
      <c r="N1" s="31" t="s">
        <v>1638</v>
      </c>
    </row>
    <row r="2" spans="1:14" ht="15" customHeight="1" x14ac:dyDescent="0.35">
      <c r="A2" s="328" t="s">
        <v>303</v>
      </c>
      <c r="B2" s="650" t="s">
        <v>1410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</row>
    <row r="3" spans="1:14" ht="15" customHeight="1" x14ac:dyDescent="0.35">
      <c r="A3" s="328" t="s">
        <v>304</v>
      </c>
      <c r="B3" s="328" t="s">
        <v>1461</v>
      </c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</row>
    <row r="4" spans="1:14" ht="66.400000000000006" customHeight="1" x14ac:dyDescent="0.35">
      <c r="A4" s="1066" t="s">
        <v>305</v>
      </c>
      <c r="B4" s="1091" t="s">
        <v>306</v>
      </c>
      <c r="C4" s="1063" t="s">
        <v>1794</v>
      </c>
      <c r="D4" s="1064"/>
      <c r="E4" s="1065"/>
      <c r="F4" s="1092" t="s">
        <v>1796</v>
      </c>
      <c r="G4" s="1064"/>
      <c r="H4" s="1065"/>
      <c r="I4" s="1092" t="s">
        <v>1799</v>
      </c>
      <c r="J4" s="1064"/>
      <c r="K4" s="1064"/>
      <c r="L4" s="1063"/>
      <c r="M4" s="1064"/>
      <c r="N4" s="1065"/>
    </row>
    <row r="5" spans="1:14" ht="58" x14ac:dyDescent="0.35">
      <c r="A5" s="1066"/>
      <c r="B5" s="1091"/>
      <c r="C5" s="539" t="s">
        <v>1289</v>
      </c>
      <c r="D5" s="539" t="s">
        <v>1290</v>
      </c>
      <c r="E5" s="539" t="s">
        <v>549</v>
      </c>
      <c r="F5" s="719" t="s">
        <v>1289</v>
      </c>
      <c r="G5" s="719" t="s">
        <v>1290</v>
      </c>
      <c r="H5" s="719" t="s">
        <v>549</v>
      </c>
      <c r="I5" s="719" t="s">
        <v>1289</v>
      </c>
      <c r="J5" s="719" t="s">
        <v>1290</v>
      </c>
      <c r="K5" s="719" t="s">
        <v>549</v>
      </c>
      <c r="L5" s="719" t="s">
        <v>1289</v>
      </c>
      <c r="M5" s="719" t="s">
        <v>1290</v>
      </c>
      <c r="N5" s="719" t="s">
        <v>549</v>
      </c>
    </row>
    <row r="6" spans="1:14" x14ac:dyDescent="0.35">
      <c r="A6" s="329"/>
      <c r="B6" s="330" t="s">
        <v>307</v>
      </c>
      <c r="C6" s="331">
        <f>+'5. melléklet'!C108</f>
        <v>19</v>
      </c>
      <c r="D6" s="331"/>
      <c r="E6" s="331">
        <f t="shared" ref="E6:E7" si="0">SUM(C6:D6)</f>
        <v>19</v>
      </c>
      <c r="F6" s="331">
        <f>+'5. melléklet'!F108</f>
        <v>20</v>
      </c>
      <c r="G6" s="331"/>
      <c r="H6" s="331">
        <f t="shared" ref="H6:H7" si="1">SUM(F6:G6)</f>
        <v>20</v>
      </c>
      <c r="I6" s="331">
        <f>+'5. melléklet'!I108</f>
        <v>20</v>
      </c>
      <c r="J6" s="331"/>
      <c r="K6" s="331">
        <f t="shared" ref="K6:K46" si="2">SUM(I6:J6)</f>
        <v>20</v>
      </c>
      <c r="L6" s="331">
        <f>+'5. melléklet'!L108</f>
        <v>19</v>
      </c>
      <c r="M6" s="331"/>
      <c r="N6" s="331">
        <f t="shared" ref="N6:N46" si="3">SUM(L6:M6)</f>
        <v>19</v>
      </c>
    </row>
    <row r="7" spans="1:14" x14ac:dyDescent="0.35">
      <c r="A7" s="329"/>
      <c r="B7" s="330" t="s">
        <v>308</v>
      </c>
      <c r="C7" s="331"/>
      <c r="D7" s="331"/>
      <c r="E7" s="331">
        <f t="shared" si="0"/>
        <v>0</v>
      </c>
      <c r="F7" s="331"/>
      <c r="G7" s="331"/>
      <c r="H7" s="331">
        <f t="shared" si="1"/>
        <v>0</v>
      </c>
      <c r="I7" s="331"/>
      <c r="J7" s="331"/>
      <c r="K7" s="331">
        <f t="shared" si="2"/>
        <v>0</v>
      </c>
      <c r="L7" s="331"/>
      <c r="M7" s="331"/>
      <c r="N7" s="331">
        <f t="shared" si="3"/>
        <v>0</v>
      </c>
    </row>
    <row r="8" spans="1:14" x14ac:dyDescent="0.35">
      <c r="A8" s="332" t="s">
        <v>309</v>
      </c>
      <c r="B8" s="333" t="s">
        <v>310</v>
      </c>
      <c r="C8" s="334">
        <v>10160000</v>
      </c>
      <c r="D8" s="334">
        <v>0</v>
      </c>
      <c r="E8" s="334">
        <v>10160000</v>
      </c>
      <c r="F8" s="524">
        <v>10160000</v>
      </c>
      <c r="G8" s="524">
        <v>0</v>
      </c>
      <c r="H8" s="524">
        <v>10160000</v>
      </c>
      <c r="I8" s="524">
        <f>I9+I11+I20</f>
        <v>4667783</v>
      </c>
      <c r="J8" s="524">
        <f>J9+J11+J20</f>
        <v>0</v>
      </c>
      <c r="K8" s="524">
        <f t="shared" si="2"/>
        <v>4667783</v>
      </c>
      <c r="L8" s="524">
        <f>L9+L11+L20</f>
        <v>0</v>
      </c>
      <c r="M8" s="524">
        <f>M9+M11+M20</f>
        <v>0</v>
      </c>
      <c r="N8" s="524">
        <f t="shared" si="3"/>
        <v>0</v>
      </c>
    </row>
    <row r="9" spans="1:14" x14ac:dyDescent="0.35">
      <c r="A9" s="335" t="s">
        <v>311</v>
      </c>
      <c r="B9" s="336" t="s">
        <v>312</v>
      </c>
      <c r="C9" s="337">
        <v>0</v>
      </c>
      <c r="D9" s="337">
        <v>0</v>
      </c>
      <c r="E9" s="337">
        <v>0</v>
      </c>
      <c r="F9" s="526">
        <v>0</v>
      </c>
      <c r="G9" s="526">
        <v>0</v>
      </c>
      <c r="H9" s="526">
        <v>0</v>
      </c>
      <c r="I9" s="526">
        <f>I10</f>
        <v>0</v>
      </c>
      <c r="J9" s="526">
        <f>J10</f>
        <v>0</v>
      </c>
      <c r="K9" s="526">
        <f t="shared" si="2"/>
        <v>0</v>
      </c>
      <c r="L9" s="526">
        <f>L10</f>
        <v>0</v>
      </c>
      <c r="M9" s="526">
        <f>M10</f>
        <v>0</v>
      </c>
      <c r="N9" s="526">
        <f t="shared" si="3"/>
        <v>0</v>
      </c>
    </row>
    <row r="10" spans="1:14" ht="30" hidden="1" customHeight="1" x14ac:dyDescent="0.35">
      <c r="A10" s="370"/>
      <c r="B10" s="338" t="s">
        <v>313</v>
      </c>
      <c r="C10" s="258">
        <v>0</v>
      </c>
      <c r="D10" s="258">
        <v>0</v>
      </c>
      <c r="E10" s="258">
        <v>0</v>
      </c>
      <c r="F10" s="258">
        <v>0</v>
      </c>
      <c r="G10" s="258">
        <v>0</v>
      </c>
      <c r="H10" s="258">
        <v>0</v>
      </c>
      <c r="I10" s="258">
        <v>0</v>
      </c>
      <c r="J10" s="258">
        <v>0</v>
      </c>
      <c r="K10" s="258">
        <f t="shared" si="2"/>
        <v>0</v>
      </c>
      <c r="L10" s="258">
        <v>0</v>
      </c>
      <c r="M10" s="258">
        <v>0</v>
      </c>
      <c r="N10" s="258">
        <f t="shared" si="3"/>
        <v>0</v>
      </c>
    </row>
    <row r="11" spans="1:14" x14ac:dyDescent="0.35">
      <c r="A11" s="335" t="s">
        <v>322</v>
      </c>
      <c r="B11" s="336" t="s">
        <v>314</v>
      </c>
      <c r="C11" s="337">
        <v>10160000</v>
      </c>
      <c r="D11" s="337">
        <v>0</v>
      </c>
      <c r="E11" s="337">
        <v>10160000</v>
      </c>
      <c r="F11" s="526">
        <v>10160000</v>
      </c>
      <c r="G11" s="526">
        <v>0</v>
      </c>
      <c r="H11" s="526">
        <v>10160000</v>
      </c>
      <c r="I11" s="526">
        <f>I12+I13+I14+I15+I16+I17+I18+I19</f>
        <v>4667783</v>
      </c>
      <c r="J11" s="526">
        <f>J12+J13+J14+J15+J16+J17+J18+J19</f>
        <v>0</v>
      </c>
      <c r="K11" s="526">
        <f t="shared" si="2"/>
        <v>4667783</v>
      </c>
      <c r="L11" s="526">
        <f>L12+L13+L14+L15+L16+L17+L18+L19</f>
        <v>0</v>
      </c>
      <c r="M11" s="526">
        <f>M12+M13+M14+M15+M16+M17+M18+M19</f>
        <v>0</v>
      </c>
      <c r="N11" s="526">
        <f t="shared" si="3"/>
        <v>0</v>
      </c>
    </row>
    <row r="12" spans="1:14" x14ac:dyDescent="0.35">
      <c r="A12" s="370"/>
      <c r="B12" s="338" t="s">
        <v>644</v>
      </c>
      <c r="C12" s="258">
        <v>0</v>
      </c>
      <c r="D12" s="258">
        <v>0</v>
      </c>
      <c r="E12" s="258">
        <v>0</v>
      </c>
      <c r="F12" s="258">
        <v>0</v>
      </c>
      <c r="G12" s="258">
        <v>0</v>
      </c>
      <c r="H12" s="258">
        <v>0</v>
      </c>
      <c r="I12" s="258">
        <v>0</v>
      </c>
      <c r="J12" s="258">
        <v>0</v>
      </c>
      <c r="K12" s="258">
        <v>0</v>
      </c>
      <c r="L12" s="258">
        <v>0</v>
      </c>
      <c r="M12" s="258">
        <v>0</v>
      </c>
      <c r="N12" s="258">
        <f t="shared" si="3"/>
        <v>0</v>
      </c>
    </row>
    <row r="13" spans="1:14" x14ac:dyDescent="0.35">
      <c r="A13" s="370"/>
      <c r="B13" s="338" t="s">
        <v>645</v>
      </c>
      <c r="C13" s="258">
        <v>0</v>
      </c>
      <c r="D13" s="258">
        <v>0</v>
      </c>
      <c r="E13" s="258">
        <v>0</v>
      </c>
      <c r="F13" s="258">
        <v>0</v>
      </c>
      <c r="G13" s="258">
        <v>0</v>
      </c>
      <c r="H13" s="258">
        <v>0</v>
      </c>
      <c r="I13" s="258">
        <v>0</v>
      </c>
      <c r="J13" s="258">
        <v>0</v>
      </c>
      <c r="K13" s="258">
        <v>0</v>
      </c>
      <c r="L13" s="258">
        <v>0</v>
      </c>
      <c r="M13" s="258">
        <v>0</v>
      </c>
      <c r="N13" s="258">
        <f t="shared" si="3"/>
        <v>0</v>
      </c>
    </row>
    <row r="14" spans="1:14" x14ac:dyDescent="0.35">
      <c r="A14" s="370"/>
      <c r="B14" s="338" t="s">
        <v>652</v>
      </c>
      <c r="C14" s="258">
        <v>0</v>
      </c>
      <c r="D14" s="258">
        <v>0</v>
      </c>
      <c r="E14" s="258">
        <v>0</v>
      </c>
      <c r="F14" s="258">
        <v>0</v>
      </c>
      <c r="G14" s="258">
        <v>0</v>
      </c>
      <c r="H14" s="258">
        <v>0</v>
      </c>
      <c r="I14" s="258">
        <v>0</v>
      </c>
      <c r="J14" s="258">
        <v>0</v>
      </c>
      <c r="K14" s="258">
        <v>0</v>
      </c>
      <c r="L14" s="258">
        <v>0</v>
      </c>
      <c r="M14" s="258">
        <v>0</v>
      </c>
      <c r="N14" s="258">
        <f t="shared" si="3"/>
        <v>0</v>
      </c>
    </row>
    <row r="15" spans="1:14" x14ac:dyDescent="0.35">
      <c r="A15" s="370"/>
      <c r="B15" s="338" t="s">
        <v>653</v>
      </c>
      <c r="C15" s="258">
        <v>8000000</v>
      </c>
      <c r="D15" s="258">
        <v>0</v>
      </c>
      <c r="E15" s="258">
        <v>8000000</v>
      </c>
      <c r="F15" s="258">
        <v>8000000</v>
      </c>
      <c r="G15" s="258">
        <v>0</v>
      </c>
      <c r="H15" s="258">
        <v>8000000</v>
      </c>
      <c r="I15" s="258">
        <f>254785+3304237</f>
        <v>3559022</v>
      </c>
      <c r="J15" s="258">
        <v>0</v>
      </c>
      <c r="K15" s="258">
        <f t="shared" ref="K15:K19" si="4">SUM(I15:J15)</f>
        <v>3559022</v>
      </c>
      <c r="L15" s="258"/>
      <c r="M15" s="258">
        <v>0</v>
      </c>
      <c r="N15" s="258">
        <f t="shared" si="3"/>
        <v>0</v>
      </c>
    </row>
    <row r="16" spans="1:14" x14ac:dyDescent="0.35">
      <c r="A16" s="370"/>
      <c r="B16" s="338" t="s">
        <v>654</v>
      </c>
      <c r="C16" s="258">
        <v>2160000</v>
      </c>
      <c r="D16" s="258">
        <v>0</v>
      </c>
      <c r="E16" s="258">
        <v>2160000</v>
      </c>
      <c r="F16" s="258">
        <v>2160000</v>
      </c>
      <c r="G16" s="258">
        <v>0</v>
      </c>
      <c r="H16" s="258">
        <v>2160000</v>
      </c>
      <c r="I16" s="258">
        <v>892178</v>
      </c>
      <c r="J16" s="258">
        <v>0</v>
      </c>
      <c r="K16" s="258">
        <f t="shared" si="4"/>
        <v>892178</v>
      </c>
      <c r="L16" s="258"/>
      <c r="M16" s="258">
        <v>0</v>
      </c>
      <c r="N16" s="258">
        <f t="shared" si="3"/>
        <v>0</v>
      </c>
    </row>
    <row r="17" spans="1:14" x14ac:dyDescent="0.35">
      <c r="A17" s="370"/>
      <c r="B17" s="338" t="s">
        <v>655</v>
      </c>
      <c r="C17" s="258">
        <v>0</v>
      </c>
      <c r="D17" s="258">
        <v>0</v>
      </c>
      <c r="E17" s="258">
        <v>0</v>
      </c>
      <c r="F17" s="258">
        <v>0</v>
      </c>
      <c r="G17" s="258">
        <v>0</v>
      </c>
      <c r="H17" s="258">
        <v>0</v>
      </c>
      <c r="I17" s="258">
        <v>56000</v>
      </c>
      <c r="J17" s="258">
        <v>0</v>
      </c>
      <c r="K17" s="258">
        <f t="shared" si="4"/>
        <v>56000</v>
      </c>
      <c r="L17" s="258">
        <v>0</v>
      </c>
      <c r="M17" s="258">
        <v>0</v>
      </c>
      <c r="N17" s="258">
        <f t="shared" si="3"/>
        <v>0</v>
      </c>
    </row>
    <row r="18" spans="1:14" x14ac:dyDescent="0.35">
      <c r="A18" s="370"/>
      <c r="B18" s="338" t="s">
        <v>656</v>
      </c>
      <c r="C18" s="258">
        <v>0</v>
      </c>
      <c r="D18" s="258">
        <v>0</v>
      </c>
      <c r="E18" s="258">
        <v>0</v>
      </c>
      <c r="F18" s="258">
        <v>0</v>
      </c>
      <c r="G18" s="258">
        <v>0</v>
      </c>
      <c r="H18" s="258">
        <v>0</v>
      </c>
      <c r="I18" s="258">
        <v>0</v>
      </c>
      <c r="J18" s="258">
        <v>0</v>
      </c>
      <c r="K18" s="258">
        <f t="shared" si="4"/>
        <v>0</v>
      </c>
      <c r="L18" s="258">
        <v>0</v>
      </c>
      <c r="M18" s="258">
        <v>0</v>
      </c>
      <c r="N18" s="258">
        <f t="shared" si="3"/>
        <v>0</v>
      </c>
    </row>
    <row r="19" spans="1:14" x14ac:dyDescent="0.35">
      <c r="A19" s="370"/>
      <c r="B19" s="338" t="s">
        <v>657</v>
      </c>
      <c r="C19" s="258">
        <v>0</v>
      </c>
      <c r="D19" s="258">
        <v>0</v>
      </c>
      <c r="E19" s="258">
        <v>0</v>
      </c>
      <c r="F19" s="258">
        <v>0</v>
      </c>
      <c r="G19" s="258">
        <v>0</v>
      </c>
      <c r="H19" s="258">
        <v>0</v>
      </c>
      <c r="I19" s="258">
        <f>158190+2393</f>
        <v>160583</v>
      </c>
      <c r="J19" s="258">
        <v>0</v>
      </c>
      <c r="K19" s="258">
        <f t="shared" si="4"/>
        <v>160583</v>
      </c>
      <c r="L19" s="258">
        <v>0</v>
      </c>
      <c r="M19" s="258">
        <v>0</v>
      </c>
      <c r="N19" s="258">
        <f t="shared" si="3"/>
        <v>0</v>
      </c>
    </row>
    <row r="20" spans="1:14" x14ac:dyDescent="0.35">
      <c r="A20" s="335" t="s">
        <v>315</v>
      </c>
      <c r="B20" s="336" t="s">
        <v>316</v>
      </c>
      <c r="C20" s="337">
        <v>0</v>
      </c>
      <c r="D20" s="337">
        <v>0</v>
      </c>
      <c r="E20" s="337">
        <v>0</v>
      </c>
      <c r="F20" s="526">
        <v>0</v>
      </c>
      <c r="G20" s="526">
        <v>0</v>
      </c>
      <c r="H20" s="526">
        <v>0</v>
      </c>
      <c r="I20" s="526">
        <f>SUM(I21:I21)</f>
        <v>0</v>
      </c>
      <c r="J20" s="526">
        <f>SUM(J21:J21)</f>
        <v>0</v>
      </c>
      <c r="K20" s="526">
        <f t="shared" si="2"/>
        <v>0</v>
      </c>
      <c r="L20" s="526">
        <f>SUM(L21:L21)</f>
        <v>0</v>
      </c>
      <c r="M20" s="526">
        <f>SUM(M21:M21)</f>
        <v>0</v>
      </c>
      <c r="N20" s="526">
        <f t="shared" si="3"/>
        <v>0</v>
      </c>
    </row>
    <row r="21" spans="1:14" ht="15" hidden="1" customHeight="1" x14ac:dyDescent="0.35">
      <c r="A21" s="370"/>
      <c r="B21" s="338" t="s">
        <v>317</v>
      </c>
      <c r="C21" s="258">
        <v>0</v>
      </c>
      <c r="D21" s="258">
        <v>0</v>
      </c>
      <c r="E21" s="258">
        <v>0</v>
      </c>
      <c r="F21" s="258">
        <v>0</v>
      </c>
      <c r="G21" s="258">
        <v>0</v>
      </c>
      <c r="H21" s="258">
        <v>0</v>
      </c>
      <c r="I21" s="258">
        <v>0</v>
      </c>
      <c r="J21" s="258">
        <v>0</v>
      </c>
      <c r="K21" s="258">
        <f t="shared" si="2"/>
        <v>0</v>
      </c>
      <c r="L21" s="258">
        <v>0</v>
      </c>
      <c r="M21" s="258">
        <v>0</v>
      </c>
      <c r="N21" s="258">
        <f t="shared" si="3"/>
        <v>0</v>
      </c>
    </row>
    <row r="22" spans="1:14" x14ac:dyDescent="0.35">
      <c r="A22" s="332" t="s">
        <v>318</v>
      </c>
      <c r="B22" s="333" t="s">
        <v>319</v>
      </c>
      <c r="C22" s="334">
        <v>0</v>
      </c>
      <c r="D22" s="334">
        <v>0</v>
      </c>
      <c r="E22" s="334">
        <v>0</v>
      </c>
      <c r="F22" s="524">
        <v>0</v>
      </c>
      <c r="G22" s="524">
        <v>0</v>
      </c>
      <c r="H22" s="524">
        <v>0</v>
      </c>
      <c r="I22" s="524">
        <f>I23+I25+I28</f>
        <v>0</v>
      </c>
      <c r="J22" s="524">
        <f>J23+J25+J28</f>
        <v>0</v>
      </c>
      <c r="K22" s="524">
        <f t="shared" si="2"/>
        <v>0</v>
      </c>
      <c r="L22" s="524">
        <f>L23+L25+L28</f>
        <v>0</v>
      </c>
      <c r="M22" s="524">
        <f>M23+M25+M28</f>
        <v>0</v>
      </c>
      <c r="N22" s="524">
        <f t="shared" si="3"/>
        <v>0</v>
      </c>
    </row>
    <row r="23" spans="1:14" ht="15" hidden="1" customHeight="1" x14ac:dyDescent="0.35">
      <c r="A23" s="335" t="s">
        <v>311</v>
      </c>
      <c r="B23" s="336" t="s">
        <v>320</v>
      </c>
      <c r="C23" s="337">
        <v>0</v>
      </c>
      <c r="D23" s="337">
        <v>0</v>
      </c>
      <c r="E23" s="337">
        <v>0</v>
      </c>
      <c r="F23" s="526">
        <v>0</v>
      </c>
      <c r="G23" s="526">
        <v>0</v>
      </c>
      <c r="H23" s="526">
        <v>0</v>
      </c>
      <c r="I23" s="526">
        <f>SUM(I24:I24)</f>
        <v>0</v>
      </c>
      <c r="J23" s="526">
        <f>SUM(J24:J24)</f>
        <v>0</v>
      </c>
      <c r="K23" s="526">
        <f t="shared" si="2"/>
        <v>0</v>
      </c>
      <c r="L23" s="526">
        <f>SUM(L24:L24)</f>
        <v>0</v>
      </c>
      <c r="M23" s="526">
        <f>SUM(M24:M24)</f>
        <v>0</v>
      </c>
      <c r="N23" s="526">
        <f t="shared" si="3"/>
        <v>0</v>
      </c>
    </row>
    <row r="24" spans="1:14" ht="30" hidden="1" customHeight="1" x14ac:dyDescent="0.35">
      <c r="A24" s="370"/>
      <c r="B24" s="257" t="s">
        <v>321</v>
      </c>
      <c r="C24" s="258">
        <v>0</v>
      </c>
      <c r="D24" s="258">
        <v>0</v>
      </c>
      <c r="E24" s="258">
        <v>0</v>
      </c>
      <c r="F24" s="258">
        <v>0</v>
      </c>
      <c r="G24" s="258">
        <v>0</v>
      </c>
      <c r="H24" s="258">
        <v>0</v>
      </c>
      <c r="I24" s="258">
        <v>0</v>
      </c>
      <c r="J24" s="258">
        <v>0</v>
      </c>
      <c r="K24" s="258">
        <f t="shared" si="2"/>
        <v>0</v>
      </c>
      <c r="L24" s="258">
        <v>0</v>
      </c>
      <c r="M24" s="258">
        <v>0</v>
      </c>
      <c r="N24" s="258">
        <f t="shared" si="3"/>
        <v>0</v>
      </c>
    </row>
    <row r="25" spans="1:14" ht="15" hidden="1" customHeight="1" x14ac:dyDescent="0.35">
      <c r="A25" s="335" t="s">
        <v>322</v>
      </c>
      <c r="B25" s="336" t="s">
        <v>257</v>
      </c>
      <c r="C25" s="337">
        <v>0</v>
      </c>
      <c r="D25" s="337">
        <v>0</v>
      </c>
      <c r="E25" s="337">
        <v>0</v>
      </c>
      <c r="F25" s="526">
        <v>0</v>
      </c>
      <c r="G25" s="526">
        <v>0</v>
      </c>
      <c r="H25" s="526">
        <v>0</v>
      </c>
      <c r="I25" s="526">
        <f>SUM(I26:I27)</f>
        <v>0</v>
      </c>
      <c r="J25" s="526">
        <f>SUM(J26:J27)</f>
        <v>0</v>
      </c>
      <c r="K25" s="526">
        <f t="shared" si="2"/>
        <v>0</v>
      </c>
      <c r="L25" s="526">
        <f>SUM(L26:L27)</f>
        <v>0</v>
      </c>
      <c r="M25" s="526">
        <f>SUM(M26:M27)</f>
        <v>0</v>
      </c>
      <c r="N25" s="526">
        <f t="shared" si="3"/>
        <v>0</v>
      </c>
    </row>
    <row r="26" spans="1:14" ht="15" hidden="1" customHeight="1" x14ac:dyDescent="0.35">
      <c r="A26" s="370"/>
      <c r="B26" s="340" t="s">
        <v>323</v>
      </c>
      <c r="C26" s="258">
        <v>0</v>
      </c>
      <c r="D26" s="258">
        <v>0</v>
      </c>
      <c r="E26" s="258">
        <v>0</v>
      </c>
      <c r="F26" s="258">
        <v>0</v>
      </c>
      <c r="G26" s="258">
        <v>0</v>
      </c>
      <c r="H26" s="258">
        <v>0</v>
      </c>
      <c r="I26" s="258">
        <v>0</v>
      </c>
      <c r="J26" s="258">
        <v>0</v>
      </c>
      <c r="K26" s="258">
        <f t="shared" si="2"/>
        <v>0</v>
      </c>
      <c r="L26" s="258">
        <v>0</v>
      </c>
      <c r="M26" s="258">
        <v>0</v>
      </c>
      <c r="N26" s="258">
        <f t="shared" si="3"/>
        <v>0</v>
      </c>
    </row>
    <row r="27" spans="1:14" ht="15" hidden="1" customHeight="1" x14ac:dyDescent="0.35">
      <c r="A27" s="370"/>
      <c r="B27" s="340" t="s">
        <v>324</v>
      </c>
      <c r="C27" s="258">
        <v>0</v>
      </c>
      <c r="D27" s="258">
        <v>0</v>
      </c>
      <c r="E27" s="258">
        <v>0</v>
      </c>
      <c r="F27" s="258">
        <v>0</v>
      </c>
      <c r="G27" s="258">
        <v>0</v>
      </c>
      <c r="H27" s="258">
        <v>0</v>
      </c>
      <c r="I27" s="258">
        <v>0</v>
      </c>
      <c r="J27" s="258">
        <v>0</v>
      </c>
      <c r="K27" s="258">
        <f t="shared" si="2"/>
        <v>0</v>
      </c>
      <c r="L27" s="258">
        <v>0</v>
      </c>
      <c r="M27" s="258">
        <v>0</v>
      </c>
      <c r="N27" s="258">
        <f t="shared" si="3"/>
        <v>0</v>
      </c>
    </row>
    <row r="28" spans="1:14" ht="15" hidden="1" customHeight="1" x14ac:dyDescent="0.35">
      <c r="A28" s="335" t="s">
        <v>315</v>
      </c>
      <c r="B28" s="336" t="s">
        <v>325</v>
      </c>
      <c r="C28" s="337">
        <v>0</v>
      </c>
      <c r="D28" s="337">
        <v>0</v>
      </c>
      <c r="E28" s="337">
        <v>0</v>
      </c>
      <c r="F28" s="526">
        <v>0</v>
      </c>
      <c r="G28" s="526">
        <v>0</v>
      </c>
      <c r="H28" s="526">
        <v>0</v>
      </c>
      <c r="I28" s="526">
        <f>SUM(I29:I29)</f>
        <v>0</v>
      </c>
      <c r="J28" s="526">
        <f>SUM(J29:J29)</f>
        <v>0</v>
      </c>
      <c r="K28" s="526">
        <f t="shared" si="2"/>
        <v>0</v>
      </c>
      <c r="L28" s="526">
        <f>SUM(L29:L29)</f>
        <v>0</v>
      </c>
      <c r="M28" s="526">
        <f>SUM(M29:M29)</f>
        <v>0</v>
      </c>
      <c r="N28" s="526">
        <f t="shared" si="3"/>
        <v>0</v>
      </c>
    </row>
    <row r="29" spans="1:14" ht="15" hidden="1" customHeight="1" x14ac:dyDescent="0.35">
      <c r="A29" s="370"/>
      <c r="B29" s="340" t="s">
        <v>326</v>
      </c>
      <c r="C29" s="258">
        <v>0</v>
      </c>
      <c r="D29" s="258">
        <v>0</v>
      </c>
      <c r="E29" s="258">
        <v>0</v>
      </c>
      <c r="F29" s="258">
        <v>0</v>
      </c>
      <c r="G29" s="258">
        <v>0</v>
      </c>
      <c r="H29" s="258">
        <v>0</v>
      </c>
      <c r="I29" s="258">
        <v>0</v>
      </c>
      <c r="J29" s="258">
        <v>0</v>
      </c>
      <c r="K29" s="258">
        <f t="shared" si="2"/>
        <v>0</v>
      </c>
      <c r="L29" s="258">
        <v>0</v>
      </c>
      <c r="M29" s="258">
        <v>0</v>
      </c>
      <c r="N29" s="258">
        <f t="shared" si="3"/>
        <v>0</v>
      </c>
    </row>
    <row r="30" spans="1:14" x14ac:dyDescent="0.35">
      <c r="A30" s="368"/>
      <c r="B30" s="341" t="s">
        <v>327</v>
      </c>
      <c r="C30" s="342">
        <v>10160000</v>
      </c>
      <c r="D30" s="342">
        <v>0</v>
      </c>
      <c r="E30" s="342">
        <v>10160000</v>
      </c>
      <c r="F30" s="534">
        <v>10160000</v>
      </c>
      <c r="G30" s="534">
        <v>0</v>
      </c>
      <c r="H30" s="534">
        <v>10160000</v>
      </c>
      <c r="I30" s="534">
        <f>I22+I8</f>
        <v>4667783</v>
      </c>
      <c r="J30" s="534">
        <f>J22+J8</f>
        <v>0</v>
      </c>
      <c r="K30" s="534">
        <f t="shared" si="2"/>
        <v>4667783</v>
      </c>
      <c r="L30" s="534">
        <f>L22+L8</f>
        <v>0</v>
      </c>
      <c r="M30" s="534">
        <f>M22+M8</f>
        <v>0</v>
      </c>
      <c r="N30" s="534">
        <f t="shared" si="3"/>
        <v>0</v>
      </c>
    </row>
    <row r="31" spans="1:14" x14ac:dyDescent="0.35">
      <c r="A31" s="332" t="s">
        <v>328</v>
      </c>
      <c r="B31" s="333" t="s">
        <v>329</v>
      </c>
      <c r="C31" s="334">
        <v>160282500</v>
      </c>
      <c r="D31" s="334">
        <v>0</v>
      </c>
      <c r="E31" s="334">
        <v>160282500</v>
      </c>
      <c r="F31" s="524">
        <v>167682934</v>
      </c>
      <c r="G31" s="524">
        <v>0</v>
      </c>
      <c r="H31" s="524">
        <v>167682934</v>
      </c>
      <c r="I31" s="524">
        <f>I32</f>
        <v>59702409</v>
      </c>
      <c r="J31" s="524">
        <f>J32</f>
        <v>0</v>
      </c>
      <c r="K31" s="524">
        <f t="shared" si="2"/>
        <v>59702409</v>
      </c>
      <c r="L31" s="524">
        <f>L32</f>
        <v>0</v>
      </c>
      <c r="M31" s="524">
        <f>M32</f>
        <v>0</v>
      </c>
      <c r="N31" s="524">
        <f t="shared" si="3"/>
        <v>0</v>
      </c>
    </row>
    <row r="32" spans="1:14" x14ac:dyDescent="0.35">
      <c r="A32" s="335" t="s">
        <v>311</v>
      </c>
      <c r="B32" s="336" t="s">
        <v>330</v>
      </c>
      <c r="C32" s="337">
        <v>160282500</v>
      </c>
      <c r="D32" s="337">
        <v>0</v>
      </c>
      <c r="E32" s="337">
        <v>160282500</v>
      </c>
      <c r="F32" s="526">
        <v>167682934</v>
      </c>
      <c r="G32" s="526">
        <v>0</v>
      </c>
      <c r="H32" s="526">
        <v>167682934</v>
      </c>
      <c r="I32" s="526">
        <f>SUM(I33:I34)</f>
        <v>59702409</v>
      </c>
      <c r="J32" s="526">
        <f>SUM(J33:J34)</f>
        <v>0</v>
      </c>
      <c r="K32" s="526">
        <f t="shared" si="2"/>
        <v>59702409</v>
      </c>
      <c r="L32" s="526">
        <f>SUM(L33:L34)</f>
        <v>0</v>
      </c>
      <c r="M32" s="526">
        <f>SUM(M33:M34)</f>
        <v>0</v>
      </c>
      <c r="N32" s="526">
        <f t="shared" si="3"/>
        <v>0</v>
      </c>
    </row>
    <row r="33" spans="1:15" x14ac:dyDescent="0.35">
      <c r="A33" s="370"/>
      <c r="B33" s="340" t="s">
        <v>331</v>
      </c>
      <c r="C33" s="258"/>
      <c r="D33" s="258">
        <v>0</v>
      </c>
      <c r="E33" s="258">
        <v>0</v>
      </c>
      <c r="F33" s="258">
        <v>1510434</v>
      </c>
      <c r="G33" s="258">
        <v>0</v>
      </c>
      <c r="H33" s="258">
        <v>1510434</v>
      </c>
      <c r="I33" s="258">
        <v>1510434</v>
      </c>
      <c r="J33" s="258">
        <v>0</v>
      </c>
      <c r="K33" s="258">
        <f t="shared" si="2"/>
        <v>1510434</v>
      </c>
      <c r="L33" s="258"/>
      <c r="M33" s="258">
        <v>0</v>
      </c>
      <c r="N33" s="258">
        <f t="shared" si="3"/>
        <v>0</v>
      </c>
      <c r="O33" s="39"/>
    </row>
    <row r="34" spans="1:15" x14ac:dyDescent="0.35">
      <c r="A34" s="370"/>
      <c r="B34" s="340" t="s">
        <v>332</v>
      </c>
      <c r="C34" s="258">
        <v>160282500</v>
      </c>
      <c r="D34" s="258">
        <v>0</v>
      </c>
      <c r="E34" s="258">
        <v>160282500</v>
      </c>
      <c r="F34" s="258">
        <v>166172500</v>
      </c>
      <c r="G34" s="258">
        <v>0</v>
      </c>
      <c r="H34" s="258">
        <v>166172500</v>
      </c>
      <c r="I34" s="258">
        <v>58191975</v>
      </c>
      <c r="J34" s="258">
        <f>J36+J42-J30-J33</f>
        <v>0</v>
      </c>
      <c r="K34" s="258">
        <f t="shared" si="2"/>
        <v>58191975</v>
      </c>
      <c r="L34" s="258">
        <f>L36+L42-L30-L33</f>
        <v>0</v>
      </c>
      <c r="M34" s="258">
        <f>M36+M42-M30-M33</f>
        <v>0</v>
      </c>
      <c r="N34" s="258">
        <f t="shared" si="3"/>
        <v>0</v>
      </c>
      <c r="O34" s="39"/>
    </row>
    <row r="35" spans="1:15" x14ac:dyDescent="0.35">
      <c r="A35" s="343"/>
      <c r="B35" s="344" t="s">
        <v>333</v>
      </c>
      <c r="C35" s="316">
        <v>170442500</v>
      </c>
      <c r="D35" s="316">
        <v>0</v>
      </c>
      <c r="E35" s="316">
        <v>170442500</v>
      </c>
      <c r="F35" s="316">
        <v>177842934</v>
      </c>
      <c r="G35" s="316">
        <v>0</v>
      </c>
      <c r="H35" s="316">
        <v>177842934</v>
      </c>
      <c r="I35" s="316">
        <f>I31+I22+I8</f>
        <v>64370192</v>
      </c>
      <c r="J35" s="316">
        <f>J31+J22+J8</f>
        <v>0</v>
      </c>
      <c r="K35" s="316">
        <f t="shared" si="2"/>
        <v>64370192</v>
      </c>
      <c r="L35" s="316">
        <f>L31+L22+L8</f>
        <v>0</v>
      </c>
      <c r="M35" s="316">
        <f>M31+M22+M8</f>
        <v>0</v>
      </c>
      <c r="N35" s="316">
        <f t="shared" si="3"/>
        <v>0</v>
      </c>
      <c r="O35" s="39"/>
    </row>
    <row r="36" spans="1:15" x14ac:dyDescent="0.35">
      <c r="A36" s="332" t="s">
        <v>309</v>
      </c>
      <c r="B36" s="333" t="s">
        <v>334</v>
      </c>
      <c r="C36" s="334">
        <v>169769400</v>
      </c>
      <c r="D36" s="334">
        <v>0</v>
      </c>
      <c r="E36" s="334">
        <v>169769400</v>
      </c>
      <c r="F36" s="524">
        <v>174669834</v>
      </c>
      <c r="G36" s="524">
        <v>0</v>
      </c>
      <c r="H36" s="524">
        <v>174669834</v>
      </c>
      <c r="I36" s="524">
        <f>SUM(I37:I41)</f>
        <v>62946458</v>
      </c>
      <c r="J36" s="524">
        <f>SUM(J37:J41)</f>
        <v>0</v>
      </c>
      <c r="K36" s="524">
        <f t="shared" si="2"/>
        <v>62946458</v>
      </c>
      <c r="L36" s="524">
        <f>SUM(L37:L41)</f>
        <v>0</v>
      </c>
      <c r="M36" s="524">
        <f>SUM(M37:M41)</f>
        <v>0</v>
      </c>
      <c r="N36" s="524">
        <f t="shared" si="3"/>
        <v>0</v>
      </c>
      <c r="O36" s="39"/>
    </row>
    <row r="37" spans="1:15" x14ac:dyDescent="0.35">
      <c r="A37" s="335" t="s">
        <v>311</v>
      </c>
      <c r="B37" s="336" t="s">
        <v>286</v>
      </c>
      <c r="C37" s="337">
        <v>95106400</v>
      </c>
      <c r="D37" s="337">
        <v>0</v>
      </c>
      <c r="E37" s="647">
        <v>95106400</v>
      </c>
      <c r="F37" s="526">
        <v>98496400</v>
      </c>
      <c r="G37" s="526">
        <v>0</v>
      </c>
      <c r="H37" s="647">
        <v>98496400</v>
      </c>
      <c r="I37" s="526">
        <f>'5. melléklet'!K111+'5. melléklet'!K117+'5. melléklet'!K122</f>
        <v>35089560</v>
      </c>
      <c r="J37" s="526">
        <f>'5. melléklet'!J111+'5. melléklet'!J117+'5. melléklet'!J122</f>
        <v>0</v>
      </c>
      <c r="K37" s="647">
        <f t="shared" si="2"/>
        <v>35089560</v>
      </c>
      <c r="L37" s="526">
        <f>'5. melléklet'!N111+'5. melléklet'!N117+'5. melléklet'!N122</f>
        <v>0</v>
      </c>
      <c r="M37" s="526">
        <f>'5. melléklet'!M111+'5. melléklet'!M117+'5. melléklet'!M122</f>
        <v>0</v>
      </c>
      <c r="N37" s="647">
        <f t="shared" si="3"/>
        <v>0</v>
      </c>
      <c r="O37" s="39"/>
    </row>
    <row r="38" spans="1:15" x14ac:dyDescent="0.35">
      <c r="A38" s="335" t="s">
        <v>322</v>
      </c>
      <c r="B38" s="336" t="s">
        <v>335</v>
      </c>
      <c r="C38" s="337">
        <v>14743000</v>
      </c>
      <c r="D38" s="337">
        <v>0</v>
      </c>
      <c r="E38" s="647">
        <v>14743000</v>
      </c>
      <c r="F38" s="526">
        <v>14743000</v>
      </c>
      <c r="G38" s="526">
        <v>0</v>
      </c>
      <c r="H38" s="647">
        <v>14743000</v>
      </c>
      <c r="I38" s="526">
        <f>'5. melléklet'!K112+'5. melléklet'!K118+'5. melléklet'!K123</f>
        <v>5536600</v>
      </c>
      <c r="J38" s="526">
        <f>'5. melléklet'!J112+'5. melléklet'!J118+'5. melléklet'!J123</f>
        <v>0</v>
      </c>
      <c r="K38" s="647">
        <f t="shared" si="2"/>
        <v>5536600</v>
      </c>
      <c r="L38" s="526">
        <f>'5. melléklet'!N112+'5. melléklet'!N118+'5. melléklet'!N123</f>
        <v>0</v>
      </c>
      <c r="M38" s="526">
        <f>'5. melléklet'!M112+'5. melléklet'!M118+'5. melléklet'!M123</f>
        <v>0</v>
      </c>
      <c r="N38" s="647">
        <f t="shared" si="3"/>
        <v>0</v>
      </c>
      <c r="O38" s="39"/>
    </row>
    <row r="39" spans="1:15" x14ac:dyDescent="0.35">
      <c r="A39" s="335" t="s">
        <v>315</v>
      </c>
      <c r="B39" s="336" t="s">
        <v>292</v>
      </c>
      <c r="C39" s="337">
        <v>59920000</v>
      </c>
      <c r="D39" s="337">
        <v>0</v>
      </c>
      <c r="E39" s="647">
        <v>59920000</v>
      </c>
      <c r="F39" s="526">
        <v>60366294</v>
      </c>
      <c r="G39" s="526">
        <v>0</v>
      </c>
      <c r="H39" s="647">
        <v>60366294</v>
      </c>
      <c r="I39" s="526">
        <f>'5. melléklet'!K113+'5. melléklet'!K119+'5. melléklet'!K124+'5. melléklet'!K127</f>
        <v>22320298</v>
      </c>
      <c r="J39" s="526">
        <f>'5. melléklet'!J113+'5. melléklet'!J119+'5. melléklet'!J124</f>
        <v>0</v>
      </c>
      <c r="K39" s="647">
        <f t="shared" si="2"/>
        <v>22320298</v>
      </c>
      <c r="L39" s="526">
        <f>'5. melléklet'!N113+'5. melléklet'!N119+'5. melléklet'!N124+'5. melléklet'!N127</f>
        <v>0</v>
      </c>
      <c r="M39" s="526">
        <f>'5. melléklet'!M113+'5. melléklet'!M119+'5. melléklet'!M124</f>
        <v>0</v>
      </c>
      <c r="N39" s="647">
        <f t="shared" si="3"/>
        <v>0</v>
      </c>
      <c r="O39" s="39"/>
    </row>
    <row r="40" spans="1:15" x14ac:dyDescent="0.35">
      <c r="A40" s="335" t="s">
        <v>336</v>
      </c>
      <c r="B40" s="336" t="s">
        <v>337</v>
      </c>
      <c r="C40" s="337">
        <v>0</v>
      </c>
      <c r="D40" s="337">
        <v>0</v>
      </c>
      <c r="E40" s="337">
        <v>0</v>
      </c>
      <c r="F40" s="526">
        <v>0</v>
      </c>
      <c r="G40" s="526">
        <v>0</v>
      </c>
      <c r="H40" s="526">
        <v>0</v>
      </c>
      <c r="I40" s="526">
        <v>0</v>
      </c>
      <c r="J40" s="526">
        <v>0</v>
      </c>
      <c r="K40" s="526">
        <f t="shared" si="2"/>
        <v>0</v>
      </c>
      <c r="L40" s="526">
        <v>0</v>
      </c>
      <c r="M40" s="526">
        <v>0</v>
      </c>
      <c r="N40" s="526">
        <f t="shared" si="3"/>
        <v>0</v>
      </c>
      <c r="O40" s="39"/>
    </row>
    <row r="41" spans="1:15" x14ac:dyDescent="0.35">
      <c r="A41" s="335" t="s">
        <v>338</v>
      </c>
      <c r="B41" s="336" t="s">
        <v>339</v>
      </c>
      <c r="C41" s="337">
        <v>0</v>
      </c>
      <c r="D41" s="337">
        <v>0</v>
      </c>
      <c r="E41" s="337">
        <v>0</v>
      </c>
      <c r="F41" s="526">
        <v>1064140</v>
      </c>
      <c r="G41" s="526">
        <v>0</v>
      </c>
      <c r="H41" s="526">
        <v>1064140</v>
      </c>
      <c r="I41" s="526">
        <f>+'5. melléklet'!K114</f>
        <v>0</v>
      </c>
      <c r="J41" s="526">
        <v>0</v>
      </c>
      <c r="K41" s="526">
        <f t="shared" si="2"/>
        <v>0</v>
      </c>
      <c r="L41" s="526">
        <f>+'5. melléklet'!N114</f>
        <v>0</v>
      </c>
      <c r="M41" s="526">
        <v>0</v>
      </c>
      <c r="N41" s="526">
        <f t="shared" si="3"/>
        <v>0</v>
      </c>
      <c r="O41" s="39"/>
    </row>
    <row r="42" spans="1:15" x14ac:dyDescent="0.35">
      <c r="A42" s="332" t="s">
        <v>318</v>
      </c>
      <c r="B42" s="333" t="s">
        <v>340</v>
      </c>
      <c r="C42" s="334">
        <v>673100</v>
      </c>
      <c r="D42" s="334">
        <v>0</v>
      </c>
      <c r="E42" s="334">
        <v>673100</v>
      </c>
      <c r="F42" s="524">
        <v>3173100</v>
      </c>
      <c r="G42" s="524">
        <v>0</v>
      </c>
      <c r="H42" s="524">
        <v>3173100</v>
      </c>
      <c r="I42" s="524">
        <f>SUM(I43:I45)</f>
        <v>185584</v>
      </c>
      <c r="J42" s="524">
        <f>SUM(J43:J45)</f>
        <v>0</v>
      </c>
      <c r="K42" s="524">
        <f t="shared" si="2"/>
        <v>185584</v>
      </c>
      <c r="L42" s="524">
        <f>SUM(L43:L45)</f>
        <v>0</v>
      </c>
      <c r="M42" s="524">
        <f>SUM(M43:M45)</f>
        <v>0</v>
      </c>
      <c r="N42" s="524">
        <f t="shared" si="3"/>
        <v>0</v>
      </c>
      <c r="O42" s="39"/>
    </row>
    <row r="43" spans="1:15" x14ac:dyDescent="0.35">
      <c r="A43" s="335" t="s">
        <v>311</v>
      </c>
      <c r="B43" s="336" t="s">
        <v>341</v>
      </c>
      <c r="C43" s="337">
        <v>673100</v>
      </c>
      <c r="D43" s="337">
        <v>0</v>
      </c>
      <c r="E43" s="337">
        <v>673100</v>
      </c>
      <c r="F43" s="526">
        <v>3173100</v>
      </c>
      <c r="G43" s="526">
        <v>0</v>
      </c>
      <c r="H43" s="526">
        <v>3173100</v>
      </c>
      <c r="I43" s="526">
        <f>'5. melléklet'!K115+'5. melléklet'!K120+'5. melléklet'!K125</f>
        <v>185584</v>
      </c>
      <c r="J43" s="526">
        <f>'5. melléklet'!J115+'5. melléklet'!J120+'5. melléklet'!J125</f>
        <v>0</v>
      </c>
      <c r="K43" s="526">
        <f t="shared" si="2"/>
        <v>185584</v>
      </c>
      <c r="L43" s="526">
        <f>'5. melléklet'!N115+'5. melléklet'!N120+'5. melléklet'!N125</f>
        <v>0</v>
      </c>
      <c r="M43" s="526">
        <f>'5. melléklet'!M115+'5. melléklet'!M120+'5. melléklet'!M125</f>
        <v>0</v>
      </c>
      <c r="N43" s="526">
        <f t="shared" si="3"/>
        <v>0</v>
      </c>
      <c r="O43" s="39"/>
    </row>
    <row r="44" spans="1:15" x14ac:dyDescent="0.35">
      <c r="A44" s="335" t="s">
        <v>322</v>
      </c>
      <c r="B44" s="336" t="s">
        <v>342</v>
      </c>
      <c r="C44" s="337">
        <v>0</v>
      </c>
      <c r="D44" s="337">
        <v>0</v>
      </c>
      <c r="E44" s="337">
        <v>0</v>
      </c>
      <c r="F44" s="526">
        <v>0</v>
      </c>
      <c r="G44" s="526">
        <v>0</v>
      </c>
      <c r="H44" s="526">
        <v>0</v>
      </c>
      <c r="I44" s="526">
        <v>0</v>
      </c>
      <c r="J44" s="526">
        <v>0</v>
      </c>
      <c r="K44" s="526">
        <f t="shared" si="2"/>
        <v>0</v>
      </c>
      <c r="L44" s="526">
        <v>0</v>
      </c>
      <c r="M44" s="526">
        <v>0</v>
      </c>
      <c r="N44" s="526">
        <f t="shared" si="3"/>
        <v>0</v>
      </c>
      <c r="O44" s="39"/>
    </row>
    <row r="45" spans="1:15" x14ac:dyDescent="0.35">
      <c r="A45" s="335" t="s">
        <v>315</v>
      </c>
      <c r="B45" s="336" t="s">
        <v>343</v>
      </c>
      <c r="C45" s="337">
        <v>0</v>
      </c>
      <c r="D45" s="337">
        <v>0</v>
      </c>
      <c r="E45" s="337">
        <v>0</v>
      </c>
      <c r="F45" s="526">
        <v>0</v>
      </c>
      <c r="G45" s="526">
        <v>0</v>
      </c>
      <c r="H45" s="526">
        <v>0</v>
      </c>
      <c r="I45" s="526">
        <v>0</v>
      </c>
      <c r="J45" s="526">
        <v>0</v>
      </c>
      <c r="K45" s="526">
        <f t="shared" si="2"/>
        <v>0</v>
      </c>
      <c r="L45" s="526">
        <v>0</v>
      </c>
      <c r="M45" s="526">
        <v>0</v>
      </c>
      <c r="N45" s="526">
        <f t="shared" si="3"/>
        <v>0</v>
      </c>
      <c r="O45" s="39"/>
    </row>
    <row r="46" spans="1:15" x14ac:dyDescent="0.35">
      <c r="A46" s="343"/>
      <c r="B46" s="344" t="s">
        <v>344</v>
      </c>
      <c r="C46" s="316">
        <v>170442500</v>
      </c>
      <c r="D46" s="316">
        <v>0</v>
      </c>
      <c r="E46" s="316">
        <v>170442500</v>
      </c>
      <c r="F46" s="316">
        <v>177842934</v>
      </c>
      <c r="G46" s="316">
        <v>0</v>
      </c>
      <c r="H46" s="316">
        <v>177842934</v>
      </c>
      <c r="I46" s="316">
        <f>I36+I42</f>
        <v>63132042</v>
      </c>
      <c r="J46" s="316">
        <f>J36+J42</f>
        <v>0</v>
      </c>
      <c r="K46" s="316">
        <f t="shared" si="2"/>
        <v>63132042</v>
      </c>
      <c r="L46" s="316">
        <f>L36+L42</f>
        <v>0</v>
      </c>
      <c r="M46" s="316">
        <f>M36+M42</f>
        <v>0</v>
      </c>
      <c r="N46" s="316">
        <f t="shared" si="3"/>
        <v>0</v>
      </c>
      <c r="O46" s="39"/>
    </row>
    <row r="47" spans="1:15" x14ac:dyDescent="0.35">
      <c r="H47" s="39"/>
      <c r="K47" s="39">
        <f>+K46-H46</f>
        <v>-114710892</v>
      </c>
      <c r="N47" s="39">
        <f>+N46-K46</f>
        <v>-63132042</v>
      </c>
    </row>
  </sheetData>
  <mergeCells count="6">
    <mergeCell ref="L4:N4"/>
    <mergeCell ref="A4:A5"/>
    <mergeCell ref="C4:E4"/>
    <mergeCell ref="B4:B5"/>
    <mergeCell ref="F4:H4"/>
    <mergeCell ref="I4:K4"/>
  </mergeCells>
  <printOptions horizontalCentered="1"/>
  <pageMargins left="0.19685039370078741" right="0.19685039370078741" top="0.82677165354330717" bottom="0.19685039370078741" header="0.31496062992125984" footer="0.31496062992125984"/>
  <pageSetup paperSize="9" scale="47" fitToWidth="0" fitToHeight="0" orientation="portrait" copies="2" r:id="rId1"/>
  <headerFooter>
    <oddHeader>&amp;L4.6  melléklet&amp;C&amp;"-,Félkövér"&amp;16
A Segítő Kéz Szolgálat 2021. évi bevételei és kiadásai jogcímenként és feladatonként</oddHeader>
    <oddFooter>&amp;C&amp;P&amp;R&amp;D, &amp;T</oddFooter>
  </headerFooter>
  <colBreaks count="1" manualBreakCount="1">
    <brk id="11" max="4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47"/>
  <sheetViews>
    <sheetView view="pageBreakPreview" topLeftCell="A36" zoomScale="96" zoomScaleNormal="100" zoomScaleSheetLayoutView="96" workbookViewId="0">
      <selection activeCell="H47" sqref="H47"/>
    </sheetView>
  </sheetViews>
  <sheetFormatPr defaultRowHeight="14.5" x14ac:dyDescent="0.35"/>
  <cols>
    <col min="1" max="1" width="5.54296875" style="30" customWidth="1"/>
    <col min="2" max="2" width="41.1796875" customWidth="1"/>
    <col min="3" max="3" width="12.54296875" customWidth="1"/>
    <col min="4" max="4" width="12.453125" customWidth="1"/>
    <col min="5" max="5" width="12.81640625" customWidth="1"/>
    <col min="6" max="6" width="14.7265625" customWidth="1"/>
    <col min="7" max="7" width="11.81640625" customWidth="1"/>
    <col min="8" max="8" width="14.7265625" customWidth="1"/>
    <col min="9" max="9" width="14.7265625" hidden="1" customWidth="1"/>
    <col min="10" max="10" width="14.453125" hidden="1" customWidth="1"/>
    <col min="11" max="12" width="14.7265625" hidden="1" customWidth="1"/>
    <col min="13" max="13" width="9.54296875" hidden="1" customWidth="1"/>
    <col min="14" max="14" width="14.7265625" hidden="1" customWidth="1"/>
    <col min="15" max="15" width="12" customWidth="1"/>
  </cols>
  <sheetData>
    <row r="1" spans="1:14" x14ac:dyDescent="0.35">
      <c r="E1" s="31"/>
      <c r="H1" s="31" t="s">
        <v>1638</v>
      </c>
      <c r="K1" s="31" t="s">
        <v>1638</v>
      </c>
    </row>
    <row r="2" spans="1:14" ht="20.5" customHeight="1" x14ac:dyDescent="0.35">
      <c r="A2" s="328" t="s">
        <v>303</v>
      </c>
      <c r="B2" s="328" t="s">
        <v>1410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</row>
    <row r="3" spans="1:14" ht="19.149999999999999" customHeight="1" x14ac:dyDescent="0.35">
      <c r="A3" s="328" t="s">
        <v>304</v>
      </c>
      <c r="B3" s="328" t="s">
        <v>1456</v>
      </c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</row>
    <row r="4" spans="1:14" ht="39.4" customHeight="1" x14ac:dyDescent="0.35">
      <c r="A4" s="1066" t="s">
        <v>305</v>
      </c>
      <c r="B4" s="1091" t="s">
        <v>306</v>
      </c>
      <c r="C4" s="1063" t="s">
        <v>1794</v>
      </c>
      <c r="D4" s="1064"/>
      <c r="E4" s="1065"/>
      <c r="F4" s="1092" t="s">
        <v>1796</v>
      </c>
      <c r="G4" s="1064"/>
      <c r="H4" s="1065"/>
      <c r="I4" s="1092" t="s">
        <v>1799</v>
      </c>
      <c r="J4" s="1064"/>
      <c r="K4" s="1064"/>
      <c r="L4" s="1063"/>
      <c r="M4" s="1064"/>
      <c r="N4" s="1065"/>
    </row>
    <row r="5" spans="1:14" ht="43.5" x14ac:dyDescent="0.35">
      <c r="A5" s="1066"/>
      <c r="B5" s="1091"/>
      <c r="C5" s="539" t="s">
        <v>1289</v>
      </c>
      <c r="D5" s="539" t="s">
        <v>1290</v>
      </c>
      <c r="E5" s="539" t="s">
        <v>549</v>
      </c>
      <c r="F5" s="719" t="s">
        <v>1289</v>
      </c>
      <c r="G5" s="719" t="s">
        <v>1290</v>
      </c>
      <c r="H5" s="719" t="s">
        <v>549</v>
      </c>
      <c r="I5" s="719" t="s">
        <v>1289</v>
      </c>
      <c r="J5" s="719" t="s">
        <v>1290</v>
      </c>
      <c r="K5" s="719" t="s">
        <v>549</v>
      </c>
      <c r="L5" s="719" t="s">
        <v>1289</v>
      </c>
      <c r="M5" s="719" t="s">
        <v>1290</v>
      </c>
      <c r="N5" s="719" t="s">
        <v>549</v>
      </c>
    </row>
    <row r="6" spans="1:14" x14ac:dyDescent="0.35">
      <c r="A6" s="329"/>
      <c r="B6" s="330" t="s">
        <v>307</v>
      </c>
      <c r="C6" s="331">
        <v>24</v>
      </c>
      <c r="D6" s="331"/>
      <c r="E6" s="331">
        <f t="shared" ref="E6:E7" si="0">SUM(C6:D6)</f>
        <v>24</v>
      </c>
      <c r="F6" s="331">
        <v>24</v>
      </c>
      <c r="G6" s="331"/>
      <c r="H6" s="331">
        <f t="shared" ref="H6:H7" si="1">SUM(F6:G6)</f>
        <v>24</v>
      </c>
      <c r="I6" s="331">
        <v>24</v>
      </c>
      <c r="J6" s="331"/>
      <c r="K6" s="331">
        <f t="shared" ref="K6:K46" si="2">SUM(I6:J6)</f>
        <v>24</v>
      </c>
      <c r="L6" s="331">
        <v>24</v>
      </c>
      <c r="M6" s="331"/>
      <c r="N6" s="331">
        <f t="shared" ref="N6:N46" si="3">SUM(L6:M6)</f>
        <v>24</v>
      </c>
    </row>
    <row r="7" spans="1:14" x14ac:dyDescent="0.35">
      <c r="A7" s="329"/>
      <c r="B7" s="330" t="s">
        <v>308</v>
      </c>
      <c r="C7" s="331"/>
      <c r="D7" s="331"/>
      <c r="E7" s="331">
        <f t="shared" si="0"/>
        <v>0</v>
      </c>
      <c r="F7" s="331"/>
      <c r="G7" s="331"/>
      <c r="H7" s="331">
        <f t="shared" si="1"/>
        <v>0</v>
      </c>
      <c r="I7" s="331"/>
      <c r="J7" s="331"/>
      <c r="K7" s="331">
        <f t="shared" si="2"/>
        <v>0</v>
      </c>
      <c r="L7" s="331"/>
      <c r="M7" s="331"/>
      <c r="N7" s="331">
        <f t="shared" si="3"/>
        <v>0</v>
      </c>
    </row>
    <row r="8" spans="1:14" x14ac:dyDescent="0.35">
      <c r="A8" s="332" t="s">
        <v>309</v>
      </c>
      <c r="B8" s="333" t="s">
        <v>310</v>
      </c>
      <c r="C8" s="334">
        <v>6985000</v>
      </c>
      <c r="D8" s="334">
        <v>0</v>
      </c>
      <c r="E8" s="334">
        <v>6985000</v>
      </c>
      <c r="F8" s="524">
        <v>6985000</v>
      </c>
      <c r="G8" s="524">
        <v>0</v>
      </c>
      <c r="H8" s="524">
        <v>6985000</v>
      </c>
      <c r="I8" s="524">
        <f>I9+I11+I20</f>
        <v>2831871</v>
      </c>
      <c r="J8" s="524">
        <f>J9+J11+J20</f>
        <v>0</v>
      </c>
      <c r="K8" s="524">
        <f t="shared" si="2"/>
        <v>2831871</v>
      </c>
      <c r="L8" s="524">
        <f>L9+L11+L20</f>
        <v>0</v>
      </c>
      <c r="M8" s="524">
        <f>M9+M11+M20</f>
        <v>0</v>
      </c>
      <c r="N8" s="524">
        <f t="shared" si="3"/>
        <v>0</v>
      </c>
    </row>
    <row r="9" spans="1:14" x14ac:dyDescent="0.35">
      <c r="A9" s="335" t="s">
        <v>311</v>
      </c>
      <c r="B9" s="336" t="s">
        <v>312</v>
      </c>
      <c r="C9" s="337">
        <v>0</v>
      </c>
      <c r="D9" s="337">
        <v>0</v>
      </c>
      <c r="E9" s="337">
        <v>0</v>
      </c>
      <c r="F9" s="526">
        <v>0</v>
      </c>
      <c r="G9" s="526">
        <v>0</v>
      </c>
      <c r="H9" s="526">
        <v>0</v>
      </c>
      <c r="I9" s="526">
        <f>I10</f>
        <v>0</v>
      </c>
      <c r="J9" s="526">
        <f>J10</f>
        <v>0</v>
      </c>
      <c r="K9" s="526">
        <f t="shared" si="2"/>
        <v>0</v>
      </c>
      <c r="L9" s="526">
        <f>L10</f>
        <v>0</v>
      </c>
      <c r="M9" s="526">
        <f>M10</f>
        <v>0</v>
      </c>
      <c r="N9" s="526">
        <f t="shared" si="3"/>
        <v>0</v>
      </c>
    </row>
    <row r="10" spans="1:14" ht="30.25" hidden="1" customHeight="1" x14ac:dyDescent="0.35">
      <c r="A10" s="370"/>
      <c r="B10" s="338" t="s">
        <v>313</v>
      </c>
      <c r="C10" s="258">
        <v>0</v>
      </c>
      <c r="D10" s="258">
        <v>0</v>
      </c>
      <c r="E10" s="258">
        <v>0</v>
      </c>
      <c r="F10" s="258">
        <v>0</v>
      </c>
      <c r="G10" s="258">
        <v>0</v>
      </c>
      <c r="H10" s="258">
        <v>0</v>
      </c>
      <c r="I10" s="258">
        <v>0</v>
      </c>
      <c r="J10" s="258">
        <v>0</v>
      </c>
      <c r="K10" s="258">
        <f t="shared" si="2"/>
        <v>0</v>
      </c>
      <c r="L10" s="258">
        <v>0</v>
      </c>
      <c r="M10" s="258">
        <v>0</v>
      </c>
      <c r="N10" s="258">
        <f t="shared" si="3"/>
        <v>0</v>
      </c>
    </row>
    <row r="11" spans="1:14" x14ac:dyDescent="0.35">
      <c r="A11" s="335" t="s">
        <v>322</v>
      </c>
      <c r="B11" s="336" t="s">
        <v>314</v>
      </c>
      <c r="C11" s="337">
        <v>6985000</v>
      </c>
      <c r="D11" s="337">
        <v>0</v>
      </c>
      <c r="E11" s="337">
        <v>6985000</v>
      </c>
      <c r="F11" s="526">
        <v>6985000</v>
      </c>
      <c r="G11" s="526">
        <v>0</v>
      </c>
      <c r="H11" s="526">
        <v>6985000</v>
      </c>
      <c r="I11" s="526">
        <f>I12+I13+I14+I15+I16+I17+I18+I19</f>
        <v>2831871</v>
      </c>
      <c r="J11" s="526">
        <f>J12+J13+J14+J15+J16+J17+J18+J19</f>
        <v>0</v>
      </c>
      <c r="K11" s="526">
        <f t="shared" ref="K11" si="4">SUM(I11:J11)</f>
        <v>2831871</v>
      </c>
      <c r="L11" s="526">
        <f>L12+L13+L14+L15+L16+L17+L18+L19</f>
        <v>0</v>
      </c>
      <c r="M11" s="526">
        <f>M12+M13+M14+M15+M16+M17+M18+M19</f>
        <v>0</v>
      </c>
      <c r="N11" s="526">
        <f t="shared" si="3"/>
        <v>0</v>
      </c>
    </row>
    <row r="12" spans="1:14" x14ac:dyDescent="0.35">
      <c r="A12" s="370"/>
      <c r="B12" s="338" t="s">
        <v>644</v>
      </c>
      <c r="C12" s="258">
        <v>0</v>
      </c>
      <c r="D12" s="258">
        <v>0</v>
      </c>
      <c r="E12" s="258">
        <v>0</v>
      </c>
      <c r="F12" s="258">
        <v>0</v>
      </c>
      <c r="G12" s="258">
        <v>0</v>
      </c>
      <c r="H12" s="258">
        <v>0</v>
      </c>
      <c r="I12" s="258">
        <v>0</v>
      </c>
      <c r="J12" s="258">
        <v>0</v>
      </c>
      <c r="K12" s="258">
        <f t="shared" ref="K12:K19" si="5">SUM(I12:J12)</f>
        <v>0</v>
      </c>
      <c r="L12" s="258">
        <v>0</v>
      </c>
      <c r="M12" s="258">
        <v>0</v>
      </c>
      <c r="N12" s="258">
        <f t="shared" si="3"/>
        <v>0</v>
      </c>
    </row>
    <row r="13" spans="1:14" x14ac:dyDescent="0.35">
      <c r="A13" s="370"/>
      <c r="B13" s="338" t="s">
        <v>645</v>
      </c>
      <c r="C13" s="258">
        <v>0</v>
      </c>
      <c r="D13" s="258">
        <v>0</v>
      </c>
      <c r="E13" s="258">
        <v>0</v>
      </c>
      <c r="F13" s="258">
        <v>0</v>
      </c>
      <c r="G13" s="258">
        <v>0</v>
      </c>
      <c r="H13" s="258">
        <v>0</v>
      </c>
      <c r="I13" s="258">
        <v>0</v>
      </c>
      <c r="J13" s="258">
        <v>0</v>
      </c>
      <c r="K13" s="258">
        <f t="shared" si="5"/>
        <v>0</v>
      </c>
      <c r="L13" s="258">
        <v>0</v>
      </c>
      <c r="M13" s="258">
        <v>0</v>
      </c>
      <c r="N13" s="258">
        <f t="shared" si="3"/>
        <v>0</v>
      </c>
    </row>
    <row r="14" spans="1:14" x14ac:dyDescent="0.35">
      <c r="A14" s="370"/>
      <c r="B14" s="338" t="s">
        <v>652</v>
      </c>
      <c r="C14" s="258">
        <v>0</v>
      </c>
      <c r="D14" s="258">
        <v>0</v>
      </c>
      <c r="E14" s="258">
        <v>0</v>
      </c>
      <c r="F14" s="258">
        <v>0</v>
      </c>
      <c r="G14" s="258">
        <v>0</v>
      </c>
      <c r="H14" s="258">
        <v>0</v>
      </c>
      <c r="I14" s="258">
        <v>0</v>
      </c>
      <c r="J14" s="258">
        <v>0</v>
      </c>
      <c r="K14" s="258">
        <f t="shared" si="5"/>
        <v>0</v>
      </c>
      <c r="L14" s="258"/>
      <c r="M14" s="258">
        <v>0</v>
      </c>
      <c r="N14" s="258">
        <f t="shared" si="3"/>
        <v>0</v>
      </c>
    </row>
    <row r="15" spans="1:14" x14ac:dyDescent="0.35">
      <c r="A15" s="370"/>
      <c r="B15" s="338" t="s">
        <v>653</v>
      </c>
      <c r="C15" s="258">
        <v>5500000</v>
      </c>
      <c r="D15" s="258">
        <v>0</v>
      </c>
      <c r="E15" s="258">
        <v>5500000</v>
      </c>
      <c r="F15" s="258">
        <v>5500000</v>
      </c>
      <c r="G15" s="258">
        <v>0</v>
      </c>
      <c r="H15" s="258">
        <v>5500000</v>
      </c>
      <c r="I15" s="258">
        <f>1470330+1070281</f>
        <v>2540611</v>
      </c>
      <c r="J15" s="258">
        <v>0</v>
      </c>
      <c r="K15" s="258">
        <f t="shared" si="5"/>
        <v>2540611</v>
      </c>
      <c r="L15" s="258"/>
      <c r="M15" s="258">
        <v>0</v>
      </c>
      <c r="N15" s="258">
        <f t="shared" si="3"/>
        <v>0</v>
      </c>
    </row>
    <row r="16" spans="1:14" x14ac:dyDescent="0.35">
      <c r="A16" s="370"/>
      <c r="B16" s="338" t="s">
        <v>654</v>
      </c>
      <c r="C16" s="258">
        <v>1485000</v>
      </c>
      <c r="D16" s="258">
        <v>0</v>
      </c>
      <c r="E16" s="258">
        <v>1485000</v>
      </c>
      <c r="F16" s="258">
        <v>1485000</v>
      </c>
      <c r="G16" s="258">
        <v>0</v>
      </c>
      <c r="H16" s="258">
        <v>1485000</v>
      </c>
      <c r="I16" s="258">
        <v>288965</v>
      </c>
      <c r="J16" s="258">
        <v>0</v>
      </c>
      <c r="K16" s="258">
        <f t="shared" si="5"/>
        <v>288965</v>
      </c>
      <c r="L16" s="258"/>
      <c r="M16" s="258">
        <v>0</v>
      </c>
      <c r="N16" s="258">
        <f t="shared" si="3"/>
        <v>0</v>
      </c>
    </row>
    <row r="17" spans="1:14" x14ac:dyDescent="0.35">
      <c r="A17" s="370"/>
      <c r="B17" s="338" t="s">
        <v>655</v>
      </c>
      <c r="C17" s="258">
        <v>0</v>
      </c>
      <c r="D17" s="258">
        <v>0</v>
      </c>
      <c r="E17" s="258">
        <v>0</v>
      </c>
      <c r="F17" s="258"/>
      <c r="G17" s="258">
        <v>0</v>
      </c>
      <c r="H17" s="258">
        <v>0</v>
      </c>
      <c r="I17" s="258"/>
      <c r="J17" s="258">
        <v>0</v>
      </c>
      <c r="K17" s="258">
        <f t="shared" si="5"/>
        <v>0</v>
      </c>
      <c r="L17" s="258"/>
      <c r="M17" s="258">
        <v>0</v>
      </c>
      <c r="N17" s="258">
        <f t="shared" si="3"/>
        <v>0</v>
      </c>
    </row>
    <row r="18" spans="1:14" x14ac:dyDescent="0.35">
      <c r="A18" s="370"/>
      <c r="B18" s="338" t="s">
        <v>656</v>
      </c>
      <c r="C18" s="258">
        <v>0</v>
      </c>
      <c r="D18" s="258">
        <v>0</v>
      </c>
      <c r="E18" s="258">
        <v>0</v>
      </c>
      <c r="F18" s="258">
        <v>0</v>
      </c>
      <c r="G18" s="258">
        <v>0</v>
      </c>
      <c r="H18" s="258">
        <v>0</v>
      </c>
      <c r="I18" s="258"/>
      <c r="J18" s="258">
        <v>0</v>
      </c>
      <c r="K18" s="258">
        <f t="shared" si="5"/>
        <v>0</v>
      </c>
      <c r="L18" s="258"/>
      <c r="M18" s="258">
        <v>0</v>
      </c>
      <c r="N18" s="258">
        <f t="shared" si="3"/>
        <v>0</v>
      </c>
    </row>
    <row r="19" spans="1:14" x14ac:dyDescent="0.35">
      <c r="A19" s="370"/>
      <c r="B19" s="338" t="s">
        <v>657</v>
      </c>
      <c r="C19" s="258">
        <v>0</v>
      </c>
      <c r="D19" s="258">
        <v>0</v>
      </c>
      <c r="E19" s="258">
        <v>0</v>
      </c>
      <c r="F19" s="258">
        <v>0</v>
      </c>
      <c r="G19" s="258">
        <v>0</v>
      </c>
      <c r="H19" s="258">
        <v>0</v>
      </c>
      <c r="I19" s="258">
        <v>2295</v>
      </c>
      <c r="J19" s="258">
        <v>0</v>
      </c>
      <c r="K19" s="258">
        <f t="shared" si="5"/>
        <v>2295</v>
      </c>
      <c r="L19" s="258">
        <v>0</v>
      </c>
      <c r="M19" s="258">
        <v>0</v>
      </c>
      <c r="N19" s="258">
        <f t="shared" si="3"/>
        <v>0</v>
      </c>
    </row>
    <row r="20" spans="1:14" x14ac:dyDescent="0.35">
      <c r="A20" s="335" t="s">
        <v>315</v>
      </c>
      <c r="B20" s="336" t="s">
        <v>316</v>
      </c>
      <c r="C20" s="337">
        <v>0</v>
      </c>
      <c r="D20" s="337">
        <v>0</v>
      </c>
      <c r="E20" s="337">
        <v>0</v>
      </c>
      <c r="F20" s="526">
        <v>0</v>
      </c>
      <c r="G20" s="526">
        <v>0</v>
      </c>
      <c r="H20" s="526">
        <v>0</v>
      </c>
      <c r="I20" s="526">
        <f>SUM(I21:I21)</f>
        <v>0</v>
      </c>
      <c r="J20" s="526">
        <f>SUM(J21:J21)</f>
        <v>0</v>
      </c>
      <c r="K20" s="526">
        <f t="shared" si="2"/>
        <v>0</v>
      </c>
      <c r="L20" s="526">
        <f>SUM(L21:L21)</f>
        <v>0</v>
      </c>
      <c r="M20" s="526">
        <f>SUM(M21:M21)</f>
        <v>0</v>
      </c>
      <c r="N20" s="526">
        <f t="shared" si="3"/>
        <v>0</v>
      </c>
    </row>
    <row r="21" spans="1:14" ht="15" hidden="1" customHeight="1" x14ac:dyDescent="0.35">
      <c r="A21" s="370"/>
      <c r="B21" s="338" t="s">
        <v>317</v>
      </c>
      <c r="C21" s="258">
        <v>0</v>
      </c>
      <c r="D21" s="258">
        <v>0</v>
      </c>
      <c r="E21" s="258">
        <v>0</v>
      </c>
      <c r="F21" s="258">
        <v>0</v>
      </c>
      <c r="G21" s="258">
        <v>0</v>
      </c>
      <c r="H21" s="258">
        <v>0</v>
      </c>
      <c r="I21" s="258">
        <v>0</v>
      </c>
      <c r="J21" s="258">
        <v>0</v>
      </c>
      <c r="K21" s="258">
        <f t="shared" si="2"/>
        <v>0</v>
      </c>
      <c r="L21" s="258">
        <v>0</v>
      </c>
      <c r="M21" s="258">
        <v>0</v>
      </c>
      <c r="N21" s="258">
        <f t="shared" si="3"/>
        <v>0</v>
      </c>
    </row>
    <row r="22" spans="1:14" x14ac:dyDescent="0.35">
      <c r="A22" s="332" t="s">
        <v>318</v>
      </c>
      <c r="B22" s="333" t="s">
        <v>319</v>
      </c>
      <c r="C22" s="334">
        <v>0</v>
      </c>
      <c r="D22" s="334">
        <v>0</v>
      </c>
      <c r="E22" s="334">
        <v>0</v>
      </c>
      <c r="F22" s="524">
        <v>0</v>
      </c>
      <c r="G22" s="524">
        <v>0</v>
      </c>
      <c r="H22" s="524">
        <v>0</v>
      </c>
      <c r="I22" s="524">
        <f>I23+I25+I28</f>
        <v>0</v>
      </c>
      <c r="J22" s="524">
        <f>J23+J25+J28</f>
        <v>0</v>
      </c>
      <c r="K22" s="524">
        <f t="shared" si="2"/>
        <v>0</v>
      </c>
      <c r="L22" s="524">
        <f>L23+L25+L28</f>
        <v>0</v>
      </c>
      <c r="M22" s="524">
        <f>M23+M25+M28</f>
        <v>0</v>
      </c>
      <c r="N22" s="524">
        <f t="shared" si="3"/>
        <v>0</v>
      </c>
    </row>
    <row r="23" spans="1:14" ht="15" hidden="1" customHeight="1" x14ac:dyDescent="0.35">
      <c r="A23" s="335" t="s">
        <v>311</v>
      </c>
      <c r="B23" s="336" t="s">
        <v>320</v>
      </c>
      <c r="C23" s="337">
        <v>0</v>
      </c>
      <c r="D23" s="337">
        <v>0</v>
      </c>
      <c r="E23" s="337">
        <v>0</v>
      </c>
      <c r="F23" s="526">
        <v>0</v>
      </c>
      <c r="G23" s="526">
        <v>0</v>
      </c>
      <c r="H23" s="526">
        <v>0</v>
      </c>
      <c r="I23" s="526">
        <f>SUM(I24:I24)</f>
        <v>0</v>
      </c>
      <c r="J23" s="526">
        <f>SUM(J24:J24)</f>
        <v>0</v>
      </c>
      <c r="K23" s="526">
        <f t="shared" si="2"/>
        <v>0</v>
      </c>
      <c r="L23" s="526">
        <f>SUM(L24:L24)</f>
        <v>0</v>
      </c>
      <c r="M23" s="526">
        <f>SUM(M24:M24)</f>
        <v>0</v>
      </c>
      <c r="N23" s="526">
        <f t="shared" si="3"/>
        <v>0</v>
      </c>
    </row>
    <row r="24" spans="1:14" ht="30" hidden="1" customHeight="1" x14ac:dyDescent="0.35">
      <c r="A24" s="370"/>
      <c r="B24" s="257" t="s">
        <v>321</v>
      </c>
      <c r="C24" s="258">
        <v>0</v>
      </c>
      <c r="D24" s="258">
        <v>0</v>
      </c>
      <c r="E24" s="258">
        <v>0</v>
      </c>
      <c r="F24" s="258">
        <v>0</v>
      </c>
      <c r="G24" s="258">
        <v>0</v>
      </c>
      <c r="H24" s="258">
        <v>0</v>
      </c>
      <c r="I24" s="258">
        <v>0</v>
      </c>
      <c r="J24" s="258">
        <v>0</v>
      </c>
      <c r="K24" s="258">
        <f t="shared" si="2"/>
        <v>0</v>
      </c>
      <c r="L24" s="258">
        <v>0</v>
      </c>
      <c r="M24" s="258">
        <v>0</v>
      </c>
      <c r="N24" s="258">
        <f t="shared" si="3"/>
        <v>0</v>
      </c>
    </row>
    <row r="25" spans="1:14" ht="15" hidden="1" customHeight="1" x14ac:dyDescent="0.35">
      <c r="A25" s="335" t="s">
        <v>322</v>
      </c>
      <c r="B25" s="336" t="s">
        <v>257</v>
      </c>
      <c r="C25" s="337">
        <v>0</v>
      </c>
      <c r="D25" s="337">
        <v>0</v>
      </c>
      <c r="E25" s="337">
        <v>0</v>
      </c>
      <c r="F25" s="526">
        <v>0</v>
      </c>
      <c r="G25" s="526">
        <v>0</v>
      </c>
      <c r="H25" s="526">
        <v>0</v>
      </c>
      <c r="I25" s="526">
        <f>SUM(I26:I27)</f>
        <v>0</v>
      </c>
      <c r="J25" s="526">
        <f>SUM(J26:J27)</f>
        <v>0</v>
      </c>
      <c r="K25" s="526">
        <f t="shared" si="2"/>
        <v>0</v>
      </c>
      <c r="L25" s="526">
        <f>SUM(L26:L27)</f>
        <v>0</v>
      </c>
      <c r="M25" s="526">
        <f>SUM(M26:M27)</f>
        <v>0</v>
      </c>
      <c r="N25" s="526">
        <f t="shared" si="3"/>
        <v>0</v>
      </c>
    </row>
    <row r="26" spans="1:14" ht="15" hidden="1" customHeight="1" x14ac:dyDescent="0.35">
      <c r="A26" s="370"/>
      <c r="B26" s="340" t="s">
        <v>323</v>
      </c>
      <c r="C26" s="258">
        <v>0</v>
      </c>
      <c r="D26" s="258">
        <v>0</v>
      </c>
      <c r="E26" s="258">
        <v>0</v>
      </c>
      <c r="F26" s="258">
        <v>0</v>
      </c>
      <c r="G26" s="258">
        <v>0</v>
      </c>
      <c r="H26" s="258">
        <v>0</v>
      </c>
      <c r="I26" s="258">
        <v>0</v>
      </c>
      <c r="J26" s="258">
        <v>0</v>
      </c>
      <c r="K26" s="258">
        <f t="shared" si="2"/>
        <v>0</v>
      </c>
      <c r="L26" s="258">
        <v>0</v>
      </c>
      <c r="M26" s="258">
        <v>0</v>
      </c>
      <c r="N26" s="258">
        <f t="shared" si="3"/>
        <v>0</v>
      </c>
    </row>
    <row r="27" spans="1:14" ht="15" hidden="1" customHeight="1" x14ac:dyDescent="0.35">
      <c r="A27" s="370"/>
      <c r="B27" s="340" t="s">
        <v>324</v>
      </c>
      <c r="C27" s="258">
        <v>0</v>
      </c>
      <c r="D27" s="258">
        <v>0</v>
      </c>
      <c r="E27" s="258">
        <v>0</v>
      </c>
      <c r="F27" s="258">
        <v>0</v>
      </c>
      <c r="G27" s="258">
        <v>0</v>
      </c>
      <c r="H27" s="258">
        <v>0</v>
      </c>
      <c r="I27" s="258">
        <v>0</v>
      </c>
      <c r="J27" s="258">
        <v>0</v>
      </c>
      <c r="K27" s="258">
        <f t="shared" si="2"/>
        <v>0</v>
      </c>
      <c r="L27" s="258">
        <v>0</v>
      </c>
      <c r="M27" s="258">
        <v>0</v>
      </c>
      <c r="N27" s="258">
        <f t="shared" si="3"/>
        <v>0</v>
      </c>
    </row>
    <row r="28" spans="1:14" ht="15" hidden="1" customHeight="1" x14ac:dyDescent="0.35">
      <c r="A28" s="335" t="s">
        <v>315</v>
      </c>
      <c r="B28" s="336" t="s">
        <v>325</v>
      </c>
      <c r="C28" s="337">
        <v>0</v>
      </c>
      <c r="D28" s="337">
        <v>0</v>
      </c>
      <c r="E28" s="337">
        <v>0</v>
      </c>
      <c r="F28" s="526">
        <v>0</v>
      </c>
      <c r="G28" s="526">
        <v>0</v>
      </c>
      <c r="H28" s="526">
        <v>0</v>
      </c>
      <c r="I28" s="526">
        <f>SUM(I29:I29)</f>
        <v>0</v>
      </c>
      <c r="J28" s="526">
        <f>SUM(J29:J29)</f>
        <v>0</v>
      </c>
      <c r="K28" s="526">
        <f t="shared" si="2"/>
        <v>0</v>
      </c>
      <c r="L28" s="526">
        <f>SUM(L29:L29)</f>
        <v>0</v>
      </c>
      <c r="M28" s="526">
        <f>SUM(M29:M29)</f>
        <v>0</v>
      </c>
      <c r="N28" s="526">
        <f t="shared" si="3"/>
        <v>0</v>
      </c>
    </row>
    <row r="29" spans="1:14" ht="15" hidden="1" customHeight="1" x14ac:dyDescent="0.35">
      <c r="A29" s="370"/>
      <c r="B29" s="340" t="s">
        <v>326</v>
      </c>
      <c r="C29" s="258">
        <v>0</v>
      </c>
      <c r="D29" s="258">
        <v>0</v>
      </c>
      <c r="E29" s="258">
        <v>0</v>
      </c>
      <c r="F29" s="258">
        <v>0</v>
      </c>
      <c r="G29" s="258">
        <v>0</v>
      </c>
      <c r="H29" s="258">
        <v>0</v>
      </c>
      <c r="I29" s="258">
        <v>0</v>
      </c>
      <c r="J29" s="258">
        <v>0</v>
      </c>
      <c r="K29" s="258">
        <f t="shared" si="2"/>
        <v>0</v>
      </c>
      <c r="L29" s="258">
        <v>0</v>
      </c>
      <c r="M29" s="258">
        <v>0</v>
      </c>
      <c r="N29" s="258">
        <f t="shared" si="3"/>
        <v>0</v>
      </c>
    </row>
    <row r="30" spans="1:14" x14ac:dyDescent="0.35">
      <c r="A30" s="368"/>
      <c r="B30" s="341" t="s">
        <v>327</v>
      </c>
      <c r="C30" s="342">
        <v>6985000</v>
      </c>
      <c r="D30" s="342">
        <v>0</v>
      </c>
      <c r="E30" s="342">
        <v>6985000</v>
      </c>
      <c r="F30" s="534">
        <v>6985000</v>
      </c>
      <c r="G30" s="534">
        <v>0</v>
      </c>
      <c r="H30" s="534">
        <v>6985000</v>
      </c>
      <c r="I30" s="534">
        <f>I22+I8</f>
        <v>2831871</v>
      </c>
      <c r="J30" s="534">
        <f>J22+J8</f>
        <v>0</v>
      </c>
      <c r="K30" s="534">
        <f t="shared" si="2"/>
        <v>2831871</v>
      </c>
      <c r="L30" s="534">
        <f>L22+L8</f>
        <v>0</v>
      </c>
      <c r="M30" s="534">
        <f>M22+M8</f>
        <v>0</v>
      </c>
      <c r="N30" s="534">
        <f t="shared" si="3"/>
        <v>0</v>
      </c>
    </row>
    <row r="31" spans="1:14" x14ac:dyDescent="0.35">
      <c r="A31" s="332" t="s">
        <v>328</v>
      </c>
      <c r="B31" s="333" t="s">
        <v>329</v>
      </c>
      <c r="C31" s="334">
        <v>151226280</v>
      </c>
      <c r="D31" s="334">
        <v>0</v>
      </c>
      <c r="E31" s="334">
        <v>151226280</v>
      </c>
      <c r="F31" s="524">
        <v>158565933</v>
      </c>
      <c r="G31" s="524">
        <v>0</v>
      </c>
      <c r="H31" s="524">
        <v>158565933</v>
      </c>
      <c r="I31" s="524">
        <f>I32</f>
        <v>63609835</v>
      </c>
      <c r="J31" s="524">
        <f>J32</f>
        <v>0</v>
      </c>
      <c r="K31" s="524">
        <f t="shared" si="2"/>
        <v>63609835</v>
      </c>
      <c r="L31" s="524">
        <f>L32</f>
        <v>0</v>
      </c>
      <c r="M31" s="524">
        <f>M32</f>
        <v>0</v>
      </c>
      <c r="N31" s="524">
        <f t="shared" si="3"/>
        <v>0</v>
      </c>
    </row>
    <row r="32" spans="1:14" x14ac:dyDescent="0.35">
      <c r="A32" s="335" t="s">
        <v>311</v>
      </c>
      <c r="B32" s="336" t="s">
        <v>330</v>
      </c>
      <c r="C32" s="337">
        <v>151226280</v>
      </c>
      <c r="D32" s="337">
        <v>0</v>
      </c>
      <c r="E32" s="337">
        <v>151226280</v>
      </c>
      <c r="F32" s="526">
        <v>158565933</v>
      </c>
      <c r="G32" s="526">
        <v>0</v>
      </c>
      <c r="H32" s="526">
        <v>158565933</v>
      </c>
      <c r="I32" s="526">
        <f>SUM(I33:I34)</f>
        <v>63609835</v>
      </c>
      <c r="J32" s="526">
        <f>SUM(J33:J34)</f>
        <v>0</v>
      </c>
      <c r="K32" s="526">
        <f t="shared" si="2"/>
        <v>63609835</v>
      </c>
      <c r="L32" s="526">
        <f>SUM(L33:L34)</f>
        <v>0</v>
      </c>
      <c r="M32" s="526">
        <f>SUM(M33:M34)</f>
        <v>0</v>
      </c>
      <c r="N32" s="526">
        <f t="shared" si="3"/>
        <v>0</v>
      </c>
    </row>
    <row r="33" spans="1:15" x14ac:dyDescent="0.35">
      <c r="A33" s="370"/>
      <c r="B33" s="340" t="s">
        <v>331</v>
      </c>
      <c r="C33" s="258"/>
      <c r="D33" s="258">
        <v>0</v>
      </c>
      <c r="E33" s="258">
        <v>0</v>
      </c>
      <c r="F33" s="258">
        <v>3314653</v>
      </c>
      <c r="G33" s="258">
        <v>0</v>
      </c>
      <c r="H33" s="258">
        <v>3314653</v>
      </c>
      <c r="I33" s="258">
        <v>3314653</v>
      </c>
      <c r="J33" s="258">
        <v>0</v>
      </c>
      <c r="K33" s="258">
        <f t="shared" si="2"/>
        <v>3314653</v>
      </c>
      <c r="L33" s="258"/>
      <c r="M33" s="258">
        <v>0</v>
      </c>
      <c r="N33" s="258">
        <f t="shared" si="3"/>
        <v>0</v>
      </c>
    </row>
    <row r="34" spans="1:15" x14ac:dyDescent="0.35">
      <c r="A34" s="370"/>
      <c r="B34" s="340" t="s">
        <v>332</v>
      </c>
      <c r="C34" s="258">
        <v>151226280</v>
      </c>
      <c r="D34" s="258">
        <v>0</v>
      </c>
      <c r="E34" s="258">
        <v>151226280</v>
      </c>
      <c r="F34" s="258">
        <v>155251280</v>
      </c>
      <c r="G34" s="258">
        <v>0</v>
      </c>
      <c r="H34" s="258">
        <v>155251280</v>
      </c>
      <c r="I34" s="258">
        <v>60295182</v>
      </c>
      <c r="J34" s="258">
        <f>J36+J42-J30-J33</f>
        <v>0</v>
      </c>
      <c r="K34" s="258">
        <f t="shared" si="2"/>
        <v>60295182</v>
      </c>
      <c r="L34" s="258">
        <f>L36+L42-L30-L33</f>
        <v>0</v>
      </c>
      <c r="M34" s="258">
        <f>M36+M42-M30-M33</f>
        <v>0</v>
      </c>
      <c r="N34" s="258">
        <f t="shared" si="3"/>
        <v>0</v>
      </c>
    </row>
    <row r="35" spans="1:15" x14ac:dyDescent="0.35">
      <c r="A35" s="343"/>
      <c r="B35" s="344" t="s">
        <v>333</v>
      </c>
      <c r="C35" s="316">
        <v>158211280</v>
      </c>
      <c r="D35" s="316">
        <v>0</v>
      </c>
      <c r="E35" s="316">
        <v>158211280</v>
      </c>
      <c r="F35" s="316">
        <v>165550933</v>
      </c>
      <c r="G35" s="316">
        <v>0</v>
      </c>
      <c r="H35" s="316">
        <v>165550933</v>
      </c>
      <c r="I35" s="316">
        <f>I31+I22+I8</f>
        <v>66441706</v>
      </c>
      <c r="J35" s="316">
        <f>J31+J22+J8</f>
        <v>0</v>
      </c>
      <c r="K35" s="316">
        <f t="shared" si="2"/>
        <v>66441706</v>
      </c>
      <c r="L35" s="316">
        <f>L31+L22+L8</f>
        <v>0</v>
      </c>
      <c r="M35" s="316">
        <f>M31+M22+M8</f>
        <v>0</v>
      </c>
      <c r="N35" s="316">
        <f t="shared" si="3"/>
        <v>0</v>
      </c>
      <c r="O35" s="39"/>
    </row>
    <row r="36" spans="1:15" x14ac:dyDescent="0.35">
      <c r="A36" s="332" t="s">
        <v>309</v>
      </c>
      <c r="B36" s="333" t="s">
        <v>334</v>
      </c>
      <c r="C36" s="334">
        <v>154909280</v>
      </c>
      <c r="D36" s="334">
        <v>0</v>
      </c>
      <c r="E36" s="334">
        <v>154909280</v>
      </c>
      <c r="F36" s="524">
        <v>162248933</v>
      </c>
      <c r="G36" s="524">
        <v>0</v>
      </c>
      <c r="H36" s="524">
        <v>162248933</v>
      </c>
      <c r="I36" s="524">
        <f>SUM(I37:I41)</f>
        <v>58955008</v>
      </c>
      <c r="J36" s="524">
        <f>SUM(J37:J41)</f>
        <v>0</v>
      </c>
      <c r="K36" s="524">
        <f t="shared" si="2"/>
        <v>58955008</v>
      </c>
      <c r="L36" s="524">
        <f>SUM(L37:L41)</f>
        <v>0</v>
      </c>
      <c r="M36" s="524">
        <f>SUM(M37:M41)</f>
        <v>0</v>
      </c>
      <c r="N36" s="524">
        <f t="shared" si="3"/>
        <v>0</v>
      </c>
      <c r="O36" s="39"/>
    </row>
    <row r="37" spans="1:15" x14ac:dyDescent="0.35">
      <c r="A37" s="335" t="s">
        <v>311</v>
      </c>
      <c r="B37" s="336" t="s">
        <v>286</v>
      </c>
      <c r="C37" s="337">
        <v>105285200</v>
      </c>
      <c r="D37" s="337">
        <v>0</v>
      </c>
      <c r="E37" s="337">
        <v>105285200</v>
      </c>
      <c r="F37" s="526">
        <v>109310200</v>
      </c>
      <c r="G37" s="526">
        <v>0</v>
      </c>
      <c r="H37" s="526">
        <v>109310200</v>
      </c>
      <c r="I37" s="526">
        <f>'5. melléklet'!K137+'5. melléklet'!K143</f>
        <v>43993569</v>
      </c>
      <c r="J37" s="526">
        <f>'5. melléklet'!J137+'5. melléklet'!J143</f>
        <v>0</v>
      </c>
      <c r="K37" s="526">
        <f t="shared" si="2"/>
        <v>43993569</v>
      </c>
      <c r="L37" s="526">
        <f>'5. melléklet'!N137+'5. melléklet'!N143</f>
        <v>0</v>
      </c>
      <c r="M37" s="526">
        <f>'5. melléklet'!M137+'5. melléklet'!M143</f>
        <v>0</v>
      </c>
      <c r="N37" s="526">
        <f t="shared" si="3"/>
        <v>0</v>
      </c>
      <c r="O37" s="39"/>
    </row>
    <row r="38" spans="1:15" x14ac:dyDescent="0.35">
      <c r="A38" s="335" t="s">
        <v>322</v>
      </c>
      <c r="B38" s="336" t="s">
        <v>335</v>
      </c>
      <c r="C38" s="337">
        <v>16320000</v>
      </c>
      <c r="D38" s="337">
        <v>0</v>
      </c>
      <c r="E38" s="647">
        <v>16320000</v>
      </c>
      <c r="F38" s="526">
        <v>16320000</v>
      </c>
      <c r="G38" s="526">
        <v>0</v>
      </c>
      <c r="H38" s="647">
        <v>16320000</v>
      </c>
      <c r="I38" s="526">
        <f>'5. melléklet'!K138+'5. melléklet'!K144</f>
        <v>6989723</v>
      </c>
      <c r="J38" s="526">
        <f>'5. melléklet'!J138+'5. melléklet'!J144</f>
        <v>0</v>
      </c>
      <c r="K38" s="647">
        <f t="shared" si="2"/>
        <v>6989723</v>
      </c>
      <c r="L38" s="526">
        <f>'5. melléklet'!N138+'5. melléklet'!N144</f>
        <v>0</v>
      </c>
      <c r="M38" s="526">
        <f>'5. melléklet'!M138+'5. melléklet'!M144</f>
        <v>0</v>
      </c>
      <c r="N38" s="647">
        <f t="shared" si="3"/>
        <v>0</v>
      </c>
      <c r="O38" s="39"/>
    </row>
    <row r="39" spans="1:15" x14ac:dyDescent="0.35">
      <c r="A39" s="335" t="s">
        <v>315</v>
      </c>
      <c r="B39" s="336" t="s">
        <v>292</v>
      </c>
      <c r="C39" s="337">
        <v>33304080</v>
      </c>
      <c r="D39" s="337">
        <v>0</v>
      </c>
      <c r="E39" s="647">
        <v>33304080</v>
      </c>
      <c r="F39" s="526">
        <v>33318585</v>
      </c>
      <c r="G39" s="526">
        <v>0</v>
      </c>
      <c r="H39" s="647">
        <v>33318585</v>
      </c>
      <c r="I39" s="526">
        <f>'5. melléklet'!K139+'5. melléklet'!K145</f>
        <v>7971716</v>
      </c>
      <c r="J39" s="526">
        <f>'5. melléklet'!J139+'5. melléklet'!J145</f>
        <v>0</v>
      </c>
      <c r="K39" s="647">
        <f t="shared" si="2"/>
        <v>7971716</v>
      </c>
      <c r="L39" s="526">
        <f>'5. melléklet'!N139+'5. melléklet'!N145+'5. melléklet'!N148</f>
        <v>0</v>
      </c>
      <c r="M39" s="526">
        <f>'5. melléklet'!M139+'5. melléklet'!M145</f>
        <v>0</v>
      </c>
      <c r="N39" s="647">
        <f t="shared" si="3"/>
        <v>0</v>
      </c>
      <c r="O39" s="39"/>
    </row>
    <row r="40" spans="1:15" x14ac:dyDescent="0.35">
      <c r="A40" s="335" t="s">
        <v>336</v>
      </c>
      <c r="B40" s="336" t="s">
        <v>337</v>
      </c>
      <c r="C40" s="337">
        <v>0</v>
      </c>
      <c r="D40" s="337">
        <v>0</v>
      </c>
      <c r="E40" s="337">
        <v>0</v>
      </c>
      <c r="F40" s="526">
        <v>0</v>
      </c>
      <c r="G40" s="526">
        <v>0</v>
      </c>
      <c r="H40" s="526">
        <v>0</v>
      </c>
      <c r="I40" s="526">
        <v>0</v>
      </c>
      <c r="J40" s="526">
        <v>0</v>
      </c>
      <c r="K40" s="526">
        <f t="shared" si="2"/>
        <v>0</v>
      </c>
      <c r="L40" s="526">
        <v>0</v>
      </c>
      <c r="M40" s="526">
        <v>0</v>
      </c>
      <c r="N40" s="526">
        <f t="shared" si="3"/>
        <v>0</v>
      </c>
      <c r="O40" s="39"/>
    </row>
    <row r="41" spans="1:15" x14ac:dyDescent="0.35">
      <c r="A41" s="335" t="s">
        <v>338</v>
      </c>
      <c r="B41" s="336" t="s">
        <v>339</v>
      </c>
      <c r="C41" s="337">
        <v>0</v>
      </c>
      <c r="D41" s="337">
        <v>0</v>
      </c>
      <c r="E41" s="337">
        <v>0</v>
      </c>
      <c r="F41" s="526">
        <v>3300148</v>
      </c>
      <c r="G41" s="526">
        <v>0</v>
      </c>
      <c r="H41" s="526">
        <v>3300148</v>
      </c>
      <c r="I41" s="526">
        <f>+'5. melléklet'!K140</f>
        <v>0</v>
      </c>
      <c r="J41" s="526">
        <v>0</v>
      </c>
      <c r="K41" s="526">
        <f t="shared" si="2"/>
        <v>0</v>
      </c>
      <c r="L41" s="526">
        <f>+'5. melléklet'!N140</f>
        <v>0</v>
      </c>
      <c r="M41" s="526">
        <v>0</v>
      </c>
      <c r="N41" s="526">
        <f t="shared" si="3"/>
        <v>0</v>
      </c>
      <c r="O41" s="39"/>
    </row>
    <row r="42" spans="1:15" x14ac:dyDescent="0.35">
      <c r="A42" s="332" t="s">
        <v>318</v>
      </c>
      <c r="B42" s="333" t="s">
        <v>340</v>
      </c>
      <c r="C42" s="334">
        <v>3302000</v>
      </c>
      <c r="D42" s="334">
        <v>0</v>
      </c>
      <c r="E42" s="334">
        <v>3302000</v>
      </c>
      <c r="F42" s="524">
        <v>3302000</v>
      </c>
      <c r="G42" s="524">
        <v>0</v>
      </c>
      <c r="H42" s="524">
        <v>3302000</v>
      </c>
      <c r="I42" s="524">
        <f>SUM(I43:I45)</f>
        <v>395688</v>
      </c>
      <c r="J42" s="524">
        <f>SUM(J43:J45)</f>
        <v>0</v>
      </c>
      <c r="K42" s="524">
        <f t="shared" si="2"/>
        <v>395688</v>
      </c>
      <c r="L42" s="524">
        <f>SUM(L43:L45)</f>
        <v>0</v>
      </c>
      <c r="M42" s="524">
        <f>SUM(M43:M45)</f>
        <v>0</v>
      </c>
      <c r="N42" s="524">
        <f t="shared" si="3"/>
        <v>0</v>
      </c>
      <c r="O42" s="39"/>
    </row>
    <row r="43" spans="1:15" x14ac:dyDescent="0.35">
      <c r="A43" s="335" t="s">
        <v>311</v>
      </c>
      <c r="B43" s="336" t="s">
        <v>341</v>
      </c>
      <c r="C43" s="337">
        <v>3302000</v>
      </c>
      <c r="D43" s="337">
        <v>0</v>
      </c>
      <c r="E43" s="337">
        <v>3302000</v>
      </c>
      <c r="F43" s="526">
        <v>3302000</v>
      </c>
      <c r="G43" s="526">
        <v>0</v>
      </c>
      <c r="H43" s="526">
        <v>3302000</v>
      </c>
      <c r="I43" s="526">
        <f>'5. melléklet'!K141+'5. melléklet'!K146</f>
        <v>395688</v>
      </c>
      <c r="J43" s="526">
        <f>'5. melléklet'!J141+'5. melléklet'!J146</f>
        <v>0</v>
      </c>
      <c r="K43" s="526">
        <f t="shared" si="2"/>
        <v>395688</v>
      </c>
      <c r="L43" s="526">
        <f>'5. melléklet'!N141+'5. melléklet'!N146</f>
        <v>0</v>
      </c>
      <c r="M43" s="526">
        <f>'5. melléklet'!M141+'5. melléklet'!M146</f>
        <v>0</v>
      </c>
      <c r="N43" s="526">
        <f t="shared" si="3"/>
        <v>0</v>
      </c>
      <c r="O43" s="39"/>
    </row>
    <row r="44" spans="1:15" x14ac:dyDescent="0.35">
      <c r="A44" s="335" t="s">
        <v>322</v>
      </c>
      <c r="B44" s="336" t="s">
        <v>342</v>
      </c>
      <c r="C44" s="337">
        <v>0</v>
      </c>
      <c r="D44" s="337">
        <v>0</v>
      </c>
      <c r="E44" s="337">
        <v>0</v>
      </c>
      <c r="F44" s="526">
        <v>0</v>
      </c>
      <c r="G44" s="526">
        <v>0</v>
      </c>
      <c r="H44" s="526">
        <v>0</v>
      </c>
      <c r="I44" s="526">
        <v>0</v>
      </c>
      <c r="J44" s="526">
        <v>0</v>
      </c>
      <c r="K44" s="526">
        <f t="shared" si="2"/>
        <v>0</v>
      </c>
      <c r="L44" s="526">
        <v>0</v>
      </c>
      <c r="M44" s="526">
        <v>0</v>
      </c>
      <c r="N44" s="526">
        <f t="shared" si="3"/>
        <v>0</v>
      </c>
      <c r="O44" s="39"/>
    </row>
    <row r="45" spans="1:15" x14ac:dyDescent="0.35">
      <c r="A45" s="335" t="s">
        <v>315</v>
      </c>
      <c r="B45" s="336" t="s">
        <v>343</v>
      </c>
      <c r="C45" s="337">
        <v>0</v>
      </c>
      <c r="D45" s="337">
        <v>0</v>
      </c>
      <c r="E45" s="337">
        <v>0</v>
      </c>
      <c r="F45" s="526">
        <v>0</v>
      </c>
      <c r="G45" s="526">
        <v>0</v>
      </c>
      <c r="H45" s="526">
        <v>0</v>
      </c>
      <c r="I45" s="526">
        <f>'5. melléklet'!I146+'5. melléklet'!I153</f>
        <v>0</v>
      </c>
      <c r="J45" s="526">
        <v>0</v>
      </c>
      <c r="K45" s="526">
        <f t="shared" si="2"/>
        <v>0</v>
      </c>
      <c r="L45" s="526">
        <f>'5. melléklet'!L146+'5. melléklet'!L153</f>
        <v>0</v>
      </c>
      <c r="M45" s="526">
        <v>0</v>
      </c>
      <c r="N45" s="526">
        <f t="shared" si="3"/>
        <v>0</v>
      </c>
    </row>
    <row r="46" spans="1:15" x14ac:dyDescent="0.35">
      <c r="A46" s="343"/>
      <c r="B46" s="344" t="s">
        <v>344</v>
      </c>
      <c r="C46" s="316">
        <v>158211280</v>
      </c>
      <c r="D46" s="316">
        <v>0</v>
      </c>
      <c r="E46" s="316">
        <v>158211280</v>
      </c>
      <c r="F46" s="316">
        <v>165550933</v>
      </c>
      <c r="G46" s="316">
        <v>0</v>
      </c>
      <c r="H46" s="316">
        <v>165550933</v>
      </c>
      <c r="I46" s="316">
        <f>I36+I42</f>
        <v>59350696</v>
      </c>
      <c r="J46" s="316">
        <f>J36+J42</f>
        <v>0</v>
      </c>
      <c r="K46" s="316">
        <f t="shared" si="2"/>
        <v>59350696</v>
      </c>
      <c r="L46" s="316">
        <f>L36+L42</f>
        <v>0</v>
      </c>
      <c r="M46" s="316">
        <f>M36+M42</f>
        <v>0</v>
      </c>
      <c r="N46" s="316">
        <f t="shared" si="3"/>
        <v>0</v>
      </c>
      <c r="O46" s="39"/>
    </row>
    <row r="47" spans="1:15" x14ac:dyDescent="0.35">
      <c r="H47" s="39"/>
      <c r="K47" s="39">
        <f>+K46-H46</f>
        <v>-106200237</v>
      </c>
      <c r="N47" s="39">
        <f>+N46-K46</f>
        <v>-59350696</v>
      </c>
    </row>
  </sheetData>
  <mergeCells count="6">
    <mergeCell ref="L4:N4"/>
    <mergeCell ref="A4:A5"/>
    <mergeCell ref="B4:B5"/>
    <mergeCell ref="C4:E4"/>
    <mergeCell ref="F4:H4"/>
    <mergeCell ref="I4:K4"/>
  </mergeCells>
  <printOptions horizontalCentered="1"/>
  <pageMargins left="0.19685039370078741" right="0.27559055118110237" top="0.98425196850393704" bottom="0.19685039370078741" header="0.31496062992125984" footer="0.31496062992125984"/>
  <pageSetup paperSize="9" scale="45" fitToWidth="0" fitToHeight="0" orientation="portrait" copies="2" r:id="rId1"/>
  <headerFooter>
    <oddHeader>&amp;L4.7  melléklet&amp;C&amp;"-,Félkövér"&amp;16
A Szérűskert Bölcsőde 2021. évi bevételei és kiadásai jogcímenként és feladatonként</oddHeader>
    <oddFooter>&amp;C&amp;P&amp;R&amp;D,&amp;T</oddFooter>
  </headerFooter>
  <colBreaks count="1" manualBreakCount="1">
    <brk id="11" max="4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R186"/>
  <sheetViews>
    <sheetView zoomScale="150" zoomScaleNormal="150" zoomScaleSheetLayoutView="100" workbookViewId="0">
      <pane ySplit="4" topLeftCell="A183" activePane="bottomLeft" state="frozen"/>
      <selection pane="bottomLeft" activeCell="A187" sqref="A187"/>
    </sheetView>
  </sheetViews>
  <sheetFormatPr defaultColWidth="11.7265625" defaultRowHeight="14.15" customHeight="1" x14ac:dyDescent="0.35"/>
  <cols>
    <col min="1" max="1" width="5.7265625" style="4" customWidth="1"/>
    <col min="2" max="2" width="7.7265625" style="4" customWidth="1"/>
    <col min="3" max="3" width="30.7265625" style="5" customWidth="1"/>
    <col min="4" max="5" width="10.81640625" style="6" customWidth="1"/>
    <col min="6" max="6" width="9.81640625" style="6" bestFit="1" customWidth="1"/>
    <col min="7" max="7" width="9.81640625" style="6" customWidth="1"/>
    <col min="8" max="8" width="10.7265625" style="6" customWidth="1"/>
    <col min="9" max="9" width="12" style="6" customWidth="1"/>
    <col min="10" max="16384" width="11.7265625" style="5"/>
  </cols>
  <sheetData>
    <row r="1" spans="1:9" s="1" customFormat="1" ht="12.75" customHeight="1" x14ac:dyDescent="0.35">
      <c r="A1" s="1101" t="s">
        <v>258</v>
      </c>
      <c r="B1" s="1101"/>
      <c r="C1" s="1101"/>
      <c r="D1" s="1101"/>
      <c r="E1" s="1101"/>
      <c r="F1" s="1101"/>
      <c r="G1" s="1101"/>
      <c r="H1" s="1101"/>
      <c r="I1" s="1101"/>
    </row>
    <row r="2" spans="1:9" s="1" customFormat="1" ht="14.15" customHeight="1" x14ac:dyDescent="0.35">
      <c r="A2" s="1101" t="s">
        <v>0</v>
      </c>
      <c r="B2" s="1102" t="s">
        <v>1</v>
      </c>
      <c r="C2" s="1101" t="s">
        <v>2</v>
      </c>
      <c r="D2" s="1103" t="s">
        <v>260</v>
      </c>
      <c r="E2" s="1096" t="s">
        <v>259</v>
      </c>
      <c r="F2" s="1098" t="s">
        <v>261</v>
      </c>
      <c r="G2" s="1099"/>
      <c r="H2" s="1098" t="s">
        <v>262</v>
      </c>
      <c r="I2" s="1099"/>
    </row>
    <row r="3" spans="1:9" s="3" customFormat="1" ht="25.5" customHeight="1" x14ac:dyDescent="0.35">
      <c r="A3" s="1101"/>
      <c r="B3" s="1102"/>
      <c r="C3" s="1101"/>
      <c r="D3" s="1103"/>
      <c r="E3" s="1097"/>
      <c r="F3" s="2" t="s">
        <v>263</v>
      </c>
      <c r="G3" s="2" t="s">
        <v>259</v>
      </c>
      <c r="H3" s="2" t="s">
        <v>260</v>
      </c>
      <c r="I3" s="2" t="s">
        <v>259</v>
      </c>
    </row>
    <row r="4" spans="1:9" ht="5.65" customHeight="1" x14ac:dyDescent="0.35"/>
    <row r="5" spans="1:9" ht="14.15" customHeight="1" x14ac:dyDescent="0.35">
      <c r="A5" s="1100" t="s">
        <v>3</v>
      </c>
      <c r="B5" s="1100"/>
      <c r="C5" s="1100"/>
      <c r="D5" s="1100"/>
      <c r="E5" s="1100"/>
      <c r="F5" s="1100"/>
      <c r="G5" s="1100"/>
      <c r="H5" s="1100"/>
      <c r="I5" s="1100"/>
    </row>
    <row r="6" spans="1:9" s="3" customFormat="1" ht="12.75" customHeight="1" x14ac:dyDescent="0.35">
      <c r="A6" s="7" t="s">
        <v>4</v>
      </c>
      <c r="B6" s="7" t="s">
        <v>5</v>
      </c>
      <c r="C6" s="8" t="s">
        <v>6</v>
      </c>
      <c r="D6" s="9">
        <f>F6+H6</f>
        <v>34533</v>
      </c>
      <c r="E6" s="9">
        <f>G6+I6</f>
        <v>35647</v>
      </c>
      <c r="F6" s="10">
        <v>34533</v>
      </c>
      <c r="G6" s="10">
        <f>SUM(G7:G19)</f>
        <v>35647</v>
      </c>
      <c r="H6" s="10">
        <v>0</v>
      </c>
      <c r="I6" s="10">
        <f>SUM(I7:I19)</f>
        <v>0</v>
      </c>
    </row>
    <row r="7" spans="1:9" s="15" customFormat="1" ht="11.5" customHeight="1" x14ac:dyDescent="0.35">
      <c r="A7" s="11"/>
      <c r="B7" s="11"/>
      <c r="C7" s="12" t="s">
        <v>266</v>
      </c>
      <c r="D7" s="13"/>
      <c r="E7" s="13"/>
      <c r="F7" s="14"/>
      <c r="G7" s="14">
        <v>1541</v>
      </c>
      <c r="H7" s="14"/>
      <c r="I7" s="14"/>
    </row>
    <row r="8" spans="1:9" s="15" customFormat="1" ht="11.5" customHeight="1" x14ac:dyDescent="0.35">
      <c r="A8" s="11"/>
      <c r="B8" s="11"/>
      <c r="C8" s="12" t="s">
        <v>267</v>
      </c>
      <c r="D8" s="13"/>
      <c r="E8" s="13"/>
      <c r="F8" s="14"/>
      <c r="G8" s="14">
        <v>3283</v>
      </c>
      <c r="H8" s="14"/>
      <c r="I8" s="14"/>
    </row>
    <row r="9" spans="1:9" s="15" customFormat="1" ht="11.5" customHeight="1" x14ac:dyDescent="0.35">
      <c r="A9" s="11"/>
      <c r="B9" s="11"/>
      <c r="C9" s="12" t="s">
        <v>268</v>
      </c>
      <c r="D9" s="13"/>
      <c r="E9" s="13"/>
      <c r="F9" s="14"/>
      <c r="G9" s="14">
        <v>3489</v>
      </c>
      <c r="H9" s="14"/>
      <c r="I9" s="14"/>
    </row>
    <row r="10" spans="1:9" s="15" customFormat="1" ht="11.5" customHeight="1" x14ac:dyDescent="0.35">
      <c r="A10" s="11"/>
      <c r="B10" s="11"/>
      <c r="C10" s="12" t="s">
        <v>269</v>
      </c>
      <c r="D10" s="13"/>
      <c r="E10" s="13"/>
      <c r="F10" s="14"/>
      <c r="G10" s="14">
        <v>3497</v>
      </c>
      <c r="H10" s="14"/>
      <c r="I10" s="14"/>
    </row>
    <row r="11" spans="1:9" s="15" customFormat="1" ht="11.5" customHeight="1" x14ac:dyDescent="0.35">
      <c r="A11" s="11"/>
      <c r="B11" s="11"/>
      <c r="C11" s="12" t="s">
        <v>270</v>
      </c>
      <c r="D11" s="13"/>
      <c r="E11" s="13"/>
      <c r="F11" s="14"/>
      <c r="G11" s="14">
        <f>1699+7*12</f>
        <v>1783</v>
      </c>
      <c r="H11" s="14"/>
      <c r="I11" s="14"/>
    </row>
    <row r="12" spans="1:9" s="15" customFormat="1" ht="11.5" customHeight="1" x14ac:dyDescent="0.35">
      <c r="A12" s="11"/>
      <c r="B12" s="11"/>
      <c r="C12" s="12" t="s">
        <v>271</v>
      </c>
      <c r="D12" s="13"/>
      <c r="E12" s="13"/>
      <c r="F12" s="14"/>
      <c r="G12" s="14">
        <v>1541</v>
      </c>
      <c r="H12" s="14"/>
      <c r="I12" s="14"/>
    </row>
    <row r="13" spans="1:9" s="15" customFormat="1" ht="11.5" customHeight="1" x14ac:dyDescent="0.35">
      <c r="A13" s="11"/>
      <c r="B13" s="11"/>
      <c r="C13" s="12" t="s">
        <v>272</v>
      </c>
      <c r="D13" s="13"/>
      <c r="E13" s="13"/>
      <c r="F13" s="14"/>
      <c r="G13" s="14">
        <f>2704+7*12</f>
        <v>2788</v>
      </c>
      <c r="H13" s="14"/>
      <c r="I13" s="14"/>
    </row>
    <row r="14" spans="1:9" s="15" customFormat="1" ht="11.5" customHeight="1" x14ac:dyDescent="0.35">
      <c r="A14" s="11"/>
      <c r="B14" s="11"/>
      <c r="C14" s="12" t="s">
        <v>273</v>
      </c>
      <c r="D14" s="13"/>
      <c r="E14" s="13"/>
      <c r="F14" s="14"/>
      <c r="G14" s="14">
        <v>3806</v>
      </c>
      <c r="H14" s="14"/>
      <c r="I14" s="14"/>
    </row>
    <row r="15" spans="1:9" s="15" customFormat="1" ht="11.5" customHeight="1" x14ac:dyDescent="0.35">
      <c r="A15" s="11"/>
      <c r="B15" s="11"/>
      <c r="C15" s="12" t="s">
        <v>265</v>
      </c>
      <c r="D15" s="13"/>
      <c r="E15" s="13"/>
      <c r="F15" s="14"/>
      <c r="G15" s="14">
        <v>771</v>
      </c>
      <c r="H15" s="14"/>
      <c r="I15" s="14"/>
    </row>
    <row r="16" spans="1:9" s="15" customFormat="1" ht="11.5" customHeight="1" x14ac:dyDescent="0.35">
      <c r="A16" s="11"/>
      <c r="B16" s="11"/>
      <c r="C16" s="12" t="s">
        <v>274</v>
      </c>
      <c r="D16" s="13"/>
      <c r="E16" s="13"/>
      <c r="F16" s="14"/>
      <c r="G16" s="14">
        <v>4621</v>
      </c>
      <c r="H16" s="14"/>
      <c r="I16" s="14"/>
    </row>
    <row r="17" spans="1:9" s="15" customFormat="1" ht="11.5" customHeight="1" x14ac:dyDescent="0.35">
      <c r="A17" s="11"/>
      <c r="B17" s="11"/>
      <c r="C17" s="12" t="s">
        <v>275</v>
      </c>
      <c r="D17" s="13"/>
      <c r="E17" s="13"/>
      <c r="F17" s="14"/>
      <c r="G17" s="14">
        <v>1541</v>
      </c>
      <c r="H17" s="14"/>
      <c r="I17" s="14"/>
    </row>
    <row r="18" spans="1:9" s="15" customFormat="1" ht="11.5" customHeight="1" x14ac:dyDescent="0.35">
      <c r="A18" s="11"/>
      <c r="B18" s="11"/>
      <c r="C18" s="12" t="s">
        <v>276</v>
      </c>
      <c r="D18" s="13"/>
      <c r="E18" s="13"/>
      <c r="F18" s="14"/>
      <c r="G18" s="14">
        <v>3798</v>
      </c>
      <c r="H18" s="14"/>
      <c r="I18" s="14"/>
    </row>
    <row r="19" spans="1:9" s="15" customFormat="1" ht="11.5" customHeight="1" x14ac:dyDescent="0.35">
      <c r="A19" s="11"/>
      <c r="B19" s="11"/>
      <c r="C19" s="12" t="s">
        <v>277</v>
      </c>
      <c r="D19" s="13"/>
      <c r="E19" s="13"/>
      <c r="F19" s="14"/>
      <c r="G19" s="14">
        <v>3188</v>
      </c>
      <c r="H19" s="14"/>
      <c r="I19" s="14"/>
    </row>
    <row r="20" spans="1:9" s="3" customFormat="1" ht="12.75" customHeight="1" x14ac:dyDescent="0.35">
      <c r="A20" s="7" t="s">
        <v>7</v>
      </c>
      <c r="B20" s="7" t="s">
        <v>8</v>
      </c>
      <c r="C20" s="8" t="s">
        <v>9</v>
      </c>
      <c r="D20" s="9">
        <f t="shared" ref="D20:E22" si="0">F20+H20</f>
        <v>0</v>
      </c>
      <c r="E20" s="9">
        <f t="shared" si="0"/>
        <v>0</v>
      </c>
      <c r="F20" s="10">
        <v>0</v>
      </c>
      <c r="G20" s="10">
        <v>0</v>
      </c>
      <c r="H20" s="10">
        <v>0</v>
      </c>
      <c r="I20" s="10">
        <v>0</v>
      </c>
    </row>
    <row r="21" spans="1:9" s="3" customFormat="1" ht="12.75" customHeight="1" x14ac:dyDescent="0.35">
      <c r="A21" s="7" t="s">
        <v>10</v>
      </c>
      <c r="B21" s="7" t="s">
        <v>11</v>
      </c>
      <c r="C21" s="8" t="s">
        <v>12</v>
      </c>
      <c r="D21" s="9">
        <f t="shared" si="0"/>
        <v>0</v>
      </c>
      <c r="E21" s="9">
        <f t="shared" si="0"/>
        <v>0</v>
      </c>
      <c r="F21" s="10">
        <v>0</v>
      </c>
      <c r="G21" s="10">
        <v>0</v>
      </c>
      <c r="H21" s="10">
        <v>0</v>
      </c>
      <c r="I21" s="10">
        <v>0</v>
      </c>
    </row>
    <row r="22" spans="1:9" s="3" customFormat="1" ht="12.75" customHeight="1" x14ac:dyDescent="0.35">
      <c r="A22" s="7" t="s">
        <v>13</v>
      </c>
      <c r="B22" s="7" t="s">
        <v>14</v>
      </c>
      <c r="C22" s="8" t="s">
        <v>15</v>
      </c>
      <c r="D22" s="9">
        <f t="shared" si="0"/>
        <v>1000</v>
      </c>
      <c r="E22" s="9">
        <f t="shared" si="0"/>
        <v>900</v>
      </c>
      <c r="F22" s="10">
        <f>SUM(F23:F24)</f>
        <v>1000</v>
      </c>
      <c r="G22" s="10">
        <f>SUM(G23:G24)</f>
        <v>900</v>
      </c>
      <c r="H22" s="10">
        <v>0</v>
      </c>
      <c r="I22" s="10">
        <f>SUM(I23:I24)</f>
        <v>0</v>
      </c>
    </row>
    <row r="23" spans="1:9" s="15" customFormat="1" ht="11.5" customHeight="1" x14ac:dyDescent="0.35">
      <c r="A23" s="11"/>
      <c r="B23" s="11"/>
      <c r="C23" s="12" t="s">
        <v>16</v>
      </c>
      <c r="D23" s="13"/>
      <c r="E23" s="13"/>
      <c r="F23" s="14">
        <v>700</v>
      </c>
      <c r="G23" s="14">
        <v>600</v>
      </c>
      <c r="H23" s="14"/>
      <c r="I23" s="14"/>
    </row>
    <row r="24" spans="1:9" s="15" customFormat="1" ht="11.5" customHeight="1" x14ac:dyDescent="0.35">
      <c r="A24" s="11"/>
      <c r="B24" s="11"/>
      <c r="C24" s="12" t="s">
        <v>17</v>
      </c>
      <c r="D24" s="13"/>
      <c r="E24" s="13"/>
      <c r="F24" s="14">
        <v>300</v>
      </c>
      <c r="G24" s="14">
        <v>300</v>
      </c>
      <c r="H24" s="14"/>
      <c r="I24" s="14"/>
    </row>
    <row r="25" spans="1:9" s="3" customFormat="1" ht="12.75" customHeight="1" x14ac:dyDescent="0.35">
      <c r="A25" s="7" t="s">
        <v>18</v>
      </c>
      <c r="B25" s="7" t="s">
        <v>19</v>
      </c>
      <c r="C25" s="8" t="s">
        <v>20</v>
      </c>
      <c r="D25" s="9">
        <f t="shared" ref="D25:E27" si="1">F25+H25</f>
        <v>0</v>
      </c>
      <c r="E25" s="9">
        <f t="shared" si="1"/>
        <v>0</v>
      </c>
      <c r="F25" s="10">
        <v>0</v>
      </c>
      <c r="G25" s="10">
        <v>0</v>
      </c>
      <c r="H25" s="10">
        <v>0</v>
      </c>
      <c r="I25" s="10">
        <v>0</v>
      </c>
    </row>
    <row r="26" spans="1:9" s="3" customFormat="1" ht="12.75" customHeight="1" x14ac:dyDescent="0.35">
      <c r="A26" s="7" t="s">
        <v>21</v>
      </c>
      <c r="B26" s="7" t="s">
        <v>22</v>
      </c>
      <c r="C26" s="8" t="s">
        <v>23</v>
      </c>
      <c r="D26" s="9">
        <f t="shared" si="1"/>
        <v>895</v>
      </c>
      <c r="E26" s="9">
        <f t="shared" si="1"/>
        <v>0</v>
      </c>
      <c r="F26" s="10">
        <v>895</v>
      </c>
      <c r="G26" s="10">
        <v>0</v>
      </c>
      <c r="H26" s="10">
        <v>0</v>
      </c>
      <c r="I26" s="10">
        <v>0</v>
      </c>
    </row>
    <row r="27" spans="1:9" s="3" customFormat="1" ht="12.75" customHeight="1" x14ac:dyDescent="0.35">
      <c r="A27" s="7" t="s">
        <v>24</v>
      </c>
      <c r="B27" s="7" t="s">
        <v>25</v>
      </c>
      <c r="C27" s="8" t="s">
        <v>26</v>
      </c>
      <c r="D27" s="9">
        <f t="shared" si="1"/>
        <v>1200</v>
      </c>
      <c r="E27" s="9">
        <f t="shared" si="1"/>
        <v>1200</v>
      </c>
      <c r="F27" s="10">
        <v>1200</v>
      </c>
      <c r="G27" s="10">
        <f>G28</f>
        <v>1200</v>
      </c>
      <c r="H27" s="10">
        <v>0</v>
      </c>
      <c r="I27" s="10">
        <f>I28</f>
        <v>0</v>
      </c>
    </row>
    <row r="28" spans="1:9" s="15" customFormat="1" ht="11.5" customHeight="1" x14ac:dyDescent="0.35">
      <c r="A28" s="11"/>
      <c r="B28" s="11"/>
      <c r="C28" s="12" t="s">
        <v>278</v>
      </c>
      <c r="D28" s="13"/>
      <c r="E28" s="13"/>
      <c r="F28" s="14"/>
      <c r="G28" s="14">
        <f>ROUND(12.5*8000*12/1000,0)</f>
        <v>1200</v>
      </c>
      <c r="H28" s="14"/>
      <c r="I28" s="14"/>
    </row>
    <row r="29" spans="1:9" s="3" customFormat="1" ht="12.75" customHeight="1" x14ac:dyDescent="0.35">
      <c r="A29" s="7" t="s">
        <v>27</v>
      </c>
      <c r="B29" s="7" t="s">
        <v>28</v>
      </c>
      <c r="C29" s="8" t="s">
        <v>29</v>
      </c>
      <c r="D29" s="9">
        <f t="shared" ref="D29:E31" si="2">F29+H29</f>
        <v>0</v>
      </c>
      <c r="E29" s="9">
        <f t="shared" si="2"/>
        <v>0</v>
      </c>
      <c r="F29" s="10">
        <v>0</v>
      </c>
      <c r="G29" s="10">
        <v>0</v>
      </c>
      <c r="H29" s="10">
        <v>0</v>
      </c>
      <c r="I29" s="10">
        <v>0</v>
      </c>
    </row>
    <row r="30" spans="1:9" s="3" customFormat="1" ht="12.75" customHeight="1" x14ac:dyDescent="0.35">
      <c r="A30" s="7" t="s">
        <v>30</v>
      </c>
      <c r="B30" s="7" t="s">
        <v>31</v>
      </c>
      <c r="C30" s="8" t="s">
        <v>32</v>
      </c>
      <c r="D30" s="9">
        <f t="shared" si="2"/>
        <v>250</v>
      </c>
      <c r="E30" s="9">
        <f t="shared" si="2"/>
        <v>250</v>
      </c>
      <c r="F30" s="10">
        <v>250</v>
      </c>
      <c r="G30" s="10">
        <v>250</v>
      </c>
      <c r="H30" s="10">
        <v>0</v>
      </c>
      <c r="I30" s="10">
        <v>0</v>
      </c>
    </row>
    <row r="31" spans="1:9" s="3" customFormat="1" ht="12.75" customHeight="1" x14ac:dyDescent="0.35">
      <c r="A31" s="7" t="s">
        <v>33</v>
      </c>
      <c r="B31" s="7" t="s">
        <v>34</v>
      </c>
      <c r="C31" s="8" t="s">
        <v>35</v>
      </c>
      <c r="D31" s="9">
        <f t="shared" si="2"/>
        <v>0</v>
      </c>
      <c r="E31" s="9">
        <f t="shared" si="2"/>
        <v>276</v>
      </c>
      <c r="F31" s="10">
        <v>0</v>
      </c>
      <c r="G31" s="10">
        <f>G32+G33</f>
        <v>276</v>
      </c>
      <c r="H31" s="10">
        <v>0</v>
      </c>
      <c r="I31" s="10">
        <f>I32</f>
        <v>0</v>
      </c>
    </row>
    <row r="32" spans="1:9" s="3" customFormat="1" ht="12.75" customHeight="1" x14ac:dyDescent="0.35">
      <c r="A32" s="11"/>
      <c r="B32" s="11"/>
      <c r="C32" s="12" t="s">
        <v>279</v>
      </c>
      <c r="D32" s="13"/>
      <c r="E32" s="13"/>
      <c r="F32" s="14"/>
      <c r="G32" s="14">
        <v>120</v>
      </c>
      <c r="H32" s="14"/>
      <c r="I32" s="14"/>
    </row>
    <row r="33" spans="1:9" s="3" customFormat="1" ht="12.75" customHeight="1" x14ac:dyDescent="0.35">
      <c r="A33" s="11"/>
      <c r="B33" s="11"/>
      <c r="C33" s="12" t="s">
        <v>1257</v>
      </c>
      <c r="D33" s="13"/>
      <c r="E33" s="13"/>
      <c r="F33" s="14"/>
      <c r="G33" s="14">
        <v>156</v>
      </c>
      <c r="H33" s="14"/>
      <c r="I33" s="14"/>
    </row>
    <row r="34" spans="1:9" s="3" customFormat="1" ht="12.75" customHeight="1" x14ac:dyDescent="0.35">
      <c r="A34" s="7" t="s">
        <v>36</v>
      </c>
      <c r="B34" s="7" t="s">
        <v>37</v>
      </c>
      <c r="C34" s="8" t="s">
        <v>38</v>
      </c>
      <c r="D34" s="9">
        <f>F34+H34</f>
        <v>0</v>
      </c>
      <c r="E34" s="9">
        <f>G34+I34</f>
        <v>0</v>
      </c>
      <c r="F34" s="10">
        <v>0</v>
      </c>
      <c r="G34" s="10">
        <v>0</v>
      </c>
      <c r="H34" s="10">
        <v>0</v>
      </c>
      <c r="I34" s="10">
        <v>0</v>
      </c>
    </row>
    <row r="35" spans="1:9" s="3" customFormat="1" ht="12.75" customHeight="1" x14ac:dyDescent="0.35">
      <c r="A35" s="7" t="s">
        <v>39</v>
      </c>
      <c r="B35" s="7" t="s">
        <v>40</v>
      </c>
      <c r="C35" s="8" t="s">
        <v>41</v>
      </c>
      <c r="D35" s="9">
        <f>F35+H35</f>
        <v>173</v>
      </c>
      <c r="E35" s="9">
        <f>G35+I35</f>
        <v>143</v>
      </c>
      <c r="F35" s="10">
        <f>F36</f>
        <v>173</v>
      </c>
      <c r="G35" s="10">
        <f>G36</f>
        <v>143</v>
      </c>
      <c r="H35" s="10">
        <f>H36</f>
        <v>0</v>
      </c>
      <c r="I35" s="10">
        <f>I36</f>
        <v>0</v>
      </c>
    </row>
    <row r="36" spans="1:9" s="3" customFormat="1" ht="12.75" customHeight="1" x14ac:dyDescent="0.35">
      <c r="A36" s="11"/>
      <c r="B36" s="11"/>
      <c r="C36" s="12" t="s">
        <v>280</v>
      </c>
      <c r="D36" s="13"/>
      <c r="E36" s="13"/>
      <c r="F36" s="14">
        <v>173</v>
      </c>
      <c r="G36" s="14">
        <f>ROUND(G6*0.004,0)</f>
        <v>143</v>
      </c>
      <c r="H36" s="14"/>
      <c r="I36" s="14"/>
    </row>
    <row r="37" spans="1:9" s="3" customFormat="1" ht="12.75" customHeight="1" x14ac:dyDescent="0.35">
      <c r="A37" s="7" t="s">
        <v>42</v>
      </c>
      <c r="B37" s="7" t="s">
        <v>43</v>
      </c>
      <c r="C37" s="8" t="s">
        <v>44</v>
      </c>
      <c r="D37" s="9">
        <f>F37+H37</f>
        <v>300</v>
      </c>
      <c r="E37" s="9">
        <f>G37+I37</f>
        <v>1390</v>
      </c>
      <c r="F37" s="10">
        <v>300</v>
      </c>
      <c r="G37" s="10">
        <f>G38+G39</f>
        <v>1390</v>
      </c>
      <c r="H37" s="10">
        <v>0</v>
      </c>
      <c r="I37" s="10">
        <f>I38</f>
        <v>0</v>
      </c>
    </row>
    <row r="38" spans="1:9" s="15" customFormat="1" ht="11.5" customHeight="1" x14ac:dyDescent="0.35">
      <c r="A38" s="11"/>
      <c r="B38" s="11"/>
      <c r="C38" s="12" t="s">
        <v>281</v>
      </c>
      <c r="D38" s="13"/>
      <c r="E38" s="13"/>
      <c r="F38" s="14"/>
      <c r="G38" s="14">
        <v>325</v>
      </c>
      <c r="H38" s="14"/>
      <c r="I38" s="14"/>
    </row>
    <row r="39" spans="1:9" s="15" customFormat="1" ht="11.5" customHeight="1" x14ac:dyDescent="0.35">
      <c r="A39" s="11"/>
      <c r="B39" s="11"/>
      <c r="C39" s="12" t="s">
        <v>1258</v>
      </c>
      <c r="D39" s="13"/>
      <c r="E39" s="13"/>
      <c r="F39" s="14"/>
      <c r="G39" s="14">
        <v>1065</v>
      </c>
      <c r="H39" s="14"/>
      <c r="I39" s="14"/>
    </row>
    <row r="40" spans="1:9" s="3" customFormat="1" ht="12.75" customHeight="1" x14ac:dyDescent="0.35">
      <c r="A40" s="16" t="s">
        <v>45</v>
      </c>
      <c r="B40" s="16" t="s">
        <v>46</v>
      </c>
      <c r="C40" s="17" t="s">
        <v>47</v>
      </c>
      <c r="D40" s="18">
        <f t="shared" ref="D40:I40" si="3">D6+D20+D21+D22+D25+D26+D27+D29+D30+D31+D34+D35+D37</f>
        <v>38351</v>
      </c>
      <c r="E40" s="18">
        <f t="shared" si="3"/>
        <v>39806</v>
      </c>
      <c r="F40" s="18">
        <f t="shared" si="3"/>
        <v>38351</v>
      </c>
      <c r="G40" s="18">
        <f t="shared" si="3"/>
        <v>39806</v>
      </c>
      <c r="H40" s="18">
        <f t="shared" si="3"/>
        <v>0</v>
      </c>
      <c r="I40" s="18">
        <f t="shared" si="3"/>
        <v>0</v>
      </c>
    </row>
    <row r="41" spans="1:9" s="3" customFormat="1" ht="12.75" customHeight="1" x14ac:dyDescent="0.35">
      <c r="A41" s="7" t="s">
        <v>48</v>
      </c>
      <c r="B41" s="7" t="s">
        <v>49</v>
      </c>
      <c r="C41" s="8" t="s">
        <v>50</v>
      </c>
      <c r="D41" s="9">
        <f>F41+H41</f>
        <v>0</v>
      </c>
      <c r="E41" s="9">
        <f>G41+I41</f>
        <v>0</v>
      </c>
      <c r="F41" s="10">
        <v>0</v>
      </c>
      <c r="G41" s="10">
        <v>0</v>
      </c>
      <c r="H41" s="10">
        <v>0</v>
      </c>
      <c r="I41" s="10">
        <v>0</v>
      </c>
    </row>
    <row r="42" spans="1:9" s="3" customFormat="1" ht="12.75" customHeight="1" x14ac:dyDescent="0.35">
      <c r="A42" s="7" t="s">
        <v>51</v>
      </c>
      <c r="B42" s="7" t="s">
        <v>52</v>
      </c>
      <c r="C42" s="8" t="s">
        <v>53</v>
      </c>
      <c r="D42" s="9">
        <f>F42+H42</f>
        <v>300</v>
      </c>
      <c r="E42" s="9">
        <f>G42+I42</f>
        <v>300</v>
      </c>
      <c r="F42" s="10">
        <f>F43</f>
        <v>300</v>
      </c>
      <c r="G42" s="10">
        <f>G43</f>
        <v>300</v>
      </c>
      <c r="H42" s="10">
        <f>H43</f>
        <v>0</v>
      </c>
      <c r="I42" s="10">
        <f>I43</f>
        <v>0</v>
      </c>
    </row>
    <row r="43" spans="1:9" s="15" customFormat="1" ht="11.5" customHeight="1" x14ac:dyDescent="0.35">
      <c r="A43" s="11"/>
      <c r="B43" s="11"/>
      <c r="C43" s="12" t="s">
        <v>282</v>
      </c>
      <c r="D43" s="13"/>
      <c r="E43" s="13"/>
      <c r="F43" s="14">
        <v>300</v>
      </c>
      <c r="G43" s="14">
        <v>300</v>
      </c>
      <c r="H43" s="14"/>
      <c r="I43" s="14"/>
    </row>
    <row r="44" spans="1:9" s="3" customFormat="1" ht="12.75" customHeight="1" x14ac:dyDescent="0.35">
      <c r="A44" s="7" t="s">
        <v>54</v>
      </c>
      <c r="B44" s="7" t="s">
        <v>55</v>
      </c>
      <c r="C44" s="8" t="s">
        <v>285</v>
      </c>
      <c r="D44" s="9">
        <f>F44+H44</f>
        <v>100</v>
      </c>
      <c r="E44" s="9">
        <f>G44+I44</f>
        <v>50</v>
      </c>
      <c r="F44" s="10">
        <f>F45</f>
        <v>100</v>
      </c>
      <c r="G44" s="10">
        <f>G45</f>
        <v>50</v>
      </c>
      <c r="H44" s="10">
        <f>H45</f>
        <v>0</v>
      </c>
      <c r="I44" s="10">
        <f>I45</f>
        <v>0</v>
      </c>
    </row>
    <row r="45" spans="1:9" s="15" customFormat="1" ht="11.5" customHeight="1" x14ac:dyDescent="0.35">
      <c r="A45" s="11"/>
      <c r="B45" s="11"/>
      <c r="C45" s="12" t="s">
        <v>283</v>
      </c>
      <c r="D45" s="13"/>
      <c r="E45" s="13"/>
      <c r="F45" s="14">
        <v>100</v>
      </c>
      <c r="G45" s="14">
        <v>50</v>
      </c>
      <c r="H45" s="14"/>
      <c r="I45" s="14"/>
    </row>
    <row r="46" spans="1:9" s="3" customFormat="1" ht="12.75" customHeight="1" x14ac:dyDescent="0.35">
      <c r="A46" s="16" t="s">
        <v>56</v>
      </c>
      <c r="B46" s="16" t="s">
        <v>57</v>
      </c>
      <c r="C46" s="17" t="s">
        <v>58</v>
      </c>
      <c r="D46" s="18">
        <f t="shared" ref="D46:I46" si="4">D41+D42+D44</f>
        <v>400</v>
      </c>
      <c r="E46" s="18">
        <f t="shared" si="4"/>
        <v>350</v>
      </c>
      <c r="F46" s="18">
        <f t="shared" si="4"/>
        <v>400</v>
      </c>
      <c r="G46" s="18">
        <f t="shared" si="4"/>
        <v>350</v>
      </c>
      <c r="H46" s="18">
        <f t="shared" si="4"/>
        <v>0</v>
      </c>
      <c r="I46" s="18">
        <f t="shared" si="4"/>
        <v>0</v>
      </c>
    </row>
    <row r="47" spans="1:9" s="3" customFormat="1" ht="12.75" customHeight="1" x14ac:dyDescent="0.35">
      <c r="A47" s="20" t="s">
        <v>59</v>
      </c>
      <c r="B47" s="20" t="s">
        <v>60</v>
      </c>
      <c r="C47" s="21" t="s">
        <v>286</v>
      </c>
      <c r="D47" s="22">
        <f t="shared" ref="D47:I47" si="5">D40+D46</f>
        <v>38751</v>
      </c>
      <c r="E47" s="22">
        <f t="shared" si="5"/>
        <v>40156</v>
      </c>
      <c r="F47" s="22">
        <f t="shared" si="5"/>
        <v>38751</v>
      </c>
      <c r="G47" s="22">
        <f t="shared" si="5"/>
        <v>40156</v>
      </c>
      <c r="H47" s="22">
        <f t="shared" si="5"/>
        <v>0</v>
      </c>
      <c r="I47" s="22">
        <f t="shared" si="5"/>
        <v>0</v>
      </c>
    </row>
    <row r="48" spans="1:9" s="15" customFormat="1" ht="11.5" customHeight="1" x14ac:dyDescent="0.35">
      <c r="A48" s="11"/>
      <c r="B48" s="11"/>
      <c r="C48" s="12" t="s">
        <v>284</v>
      </c>
      <c r="D48" s="13">
        <f>H48+F48</f>
        <v>10025</v>
      </c>
      <c r="E48" s="13">
        <f>I48+G48</f>
        <v>9987</v>
      </c>
      <c r="F48" s="13">
        <v>10025</v>
      </c>
      <c r="G48" s="13">
        <f>ROUND((G6+G20+G21+G22+G25+G26+G35+G42)*0.27,0)</f>
        <v>9987</v>
      </c>
      <c r="H48" s="13">
        <f>ROUND((H6+H20+H21+H22+H25+H26+H42)*0.27,0)</f>
        <v>0</v>
      </c>
      <c r="I48" s="13">
        <f>ROUND((I6+I20+I21+I22+I25+I26+I42)*0.27,0)</f>
        <v>0</v>
      </c>
    </row>
    <row r="49" spans="1:9" s="15" customFormat="1" ht="11.5" customHeight="1" x14ac:dyDescent="0.35">
      <c r="A49" s="11"/>
      <c r="B49" s="11"/>
      <c r="C49" s="12" t="s">
        <v>61</v>
      </c>
      <c r="D49" s="13">
        <f t="shared" ref="D49:E51" si="6">H49+F49</f>
        <v>232</v>
      </c>
      <c r="E49" s="13">
        <f t="shared" si="6"/>
        <v>663</v>
      </c>
      <c r="F49" s="14">
        <v>232</v>
      </c>
      <c r="G49" s="13">
        <f>ROUND(G27*1.19*0.14+(G44+G37)*1.19*0.27,0)</f>
        <v>663</v>
      </c>
      <c r="H49" s="14"/>
      <c r="I49" s="14"/>
    </row>
    <row r="50" spans="1:9" s="15" customFormat="1" ht="11.5" customHeight="1" x14ac:dyDescent="0.35">
      <c r="A50" s="11"/>
      <c r="B50" s="11"/>
      <c r="C50" s="12" t="s">
        <v>62</v>
      </c>
      <c r="D50" s="13">
        <f t="shared" si="6"/>
        <v>0</v>
      </c>
      <c r="E50" s="13">
        <f t="shared" si="6"/>
        <v>0</v>
      </c>
      <c r="F50" s="14">
        <v>0</v>
      </c>
      <c r="G50" s="14"/>
      <c r="H50" s="14"/>
      <c r="I50" s="14"/>
    </row>
    <row r="51" spans="1:9" s="15" customFormat="1" ht="11.5" customHeight="1" x14ac:dyDescent="0.35">
      <c r="A51" s="11"/>
      <c r="B51" s="11"/>
      <c r="C51" s="12" t="s">
        <v>63</v>
      </c>
      <c r="D51" s="13">
        <f t="shared" si="6"/>
        <v>248</v>
      </c>
      <c r="E51" s="13">
        <f t="shared" si="6"/>
        <v>300</v>
      </c>
      <c r="F51" s="14">
        <v>248</v>
      </c>
      <c r="G51" s="14">
        <f>ROUND((G45+G38+G28)*1.19*0.16,0)</f>
        <v>300</v>
      </c>
      <c r="H51" s="14"/>
      <c r="I51" s="14"/>
    </row>
    <row r="52" spans="1:9" s="3" customFormat="1" ht="12.75" customHeight="1" x14ac:dyDescent="0.35">
      <c r="A52" s="20" t="s">
        <v>64</v>
      </c>
      <c r="B52" s="20" t="s">
        <v>65</v>
      </c>
      <c r="C52" s="21" t="s">
        <v>287</v>
      </c>
      <c r="D52" s="22">
        <f t="shared" ref="D52:I52" si="7">D48+D49+D50+D51</f>
        <v>10505</v>
      </c>
      <c r="E52" s="22">
        <f t="shared" si="7"/>
        <v>10950</v>
      </c>
      <c r="F52" s="22">
        <f t="shared" si="7"/>
        <v>10505</v>
      </c>
      <c r="G52" s="22">
        <f t="shared" si="7"/>
        <v>10950</v>
      </c>
      <c r="H52" s="22">
        <f t="shared" si="7"/>
        <v>0</v>
      </c>
      <c r="I52" s="22">
        <f t="shared" si="7"/>
        <v>0</v>
      </c>
    </row>
    <row r="53" spans="1:9" s="3" customFormat="1" ht="14.15" customHeight="1" x14ac:dyDescent="0.35">
      <c r="A53" s="1093" t="s">
        <v>66</v>
      </c>
      <c r="B53" s="1094"/>
      <c r="C53" s="1095"/>
      <c r="D53" s="29">
        <f t="shared" ref="D53:I53" si="8">D47+D52</f>
        <v>49256</v>
      </c>
      <c r="E53" s="29">
        <f t="shared" si="8"/>
        <v>51106</v>
      </c>
      <c r="F53" s="29">
        <f t="shared" si="8"/>
        <v>49256</v>
      </c>
      <c r="G53" s="29">
        <f t="shared" si="8"/>
        <v>51106</v>
      </c>
      <c r="H53" s="29">
        <f t="shared" si="8"/>
        <v>0</v>
      </c>
      <c r="I53" s="29">
        <f t="shared" si="8"/>
        <v>0</v>
      </c>
    </row>
    <row r="54" spans="1:9" s="1" customFormat="1" ht="12.75" customHeight="1" x14ac:dyDescent="0.35">
      <c r="A54" s="1101" t="s">
        <v>264</v>
      </c>
      <c r="B54" s="1101"/>
      <c r="C54" s="1101"/>
      <c r="D54" s="1101"/>
      <c r="E54" s="1101"/>
      <c r="F54" s="1101"/>
      <c r="G54" s="1101"/>
      <c r="H54" s="1101"/>
      <c r="I54" s="1101"/>
    </row>
    <row r="55" spans="1:9" s="1" customFormat="1" ht="14.15" customHeight="1" x14ac:dyDescent="0.35">
      <c r="A55" s="1101" t="s">
        <v>0</v>
      </c>
      <c r="B55" s="1102" t="s">
        <v>1</v>
      </c>
      <c r="C55" s="1101" t="s">
        <v>2</v>
      </c>
      <c r="D55" s="1103" t="s">
        <v>260</v>
      </c>
      <c r="E55" s="1096" t="s">
        <v>259</v>
      </c>
      <c r="F55" s="1098" t="s">
        <v>261</v>
      </c>
      <c r="G55" s="1099"/>
      <c r="H55" s="1098" t="s">
        <v>262</v>
      </c>
      <c r="I55" s="1099"/>
    </row>
    <row r="56" spans="1:9" s="3" customFormat="1" ht="33" customHeight="1" x14ac:dyDescent="0.35">
      <c r="A56" s="1101"/>
      <c r="B56" s="1102"/>
      <c r="C56" s="1101"/>
      <c r="D56" s="1103"/>
      <c r="E56" s="1097"/>
      <c r="F56" s="2" t="s">
        <v>260</v>
      </c>
      <c r="G56" s="2" t="s">
        <v>259</v>
      </c>
      <c r="H56" s="2" t="s">
        <v>260</v>
      </c>
      <c r="I56" s="2" t="s">
        <v>259</v>
      </c>
    </row>
    <row r="57" spans="1:9" ht="5.65" customHeight="1" x14ac:dyDescent="0.35"/>
    <row r="58" spans="1:9" ht="14.15" customHeight="1" x14ac:dyDescent="0.35">
      <c r="A58" s="1100" t="s">
        <v>288</v>
      </c>
      <c r="B58" s="1100"/>
      <c r="C58" s="1100"/>
      <c r="D58" s="1100"/>
      <c r="E58" s="1100"/>
      <c r="F58" s="1100"/>
      <c r="G58" s="1100"/>
      <c r="H58" s="1100"/>
      <c r="I58" s="1100"/>
    </row>
    <row r="59" spans="1:9" s="3" customFormat="1" ht="14.15" customHeight="1" x14ac:dyDescent="0.35">
      <c r="A59" s="7" t="s">
        <v>67</v>
      </c>
      <c r="B59" s="7" t="s">
        <v>68</v>
      </c>
      <c r="C59" s="8" t="s">
        <v>69</v>
      </c>
      <c r="D59" s="9">
        <f>F59+H59</f>
        <v>136</v>
      </c>
      <c r="E59" s="9">
        <f>G59+I59</f>
        <v>205</v>
      </c>
      <c r="F59" s="10">
        <f>SUM(F60:F65)</f>
        <v>136</v>
      </c>
      <c r="G59" s="10">
        <f>SUM(G60:G65)</f>
        <v>205</v>
      </c>
      <c r="H59" s="10">
        <f>SUM(H60:H65)</f>
        <v>0</v>
      </c>
      <c r="I59" s="10">
        <f>SUM(I60:I65)</f>
        <v>0</v>
      </c>
    </row>
    <row r="60" spans="1:9" ht="14.15" customHeight="1" x14ac:dyDescent="0.35">
      <c r="A60" s="24"/>
      <c r="B60" s="24"/>
      <c r="C60" s="25" t="s">
        <v>70</v>
      </c>
      <c r="D60" s="26"/>
      <c r="E60" s="26"/>
      <c r="F60" s="26">
        <v>6</v>
      </c>
      <c r="G60" s="26"/>
      <c r="H60" s="26"/>
      <c r="I60" s="26"/>
    </row>
    <row r="61" spans="1:9" ht="14.15" customHeight="1" x14ac:dyDescent="0.35">
      <c r="A61" s="24"/>
      <c r="B61" s="24"/>
      <c r="C61" s="25" t="s">
        <v>71</v>
      </c>
      <c r="D61" s="26"/>
      <c r="E61" s="26"/>
      <c r="F61" s="26">
        <v>0</v>
      </c>
      <c r="G61" s="26"/>
      <c r="H61" s="26"/>
      <c r="I61" s="26"/>
    </row>
    <row r="62" spans="1:9" ht="14.15" customHeight="1" x14ac:dyDescent="0.35">
      <c r="A62" s="24"/>
      <c r="B62" s="24"/>
      <c r="C62" s="25" t="s">
        <v>72</v>
      </c>
      <c r="D62" s="26"/>
      <c r="E62" s="26"/>
      <c r="F62" s="26">
        <v>70</v>
      </c>
      <c r="G62" s="26">
        <v>180</v>
      </c>
      <c r="H62" s="26"/>
      <c r="I62" s="26"/>
    </row>
    <row r="63" spans="1:9" ht="14.15" customHeight="1" x14ac:dyDescent="0.35">
      <c r="A63" s="24"/>
      <c r="B63" s="24"/>
      <c r="C63" s="25" t="s">
        <v>73</v>
      </c>
      <c r="D63" s="26"/>
      <c r="E63" s="26"/>
      <c r="F63" s="26">
        <v>30</v>
      </c>
      <c r="G63" s="26">
        <v>5</v>
      </c>
      <c r="H63" s="26"/>
      <c r="I63" s="26"/>
    </row>
    <row r="64" spans="1:9" ht="14.15" customHeight="1" x14ac:dyDescent="0.35">
      <c r="A64" s="24"/>
      <c r="B64" s="24"/>
      <c r="C64" s="25" t="s">
        <v>74</v>
      </c>
      <c r="D64" s="26"/>
      <c r="E64" s="26"/>
      <c r="F64" s="26">
        <v>10</v>
      </c>
      <c r="G64" s="26"/>
      <c r="H64" s="26"/>
      <c r="I64" s="26"/>
    </row>
    <row r="65" spans="1:9" ht="14.15" customHeight="1" x14ac:dyDescent="0.35">
      <c r="A65" s="24"/>
      <c r="B65" s="24"/>
      <c r="C65" s="25" t="s">
        <v>75</v>
      </c>
      <c r="D65" s="26"/>
      <c r="E65" s="26"/>
      <c r="F65" s="26">
        <v>20</v>
      </c>
      <c r="G65" s="26">
        <v>20</v>
      </c>
      <c r="H65" s="26"/>
      <c r="I65" s="26"/>
    </row>
    <row r="66" spans="1:9" s="3" customFormat="1" ht="14.15" customHeight="1" x14ac:dyDescent="0.35">
      <c r="A66" s="7" t="s">
        <v>76</v>
      </c>
      <c r="B66" s="7" t="s">
        <v>77</v>
      </c>
      <c r="C66" s="8" t="s">
        <v>78</v>
      </c>
      <c r="D66" s="9">
        <f>F66+H66</f>
        <v>1215</v>
      </c>
      <c r="E66" s="9">
        <f>G66+I66</f>
        <v>1205</v>
      </c>
      <c r="F66" s="10">
        <f>SUM(F67:F72)</f>
        <v>1215</v>
      </c>
      <c r="G66" s="10">
        <f>SUM(G67:G72)</f>
        <v>1205</v>
      </c>
      <c r="H66" s="10">
        <f>SUM(H67:H72)</f>
        <v>0</v>
      </c>
      <c r="I66" s="10">
        <f>SUM(I67:I72)</f>
        <v>0</v>
      </c>
    </row>
    <row r="67" spans="1:9" ht="14.15" customHeight="1" x14ac:dyDescent="0.35">
      <c r="A67" s="24"/>
      <c r="B67" s="24"/>
      <c r="C67" s="25" t="s">
        <v>79</v>
      </c>
      <c r="D67" s="26"/>
      <c r="E67" s="26"/>
      <c r="F67" s="26"/>
      <c r="G67" s="26"/>
      <c r="H67" s="26"/>
      <c r="I67" s="26"/>
    </row>
    <row r="68" spans="1:9" ht="14.15" customHeight="1" x14ac:dyDescent="0.35">
      <c r="A68" s="24"/>
      <c r="B68" s="24"/>
      <c r="C68" s="25" t="s">
        <v>80</v>
      </c>
      <c r="D68" s="26"/>
      <c r="E68" s="26"/>
      <c r="F68" s="26">
        <v>115</v>
      </c>
      <c r="G68" s="26">
        <v>100</v>
      </c>
      <c r="H68" s="26"/>
      <c r="I68" s="26"/>
    </row>
    <row r="69" spans="1:9" ht="14.15" customHeight="1" x14ac:dyDescent="0.35">
      <c r="A69" s="24"/>
      <c r="B69" s="24"/>
      <c r="C69" s="25" t="s">
        <v>81</v>
      </c>
      <c r="D69" s="26"/>
      <c r="E69" s="26"/>
      <c r="F69" s="26"/>
      <c r="G69" s="26"/>
      <c r="H69" s="26"/>
      <c r="I69" s="26"/>
    </row>
    <row r="70" spans="1:9" ht="14.15" customHeight="1" x14ac:dyDescent="0.35">
      <c r="A70" s="24"/>
      <c r="B70" s="24"/>
      <c r="C70" s="25" t="s">
        <v>82</v>
      </c>
      <c r="D70" s="26"/>
      <c r="E70" s="26"/>
      <c r="F70" s="26">
        <v>5</v>
      </c>
      <c r="G70" s="26">
        <v>5</v>
      </c>
      <c r="H70" s="26"/>
      <c r="I70" s="26"/>
    </row>
    <row r="71" spans="1:9" ht="14.15" customHeight="1" x14ac:dyDescent="0.35">
      <c r="A71" s="24"/>
      <c r="B71" s="24"/>
      <c r="C71" s="25" t="s">
        <v>83</v>
      </c>
      <c r="D71" s="26"/>
      <c r="E71" s="26"/>
      <c r="F71" s="26">
        <v>195</v>
      </c>
      <c r="G71" s="26">
        <v>195</v>
      </c>
      <c r="H71" s="26"/>
      <c r="I71" s="26"/>
    </row>
    <row r="72" spans="1:9" ht="14.15" customHeight="1" x14ac:dyDescent="0.35">
      <c r="A72" s="24"/>
      <c r="B72" s="24"/>
      <c r="C72" s="25" t="s">
        <v>84</v>
      </c>
      <c r="D72" s="26"/>
      <c r="E72" s="26"/>
      <c r="F72" s="26">
        <v>900</v>
      </c>
      <c r="G72" s="26">
        <v>905</v>
      </c>
      <c r="H72" s="26"/>
      <c r="I72" s="26"/>
    </row>
    <row r="73" spans="1:9" s="3" customFormat="1" ht="14.15" customHeight="1" x14ac:dyDescent="0.35">
      <c r="A73" s="7" t="s">
        <v>85</v>
      </c>
      <c r="B73" s="7" t="s">
        <v>86</v>
      </c>
      <c r="C73" s="8" t="s">
        <v>87</v>
      </c>
      <c r="D73" s="9">
        <f>F73+H73</f>
        <v>0</v>
      </c>
      <c r="E73" s="9">
        <f>G73+I73</f>
        <v>0</v>
      </c>
      <c r="F73" s="10">
        <f>SUM(F74:F75)</f>
        <v>0</v>
      </c>
      <c r="G73" s="10">
        <f>SUM(G74:G75)</f>
        <v>0</v>
      </c>
      <c r="H73" s="10">
        <f>SUM(H74:H75)</f>
        <v>0</v>
      </c>
      <c r="I73" s="10">
        <f>SUM(I74:I75)</f>
        <v>0</v>
      </c>
    </row>
    <row r="74" spans="1:9" ht="14.15" customHeight="1" x14ac:dyDescent="0.35">
      <c r="A74" s="24"/>
      <c r="B74" s="24"/>
      <c r="C74" s="25" t="s">
        <v>88</v>
      </c>
      <c r="D74" s="26"/>
      <c r="E74" s="26"/>
      <c r="F74" s="26"/>
      <c r="G74" s="26"/>
      <c r="H74" s="26"/>
      <c r="I74" s="26"/>
    </row>
    <row r="75" spans="1:9" ht="14.15" customHeight="1" x14ac:dyDescent="0.35">
      <c r="A75" s="24"/>
      <c r="B75" s="24"/>
      <c r="C75" s="25" t="s">
        <v>89</v>
      </c>
      <c r="D75" s="26"/>
      <c r="E75" s="26"/>
      <c r="F75" s="26"/>
      <c r="G75" s="26"/>
      <c r="H75" s="26"/>
      <c r="I75" s="26"/>
    </row>
    <row r="76" spans="1:9" s="3" customFormat="1" ht="14.15" customHeight="1" x14ac:dyDescent="0.35">
      <c r="A76" s="16" t="s">
        <v>90</v>
      </c>
      <c r="B76" s="16" t="s">
        <v>91</v>
      </c>
      <c r="C76" s="17" t="s">
        <v>92</v>
      </c>
      <c r="D76" s="19">
        <f t="shared" ref="D76:I76" si="9">D59+D66</f>
        <v>1351</v>
      </c>
      <c r="E76" s="19">
        <f t="shared" si="9"/>
        <v>1410</v>
      </c>
      <c r="F76" s="19">
        <f t="shared" si="9"/>
        <v>1351</v>
      </c>
      <c r="G76" s="19">
        <f t="shared" si="9"/>
        <v>1410</v>
      </c>
      <c r="H76" s="19">
        <f t="shared" si="9"/>
        <v>0</v>
      </c>
      <c r="I76" s="19">
        <f t="shared" si="9"/>
        <v>0</v>
      </c>
    </row>
    <row r="77" spans="1:9" s="3" customFormat="1" ht="14.15" customHeight="1" x14ac:dyDescent="0.35">
      <c r="A77" s="7" t="s">
        <v>93</v>
      </c>
      <c r="B77" s="7" t="s">
        <v>94</v>
      </c>
      <c r="C77" s="8" t="s">
        <v>95</v>
      </c>
      <c r="D77" s="9">
        <f>F77+H77</f>
        <v>60</v>
      </c>
      <c r="E77" s="9">
        <f>G77+I77</f>
        <v>20</v>
      </c>
      <c r="F77" s="10">
        <f>SUM(F78:F83)</f>
        <v>60</v>
      </c>
      <c r="G77" s="10">
        <f>SUM(G78:G83)</f>
        <v>20</v>
      </c>
      <c r="H77" s="10">
        <f>SUM(H78:H83)</f>
        <v>0</v>
      </c>
      <c r="I77" s="10">
        <f>SUM(I78:I83)</f>
        <v>0</v>
      </c>
    </row>
    <row r="78" spans="1:9" ht="14.15" customHeight="1" x14ac:dyDescent="0.35">
      <c r="A78" s="24"/>
      <c r="B78" s="24"/>
      <c r="C78" s="25" t="s">
        <v>96</v>
      </c>
      <c r="D78" s="26"/>
      <c r="E78" s="26"/>
      <c r="F78" s="26"/>
      <c r="G78" s="26"/>
      <c r="H78" s="26"/>
      <c r="I78" s="26"/>
    </row>
    <row r="79" spans="1:9" ht="14.15" customHeight="1" x14ac:dyDescent="0.35">
      <c r="A79" s="24"/>
      <c r="B79" s="24"/>
      <c r="C79" s="25" t="s">
        <v>97</v>
      </c>
      <c r="D79" s="26"/>
      <c r="E79" s="26"/>
      <c r="F79" s="26">
        <v>10</v>
      </c>
      <c r="G79" s="26"/>
      <c r="H79" s="26"/>
      <c r="I79" s="26"/>
    </row>
    <row r="80" spans="1:9" ht="14.15" customHeight="1" x14ac:dyDescent="0.35">
      <c r="A80" s="24"/>
      <c r="B80" s="24"/>
      <c r="C80" s="25" t="s">
        <v>98</v>
      </c>
      <c r="D80" s="26"/>
      <c r="E80" s="26"/>
      <c r="F80" s="26"/>
      <c r="G80" s="26"/>
      <c r="H80" s="26"/>
      <c r="I80" s="26"/>
    </row>
    <row r="81" spans="1:9" ht="14.15" customHeight="1" x14ac:dyDescent="0.35">
      <c r="A81" s="24"/>
      <c r="B81" s="24"/>
      <c r="C81" s="25" t="s">
        <v>99</v>
      </c>
      <c r="D81" s="26"/>
      <c r="E81" s="26"/>
      <c r="F81" s="26">
        <v>20</v>
      </c>
      <c r="G81" s="26">
        <v>20</v>
      </c>
      <c r="H81" s="26"/>
      <c r="I81" s="26"/>
    </row>
    <row r="82" spans="1:9" ht="14.15" customHeight="1" x14ac:dyDescent="0.35">
      <c r="A82" s="24"/>
      <c r="B82" s="24"/>
      <c r="C82" s="25" t="s">
        <v>100</v>
      </c>
      <c r="D82" s="26"/>
      <c r="E82" s="26"/>
      <c r="F82" s="26">
        <v>15</v>
      </c>
      <c r="G82" s="26"/>
      <c r="H82" s="26"/>
      <c r="I82" s="26"/>
    </row>
    <row r="83" spans="1:9" ht="14.15" customHeight="1" x14ac:dyDescent="0.35">
      <c r="A83" s="24"/>
      <c r="B83" s="24"/>
      <c r="C83" s="25" t="s">
        <v>101</v>
      </c>
      <c r="D83" s="26"/>
      <c r="E83" s="26"/>
      <c r="F83" s="26">
        <v>15</v>
      </c>
      <c r="G83" s="26"/>
      <c r="H83" s="26"/>
      <c r="I83" s="26"/>
    </row>
    <row r="84" spans="1:9" s="3" customFormat="1" ht="14.15" customHeight="1" x14ac:dyDescent="0.35">
      <c r="A84" s="7" t="s">
        <v>102</v>
      </c>
      <c r="B84" s="7" t="s">
        <v>103</v>
      </c>
      <c r="C84" s="8" t="s">
        <v>104</v>
      </c>
      <c r="D84" s="9">
        <f>F84+H84</f>
        <v>130</v>
      </c>
      <c r="E84" s="9">
        <f>G84+I84</f>
        <v>135</v>
      </c>
      <c r="F84" s="10">
        <f>SUM(F85:F86)</f>
        <v>130</v>
      </c>
      <c r="G84" s="10">
        <f>SUM(G85:G86)</f>
        <v>135</v>
      </c>
      <c r="H84" s="10">
        <f>SUM(H85:H86)</f>
        <v>0</v>
      </c>
      <c r="I84" s="10">
        <f>SUM(I85:I86)</f>
        <v>0</v>
      </c>
    </row>
    <row r="85" spans="1:9" ht="14.15" customHeight="1" x14ac:dyDescent="0.35">
      <c r="A85" s="24"/>
      <c r="B85" s="24"/>
      <c r="C85" s="25" t="s">
        <v>105</v>
      </c>
      <c r="D85" s="26"/>
      <c r="E85" s="26"/>
      <c r="F85" s="26">
        <v>130</v>
      </c>
      <c r="G85" s="26">
        <v>135</v>
      </c>
      <c r="H85" s="26"/>
      <c r="I85" s="26"/>
    </row>
    <row r="86" spans="1:9" ht="14.15" customHeight="1" x14ac:dyDescent="0.35">
      <c r="A86" s="24"/>
      <c r="B86" s="24"/>
      <c r="C86" s="25" t="s">
        <v>106</v>
      </c>
      <c r="D86" s="26"/>
      <c r="E86" s="26"/>
      <c r="F86" s="26"/>
      <c r="G86" s="26"/>
      <c r="H86" s="26"/>
      <c r="I86" s="26"/>
    </row>
    <row r="87" spans="1:9" s="3" customFormat="1" ht="14.15" customHeight="1" x14ac:dyDescent="0.35">
      <c r="A87" s="16" t="s">
        <v>107</v>
      </c>
      <c r="B87" s="16" t="s">
        <v>108</v>
      </c>
      <c r="C87" s="17" t="s">
        <v>109</v>
      </c>
      <c r="D87" s="19">
        <f t="shared" ref="D87:I87" si="10">D77+D84</f>
        <v>190</v>
      </c>
      <c r="E87" s="19">
        <f t="shared" si="10"/>
        <v>155</v>
      </c>
      <c r="F87" s="19">
        <f t="shared" si="10"/>
        <v>190</v>
      </c>
      <c r="G87" s="19">
        <f t="shared" si="10"/>
        <v>155</v>
      </c>
      <c r="H87" s="19">
        <f t="shared" si="10"/>
        <v>0</v>
      </c>
      <c r="I87" s="19">
        <f t="shared" si="10"/>
        <v>0</v>
      </c>
    </row>
    <row r="88" spans="1:9" s="3" customFormat="1" ht="14.15" customHeight="1" x14ac:dyDescent="0.35">
      <c r="A88" s="7" t="s">
        <v>110</v>
      </c>
      <c r="B88" s="7" t="s">
        <v>111</v>
      </c>
      <c r="C88" s="8" t="s">
        <v>112</v>
      </c>
      <c r="D88" s="9">
        <f>F88+H88</f>
        <v>1545</v>
      </c>
      <c r="E88" s="9">
        <f>G88+I88</f>
        <v>1500</v>
      </c>
      <c r="F88" s="10">
        <f>SUM(F89:F91)</f>
        <v>1545</v>
      </c>
      <c r="G88" s="10">
        <f>SUM(G89:G91)</f>
        <v>1500</v>
      </c>
      <c r="H88" s="10">
        <f>SUM(H89:H91)</f>
        <v>0</v>
      </c>
      <c r="I88" s="10">
        <f>SUM(I89:I91)</f>
        <v>0</v>
      </c>
    </row>
    <row r="89" spans="1:9" ht="14.15" customHeight="1" x14ac:dyDescent="0.35">
      <c r="A89" s="24"/>
      <c r="B89" s="24"/>
      <c r="C89" s="25" t="s">
        <v>113</v>
      </c>
      <c r="D89" s="26"/>
      <c r="E89" s="26"/>
      <c r="F89" s="26">
        <v>470</v>
      </c>
      <c r="G89" s="26">
        <v>450</v>
      </c>
      <c r="H89" s="26"/>
      <c r="I89" s="26"/>
    </row>
    <row r="90" spans="1:9" ht="14.15" customHeight="1" x14ac:dyDescent="0.35">
      <c r="A90" s="24"/>
      <c r="B90" s="24"/>
      <c r="C90" s="25" t="s">
        <v>114</v>
      </c>
      <c r="D90" s="26"/>
      <c r="E90" s="26"/>
      <c r="F90" s="26">
        <v>750</v>
      </c>
      <c r="G90" s="26">
        <v>750</v>
      </c>
      <c r="H90" s="26"/>
      <c r="I90" s="26"/>
    </row>
    <row r="91" spans="1:9" ht="14.15" customHeight="1" x14ac:dyDescent="0.35">
      <c r="A91" s="24"/>
      <c r="B91" s="24"/>
      <c r="C91" s="25" t="s">
        <v>115</v>
      </c>
      <c r="D91" s="26"/>
      <c r="E91" s="26"/>
      <c r="F91" s="26">
        <v>325</v>
      </c>
      <c r="G91" s="26">
        <v>300</v>
      </c>
      <c r="H91" s="26"/>
      <c r="I91" s="26"/>
    </row>
    <row r="92" spans="1:9" s="3" customFormat="1" ht="14.15" customHeight="1" x14ac:dyDescent="0.35">
      <c r="A92" s="7" t="s">
        <v>116</v>
      </c>
      <c r="B92" s="7" t="s">
        <v>117</v>
      </c>
      <c r="C92" s="8" t="s">
        <v>118</v>
      </c>
      <c r="D92" s="9">
        <f>F92+H92</f>
        <v>5581</v>
      </c>
      <c r="E92" s="9">
        <f>G92+I92</f>
        <v>3700</v>
      </c>
      <c r="F92" s="10">
        <v>0</v>
      </c>
      <c r="G92" s="10">
        <f>G93</f>
        <v>0</v>
      </c>
      <c r="H92" s="10">
        <v>5581</v>
      </c>
      <c r="I92" s="10">
        <f>I93</f>
        <v>3700</v>
      </c>
    </row>
    <row r="93" spans="1:9" s="3" customFormat="1" ht="14.15" customHeight="1" x14ac:dyDescent="0.35">
      <c r="A93" s="24"/>
      <c r="B93" s="24"/>
      <c r="C93" s="25" t="s">
        <v>289</v>
      </c>
      <c r="D93" s="26"/>
      <c r="E93" s="26"/>
      <c r="F93" s="26"/>
      <c r="G93" s="26"/>
      <c r="H93" s="26"/>
      <c r="I93" s="26">
        <v>3700</v>
      </c>
    </row>
    <row r="94" spans="1:9" s="3" customFormat="1" ht="14.15" customHeight="1" x14ac:dyDescent="0.35">
      <c r="A94" s="7" t="s">
        <v>119</v>
      </c>
      <c r="B94" s="7" t="s">
        <v>120</v>
      </c>
      <c r="C94" s="8" t="s">
        <v>121</v>
      </c>
      <c r="D94" s="9">
        <f>F94+H94</f>
        <v>0</v>
      </c>
      <c r="E94" s="9">
        <f>G94+I94</f>
        <v>0</v>
      </c>
      <c r="F94" s="10">
        <f>SUM(F95:F96)</f>
        <v>0</v>
      </c>
      <c r="G94" s="10">
        <f>SUM(G95:G96)</f>
        <v>0</v>
      </c>
      <c r="H94" s="10">
        <f>SUM(H95:H96)</f>
        <v>0</v>
      </c>
      <c r="I94" s="10">
        <f>SUM(I95:I96)</f>
        <v>0</v>
      </c>
    </row>
    <row r="95" spans="1:9" ht="14.15" customHeight="1" x14ac:dyDescent="0.35">
      <c r="A95" s="24"/>
      <c r="B95" s="24"/>
      <c r="C95" s="25" t="s">
        <v>122</v>
      </c>
      <c r="D95" s="26"/>
      <c r="E95" s="26"/>
      <c r="F95" s="26"/>
      <c r="G95" s="26"/>
      <c r="H95" s="26"/>
      <c r="I95" s="26"/>
    </row>
    <row r="96" spans="1:9" ht="14.15" customHeight="1" x14ac:dyDescent="0.35">
      <c r="A96" s="24"/>
      <c r="B96" s="24"/>
      <c r="C96" s="25" t="s">
        <v>123</v>
      </c>
      <c r="D96" s="26"/>
      <c r="E96" s="26"/>
      <c r="F96" s="26"/>
      <c r="G96" s="26"/>
      <c r="H96" s="26"/>
      <c r="I96" s="26"/>
    </row>
    <row r="97" spans="1:9" s="3" customFormat="1" ht="14.15" customHeight="1" x14ac:dyDescent="0.35">
      <c r="A97" s="7" t="s">
        <v>124</v>
      </c>
      <c r="B97" s="7" t="s">
        <v>125</v>
      </c>
      <c r="C97" s="8" t="s">
        <v>126</v>
      </c>
      <c r="D97" s="9">
        <f>F97+H97</f>
        <v>1100</v>
      </c>
      <c r="E97" s="9">
        <f>G97+I97</f>
        <v>1200</v>
      </c>
      <c r="F97" s="10">
        <v>1100</v>
      </c>
      <c r="G97" s="10">
        <v>1200</v>
      </c>
      <c r="H97" s="10">
        <v>0</v>
      </c>
      <c r="I97" s="10">
        <v>0</v>
      </c>
    </row>
    <row r="98" spans="1:9" s="3" customFormat="1" ht="14.15" customHeight="1" x14ac:dyDescent="0.35">
      <c r="A98" s="7" t="s">
        <v>127</v>
      </c>
      <c r="B98" s="7" t="s">
        <v>128</v>
      </c>
      <c r="C98" s="8" t="s">
        <v>129</v>
      </c>
      <c r="D98" s="9">
        <f>F98+H98</f>
        <v>0</v>
      </c>
      <c r="E98" s="9">
        <f>G98+I98</f>
        <v>0</v>
      </c>
      <c r="F98" s="10">
        <v>0</v>
      </c>
      <c r="G98" s="10">
        <f>SUM(G99:G100)</f>
        <v>0</v>
      </c>
      <c r="H98" s="10">
        <v>0</v>
      </c>
      <c r="I98" s="10">
        <f>SUM(I99:I100)</f>
        <v>0</v>
      </c>
    </row>
    <row r="99" spans="1:9" ht="14.15" customHeight="1" x14ac:dyDescent="0.35">
      <c r="A99" s="24"/>
      <c r="B99" s="24"/>
      <c r="C99" s="25" t="s">
        <v>130</v>
      </c>
      <c r="D99" s="26"/>
      <c r="E99" s="26"/>
      <c r="F99" s="26"/>
      <c r="G99" s="26"/>
      <c r="H99" s="26"/>
      <c r="I99" s="26"/>
    </row>
    <row r="100" spans="1:9" ht="14.15" customHeight="1" x14ac:dyDescent="0.35">
      <c r="A100" s="24"/>
      <c r="B100" s="24"/>
      <c r="C100" s="25" t="s">
        <v>131</v>
      </c>
      <c r="D100" s="26"/>
      <c r="E100" s="26"/>
      <c r="F100" s="26"/>
      <c r="G100" s="26"/>
      <c r="H100" s="26"/>
      <c r="I100" s="26"/>
    </row>
    <row r="101" spans="1:9" s="3" customFormat="1" ht="14.15" customHeight="1" x14ac:dyDescent="0.35">
      <c r="A101" s="7" t="s">
        <v>132</v>
      </c>
      <c r="B101" s="7" t="s">
        <v>133</v>
      </c>
      <c r="C101" s="8" t="s">
        <v>134</v>
      </c>
      <c r="D101" s="9">
        <f>F101+H101</f>
        <v>200</v>
      </c>
      <c r="E101" s="9">
        <f>G101+I101</f>
        <v>20</v>
      </c>
      <c r="F101" s="10">
        <f>SUM(F102:F104)</f>
        <v>200</v>
      </c>
      <c r="G101" s="10">
        <f>SUM(G102:G104)</f>
        <v>20</v>
      </c>
      <c r="H101" s="10">
        <f>SUM(H102:H104)</f>
        <v>0</v>
      </c>
      <c r="I101" s="10">
        <f>SUM(I102:I104)</f>
        <v>0</v>
      </c>
    </row>
    <row r="102" spans="1:9" ht="14.15" customHeight="1" x14ac:dyDescent="0.35">
      <c r="A102" s="24"/>
      <c r="B102" s="24"/>
      <c r="C102" s="25" t="s">
        <v>135</v>
      </c>
      <c r="D102" s="26"/>
      <c r="E102" s="26"/>
      <c r="F102" s="26">
        <v>0</v>
      </c>
      <c r="G102" s="26">
        <v>0</v>
      </c>
      <c r="H102" s="26">
        <v>0</v>
      </c>
      <c r="I102" s="26">
        <v>0</v>
      </c>
    </row>
    <row r="103" spans="1:9" ht="14.15" customHeight="1" x14ac:dyDescent="0.35">
      <c r="A103" s="24"/>
      <c r="B103" s="24"/>
      <c r="C103" s="25" t="s">
        <v>136</v>
      </c>
      <c r="D103" s="26"/>
      <c r="E103" s="26"/>
      <c r="F103" s="26">
        <v>0</v>
      </c>
      <c r="G103" s="26">
        <v>0</v>
      </c>
      <c r="H103" s="26">
        <v>0</v>
      </c>
      <c r="I103" s="26">
        <v>0</v>
      </c>
    </row>
    <row r="104" spans="1:9" ht="14.15" customHeight="1" x14ac:dyDescent="0.35">
      <c r="A104" s="24"/>
      <c r="B104" s="24"/>
      <c r="C104" s="25" t="s">
        <v>137</v>
      </c>
      <c r="D104" s="26"/>
      <c r="E104" s="26"/>
      <c r="F104" s="26">
        <v>200</v>
      </c>
      <c r="G104" s="26">
        <v>20</v>
      </c>
      <c r="H104" s="26">
        <v>0</v>
      </c>
      <c r="I104" s="26">
        <v>0</v>
      </c>
    </row>
    <row r="105" spans="1:9" s="3" customFormat="1" ht="14.15" customHeight="1" x14ac:dyDescent="0.35">
      <c r="A105" s="7" t="s">
        <v>138</v>
      </c>
      <c r="B105" s="7" t="s">
        <v>139</v>
      </c>
      <c r="C105" s="8" t="s">
        <v>140</v>
      </c>
      <c r="D105" s="9">
        <f>F105+H105</f>
        <v>850</v>
      </c>
      <c r="E105" s="9">
        <f>G105+I105</f>
        <v>965</v>
      </c>
      <c r="F105" s="10">
        <f>SUM(F106:F109)</f>
        <v>850</v>
      </c>
      <c r="G105" s="10">
        <f>SUM(G106:G109)</f>
        <v>965</v>
      </c>
      <c r="H105" s="10">
        <f>SUM(H106:H109)</f>
        <v>0</v>
      </c>
      <c r="I105" s="10">
        <f>SUM(I106:I109)</f>
        <v>0</v>
      </c>
    </row>
    <row r="106" spans="1:9" ht="14.15" customHeight="1" x14ac:dyDescent="0.35">
      <c r="A106" s="24"/>
      <c r="B106" s="24"/>
      <c r="C106" s="25" t="s">
        <v>141</v>
      </c>
      <c r="D106" s="26"/>
      <c r="E106" s="26"/>
      <c r="F106" s="26">
        <v>0</v>
      </c>
      <c r="G106" s="26">
        <v>0</v>
      </c>
      <c r="H106" s="26"/>
      <c r="I106" s="26"/>
    </row>
    <row r="107" spans="1:9" ht="14.15" customHeight="1" x14ac:dyDescent="0.35">
      <c r="A107" s="24"/>
      <c r="B107" s="24"/>
      <c r="C107" s="25" t="s">
        <v>142</v>
      </c>
      <c r="D107" s="26"/>
      <c r="E107" s="26"/>
      <c r="F107" s="26">
        <v>100</v>
      </c>
      <c r="G107" s="26">
        <v>185</v>
      </c>
      <c r="H107" s="26"/>
      <c r="I107" s="26"/>
    </row>
    <row r="108" spans="1:9" ht="14.15" customHeight="1" x14ac:dyDescent="0.35">
      <c r="A108" s="24"/>
      <c r="B108" s="24"/>
      <c r="C108" s="25" t="s">
        <v>143</v>
      </c>
      <c r="D108" s="26"/>
      <c r="E108" s="26"/>
      <c r="F108" s="26">
        <v>50</v>
      </c>
      <c r="G108" s="26">
        <v>0</v>
      </c>
      <c r="H108" s="26"/>
      <c r="I108" s="26"/>
    </row>
    <row r="109" spans="1:9" ht="14.15" customHeight="1" x14ac:dyDescent="0.35">
      <c r="A109" s="24"/>
      <c r="B109" s="24"/>
      <c r="C109" s="25" t="s">
        <v>144</v>
      </c>
      <c r="D109" s="26"/>
      <c r="E109" s="26"/>
      <c r="F109" s="26">
        <v>700</v>
      </c>
      <c r="G109" s="26">
        <v>780</v>
      </c>
      <c r="H109" s="26"/>
      <c r="I109" s="26"/>
    </row>
    <row r="110" spans="1:9" s="3" customFormat="1" ht="14.15" customHeight="1" x14ac:dyDescent="0.35">
      <c r="A110" s="16" t="s">
        <v>145</v>
      </c>
      <c r="B110" s="16" t="s">
        <v>146</v>
      </c>
      <c r="C110" s="17" t="s">
        <v>147</v>
      </c>
      <c r="D110" s="19">
        <f t="shared" ref="D110:I110" si="11">D88+D92+D94+D97+D98+D101+D105</f>
        <v>9276</v>
      </c>
      <c r="E110" s="19">
        <f t="shared" si="11"/>
        <v>7385</v>
      </c>
      <c r="F110" s="19">
        <f t="shared" si="11"/>
        <v>3695</v>
      </c>
      <c r="G110" s="19">
        <f t="shared" si="11"/>
        <v>3685</v>
      </c>
      <c r="H110" s="19">
        <f t="shared" si="11"/>
        <v>5581</v>
      </c>
      <c r="I110" s="19">
        <f t="shared" si="11"/>
        <v>3700</v>
      </c>
    </row>
    <row r="111" spans="1:9" s="3" customFormat="1" ht="14.15" customHeight="1" x14ac:dyDescent="0.35">
      <c r="A111" s="7" t="s">
        <v>148</v>
      </c>
      <c r="B111" s="7" t="s">
        <v>149</v>
      </c>
      <c r="C111" s="8" t="s">
        <v>150</v>
      </c>
      <c r="D111" s="9">
        <f>F111+H111</f>
        <v>100</v>
      </c>
      <c r="E111" s="9">
        <f>G111+I111</f>
        <v>60</v>
      </c>
      <c r="F111" s="10">
        <f>SUM(F112:F113)</f>
        <v>100</v>
      </c>
      <c r="G111" s="10">
        <f>SUM(G112:G113)</f>
        <v>60</v>
      </c>
      <c r="H111" s="10">
        <f>SUM(H112:H113)</f>
        <v>0</v>
      </c>
      <c r="I111" s="10">
        <f>SUM(I112:I113)</f>
        <v>0</v>
      </c>
    </row>
    <row r="112" spans="1:9" ht="14.15" customHeight="1" x14ac:dyDescent="0.35">
      <c r="A112" s="24"/>
      <c r="B112" s="24"/>
      <c r="C112" s="25" t="s">
        <v>151</v>
      </c>
      <c r="D112" s="26"/>
      <c r="E112" s="26"/>
      <c r="F112" s="26">
        <v>100</v>
      </c>
      <c r="G112" s="26">
        <v>60</v>
      </c>
      <c r="H112" s="26"/>
      <c r="I112" s="26"/>
    </row>
    <row r="113" spans="1:9" ht="14.15" customHeight="1" x14ac:dyDescent="0.35">
      <c r="A113" s="24"/>
      <c r="B113" s="24"/>
      <c r="C113" s="25" t="s">
        <v>152</v>
      </c>
      <c r="D113" s="26"/>
      <c r="E113" s="26"/>
      <c r="F113" s="26"/>
      <c r="G113" s="26"/>
      <c r="H113" s="26"/>
      <c r="I113" s="26"/>
    </row>
    <row r="114" spans="1:9" s="3" customFormat="1" ht="14.15" customHeight="1" x14ac:dyDescent="0.35">
      <c r="A114" s="7" t="s">
        <v>153</v>
      </c>
      <c r="B114" s="7" t="s">
        <v>154</v>
      </c>
      <c r="C114" s="8" t="s">
        <v>155</v>
      </c>
      <c r="D114" s="9">
        <f>F114+H114</f>
        <v>0</v>
      </c>
      <c r="E114" s="9">
        <f>G114+I114</f>
        <v>0</v>
      </c>
      <c r="F114" s="10">
        <v>0</v>
      </c>
      <c r="G114" s="10">
        <v>0</v>
      </c>
      <c r="H114" s="10">
        <v>0</v>
      </c>
      <c r="I114" s="10">
        <v>0</v>
      </c>
    </row>
    <row r="115" spans="1:9" s="3" customFormat="1" ht="14.15" customHeight="1" x14ac:dyDescent="0.35">
      <c r="A115" s="16" t="s">
        <v>156</v>
      </c>
      <c r="B115" s="16" t="s">
        <v>157</v>
      </c>
      <c r="C115" s="17" t="s">
        <v>158</v>
      </c>
      <c r="D115" s="19">
        <f t="shared" ref="D115:I115" si="12">D111+D114</f>
        <v>100</v>
      </c>
      <c r="E115" s="19">
        <f t="shared" si="12"/>
        <v>60</v>
      </c>
      <c r="F115" s="19">
        <f t="shared" si="12"/>
        <v>100</v>
      </c>
      <c r="G115" s="19">
        <f t="shared" si="12"/>
        <v>60</v>
      </c>
      <c r="H115" s="19">
        <f t="shared" si="12"/>
        <v>0</v>
      </c>
      <c r="I115" s="19">
        <f t="shared" si="12"/>
        <v>0</v>
      </c>
    </row>
    <row r="116" spans="1:9" s="3" customFormat="1" ht="14.15" customHeight="1" x14ac:dyDescent="0.35">
      <c r="A116" s="7" t="s">
        <v>159</v>
      </c>
      <c r="B116" s="7" t="s">
        <v>160</v>
      </c>
      <c r="C116" s="8" t="s">
        <v>161</v>
      </c>
      <c r="D116" s="9">
        <f>F116+H116</f>
        <v>2921</v>
      </c>
      <c r="E116" s="9">
        <f>G116+I116</f>
        <v>2417</v>
      </c>
      <c r="F116" s="10">
        <f>SUM(F117:F118)</f>
        <v>1414</v>
      </c>
      <c r="G116" s="10">
        <f>SUM(G117:G118)</f>
        <v>1418</v>
      </c>
      <c r="H116" s="10">
        <f>SUM(H117:H118)</f>
        <v>1507</v>
      </c>
      <c r="I116" s="10">
        <f>SUM(I117:I118)</f>
        <v>999</v>
      </c>
    </row>
    <row r="117" spans="1:9" ht="14.15" customHeight="1" x14ac:dyDescent="0.35">
      <c r="A117" s="24"/>
      <c r="B117" s="24"/>
      <c r="C117" s="25" t="s">
        <v>162</v>
      </c>
      <c r="D117" s="26"/>
      <c r="E117" s="26"/>
      <c r="F117" s="26"/>
      <c r="G117" s="26"/>
      <c r="H117" s="26"/>
      <c r="I117" s="26"/>
    </row>
    <row r="118" spans="1:9" ht="14.15" customHeight="1" x14ac:dyDescent="0.35">
      <c r="A118" s="24"/>
      <c r="B118" s="24"/>
      <c r="C118" s="25" t="s">
        <v>163</v>
      </c>
      <c r="D118" s="26"/>
      <c r="E118" s="26"/>
      <c r="F118" s="26">
        <v>1414</v>
      </c>
      <c r="G118" s="26">
        <f>ROUND((G76+G87+G110+G114)*0.27,0)</f>
        <v>1418</v>
      </c>
      <c r="H118" s="26">
        <v>1507</v>
      </c>
      <c r="I118" s="26">
        <f>ROUND((I76+I87+I110+I114)*0.27,0)</f>
        <v>999</v>
      </c>
    </row>
    <row r="119" spans="1:9" s="3" customFormat="1" ht="14.15" customHeight="1" x14ac:dyDescent="0.35">
      <c r="A119" s="7" t="s">
        <v>164</v>
      </c>
      <c r="B119" s="7" t="s">
        <v>165</v>
      </c>
      <c r="C119" s="8" t="s">
        <v>166</v>
      </c>
      <c r="D119" s="9">
        <f>F119+H119</f>
        <v>0</v>
      </c>
      <c r="E119" s="9">
        <f>G119+I119</f>
        <v>0</v>
      </c>
      <c r="F119" s="10">
        <f>SUM(F120:F122)</f>
        <v>0</v>
      </c>
      <c r="G119" s="10">
        <f>SUM(G120:G122)</f>
        <v>0</v>
      </c>
      <c r="H119" s="10">
        <f>SUM(H120:H122)</f>
        <v>0</v>
      </c>
      <c r="I119" s="10">
        <f>SUM(I120:I122)</f>
        <v>0</v>
      </c>
    </row>
    <row r="120" spans="1:9" ht="14.15" customHeight="1" x14ac:dyDescent="0.35">
      <c r="A120" s="24"/>
      <c r="B120" s="24"/>
      <c r="C120" s="25" t="s">
        <v>167</v>
      </c>
      <c r="D120" s="26"/>
      <c r="E120" s="26"/>
      <c r="F120" s="26"/>
      <c r="G120" s="26"/>
      <c r="H120" s="26"/>
      <c r="I120" s="26"/>
    </row>
    <row r="121" spans="1:9" ht="14.15" customHeight="1" x14ac:dyDescent="0.35">
      <c r="A121" s="24"/>
      <c r="B121" s="24"/>
      <c r="C121" s="25" t="s">
        <v>168</v>
      </c>
      <c r="D121" s="26"/>
      <c r="E121" s="26"/>
      <c r="F121" s="26"/>
      <c r="G121" s="26"/>
      <c r="H121" s="26"/>
      <c r="I121" s="26"/>
    </row>
    <row r="122" spans="1:9" ht="14.15" customHeight="1" x14ac:dyDescent="0.35">
      <c r="A122" s="24"/>
      <c r="B122" s="24"/>
      <c r="C122" s="25" t="s">
        <v>169</v>
      </c>
      <c r="D122" s="26"/>
      <c r="E122" s="26"/>
      <c r="F122" s="26"/>
      <c r="G122" s="26"/>
      <c r="H122" s="26"/>
      <c r="I122" s="26"/>
    </row>
    <row r="123" spans="1:9" s="3" customFormat="1" ht="14.15" customHeight="1" x14ac:dyDescent="0.35">
      <c r="A123" s="7" t="s">
        <v>170</v>
      </c>
      <c r="B123" s="7" t="s">
        <v>171</v>
      </c>
      <c r="C123" s="8" t="s">
        <v>172</v>
      </c>
      <c r="D123" s="9">
        <f>F123+H123</f>
        <v>0</v>
      </c>
      <c r="E123" s="9">
        <f>G123+I123</f>
        <v>0</v>
      </c>
      <c r="F123" s="10">
        <f>SUM(F124:F127)</f>
        <v>0</v>
      </c>
      <c r="G123" s="10">
        <f>SUM(G124:G127)</f>
        <v>0</v>
      </c>
      <c r="H123" s="10">
        <f>SUM(H124:H127)</f>
        <v>0</v>
      </c>
      <c r="I123" s="10">
        <f>SUM(I124:I127)</f>
        <v>0</v>
      </c>
    </row>
    <row r="124" spans="1:9" ht="14.15" customHeight="1" x14ac:dyDescent="0.35">
      <c r="A124" s="24"/>
      <c r="B124" s="24"/>
      <c r="C124" s="25" t="s">
        <v>173</v>
      </c>
      <c r="D124" s="26"/>
      <c r="E124" s="26"/>
      <c r="F124" s="26"/>
      <c r="G124" s="26"/>
      <c r="H124" s="26"/>
      <c r="I124" s="26"/>
    </row>
    <row r="125" spans="1:9" ht="14.15" customHeight="1" x14ac:dyDescent="0.35">
      <c r="A125" s="24"/>
      <c r="B125" s="24"/>
      <c r="C125" s="25" t="s">
        <v>174</v>
      </c>
      <c r="D125" s="26"/>
      <c r="E125" s="26"/>
      <c r="F125" s="26"/>
      <c r="G125" s="26"/>
      <c r="H125" s="26"/>
      <c r="I125" s="26"/>
    </row>
    <row r="126" spans="1:9" ht="14.15" customHeight="1" x14ac:dyDescent="0.35">
      <c r="A126" s="24"/>
      <c r="B126" s="24"/>
      <c r="C126" s="25" t="s">
        <v>175</v>
      </c>
      <c r="D126" s="26"/>
      <c r="E126" s="26"/>
      <c r="F126" s="26"/>
      <c r="G126" s="26"/>
      <c r="H126" s="26"/>
      <c r="I126" s="26"/>
    </row>
    <row r="127" spans="1:9" ht="14.15" customHeight="1" x14ac:dyDescent="0.35">
      <c r="A127" s="24"/>
      <c r="B127" s="24"/>
      <c r="C127" s="25" t="s">
        <v>176</v>
      </c>
      <c r="D127" s="26"/>
      <c r="E127" s="26"/>
      <c r="F127" s="26"/>
      <c r="G127" s="26"/>
      <c r="H127" s="26"/>
      <c r="I127" s="26"/>
    </row>
    <row r="128" spans="1:9" s="3" customFormat="1" ht="14.15" customHeight="1" x14ac:dyDescent="0.35">
      <c r="A128" s="7" t="s">
        <v>177</v>
      </c>
      <c r="B128" s="7" t="s">
        <v>178</v>
      </c>
      <c r="C128" s="8" t="s">
        <v>179</v>
      </c>
      <c r="D128" s="9">
        <f>F128+H128</f>
        <v>0</v>
      </c>
      <c r="E128" s="9">
        <f>G128+I128</f>
        <v>0</v>
      </c>
      <c r="F128" s="10">
        <f>SUM(F129:F130)</f>
        <v>0</v>
      </c>
      <c r="G128" s="10">
        <f>SUM(G129:G130)</f>
        <v>0</v>
      </c>
      <c r="H128" s="10">
        <f>SUM(H129:H130)</f>
        <v>0</v>
      </c>
      <c r="I128" s="10">
        <f>SUM(I129:I130)</f>
        <v>0</v>
      </c>
    </row>
    <row r="129" spans="1:252" ht="14.15" customHeight="1" x14ac:dyDescent="0.35">
      <c r="A129" s="24"/>
      <c r="B129" s="24"/>
      <c r="C129" s="25" t="s">
        <v>180</v>
      </c>
      <c r="D129" s="26"/>
      <c r="E129" s="26"/>
      <c r="F129" s="26"/>
      <c r="G129" s="26"/>
      <c r="H129" s="26"/>
      <c r="I129" s="26"/>
    </row>
    <row r="130" spans="1:252" ht="14.15" customHeight="1" x14ac:dyDescent="0.35">
      <c r="A130" s="24"/>
      <c r="B130" s="24"/>
      <c r="C130" s="25" t="s">
        <v>181</v>
      </c>
      <c r="D130" s="26"/>
      <c r="E130" s="26"/>
      <c r="F130" s="26"/>
      <c r="G130" s="26"/>
      <c r="H130" s="26"/>
      <c r="I130" s="26"/>
    </row>
    <row r="131" spans="1:252" s="3" customFormat="1" ht="14.15" customHeight="1" x14ac:dyDescent="0.35">
      <c r="A131" s="7" t="s">
        <v>182</v>
      </c>
      <c r="B131" s="7" t="s">
        <v>183</v>
      </c>
      <c r="C131" s="8" t="s">
        <v>184</v>
      </c>
      <c r="D131" s="9">
        <f>F131+H131</f>
        <v>20</v>
      </c>
      <c r="E131" s="9">
        <f>G131+I131</f>
        <v>300</v>
      </c>
      <c r="F131" s="10">
        <f>SUM(F132:F135)</f>
        <v>20</v>
      </c>
      <c r="G131" s="10">
        <f>SUM(G132:G135)</f>
        <v>300</v>
      </c>
      <c r="H131" s="10">
        <f>SUM(H132:H135)</f>
        <v>0</v>
      </c>
      <c r="I131" s="10">
        <f>SUM(I132:I135)</f>
        <v>0</v>
      </c>
    </row>
    <row r="132" spans="1:252" ht="14.15" customHeight="1" x14ac:dyDescent="0.35">
      <c r="A132" s="24"/>
      <c r="B132" s="24"/>
      <c r="C132" s="25" t="s">
        <v>185</v>
      </c>
      <c r="D132" s="26"/>
      <c r="E132" s="26"/>
      <c r="F132" s="26"/>
      <c r="G132" s="26"/>
      <c r="H132" s="26"/>
      <c r="I132" s="26"/>
    </row>
    <row r="133" spans="1:252" ht="14.15" customHeight="1" x14ac:dyDescent="0.35">
      <c r="A133" s="24"/>
      <c r="B133" s="24"/>
      <c r="C133" s="25" t="s">
        <v>186</v>
      </c>
      <c r="D133" s="26"/>
      <c r="E133" s="26"/>
      <c r="F133" s="26"/>
      <c r="G133" s="26"/>
      <c r="H133" s="26"/>
      <c r="I133" s="26"/>
    </row>
    <row r="134" spans="1:252" ht="14.15" customHeight="1" x14ac:dyDescent="0.35">
      <c r="A134" s="24"/>
      <c r="B134" s="24"/>
      <c r="C134" s="25" t="s">
        <v>187</v>
      </c>
      <c r="D134" s="26"/>
      <c r="E134" s="26"/>
      <c r="F134" s="26"/>
      <c r="G134" s="26"/>
      <c r="H134" s="26"/>
      <c r="I134" s="26"/>
    </row>
    <row r="135" spans="1:252" ht="14.15" customHeight="1" x14ac:dyDescent="0.35">
      <c r="A135" s="24"/>
      <c r="B135" s="24"/>
      <c r="C135" s="25" t="s">
        <v>188</v>
      </c>
      <c r="D135" s="26"/>
      <c r="E135" s="26"/>
      <c r="F135" s="26">
        <v>20</v>
      </c>
      <c r="G135" s="26">
        <v>300</v>
      </c>
      <c r="H135" s="26"/>
      <c r="I135" s="26"/>
    </row>
    <row r="136" spans="1:252" s="3" customFormat="1" ht="14.15" customHeight="1" x14ac:dyDescent="0.35">
      <c r="A136" s="16" t="s">
        <v>189</v>
      </c>
      <c r="B136" s="16" t="s">
        <v>190</v>
      </c>
      <c r="C136" s="17" t="s">
        <v>191</v>
      </c>
      <c r="D136" s="19">
        <f t="shared" ref="D136:I136" si="13">D116+D119+D123+D128+D131</f>
        <v>2941</v>
      </c>
      <c r="E136" s="19">
        <f t="shared" si="13"/>
        <v>2717</v>
      </c>
      <c r="F136" s="19">
        <f t="shared" si="13"/>
        <v>1434</v>
      </c>
      <c r="G136" s="19">
        <f t="shared" si="13"/>
        <v>1718</v>
      </c>
      <c r="H136" s="19">
        <f t="shared" si="13"/>
        <v>1507</v>
      </c>
      <c r="I136" s="19">
        <f t="shared" si="13"/>
        <v>999</v>
      </c>
    </row>
    <row r="137" spans="1:252" s="3" customFormat="1" ht="14.15" customHeight="1" x14ac:dyDescent="0.35">
      <c r="A137" s="20" t="s">
        <v>192</v>
      </c>
      <c r="B137" s="20" t="s">
        <v>193</v>
      </c>
      <c r="C137" s="21" t="s">
        <v>292</v>
      </c>
      <c r="D137" s="23">
        <f t="shared" ref="D137:I137" si="14">D76+D87+D110+D115+D136</f>
        <v>13858</v>
      </c>
      <c r="E137" s="23">
        <f t="shared" si="14"/>
        <v>11727</v>
      </c>
      <c r="F137" s="23">
        <f t="shared" si="14"/>
        <v>6770</v>
      </c>
      <c r="G137" s="23">
        <f t="shared" si="14"/>
        <v>7028</v>
      </c>
      <c r="H137" s="23">
        <f t="shared" si="14"/>
        <v>7088</v>
      </c>
      <c r="I137" s="23">
        <f t="shared" si="14"/>
        <v>4699</v>
      </c>
    </row>
    <row r="138" spans="1:252" ht="14.15" customHeight="1" x14ac:dyDescent="0.25">
      <c r="A138" s="1104" t="s">
        <v>291</v>
      </c>
      <c r="B138" s="1105"/>
      <c r="C138" s="1106"/>
      <c r="D138" s="28">
        <f t="shared" ref="D138:I138" si="15">D53+D137</f>
        <v>63114</v>
      </c>
      <c r="E138" s="28">
        <f t="shared" si="15"/>
        <v>62833</v>
      </c>
      <c r="F138" s="28">
        <f t="shared" si="15"/>
        <v>56026</v>
      </c>
      <c r="G138" s="28">
        <f t="shared" si="15"/>
        <v>58134</v>
      </c>
      <c r="H138" s="28">
        <f t="shared" si="15"/>
        <v>7088</v>
      </c>
      <c r="I138" s="28">
        <f t="shared" si="15"/>
        <v>4699</v>
      </c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</row>
    <row r="139" spans="1:252" ht="12.75" customHeight="1" x14ac:dyDescent="0.2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</row>
    <row r="140" spans="1:252" ht="14.15" customHeight="1" x14ac:dyDescent="0.2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27"/>
      <c r="IO140" s="27"/>
      <c r="IP140" s="27"/>
      <c r="IQ140" s="27"/>
      <c r="IR140" s="27"/>
    </row>
    <row r="142" spans="1:252" s="1" customFormat="1" ht="12.75" customHeight="1" x14ac:dyDescent="0.35">
      <c r="A142" s="1101" t="s">
        <v>290</v>
      </c>
      <c r="B142" s="1101"/>
      <c r="C142" s="1101"/>
      <c r="D142" s="1101"/>
      <c r="E142" s="1101"/>
      <c r="F142" s="1101"/>
      <c r="G142" s="1101"/>
      <c r="H142" s="1101"/>
      <c r="I142" s="1101"/>
    </row>
    <row r="143" spans="1:252" s="1" customFormat="1" ht="14.15" customHeight="1" x14ac:dyDescent="0.35">
      <c r="A143" s="1101" t="s">
        <v>0</v>
      </c>
      <c r="B143" s="1102" t="s">
        <v>1</v>
      </c>
      <c r="C143" s="1101" t="s">
        <v>2</v>
      </c>
      <c r="D143" s="1103" t="s">
        <v>260</v>
      </c>
      <c r="E143" s="1096" t="s">
        <v>259</v>
      </c>
      <c r="F143" s="1098" t="s">
        <v>261</v>
      </c>
      <c r="G143" s="1099"/>
      <c r="H143" s="1098" t="s">
        <v>262</v>
      </c>
      <c r="I143" s="1099"/>
    </row>
    <row r="144" spans="1:252" s="3" customFormat="1" ht="27" customHeight="1" x14ac:dyDescent="0.35">
      <c r="A144" s="1101"/>
      <c r="B144" s="1102"/>
      <c r="C144" s="1101"/>
      <c r="D144" s="1103"/>
      <c r="E144" s="1097"/>
      <c r="F144" s="2" t="s">
        <v>260</v>
      </c>
      <c r="G144" s="2" t="s">
        <v>259</v>
      </c>
      <c r="H144" s="2" t="s">
        <v>260</v>
      </c>
      <c r="I144" s="2" t="s">
        <v>259</v>
      </c>
    </row>
    <row r="145" spans="1:9" ht="5.65" customHeight="1" x14ac:dyDescent="0.35"/>
    <row r="146" spans="1:9" ht="14.15" customHeight="1" x14ac:dyDescent="0.35">
      <c r="A146" s="1100" t="s">
        <v>194</v>
      </c>
      <c r="B146" s="1100"/>
      <c r="C146" s="1100"/>
      <c r="D146" s="1100"/>
      <c r="E146" s="1100"/>
      <c r="F146" s="1100"/>
      <c r="G146" s="1100"/>
      <c r="H146" s="1100"/>
      <c r="I146" s="1100"/>
    </row>
    <row r="147" spans="1:9" ht="14.15" customHeight="1" x14ac:dyDescent="0.35">
      <c r="A147" s="24" t="s">
        <v>195</v>
      </c>
      <c r="B147" s="24" t="s">
        <v>196</v>
      </c>
      <c r="C147" s="25" t="s">
        <v>197</v>
      </c>
      <c r="D147" s="26">
        <f>F147+H147</f>
        <v>0</v>
      </c>
      <c r="E147" s="26">
        <f>G147+I147</f>
        <v>0</v>
      </c>
      <c r="F147" s="26"/>
      <c r="G147" s="26"/>
      <c r="H147" s="26"/>
      <c r="I147" s="26"/>
    </row>
    <row r="148" spans="1:9" ht="14.15" customHeight="1" x14ac:dyDescent="0.35">
      <c r="A148" s="24" t="s">
        <v>198</v>
      </c>
      <c r="B148" s="24" t="s">
        <v>199</v>
      </c>
      <c r="C148" s="25" t="s">
        <v>200</v>
      </c>
      <c r="D148" s="26">
        <f t="shared" ref="D148:E154" si="16">F148+H148</f>
        <v>0</v>
      </c>
      <c r="E148" s="26">
        <f t="shared" si="16"/>
        <v>0</v>
      </c>
      <c r="F148" s="26"/>
      <c r="G148" s="26"/>
      <c r="H148" s="26"/>
      <c r="I148" s="26"/>
    </row>
    <row r="149" spans="1:9" ht="14.15" customHeight="1" x14ac:dyDescent="0.35">
      <c r="A149" s="24" t="s">
        <v>201</v>
      </c>
      <c r="B149" s="24" t="s">
        <v>202</v>
      </c>
      <c r="C149" s="25" t="s">
        <v>203</v>
      </c>
      <c r="D149" s="26">
        <f t="shared" si="16"/>
        <v>0</v>
      </c>
      <c r="E149" s="26">
        <f t="shared" si="16"/>
        <v>0</v>
      </c>
      <c r="F149" s="26"/>
      <c r="G149" s="26"/>
      <c r="H149" s="26"/>
      <c r="I149" s="26"/>
    </row>
    <row r="150" spans="1:9" ht="14.15" customHeight="1" x14ac:dyDescent="0.35">
      <c r="A150" s="24" t="s">
        <v>204</v>
      </c>
      <c r="B150" s="24" t="s">
        <v>205</v>
      </c>
      <c r="C150" s="25" t="s">
        <v>206</v>
      </c>
      <c r="D150" s="26">
        <f t="shared" si="16"/>
        <v>234</v>
      </c>
      <c r="E150" s="26">
        <f t="shared" si="16"/>
        <v>175</v>
      </c>
      <c r="F150" s="26">
        <v>234</v>
      </c>
      <c r="G150" s="26">
        <v>175</v>
      </c>
      <c r="H150" s="26"/>
      <c r="I150" s="26"/>
    </row>
    <row r="151" spans="1:9" ht="14.15" customHeight="1" x14ac:dyDescent="0.35">
      <c r="A151" s="24"/>
      <c r="B151" s="24" t="s">
        <v>207</v>
      </c>
      <c r="C151" s="25" t="s">
        <v>208</v>
      </c>
      <c r="D151" s="26">
        <f t="shared" si="16"/>
        <v>0</v>
      </c>
      <c r="E151" s="26">
        <f t="shared" si="16"/>
        <v>0</v>
      </c>
      <c r="F151" s="26"/>
      <c r="G151" s="26"/>
      <c r="H151" s="26"/>
      <c r="I151" s="26"/>
    </row>
    <row r="152" spans="1:9" ht="14.15" customHeight="1" x14ac:dyDescent="0.35">
      <c r="A152" s="24" t="s">
        <v>209</v>
      </c>
      <c r="B152" s="24" t="s">
        <v>210</v>
      </c>
      <c r="C152" s="25" t="s">
        <v>211</v>
      </c>
      <c r="D152" s="26">
        <f t="shared" si="16"/>
        <v>0</v>
      </c>
      <c r="E152" s="26">
        <f t="shared" si="16"/>
        <v>0</v>
      </c>
      <c r="F152" s="26"/>
      <c r="G152" s="26"/>
      <c r="H152" s="26"/>
      <c r="I152" s="26"/>
    </row>
    <row r="153" spans="1:9" ht="14.15" customHeight="1" x14ac:dyDescent="0.35">
      <c r="A153" s="24" t="s">
        <v>212</v>
      </c>
      <c r="B153" s="24" t="s">
        <v>213</v>
      </c>
      <c r="C153" s="25" t="s">
        <v>214</v>
      </c>
      <c r="D153" s="26">
        <f t="shared" si="16"/>
        <v>0</v>
      </c>
      <c r="E153" s="26">
        <f t="shared" si="16"/>
        <v>0</v>
      </c>
      <c r="F153" s="26"/>
      <c r="G153" s="26"/>
      <c r="H153" s="26"/>
      <c r="I153" s="26"/>
    </row>
    <row r="154" spans="1:9" ht="14.15" customHeight="1" x14ac:dyDescent="0.35">
      <c r="A154" s="24" t="s">
        <v>215</v>
      </c>
      <c r="B154" s="24" t="s">
        <v>216</v>
      </c>
      <c r="C154" s="25" t="s">
        <v>217</v>
      </c>
      <c r="D154" s="26">
        <f t="shared" si="16"/>
        <v>63</v>
      </c>
      <c r="E154" s="26">
        <f t="shared" si="16"/>
        <v>47</v>
      </c>
      <c r="F154" s="26">
        <v>63</v>
      </c>
      <c r="G154" s="26">
        <f>ROUND((G147+G148+G149+G150+G151)*0.27,0)</f>
        <v>47</v>
      </c>
      <c r="H154" s="26">
        <v>0</v>
      </c>
      <c r="I154" s="26">
        <f>ROUND((I147+I148+I149+I150+I151)*0.27,0)</f>
        <v>0</v>
      </c>
    </row>
    <row r="155" spans="1:9" s="3" customFormat="1" ht="14.15" customHeight="1" x14ac:dyDescent="0.35">
      <c r="A155" s="20" t="s">
        <v>218</v>
      </c>
      <c r="B155" s="20" t="s">
        <v>219</v>
      </c>
      <c r="C155" s="21" t="s">
        <v>220</v>
      </c>
      <c r="D155" s="23">
        <f t="shared" ref="D155:I155" si="17">SUM(D147:D154)</f>
        <v>297</v>
      </c>
      <c r="E155" s="23">
        <f t="shared" si="17"/>
        <v>222</v>
      </c>
      <c r="F155" s="23">
        <f t="shared" si="17"/>
        <v>297</v>
      </c>
      <c r="G155" s="23">
        <f t="shared" si="17"/>
        <v>222</v>
      </c>
      <c r="H155" s="23">
        <f t="shared" si="17"/>
        <v>0</v>
      </c>
      <c r="I155" s="23">
        <f t="shared" si="17"/>
        <v>0</v>
      </c>
    </row>
    <row r="156" spans="1:9" ht="14.15" customHeight="1" x14ac:dyDescent="0.35">
      <c r="A156" s="24" t="s">
        <v>221</v>
      </c>
      <c r="B156" s="24" t="s">
        <v>222</v>
      </c>
      <c r="C156" s="25" t="s">
        <v>223</v>
      </c>
      <c r="D156" s="26">
        <f t="shared" ref="D156:E160" si="18">F156+H156</f>
        <v>0</v>
      </c>
      <c r="E156" s="26">
        <f t="shared" si="18"/>
        <v>0</v>
      </c>
      <c r="F156" s="26"/>
      <c r="G156" s="26"/>
      <c r="H156" s="26"/>
      <c r="I156" s="26"/>
    </row>
    <row r="157" spans="1:9" ht="14.15" customHeight="1" x14ac:dyDescent="0.35">
      <c r="A157" s="24" t="s">
        <v>224</v>
      </c>
      <c r="B157" s="24" t="s">
        <v>225</v>
      </c>
      <c r="C157" s="25" t="s">
        <v>226</v>
      </c>
      <c r="D157" s="26">
        <f t="shared" si="18"/>
        <v>0</v>
      </c>
      <c r="E157" s="26">
        <f t="shared" si="18"/>
        <v>0</v>
      </c>
      <c r="F157" s="26"/>
      <c r="G157" s="26"/>
      <c r="H157" s="26"/>
      <c r="I157" s="26"/>
    </row>
    <row r="158" spans="1:9" ht="14.15" customHeight="1" x14ac:dyDescent="0.35">
      <c r="A158" s="24" t="s">
        <v>227</v>
      </c>
      <c r="B158" s="24" t="s">
        <v>228</v>
      </c>
      <c r="C158" s="25" t="s">
        <v>229</v>
      </c>
      <c r="D158" s="26">
        <f t="shared" si="18"/>
        <v>0</v>
      </c>
      <c r="E158" s="26">
        <f t="shared" si="18"/>
        <v>0</v>
      </c>
      <c r="F158" s="26"/>
      <c r="G158" s="26"/>
      <c r="H158" s="26"/>
      <c r="I158" s="26"/>
    </row>
    <row r="159" spans="1:9" ht="14.15" customHeight="1" x14ac:dyDescent="0.35">
      <c r="A159" s="24"/>
      <c r="B159" s="24" t="s">
        <v>230</v>
      </c>
      <c r="C159" s="25" t="s">
        <v>231</v>
      </c>
      <c r="D159" s="26">
        <f t="shared" si="18"/>
        <v>0</v>
      </c>
      <c r="E159" s="26">
        <f t="shared" si="18"/>
        <v>0</v>
      </c>
      <c r="F159" s="26"/>
      <c r="G159" s="26"/>
      <c r="H159" s="26"/>
      <c r="I159" s="26"/>
    </row>
    <row r="160" spans="1:9" ht="14.15" customHeight="1" x14ac:dyDescent="0.35">
      <c r="A160" s="24" t="s">
        <v>232</v>
      </c>
      <c r="B160" s="24" t="s">
        <v>233</v>
      </c>
      <c r="C160" s="25" t="s">
        <v>234</v>
      </c>
      <c r="D160" s="26">
        <f t="shared" si="18"/>
        <v>0</v>
      </c>
      <c r="E160" s="26">
        <f t="shared" si="18"/>
        <v>0</v>
      </c>
      <c r="F160" s="26">
        <v>0</v>
      </c>
      <c r="G160" s="26">
        <f>ROUND((G156+G157+G158+G159)*0.27,0)</f>
        <v>0</v>
      </c>
      <c r="H160" s="26">
        <v>0</v>
      </c>
      <c r="I160" s="26">
        <f>ROUND((I156+I157+I158+I159)*0.27,0)</f>
        <v>0</v>
      </c>
    </row>
    <row r="161" spans="1:9" s="3" customFormat="1" ht="14.15" customHeight="1" x14ac:dyDescent="0.35">
      <c r="A161" s="20" t="s">
        <v>235</v>
      </c>
      <c r="B161" s="20" t="s">
        <v>236</v>
      </c>
      <c r="C161" s="21" t="s">
        <v>237</v>
      </c>
      <c r="D161" s="23">
        <f t="shared" ref="D161:I161" si="19">SUM(D156:D160)</f>
        <v>0</v>
      </c>
      <c r="E161" s="23">
        <f t="shared" si="19"/>
        <v>0</v>
      </c>
      <c r="F161" s="23">
        <f t="shared" si="19"/>
        <v>0</v>
      </c>
      <c r="G161" s="23">
        <f t="shared" si="19"/>
        <v>0</v>
      </c>
      <c r="H161" s="23">
        <f t="shared" si="19"/>
        <v>0</v>
      </c>
      <c r="I161" s="23">
        <f t="shared" si="19"/>
        <v>0</v>
      </c>
    </row>
    <row r="162" spans="1:9" s="3" customFormat="1" ht="14.15" customHeight="1" x14ac:dyDescent="0.35">
      <c r="A162" s="1104" t="s">
        <v>293</v>
      </c>
      <c r="B162" s="1105"/>
      <c r="C162" s="1106" t="s">
        <v>238</v>
      </c>
      <c r="D162" s="28">
        <f t="shared" ref="D162:I162" si="20">D155+D161</f>
        <v>297</v>
      </c>
      <c r="E162" s="28">
        <f t="shared" si="20"/>
        <v>222</v>
      </c>
      <c r="F162" s="28">
        <f t="shared" si="20"/>
        <v>297</v>
      </c>
      <c r="G162" s="28">
        <f t="shared" si="20"/>
        <v>222</v>
      </c>
      <c r="H162" s="28">
        <f t="shared" si="20"/>
        <v>0</v>
      </c>
      <c r="I162" s="28">
        <f t="shared" si="20"/>
        <v>0</v>
      </c>
    </row>
    <row r="163" spans="1:9" ht="6.75" customHeight="1" x14ac:dyDescent="0.35"/>
    <row r="164" spans="1:9" ht="14.15" customHeight="1" x14ac:dyDescent="0.35">
      <c r="A164" s="1093" t="s">
        <v>294</v>
      </c>
      <c r="B164" s="1094"/>
      <c r="C164" s="1095"/>
      <c r="D164" s="29">
        <f t="shared" ref="D164:I164" si="21">D162+D138</f>
        <v>63411</v>
      </c>
      <c r="E164" s="29">
        <f t="shared" si="21"/>
        <v>63055</v>
      </c>
      <c r="F164" s="29">
        <f t="shared" si="21"/>
        <v>56323</v>
      </c>
      <c r="G164" s="29">
        <f t="shared" si="21"/>
        <v>58356</v>
      </c>
      <c r="H164" s="29">
        <f t="shared" si="21"/>
        <v>7088</v>
      </c>
      <c r="I164" s="29">
        <f t="shared" si="21"/>
        <v>4699</v>
      </c>
    </row>
    <row r="169" spans="1:9" s="1" customFormat="1" ht="12.75" customHeight="1" x14ac:dyDescent="0.35">
      <c r="A169" s="1101" t="s">
        <v>264</v>
      </c>
      <c r="B169" s="1101"/>
      <c r="C169" s="1101"/>
      <c r="D169" s="1101"/>
      <c r="E169" s="1101"/>
      <c r="F169" s="1101"/>
      <c r="G169" s="1101"/>
      <c r="H169" s="1101"/>
      <c r="I169" s="1101"/>
    </row>
    <row r="170" spans="1:9" s="1" customFormat="1" ht="14.15" customHeight="1" x14ac:dyDescent="0.35">
      <c r="A170" s="1101" t="s">
        <v>0</v>
      </c>
      <c r="B170" s="1102" t="s">
        <v>1</v>
      </c>
      <c r="C170" s="1101" t="s">
        <v>2</v>
      </c>
      <c r="D170" s="1103" t="s">
        <v>260</v>
      </c>
      <c r="E170" s="1096" t="s">
        <v>259</v>
      </c>
      <c r="F170" s="1098" t="s">
        <v>261</v>
      </c>
      <c r="G170" s="1099"/>
      <c r="H170" s="1098" t="s">
        <v>262</v>
      </c>
      <c r="I170" s="1099"/>
    </row>
    <row r="171" spans="1:9" s="3" customFormat="1" ht="23.25" customHeight="1" x14ac:dyDescent="0.35">
      <c r="A171" s="1101"/>
      <c r="B171" s="1102"/>
      <c r="C171" s="1101"/>
      <c r="D171" s="1103"/>
      <c r="E171" s="1097"/>
      <c r="F171" s="2" t="s">
        <v>260</v>
      </c>
      <c r="G171" s="2" t="s">
        <v>259</v>
      </c>
      <c r="H171" s="2" t="s">
        <v>260</v>
      </c>
      <c r="I171" s="2" t="s">
        <v>259</v>
      </c>
    </row>
    <row r="172" spans="1:9" ht="5.65" customHeight="1" x14ac:dyDescent="0.35"/>
    <row r="173" spans="1:9" ht="14.15" customHeight="1" x14ac:dyDescent="0.35">
      <c r="A173" s="1100" t="s">
        <v>239</v>
      </c>
      <c r="B173" s="1100"/>
      <c r="C173" s="1100"/>
      <c r="D173" s="1100"/>
      <c r="E173" s="1100"/>
      <c r="F173" s="1100"/>
      <c r="G173" s="1100"/>
      <c r="H173" s="1100"/>
      <c r="I173" s="1100"/>
    </row>
    <row r="174" spans="1:9" s="3" customFormat="1" ht="14.15" customHeight="1" x14ac:dyDescent="0.35">
      <c r="A174" s="20" t="s">
        <v>240</v>
      </c>
      <c r="B174" s="20"/>
      <c r="C174" s="21" t="s">
        <v>241</v>
      </c>
      <c r="D174" s="23">
        <f t="shared" ref="D174:I174" si="22">SUM(D175:D184)</f>
        <v>4094</v>
      </c>
      <c r="E174" s="23">
        <f t="shared" si="22"/>
        <v>673</v>
      </c>
      <c r="F174" s="23">
        <f t="shared" si="22"/>
        <v>0</v>
      </c>
      <c r="G174" s="23">
        <f t="shared" si="22"/>
        <v>0</v>
      </c>
      <c r="H174" s="23">
        <f t="shared" si="22"/>
        <v>4094</v>
      </c>
      <c r="I174" s="23">
        <f t="shared" si="22"/>
        <v>673</v>
      </c>
    </row>
    <row r="175" spans="1:9" ht="14.15" customHeight="1" x14ac:dyDescent="0.35">
      <c r="A175" s="24" t="s">
        <v>242</v>
      </c>
      <c r="B175" s="24"/>
      <c r="C175" s="25" t="s">
        <v>243</v>
      </c>
      <c r="D175" s="26">
        <f>F175+H175</f>
        <v>0</v>
      </c>
      <c r="E175" s="26">
        <f>G175+I175</f>
        <v>0</v>
      </c>
      <c r="F175" s="26"/>
      <c r="G175" s="26"/>
      <c r="H175" s="26"/>
      <c r="I175" s="26"/>
    </row>
    <row r="176" spans="1:9" ht="14.15" customHeight="1" x14ac:dyDescent="0.35">
      <c r="A176" s="24" t="s">
        <v>244</v>
      </c>
      <c r="B176" s="24"/>
      <c r="C176" s="25" t="s">
        <v>245</v>
      </c>
      <c r="D176" s="26">
        <f t="shared" ref="D176:E184" si="23">F176+H176</f>
        <v>0</v>
      </c>
      <c r="E176" s="26">
        <f t="shared" si="23"/>
        <v>0</v>
      </c>
      <c r="F176" s="26"/>
      <c r="G176" s="26"/>
      <c r="H176" s="26"/>
      <c r="I176" s="26"/>
    </row>
    <row r="177" spans="1:9" ht="14.15" customHeight="1" x14ac:dyDescent="0.35">
      <c r="A177" s="24" t="s">
        <v>246</v>
      </c>
      <c r="B177" s="24"/>
      <c r="C177" s="25" t="s">
        <v>247</v>
      </c>
      <c r="D177" s="26">
        <f t="shared" si="23"/>
        <v>0</v>
      </c>
      <c r="E177" s="26">
        <f t="shared" si="23"/>
        <v>0</v>
      </c>
      <c r="F177" s="26"/>
      <c r="G177" s="26"/>
      <c r="H177" s="26"/>
      <c r="I177" s="26"/>
    </row>
    <row r="178" spans="1:9" ht="14.15" customHeight="1" x14ac:dyDescent="0.35">
      <c r="A178" s="24" t="s">
        <v>248</v>
      </c>
      <c r="B178" s="24"/>
      <c r="C178" s="25" t="s">
        <v>249</v>
      </c>
      <c r="D178" s="26">
        <f t="shared" si="23"/>
        <v>0</v>
      </c>
      <c r="E178" s="26">
        <f t="shared" si="23"/>
        <v>0</v>
      </c>
      <c r="F178" s="26"/>
      <c r="G178" s="26"/>
      <c r="H178" s="26"/>
      <c r="I178" s="26"/>
    </row>
    <row r="179" spans="1:9" ht="14.15" customHeight="1" x14ac:dyDescent="0.35">
      <c r="A179" s="24" t="s">
        <v>296</v>
      </c>
      <c r="B179" s="24"/>
      <c r="C179" s="25" t="s">
        <v>297</v>
      </c>
      <c r="D179" s="26">
        <f>F179+H179</f>
        <v>3113</v>
      </c>
      <c r="E179" s="26">
        <f>G179+I179</f>
        <v>530</v>
      </c>
      <c r="F179" s="26"/>
      <c r="G179" s="26"/>
      <c r="H179" s="26">
        <v>3113</v>
      </c>
      <c r="I179" s="26">
        <v>530</v>
      </c>
    </row>
    <row r="180" spans="1:9" ht="14.15" customHeight="1" x14ac:dyDescent="0.35">
      <c r="A180" s="24" t="s">
        <v>250</v>
      </c>
      <c r="B180" s="24"/>
      <c r="C180" s="25" t="s">
        <v>251</v>
      </c>
      <c r="D180" s="26">
        <f t="shared" si="23"/>
        <v>841</v>
      </c>
      <c r="E180" s="26">
        <f t="shared" si="23"/>
        <v>143</v>
      </c>
      <c r="F180" s="26"/>
      <c r="G180" s="26">
        <f>ROUND((G175+G176+G177+G178+G179)*0.27,0)</f>
        <v>0</v>
      </c>
      <c r="H180" s="26">
        <v>841</v>
      </c>
      <c r="I180" s="26">
        <f>ROUND((I175+I176+I177+I178+I179)*0.27,0)</f>
        <v>143</v>
      </c>
    </row>
    <row r="181" spans="1:9" ht="14.15" customHeight="1" x14ac:dyDescent="0.35">
      <c r="A181" s="24" t="s">
        <v>298</v>
      </c>
      <c r="B181" s="24"/>
      <c r="C181" s="25" t="s">
        <v>299</v>
      </c>
      <c r="D181" s="26">
        <f>F181+H181</f>
        <v>140</v>
      </c>
      <c r="E181" s="26">
        <f>G181+I181</f>
        <v>0</v>
      </c>
      <c r="F181" s="26"/>
      <c r="G181" s="26"/>
      <c r="H181" s="26">
        <v>140</v>
      </c>
      <c r="I181" s="26"/>
    </row>
    <row r="182" spans="1:9" ht="14.15" customHeight="1" x14ac:dyDescent="0.35">
      <c r="A182" s="24" t="s">
        <v>252</v>
      </c>
      <c r="B182" s="24"/>
      <c r="C182" s="25" t="s">
        <v>253</v>
      </c>
      <c r="D182" s="26">
        <f t="shared" si="23"/>
        <v>0</v>
      </c>
      <c r="E182" s="26">
        <f t="shared" si="23"/>
        <v>0</v>
      </c>
      <c r="F182" s="26"/>
      <c r="G182" s="26"/>
      <c r="H182" s="26"/>
      <c r="I182" s="26"/>
    </row>
    <row r="183" spans="1:9" ht="14.15" customHeight="1" x14ac:dyDescent="0.35">
      <c r="A183" s="24" t="s">
        <v>300</v>
      </c>
      <c r="B183" s="24"/>
      <c r="C183" s="25" t="s">
        <v>301</v>
      </c>
      <c r="D183" s="26">
        <f>F183+H183</f>
        <v>0</v>
      </c>
      <c r="E183" s="26">
        <f>G183+I183</f>
        <v>0</v>
      </c>
      <c r="F183" s="26"/>
      <c r="G183" s="26"/>
      <c r="H183" s="26"/>
      <c r="I183" s="26"/>
    </row>
    <row r="184" spans="1:9" ht="14.15" customHeight="1" x14ac:dyDescent="0.35">
      <c r="A184" s="24" t="s">
        <v>254</v>
      </c>
      <c r="B184" s="24"/>
      <c r="C184" s="25" t="s">
        <v>255</v>
      </c>
      <c r="D184" s="26">
        <f t="shared" si="23"/>
        <v>0</v>
      </c>
      <c r="E184" s="26">
        <f t="shared" si="23"/>
        <v>0</v>
      </c>
      <c r="F184" s="26"/>
      <c r="G184" s="26"/>
      <c r="H184" s="26"/>
      <c r="I184" s="26"/>
    </row>
    <row r="185" spans="1:9" s="3" customFormat="1" ht="14.15" customHeight="1" x14ac:dyDescent="0.35">
      <c r="A185" s="20" t="s">
        <v>256</v>
      </c>
      <c r="B185" s="20"/>
      <c r="C185" s="21" t="s">
        <v>257</v>
      </c>
      <c r="D185" s="23">
        <f>F185+H185</f>
        <v>0</v>
      </c>
      <c r="E185" s="23">
        <f>G185+I185</f>
        <v>0</v>
      </c>
      <c r="F185" s="23">
        <v>0</v>
      </c>
      <c r="G185" s="23">
        <v>0</v>
      </c>
      <c r="H185" s="23">
        <v>0</v>
      </c>
      <c r="I185" s="23">
        <v>0</v>
      </c>
    </row>
    <row r="186" spans="1:9" s="3" customFormat="1" ht="14.15" customHeight="1" x14ac:dyDescent="0.35">
      <c r="A186" s="1093" t="s">
        <v>295</v>
      </c>
      <c r="B186" s="1094"/>
      <c r="C186" s="1095"/>
      <c r="D186" s="29">
        <f t="shared" ref="D186:I186" si="24">D174+D185</f>
        <v>4094</v>
      </c>
      <c r="E186" s="29">
        <f t="shared" si="24"/>
        <v>673</v>
      </c>
      <c r="F186" s="29">
        <f t="shared" si="24"/>
        <v>0</v>
      </c>
      <c r="G186" s="29">
        <f t="shared" si="24"/>
        <v>0</v>
      </c>
      <c r="H186" s="29">
        <f t="shared" si="24"/>
        <v>4094</v>
      </c>
      <c r="I186" s="29">
        <f t="shared" si="24"/>
        <v>673</v>
      </c>
    </row>
  </sheetData>
  <sheetProtection selectLockedCells="1" selectUnlockedCells="1"/>
  <mergeCells count="41">
    <mergeCell ref="A58:I58"/>
    <mergeCell ref="A1:I1"/>
    <mergeCell ref="A2:A3"/>
    <mergeCell ref="B2:B3"/>
    <mergeCell ref="C2:C3"/>
    <mergeCell ref="D2:D3"/>
    <mergeCell ref="F2:G2"/>
    <mergeCell ref="E2:E3"/>
    <mergeCell ref="A5:I5"/>
    <mergeCell ref="A162:C162"/>
    <mergeCell ref="A146:I146"/>
    <mergeCell ref="A53:C53"/>
    <mergeCell ref="H2:I2"/>
    <mergeCell ref="A54:I54"/>
    <mergeCell ref="A142:I142"/>
    <mergeCell ref="H55:I55"/>
    <mergeCell ref="A138:C138"/>
    <mergeCell ref="C143:C144"/>
    <mergeCell ref="D143:D144"/>
    <mergeCell ref="D55:D56"/>
    <mergeCell ref="A55:A56"/>
    <mergeCell ref="C55:C56"/>
    <mergeCell ref="F143:G143"/>
    <mergeCell ref="H143:I143"/>
    <mergeCell ref="A143:A144"/>
    <mergeCell ref="A164:C164"/>
    <mergeCell ref="E55:E56"/>
    <mergeCell ref="F55:G55"/>
    <mergeCell ref="A186:C186"/>
    <mergeCell ref="A173:I173"/>
    <mergeCell ref="A170:A171"/>
    <mergeCell ref="B170:B171"/>
    <mergeCell ref="C170:C171"/>
    <mergeCell ref="B143:B144"/>
    <mergeCell ref="H170:I170"/>
    <mergeCell ref="D170:D171"/>
    <mergeCell ref="E170:E171"/>
    <mergeCell ref="F170:G170"/>
    <mergeCell ref="B55:B56"/>
    <mergeCell ref="E143:E144"/>
    <mergeCell ref="A169:I169"/>
  </mergeCells>
  <printOptions horizontalCentered="1"/>
  <pageMargins left="0.15748031496062992" right="0.15748031496062992" top="0.19685039370078741" bottom="0.15748031496062992" header="0.31496062992125984" footer="0.31496062992125984"/>
  <pageSetup paperSize="8" fitToHeight="0" orientation="portrait" useFirstPageNumber="1" copies="2" r:id="rId1"/>
  <headerFooter alignWithMargins="0"/>
  <rowBreaks count="1" manualBreakCount="1">
    <brk id="16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55"/>
  <sheetViews>
    <sheetView view="pageBreakPreview" zoomScale="93" zoomScaleNormal="100" zoomScaleSheetLayoutView="93" workbookViewId="0">
      <selection activeCell="C13" sqref="C13"/>
    </sheetView>
  </sheetViews>
  <sheetFormatPr defaultRowHeight="14.5" x14ac:dyDescent="0.35"/>
  <cols>
    <col min="1" max="1" width="8.7265625" style="30" customWidth="1"/>
    <col min="2" max="2" width="48" customWidth="1"/>
    <col min="3" max="3" width="13.453125" customWidth="1"/>
    <col min="4" max="4" width="9.1796875" customWidth="1"/>
    <col min="5" max="5" width="12.1796875" customWidth="1"/>
    <col min="6" max="6" width="13.453125" customWidth="1"/>
    <col min="7" max="7" width="9.1796875" customWidth="1"/>
    <col min="8" max="8" width="12.1796875" customWidth="1"/>
    <col min="9" max="9" width="13.453125" hidden="1" customWidth="1"/>
    <col min="10" max="10" width="9.1796875" hidden="1" customWidth="1"/>
    <col min="11" max="11" width="12.1796875" hidden="1" customWidth="1"/>
    <col min="12" max="12" width="13.453125" hidden="1" customWidth="1"/>
    <col min="13" max="13" width="0" hidden="1" customWidth="1"/>
    <col min="14" max="14" width="12.1796875" hidden="1" customWidth="1"/>
  </cols>
  <sheetData>
    <row r="1" spans="1:14" x14ac:dyDescent="0.35">
      <c r="E1" s="646"/>
      <c r="H1" s="646" t="s">
        <v>1638</v>
      </c>
      <c r="K1" s="646" t="s">
        <v>1638</v>
      </c>
    </row>
    <row r="2" spans="1:14" ht="27.75" customHeight="1" x14ac:dyDescent="0.35">
      <c r="A2" s="328" t="s">
        <v>303</v>
      </c>
      <c r="B2" s="328" t="s">
        <v>1410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</row>
    <row r="3" spans="1:14" x14ac:dyDescent="0.35">
      <c r="A3" s="328" t="s">
        <v>304</v>
      </c>
      <c r="B3" s="328" t="s">
        <v>1460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</row>
    <row r="4" spans="1:14" ht="62.65" customHeight="1" x14ac:dyDescent="0.35">
      <c r="A4" s="1066" t="s">
        <v>305</v>
      </c>
      <c r="B4" s="1091" t="s">
        <v>306</v>
      </c>
      <c r="C4" s="1063" t="s">
        <v>1794</v>
      </c>
      <c r="D4" s="1064"/>
      <c r="E4" s="1065"/>
      <c r="F4" s="1092" t="s">
        <v>1796</v>
      </c>
      <c r="G4" s="1064"/>
      <c r="H4" s="1065"/>
      <c r="I4" s="1092" t="s">
        <v>1799</v>
      </c>
      <c r="J4" s="1064"/>
      <c r="K4" s="1064"/>
      <c r="L4" s="1063"/>
      <c r="M4" s="1064"/>
      <c r="N4" s="1065"/>
    </row>
    <row r="5" spans="1:14" ht="45" customHeight="1" x14ac:dyDescent="0.35">
      <c r="A5" s="1066"/>
      <c r="B5" s="1091"/>
      <c r="C5" s="539" t="s">
        <v>1289</v>
      </c>
      <c r="D5" s="539" t="s">
        <v>1290</v>
      </c>
      <c r="E5" s="539" t="s">
        <v>549</v>
      </c>
      <c r="F5" s="719" t="s">
        <v>1289</v>
      </c>
      <c r="G5" s="719" t="s">
        <v>1290</v>
      </c>
      <c r="H5" s="719" t="s">
        <v>549</v>
      </c>
      <c r="I5" s="719" t="s">
        <v>1289</v>
      </c>
      <c r="J5" s="719" t="s">
        <v>1290</v>
      </c>
      <c r="K5" s="719" t="s">
        <v>549</v>
      </c>
      <c r="L5" s="719" t="s">
        <v>1289</v>
      </c>
      <c r="M5" s="719" t="s">
        <v>1290</v>
      </c>
      <c r="N5" s="719" t="s">
        <v>549</v>
      </c>
    </row>
    <row r="6" spans="1:14" x14ac:dyDescent="0.35">
      <c r="A6" s="329"/>
      <c r="B6" s="330" t="s">
        <v>307</v>
      </c>
      <c r="C6" s="727">
        <f>+'5. melléklet'!C150</f>
        <v>68.75</v>
      </c>
      <c r="D6" s="431">
        <v>0</v>
      </c>
      <c r="E6" s="735">
        <f t="shared" ref="E6:E7" si="0">SUM(C6:D6)</f>
        <v>68.75</v>
      </c>
      <c r="F6" s="727">
        <f>+'5. melléklet'!F150</f>
        <v>68.75</v>
      </c>
      <c r="G6" s="431">
        <v>0</v>
      </c>
      <c r="H6" s="735">
        <f t="shared" ref="H6:H7" si="1">SUM(F6:G6)</f>
        <v>68.75</v>
      </c>
      <c r="I6" s="727">
        <f>+'5. melléklet'!I150</f>
        <v>68.75</v>
      </c>
      <c r="J6" s="431">
        <v>0</v>
      </c>
      <c r="K6" s="735">
        <f t="shared" ref="K6:K46" si="2">SUM(I6:J6)</f>
        <v>68.75</v>
      </c>
      <c r="L6" s="727">
        <f>+'5. melléklet'!L150</f>
        <v>68.75</v>
      </c>
      <c r="M6" s="431">
        <v>0</v>
      </c>
      <c r="N6" s="735">
        <f t="shared" ref="N6:N46" si="3">SUM(L6:M6)</f>
        <v>68.75</v>
      </c>
    </row>
    <row r="7" spans="1:14" x14ac:dyDescent="0.35">
      <c r="A7" s="329"/>
      <c r="B7" s="330" t="s">
        <v>308</v>
      </c>
      <c r="C7" s="331">
        <v>0</v>
      </c>
      <c r="D7" s="331">
        <v>0</v>
      </c>
      <c r="E7" s="331">
        <f t="shared" si="0"/>
        <v>0</v>
      </c>
      <c r="F7" s="331">
        <v>0</v>
      </c>
      <c r="G7" s="331">
        <v>0</v>
      </c>
      <c r="H7" s="331">
        <f t="shared" si="1"/>
        <v>0</v>
      </c>
      <c r="I7" s="331">
        <v>0</v>
      </c>
      <c r="J7" s="331">
        <v>0</v>
      </c>
      <c r="K7" s="331">
        <f t="shared" si="2"/>
        <v>0</v>
      </c>
      <c r="L7" s="331">
        <v>0</v>
      </c>
      <c r="M7" s="331">
        <v>0</v>
      </c>
      <c r="N7" s="331">
        <f t="shared" si="3"/>
        <v>0</v>
      </c>
    </row>
    <row r="8" spans="1:14" x14ac:dyDescent="0.35">
      <c r="A8" s="332" t="s">
        <v>309</v>
      </c>
      <c r="B8" s="333" t="s">
        <v>310</v>
      </c>
      <c r="C8" s="334">
        <v>75800000</v>
      </c>
      <c r="D8" s="334">
        <v>0</v>
      </c>
      <c r="E8" s="334">
        <v>75800000</v>
      </c>
      <c r="F8" s="524">
        <v>75800000</v>
      </c>
      <c r="G8" s="524">
        <v>0</v>
      </c>
      <c r="H8" s="524">
        <v>75800000</v>
      </c>
      <c r="I8" s="524">
        <f>I9+I11+I20</f>
        <v>50189992</v>
      </c>
      <c r="J8" s="524">
        <f>J9+J11+J20</f>
        <v>0</v>
      </c>
      <c r="K8" s="524">
        <f t="shared" si="2"/>
        <v>50189992</v>
      </c>
      <c r="L8" s="524">
        <f>L9+L11+L20</f>
        <v>0</v>
      </c>
      <c r="M8" s="524">
        <f>M9+M11+M20</f>
        <v>0</v>
      </c>
      <c r="N8" s="524">
        <f t="shared" si="3"/>
        <v>0</v>
      </c>
    </row>
    <row r="9" spans="1:14" x14ac:dyDescent="0.35">
      <c r="A9" s="335" t="s">
        <v>311</v>
      </c>
      <c r="B9" s="336" t="s">
        <v>312</v>
      </c>
      <c r="C9" s="337">
        <v>0</v>
      </c>
      <c r="D9" s="337">
        <v>0</v>
      </c>
      <c r="E9" s="337">
        <v>0</v>
      </c>
      <c r="F9" s="526">
        <v>0</v>
      </c>
      <c r="G9" s="526">
        <v>0</v>
      </c>
      <c r="H9" s="526">
        <v>0</v>
      </c>
      <c r="I9" s="526">
        <f>I10</f>
        <v>0</v>
      </c>
      <c r="J9" s="526">
        <f>J10</f>
        <v>0</v>
      </c>
      <c r="K9" s="526">
        <f t="shared" si="2"/>
        <v>0</v>
      </c>
      <c r="L9" s="526">
        <f>L10</f>
        <v>0</v>
      </c>
      <c r="M9" s="526">
        <f>M10</f>
        <v>0</v>
      </c>
      <c r="N9" s="526">
        <f t="shared" si="3"/>
        <v>0</v>
      </c>
    </row>
    <row r="10" spans="1:14" ht="30" hidden="1" customHeight="1" x14ac:dyDescent="0.35">
      <c r="A10" s="370"/>
      <c r="B10" s="338" t="s">
        <v>313</v>
      </c>
      <c r="C10" s="258">
        <v>0</v>
      </c>
      <c r="D10" s="258">
        <v>0</v>
      </c>
      <c r="E10" s="258">
        <v>0</v>
      </c>
      <c r="F10" s="258">
        <v>0</v>
      </c>
      <c r="G10" s="258">
        <v>0</v>
      </c>
      <c r="H10" s="258">
        <v>0</v>
      </c>
      <c r="I10" s="258">
        <v>0</v>
      </c>
      <c r="J10" s="258">
        <v>0</v>
      </c>
      <c r="K10" s="258">
        <f t="shared" si="2"/>
        <v>0</v>
      </c>
      <c r="L10" s="258">
        <v>0</v>
      </c>
      <c r="M10" s="258">
        <v>0</v>
      </c>
      <c r="N10" s="258">
        <f t="shared" si="3"/>
        <v>0</v>
      </c>
    </row>
    <row r="11" spans="1:14" x14ac:dyDescent="0.35">
      <c r="A11" s="335" t="s">
        <v>322</v>
      </c>
      <c r="B11" s="336" t="s">
        <v>314</v>
      </c>
      <c r="C11" s="337">
        <v>75800000</v>
      </c>
      <c r="D11" s="337">
        <v>0</v>
      </c>
      <c r="E11" s="337">
        <v>75800000</v>
      </c>
      <c r="F11" s="526">
        <v>75800000</v>
      </c>
      <c r="G11" s="526">
        <v>0</v>
      </c>
      <c r="H11" s="526">
        <v>75800000</v>
      </c>
      <c r="I11" s="526">
        <f>I12+I13+I14+I15+I16+I17+I18+I19</f>
        <v>50189992</v>
      </c>
      <c r="J11" s="526">
        <f>J12+J13+J14+J15+J16+J17+J18+J19</f>
        <v>0</v>
      </c>
      <c r="K11" s="526">
        <f t="shared" si="2"/>
        <v>50189992</v>
      </c>
      <c r="L11" s="526">
        <f>L12+L13+L14+L15+L16+L17+L18+L19</f>
        <v>0</v>
      </c>
      <c r="M11" s="526">
        <f>M12+M13+M14+M15+M16+M17+M18+M19</f>
        <v>0</v>
      </c>
      <c r="N11" s="526">
        <f t="shared" si="3"/>
        <v>0</v>
      </c>
    </row>
    <row r="12" spans="1:14" x14ac:dyDescent="0.35">
      <c r="A12" s="370"/>
      <c r="B12" s="338" t="s">
        <v>644</v>
      </c>
      <c r="C12" s="258">
        <v>0</v>
      </c>
      <c r="D12" s="258">
        <v>0</v>
      </c>
      <c r="E12" s="258">
        <v>0</v>
      </c>
      <c r="F12" s="258">
        <v>0</v>
      </c>
      <c r="G12" s="258">
        <v>0</v>
      </c>
      <c r="H12" s="258">
        <v>0</v>
      </c>
      <c r="I12" s="258"/>
      <c r="J12" s="258">
        <v>0</v>
      </c>
      <c r="K12" s="258">
        <f t="shared" ref="K12:K19" si="4">SUM(I12:J12)</f>
        <v>0</v>
      </c>
      <c r="L12" s="258"/>
      <c r="M12" s="258"/>
      <c r="N12" s="258">
        <f t="shared" si="3"/>
        <v>0</v>
      </c>
    </row>
    <row r="13" spans="1:14" x14ac:dyDescent="0.35">
      <c r="A13" s="370"/>
      <c r="B13" s="338" t="s">
        <v>645</v>
      </c>
      <c r="C13" s="339">
        <v>20000000</v>
      </c>
      <c r="D13" s="339">
        <v>0</v>
      </c>
      <c r="E13" s="339">
        <v>20000000</v>
      </c>
      <c r="F13" s="339">
        <v>20000000</v>
      </c>
      <c r="G13" s="339">
        <v>0</v>
      </c>
      <c r="H13" s="339">
        <v>20000000</v>
      </c>
      <c r="I13" s="339">
        <f>4263502+13014+560000+5801+3517340+200500+61896</f>
        <v>8622053</v>
      </c>
      <c r="J13" s="339">
        <v>0</v>
      </c>
      <c r="K13" s="339">
        <f t="shared" si="4"/>
        <v>8622053</v>
      </c>
      <c r="L13" s="339"/>
      <c r="M13" s="339"/>
      <c r="N13" s="339">
        <f t="shared" si="3"/>
        <v>0</v>
      </c>
    </row>
    <row r="14" spans="1:14" x14ac:dyDescent="0.35">
      <c r="A14" s="370"/>
      <c r="B14" s="338" t="s">
        <v>652</v>
      </c>
      <c r="C14" s="258"/>
      <c r="D14" s="258">
        <v>0</v>
      </c>
      <c r="E14" s="258">
        <v>0</v>
      </c>
      <c r="F14" s="258"/>
      <c r="G14" s="258">
        <v>0</v>
      </c>
      <c r="H14" s="258">
        <v>0</v>
      </c>
      <c r="I14" s="258"/>
      <c r="J14" s="258">
        <v>0</v>
      </c>
      <c r="K14" s="258">
        <f t="shared" si="4"/>
        <v>0</v>
      </c>
      <c r="L14" s="258"/>
      <c r="M14" s="258"/>
      <c r="N14" s="258">
        <f t="shared" si="3"/>
        <v>0</v>
      </c>
    </row>
    <row r="15" spans="1:14" x14ac:dyDescent="0.35">
      <c r="A15" s="370"/>
      <c r="B15" s="338" t="s">
        <v>653</v>
      </c>
      <c r="C15" s="258">
        <v>40000000</v>
      </c>
      <c r="D15" s="258">
        <v>0</v>
      </c>
      <c r="E15" s="258">
        <v>40000000</v>
      </c>
      <c r="F15" s="258">
        <v>40000000</v>
      </c>
      <c r="G15" s="258">
        <v>0</v>
      </c>
      <c r="H15" s="258">
        <v>40000000</v>
      </c>
      <c r="I15" s="258">
        <f>11564311+8197518</f>
        <v>19761829</v>
      </c>
      <c r="J15" s="258">
        <v>0</v>
      </c>
      <c r="K15" s="258">
        <f t="shared" si="4"/>
        <v>19761829</v>
      </c>
      <c r="L15" s="258"/>
      <c r="M15" s="258"/>
      <c r="N15" s="258">
        <f t="shared" si="3"/>
        <v>0</v>
      </c>
    </row>
    <row r="16" spans="1:14" x14ac:dyDescent="0.35">
      <c r="A16" s="370"/>
      <c r="B16" s="338" t="s">
        <v>654</v>
      </c>
      <c r="C16" s="258">
        <v>10800000</v>
      </c>
      <c r="D16" s="258">
        <v>0</v>
      </c>
      <c r="E16" s="258">
        <v>10800000</v>
      </c>
      <c r="F16" s="258">
        <v>10800000</v>
      </c>
      <c r="G16" s="258">
        <v>0</v>
      </c>
      <c r="H16" s="258">
        <v>10800000</v>
      </c>
      <c r="I16" s="258">
        <f>530+1566+3098091+2208564+15375000+1063</f>
        <v>20684814</v>
      </c>
      <c r="J16" s="258">
        <v>0</v>
      </c>
      <c r="K16" s="258">
        <f t="shared" si="4"/>
        <v>20684814</v>
      </c>
      <c r="L16" s="258"/>
      <c r="M16" s="258"/>
      <c r="N16" s="258">
        <f t="shared" si="3"/>
        <v>0</v>
      </c>
    </row>
    <row r="17" spans="1:14" x14ac:dyDescent="0.35">
      <c r="A17" s="370"/>
      <c r="B17" s="338" t="s">
        <v>655</v>
      </c>
      <c r="C17" s="258">
        <v>5000000</v>
      </c>
      <c r="D17" s="258">
        <v>0</v>
      </c>
      <c r="E17" s="258">
        <v>5000000</v>
      </c>
      <c r="F17" s="258">
        <v>5000000</v>
      </c>
      <c r="G17" s="258">
        <v>0</v>
      </c>
      <c r="H17" s="258">
        <v>5000000</v>
      </c>
      <c r="I17" s="258"/>
      <c r="J17" s="258">
        <v>0</v>
      </c>
      <c r="K17" s="258">
        <f t="shared" si="4"/>
        <v>0</v>
      </c>
      <c r="L17" s="258"/>
      <c r="M17" s="258"/>
      <c r="N17" s="258">
        <f t="shared" si="3"/>
        <v>0</v>
      </c>
    </row>
    <row r="18" spans="1:14" x14ac:dyDescent="0.35">
      <c r="A18" s="370"/>
      <c r="B18" s="338" t="s">
        <v>1756</v>
      </c>
      <c r="C18" s="258"/>
      <c r="D18" s="258">
        <v>0</v>
      </c>
      <c r="E18" s="258">
        <v>0</v>
      </c>
      <c r="F18" s="258"/>
      <c r="G18" s="258">
        <v>0</v>
      </c>
      <c r="H18" s="258">
        <v>0</v>
      </c>
      <c r="I18" s="258"/>
      <c r="J18" s="258">
        <v>0</v>
      </c>
      <c r="K18" s="258">
        <f t="shared" si="4"/>
        <v>0</v>
      </c>
      <c r="L18" s="258"/>
      <c r="M18" s="258"/>
      <c r="N18" s="258">
        <f t="shared" si="3"/>
        <v>0</v>
      </c>
    </row>
    <row r="19" spans="1:14" x14ac:dyDescent="0.35">
      <c r="A19" s="370"/>
      <c r="B19" s="338" t="s">
        <v>657</v>
      </c>
      <c r="C19" s="258">
        <v>0</v>
      </c>
      <c r="D19" s="258">
        <v>0</v>
      </c>
      <c r="E19" s="258">
        <v>0</v>
      </c>
      <c r="F19" s="258"/>
      <c r="G19" s="258">
        <v>0</v>
      </c>
      <c r="H19" s="258">
        <v>0</v>
      </c>
      <c r="I19" s="258">
        <f>3727+51975+1750+99896+188204+649110+29+122668+3937</f>
        <v>1121296</v>
      </c>
      <c r="J19" s="258">
        <v>0</v>
      </c>
      <c r="K19" s="258">
        <f t="shared" si="4"/>
        <v>1121296</v>
      </c>
      <c r="L19" s="258"/>
      <c r="M19" s="258"/>
      <c r="N19" s="258">
        <f t="shared" si="3"/>
        <v>0</v>
      </c>
    </row>
    <row r="20" spans="1:14" x14ac:dyDescent="0.35">
      <c r="A20" s="335" t="s">
        <v>315</v>
      </c>
      <c r="B20" s="336" t="s">
        <v>316</v>
      </c>
      <c r="C20" s="337">
        <v>0</v>
      </c>
      <c r="D20" s="337">
        <v>0</v>
      </c>
      <c r="E20" s="337">
        <v>0</v>
      </c>
      <c r="F20" s="526">
        <v>0</v>
      </c>
      <c r="G20" s="526">
        <v>0</v>
      </c>
      <c r="H20" s="526">
        <v>0</v>
      </c>
      <c r="I20" s="526">
        <f>SUM(I21:I21)</f>
        <v>0</v>
      </c>
      <c r="J20" s="526">
        <f>SUM(J21:J21)</f>
        <v>0</v>
      </c>
      <c r="K20" s="526">
        <f t="shared" si="2"/>
        <v>0</v>
      </c>
      <c r="L20" s="526">
        <f>SUM(L21:L21)</f>
        <v>0</v>
      </c>
      <c r="M20" s="526">
        <f>SUM(M21:M21)</f>
        <v>0</v>
      </c>
      <c r="N20" s="526">
        <f t="shared" si="3"/>
        <v>0</v>
      </c>
    </row>
    <row r="21" spans="1:14" ht="15" hidden="1" customHeight="1" x14ac:dyDescent="0.35">
      <c r="A21" s="370"/>
      <c r="B21" s="338" t="s">
        <v>317</v>
      </c>
      <c r="C21" s="258">
        <v>0</v>
      </c>
      <c r="D21" s="258">
        <v>0</v>
      </c>
      <c r="E21" s="258">
        <v>0</v>
      </c>
      <c r="F21" s="258">
        <v>0</v>
      </c>
      <c r="G21" s="258">
        <v>0</v>
      </c>
      <c r="H21" s="258">
        <v>0</v>
      </c>
      <c r="I21" s="258">
        <v>0</v>
      </c>
      <c r="J21" s="258">
        <v>0</v>
      </c>
      <c r="K21" s="258">
        <f t="shared" si="2"/>
        <v>0</v>
      </c>
      <c r="L21" s="258">
        <v>0</v>
      </c>
      <c r="M21" s="258">
        <v>0</v>
      </c>
      <c r="N21" s="258">
        <f t="shared" si="3"/>
        <v>0</v>
      </c>
    </row>
    <row r="22" spans="1:14" x14ac:dyDescent="0.35">
      <c r="A22" s="332" t="s">
        <v>318</v>
      </c>
      <c r="B22" s="333" t="s">
        <v>319</v>
      </c>
      <c r="C22" s="334">
        <v>0</v>
      </c>
      <c r="D22" s="334">
        <v>0</v>
      </c>
      <c r="E22" s="334">
        <v>0</v>
      </c>
      <c r="F22" s="524">
        <v>0</v>
      </c>
      <c r="G22" s="524">
        <v>0</v>
      </c>
      <c r="H22" s="524">
        <v>0</v>
      </c>
      <c r="I22" s="524">
        <f>I23+I25+I28</f>
        <v>0</v>
      </c>
      <c r="J22" s="524">
        <f>J23+J25+J28</f>
        <v>0</v>
      </c>
      <c r="K22" s="524">
        <f t="shared" si="2"/>
        <v>0</v>
      </c>
      <c r="L22" s="524">
        <f>L23+L25+L28</f>
        <v>0</v>
      </c>
      <c r="M22" s="524">
        <f>M23+M25+M28</f>
        <v>0</v>
      </c>
      <c r="N22" s="524">
        <f t="shared" si="3"/>
        <v>0</v>
      </c>
    </row>
    <row r="23" spans="1:14" ht="15" hidden="1" customHeight="1" x14ac:dyDescent="0.35">
      <c r="A23" s="335" t="s">
        <v>311</v>
      </c>
      <c r="B23" s="336" t="s">
        <v>320</v>
      </c>
      <c r="C23" s="337">
        <v>0</v>
      </c>
      <c r="D23" s="337">
        <v>0</v>
      </c>
      <c r="E23" s="337">
        <v>0</v>
      </c>
      <c r="F23" s="526">
        <v>0</v>
      </c>
      <c r="G23" s="526">
        <v>0</v>
      </c>
      <c r="H23" s="526">
        <v>0</v>
      </c>
      <c r="I23" s="526">
        <f>SUM(I24:I24)</f>
        <v>0</v>
      </c>
      <c r="J23" s="526">
        <f>SUM(J24:J24)</f>
        <v>0</v>
      </c>
      <c r="K23" s="526">
        <f t="shared" si="2"/>
        <v>0</v>
      </c>
      <c r="L23" s="526">
        <f>SUM(L24:L24)</f>
        <v>0</v>
      </c>
      <c r="M23" s="526">
        <f>SUM(M24:M24)</f>
        <v>0</v>
      </c>
      <c r="N23" s="526">
        <f t="shared" si="3"/>
        <v>0</v>
      </c>
    </row>
    <row r="24" spans="1:14" ht="30" hidden="1" customHeight="1" x14ac:dyDescent="0.35">
      <c r="A24" s="370"/>
      <c r="B24" s="257" t="s">
        <v>321</v>
      </c>
      <c r="C24" s="258">
        <v>0</v>
      </c>
      <c r="D24" s="258">
        <v>0</v>
      </c>
      <c r="E24" s="258">
        <v>0</v>
      </c>
      <c r="F24" s="258">
        <v>0</v>
      </c>
      <c r="G24" s="258">
        <v>0</v>
      </c>
      <c r="H24" s="258">
        <v>0</v>
      </c>
      <c r="I24" s="258">
        <v>0</v>
      </c>
      <c r="J24" s="258">
        <v>0</v>
      </c>
      <c r="K24" s="258">
        <f t="shared" si="2"/>
        <v>0</v>
      </c>
      <c r="L24" s="258">
        <v>0</v>
      </c>
      <c r="M24" s="258">
        <v>0</v>
      </c>
      <c r="N24" s="258">
        <f t="shared" si="3"/>
        <v>0</v>
      </c>
    </row>
    <row r="25" spans="1:14" ht="15" hidden="1" customHeight="1" x14ac:dyDescent="0.35">
      <c r="A25" s="335" t="s">
        <v>322</v>
      </c>
      <c r="B25" s="336" t="s">
        <v>257</v>
      </c>
      <c r="C25" s="337">
        <v>0</v>
      </c>
      <c r="D25" s="337">
        <v>0</v>
      </c>
      <c r="E25" s="337">
        <v>0</v>
      </c>
      <c r="F25" s="526">
        <v>0</v>
      </c>
      <c r="G25" s="526">
        <v>0</v>
      </c>
      <c r="H25" s="526">
        <v>0</v>
      </c>
      <c r="I25" s="526">
        <f>SUM(I26:I27)</f>
        <v>0</v>
      </c>
      <c r="J25" s="526">
        <f>SUM(J26:J27)</f>
        <v>0</v>
      </c>
      <c r="K25" s="526">
        <f t="shared" si="2"/>
        <v>0</v>
      </c>
      <c r="L25" s="526">
        <f>SUM(L26:L27)</f>
        <v>0</v>
      </c>
      <c r="M25" s="526">
        <f>SUM(M26:M27)</f>
        <v>0</v>
      </c>
      <c r="N25" s="526">
        <f t="shared" si="3"/>
        <v>0</v>
      </c>
    </row>
    <row r="26" spans="1:14" ht="15" hidden="1" customHeight="1" x14ac:dyDescent="0.35">
      <c r="A26" s="370"/>
      <c r="B26" s="340" t="s">
        <v>323</v>
      </c>
      <c r="C26" s="258">
        <v>0</v>
      </c>
      <c r="D26" s="258">
        <v>0</v>
      </c>
      <c r="E26" s="258">
        <v>0</v>
      </c>
      <c r="F26" s="258">
        <v>0</v>
      </c>
      <c r="G26" s="258">
        <v>0</v>
      </c>
      <c r="H26" s="258">
        <v>0</v>
      </c>
      <c r="I26" s="258">
        <v>0</v>
      </c>
      <c r="J26" s="258">
        <v>0</v>
      </c>
      <c r="K26" s="258">
        <f t="shared" si="2"/>
        <v>0</v>
      </c>
      <c r="L26" s="258">
        <v>0</v>
      </c>
      <c r="M26" s="258">
        <v>0</v>
      </c>
      <c r="N26" s="258">
        <f t="shared" si="3"/>
        <v>0</v>
      </c>
    </row>
    <row r="27" spans="1:14" ht="15" hidden="1" customHeight="1" x14ac:dyDescent="0.35">
      <c r="A27" s="370"/>
      <c r="B27" s="340" t="s">
        <v>324</v>
      </c>
      <c r="C27" s="258">
        <v>0</v>
      </c>
      <c r="D27" s="258">
        <v>0</v>
      </c>
      <c r="E27" s="258">
        <v>0</v>
      </c>
      <c r="F27" s="258">
        <v>0</v>
      </c>
      <c r="G27" s="258">
        <v>0</v>
      </c>
      <c r="H27" s="258">
        <v>0</v>
      </c>
      <c r="I27" s="258">
        <v>0</v>
      </c>
      <c r="J27" s="258">
        <v>0</v>
      </c>
      <c r="K27" s="258">
        <f t="shared" si="2"/>
        <v>0</v>
      </c>
      <c r="L27" s="258">
        <v>0</v>
      </c>
      <c r="M27" s="258">
        <v>0</v>
      </c>
      <c r="N27" s="258">
        <f t="shared" si="3"/>
        <v>0</v>
      </c>
    </row>
    <row r="28" spans="1:14" ht="15" hidden="1" customHeight="1" x14ac:dyDescent="0.35">
      <c r="A28" s="335" t="s">
        <v>315</v>
      </c>
      <c r="B28" s="336" t="s">
        <v>325</v>
      </c>
      <c r="C28" s="337">
        <v>0</v>
      </c>
      <c r="D28" s="337">
        <v>0</v>
      </c>
      <c r="E28" s="337">
        <v>0</v>
      </c>
      <c r="F28" s="526">
        <v>0</v>
      </c>
      <c r="G28" s="526">
        <v>0</v>
      </c>
      <c r="H28" s="526">
        <v>0</v>
      </c>
      <c r="I28" s="526">
        <f>SUM(I29:I29)</f>
        <v>0</v>
      </c>
      <c r="J28" s="526">
        <f>SUM(J29:J29)</f>
        <v>0</v>
      </c>
      <c r="K28" s="526">
        <f t="shared" si="2"/>
        <v>0</v>
      </c>
      <c r="L28" s="526">
        <f>SUM(L29:L29)</f>
        <v>0</v>
      </c>
      <c r="M28" s="526">
        <f>SUM(M29:M29)</f>
        <v>0</v>
      </c>
      <c r="N28" s="526">
        <f t="shared" si="3"/>
        <v>0</v>
      </c>
    </row>
    <row r="29" spans="1:14" ht="15" hidden="1" customHeight="1" x14ac:dyDescent="0.35">
      <c r="A29" s="370"/>
      <c r="B29" s="340" t="s">
        <v>326</v>
      </c>
      <c r="C29" s="258">
        <v>0</v>
      </c>
      <c r="D29" s="258">
        <v>0</v>
      </c>
      <c r="E29" s="258">
        <v>0</v>
      </c>
      <c r="F29" s="258">
        <v>0</v>
      </c>
      <c r="G29" s="258">
        <v>0</v>
      </c>
      <c r="H29" s="258">
        <v>0</v>
      </c>
      <c r="I29" s="258">
        <v>0</v>
      </c>
      <c r="J29" s="258">
        <v>0</v>
      </c>
      <c r="K29" s="258">
        <f t="shared" si="2"/>
        <v>0</v>
      </c>
      <c r="L29" s="258">
        <v>0</v>
      </c>
      <c r="M29" s="258">
        <v>0</v>
      </c>
      <c r="N29" s="258">
        <f t="shared" si="3"/>
        <v>0</v>
      </c>
    </row>
    <row r="30" spans="1:14" x14ac:dyDescent="0.35">
      <c r="A30" s="368"/>
      <c r="B30" s="341" t="s">
        <v>327</v>
      </c>
      <c r="C30" s="342">
        <v>75800000</v>
      </c>
      <c r="D30" s="342">
        <v>0</v>
      </c>
      <c r="E30" s="342">
        <v>75800000</v>
      </c>
      <c r="F30" s="534">
        <v>75800000</v>
      </c>
      <c r="G30" s="534">
        <v>0</v>
      </c>
      <c r="H30" s="534">
        <v>75800000</v>
      </c>
      <c r="I30" s="534">
        <f>I22+I8</f>
        <v>50189992</v>
      </c>
      <c r="J30" s="534">
        <f>J22+J8</f>
        <v>0</v>
      </c>
      <c r="K30" s="534">
        <f t="shared" si="2"/>
        <v>50189992</v>
      </c>
      <c r="L30" s="534">
        <f>L22+L8</f>
        <v>0</v>
      </c>
      <c r="M30" s="534">
        <f>M22+M8</f>
        <v>0</v>
      </c>
      <c r="N30" s="534">
        <f t="shared" si="3"/>
        <v>0</v>
      </c>
    </row>
    <row r="31" spans="1:14" x14ac:dyDescent="0.35">
      <c r="A31" s="332" t="s">
        <v>328</v>
      </c>
      <c r="B31" s="333" t="s">
        <v>329</v>
      </c>
      <c r="C31" s="334">
        <v>781149585</v>
      </c>
      <c r="D31" s="334">
        <v>0</v>
      </c>
      <c r="E31" s="334">
        <v>781149585</v>
      </c>
      <c r="F31" s="524">
        <v>800148569</v>
      </c>
      <c r="G31" s="524">
        <v>0</v>
      </c>
      <c r="H31" s="524">
        <v>800148569</v>
      </c>
      <c r="I31" s="524">
        <f>I32</f>
        <v>290022954</v>
      </c>
      <c r="J31" s="524">
        <f>J32</f>
        <v>0</v>
      </c>
      <c r="K31" s="524">
        <f t="shared" si="2"/>
        <v>290022954</v>
      </c>
      <c r="L31" s="524">
        <f>L32</f>
        <v>0</v>
      </c>
      <c r="M31" s="524">
        <f>M32</f>
        <v>0</v>
      </c>
      <c r="N31" s="524">
        <f t="shared" si="3"/>
        <v>0</v>
      </c>
    </row>
    <row r="32" spans="1:14" x14ac:dyDescent="0.35">
      <c r="A32" s="335" t="s">
        <v>311</v>
      </c>
      <c r="B32" s="336" t="s">
        <v>330</v>
      </c>
      <c r="C32" s="337">
        <v>781149585</v>
      </c>
      <c r="D32" s="337">
        <v>0</v>
      </c>
      <c r="E32" s="337">
        <v>781149585</v>
      </c>
      <c r="F32" s="526">
        <v>800148569</v>
      </c>
      <c r="G32" s="526">
        <v>0</v>
      </c>
      <c r="H32" s="526">
        <v>800148569</v>
      </c>
      <c r="I32" s="526">
        <f>SUM(I33:I34)</f>
        <v>290022954</v>
      </c>
      <c r="J32" s="526">
        <f>SUM(J33:J34)</f>
        <v>0</v>
      </c>
      <c r="K32" s="526">
        <f t="shared" si="2"/>
        <v>290022954</v>
      </c>
      <c r="L32" s="526">
        <f>SUM(L33:L34)</f>
        <v>0</v>
      </c>
      <c r="M32" s="526">
        <f>SUM(M33:M34)</f>
        <v>0</v>
      </c>
      <c r="N32" s="526">
        <f t="shared" si="3"/>
        <v>0</v>
      </c>
    </row>
    <row r="33" spans="1:15" x14ac:dyDescent="0.35">
      <c r="A33" s="370"/>
      <c r="B33" s="340" t="s">
        <v>331</v>
      </c>
      <c r="C33" s="258"/>
      <c r="D33" s="258">
        <v>0</v>
      </c>
      <c r="E33" s="258">
        <v>0</v>
      </c>
      <c r="F33" s="258">
        <v>9633984</v>
      </c>
      <c r="G33" s="258">
        <v>0</v>
      </c>
      <c r="H33" s="258">
        <v>9633984</v>
      </c>
      <c r="I33" s="258">
        <v>9633984</v>
      </c>
      <c r="J33" s="258">
        <v>0</v>
      </c>
      <c r="K33" s="258"/>
      <c r="L33" s="258"/>
      <c r="M33" s="258">
        <v>0</v>
      </c>
      <c r="N33" s="258">
        <f t="shared" si="3"/>
        <v>0</v>
      </c>
      <c r="O33" s="39"/>
    </row>
    <row r="34" spans="1:15" x14ac:dyDescent="0.35">
      <c r="A34" s="370"/>
      <c r="B34" s="340" t="s">
        <v>332</v>
      </c>
      <c r="C34" s="258">
        <v>781149585</v>
      </c>
      <c r="D34" s="258">
        <v>0</v>
      </c>
      <c r="E34" s="258">
        <v>781149585</v>
      </c>
      <c r="F34" s="258">
        <v>790514585</v>
      </c>
      <c r="G34" s="258">
        <v>0</v>
      </c>
      <c r="H34" s="258">
        <v>790514585</v>
      </c>
      <c r="I34" s="258">
        <v>280388970</v>
      </c>
      <c r="J34" s="258">
        <v>0</v>
      </c>
      <c r="K34" s="258">
        <f t="shared" ref="K34" si="5">SUM(I34:J34)</f>
        <v>280388970</v>
      </c>
      <c r="L34" s="258">
        <f>L46-L30-L33</f>
        <v>0</v>
      </c>
      <c r="M34" s="258">
        <f>M46-M30</f>
        <v>0</v>
      </c>
      <c r="N34" s="258">
        <f t="shared" si="3"/>
        <v>0</v>
      </c>
    </row>
    <row r="35" spans="1:15" x14ac:dyDescent="0.35">
      <c r="A35" s="343"/>
      <c r="B35" s="344" t="s">
        <v>333</v>
      </c>
      <c r="C35" s="316">
        <v>856949585</v>
      </c>
      <c r="D35" s="316">
        <v>0</v>
      </c>
      <c r="E35" s="316">
        <v>856949585</v>
      </c>
      <c r="F35" s="316">
        <v>875948569</v>
      </c>
      <c r="G35" s="316">
        <v>0</v>
      </c>
      <c r="H35" s="316">
        <v>875948569</v>
      </c>
      <c r="I35" s="316">
        <f>I31+I22+I8</f>
        <v>340212946</v>
      </c>
      <c r="J35" s="316">
        <f>J31+J22+J8</f>
        <v>0</v>
      </c>
      <c r="K35" s="316">
        <f t="shared" si="2"/>
        <v>340212946</v>
      </c>
      <c r="L35" s="316">
        <f>L31+L22+L8</f>
        <v>0</v>
      </c>
      <c r="M35" s="316">
        <f>M31+M22+M8</f>
        <v>0</v>
      </c>
      <c r="N35" s="316">
        <f t="shared" si="3"/>
        <v>0</v>
      </c>
      <c r="O35" s="39"/>
    </row>
    <row r="36" spans="1:15" x14ac:dyDescent="0.35">
      <c r="A36" s="332" t="s">
        <v>309</v>
      </c>
      <c r="B36" s="333" t="s">
        <v>334</v>
      </c>
      <c r="C36" s="334">
        <v>850448190</v>
      </c>
      <c r="D36" s="334">
        <v>0</v>
      </c>
      <c r="E36" s="334">
        <v>850448190</v>
      </c>
      <c r="F36" s="524">
        <v>869447174</v>
      </c>
      <c r="G36" s="524">
        <v>0</v>
      </c>
      <c r="H36" s="524">
        <v>869447174</v>
      </c>
      <c r="I36" s="524">
        <f>SUM(I37:I41)</f>
        <v>0</v>
      </c>
      <c r="J36" s="524">
        <f>SUM(J37:J41)</f>
        <v>0</v>
      </c>
      <c r="K36" s="524">
        <f t="shared" si="2"/>
        <v>0</v>
      </c>
      <c r="L36" s="524">
        <f>SUM(L37:L41)</f>
        <v>0</v>
      </c>
      <c r="M36" s="524">
        <f>SUM(M37:M41)</f>
        <v>0</v>
      </c>
      <c r="N36" s="524">
        <f t="shared" si="3"/>
        <v>0</v>
      </c>
      <c r="O36" s="39"/>
    </row>
    <row r="37" spans="1:15" x14ac:dyDescent="0.35">
      <c r="A37" s="335" t="s">
        <v>311</v>
      </c>
      <c r="B37" s="336" t="s">
        <v>286</v>
      </c>
      <c r="C37" s="337">
        <v>262974450</v>
      </c>
      <c r="D37" s="337">
        <v>0</v>
      </c>
      <c r="E37" s="337">
        <v>262974450</v>
      </c>
      <c r="F37" s="526">
        <v>272339450</v>
      </c>
      <c r="G37" s="526">
        <v>0</v>
      </c>
      <c r="H37" s="526">
        <v>272339450</v>
      </c>
      <c r="I37" s="526">
        <f>'5. melléklet'!K214</f>
        <v>0</v>
      </c>
      <c r="J37" s="526">
        <v>0</v>
      </c>
      <c r="K37" s="526">
        <f t="shared" si="2"/>
        <v>0</v>
      </c>
      <c r="L37" s="526">
        <f>'5. melléklet'!N214</f>
        <v>0</v>
      </c>
      <c r="M37" s="526">
        <v>0</v>
      </c>
      <c r="N37" s="526">
        <f t="shared" si="3"/>
        <v>0</v>
      </c>
      <c r="O37" s="39"/>
    </row>
    <row r="38" spans="1:15" x14ac:dyDescent="0.35">
      <c r="A38" s="335" t="s">
        <v>322</v>
      </c>
      <c r="B38" s="336" t="s">
        <v>335</v>
      </c>
      <c r="C38" s="337">
        <v>45944340</v>
      </c>
      <c r="D38" s="337">
        <v>0</v>
      </c>
      <c r="E38" s="337">
        <v>45944340</v>
      </c>
      <c r="F38" s="526">
        <v>45944340</v>
      </c>
      <c r="G38" s="526">
        <v>0</v>
      </c>
      <c r="H38" s="526">
        <v>45944340</v>
      </c>
      <c r="I38" s="526">
        <f>'5. melléklet'!K215</f>
        <v>0</v>
      </c>
      <c r="J38" s="526">
        <v>0</v>
      </c>
      <c r="K38" s="526">
        <f t="shared" si="2"/>
        <v>0</v>
      </c>
      <c r="L38" s="526">
        <f>'5. melléklet'!N215</f>
        <v>0</v>
      </c>
      <c r="M38" s="526">
        <v>0</v>
      </c>
      <c r="N38" s="526">
        <f t="shared" si="3"/>
        <v>0</v>
      </c>
      <c r="O38" s="39"/>
    </row>
    <row r="39" spans="1:15" x14ac:dyDescent="0.35">
      <c r="A39" s="335" t="s">
        <v>315</v>
      </c>
      <c r="B39" s="336" t="s">
        <v>292</v>
      </c>
      <c r="C39" s="337">
        <v>541529400</v>
      </c>
      <c r="D39" s="337">
        <v>0</v>
      </c>
      <c r="E39" s="337">
        <v>541529400</v>
      </c>
      <c r="F39" s="526">
        <v>551163384</v>
      </c>
      <c r="G39" s="526">
        <v>0</v>
      </c>
      <c r="H39" s="526">
        <v>551163384</v>
      </c>
      <c r="I39" s="526">
        <f>'5. melléklet'!K216</f>
        <v>0</v>
      </c>
      <c r="J39" s="526">
        <v>0</v>
      </c>
      <c r="K39" s="526">
        <f t="shared" si="2"/>
        <v>0</v>
      </c>
      <c r="L39" s="526">
        <f>'5. melléklet'!N216</f>
        <v>0</v>
      </c>
      <c r="M39" s="526">
        <v>0</v>
      </c>
      <c r="N39" s="526">
        <f t="shared" si="3"/>
        <v>0</v>
      </c>
      <c r="O39" s="39"/>
    </row>
    <row r="40" spans="1:15" x14ac:dyDescent="0.35">
      <c r="A40" s="335" t="s">
        <v>336</v>
      </c>
      <c r="B40" s="336" t="s">
        <v>337</v>
      </c>
      <c r="C40" s="337">
        <v>0</v>
      </c>
      <c r="D40" s="337">
        <v>0</v>
      </c>
      <c r="E40" s="337">
        <v>0</v>
      </c>
      <c r="F40" s="526">
        <v>0</v>
      </c>
      <c r="G40" s="526">
        <v>0</v>
      </c>
      <c r="H40" s="526">
        <v>0</v>
      </c>
      <c r="I40" s="526">
        <v>0</v>
      </c>
      <c r="J40" s="526">
        <v>0</v>
      </c>
      <c r="K40" s="526">
        <f t="shared" si="2"/>
        <v>0</v>
      </c>
      <c r="L40" s="526">
        <v>0</v>
      </c>
      <c r="M40" s="526">
        <v>0</v>
      </c>
      <c r="N40" s="526">
        <f t="shared" si="3"/>
        <v>0</v>
      </c>
      <c r="O40" s="39"/>
    </row>
    <row r="41" spans="1:15" x14ac:dyDescent="0.35">
      <c r="A41" s="335" t="s">
        <v>338</v>
      </c>
      <c r="B41" s="336" t="s">
        <v>339</v>
      </c>
      <c r="C41" s="337">
        <v>0</v>
      </c>
      <c r="D41" s="337">
        <v>0</v>
      </c>
      <c r="E41" s="337">
        <v>0</v>
      </c>
      <c r="F41" s="526">
        <v>0</v>
      </c>
      <c r="G41" s="526">
        <v>0</v>
      </c>
      <c r="H41" s="526">
        <v>0</v>
      </c>
      <c r="I41" s="526">
        <f>'5. melléklet'!K217</f>
        <v>0</v>
      </c>
      <c r="J41" s="526">
        <v>0</v>
      </c>
      <c r="K41" s="526">
        <f t="shared" si="2"/>
        <v>0</v>
      </c>
      <c r="L41" s="526">
        <f>'5. melléklet'!N217</f>
        <v>0</v>
      </c>
      <c r="M41" s="526">
        <v>0</v>
      </c>
      <c r="N41" s="526">
        <f t="shared" si="3"/>
        <v>0</v>
      </c>
      <c r="O41" s="39"/>
    </row>
    <row r="42" spans="1:15" x14ac:dyDescent="0.35">
      <c r="A42" s="332" t="s">
        <v>318</v>
      </c>
      <c r="B42" s="333" t="s">
        <v>340</v>
      </c>
      <c r="C42" s="334">
        <v>6501395</v>
      </c>
      <c r="D42" s="334">
        <v>0</v>
      </c>
      <c r="E42" s="334">
        <v>6501395</v>
      </c>
      <c r="F42" s="524">
        <v>6501395</v>
      </c>
      <c r="G42" s="524">
        <v>0</v>
      </c>
      <c r="H42" s="524">
        <v>6501395</v>
      </c>
      <c r="I42" s="524">
        <f>SUM(I43:I45)</f>
        <v>0</v>
      </c>
      <c r="J42" s="524">
        <f>SUM(J43:J45)</f>
        <v>0</v>
      </c>
      <c r="K42" s="524">
        <f t="shared" si="2"/>
        <v>0</v>
      </c>
      <c r="L42" s="524">
        <f>SUM(L43:L45)</f>
        <v>0</v>
      </c>
      <c r="M42" s="524">
        <f>SUM(M43:M45)</f>
        <v>0</v>
      </c>
      <c r="N42" s="524">
        <f t="shared" si="3"/>
        <v>0</v>
      </c>
      <c r="O42" s="39"/>
    </row>
    <row r="43" spans="1:15" x14ac:dyDescent="0.35">
      <c r="A43" s="335" t="s">
        <v>311</v>
      </c>
      <c r="B43" s="336" t="s">
        <v>341</v>
      </c>
      <c r="C43" s="337">
        <v>4001400</v>
      </c>
      <c r="D43" s="337"/>
      <c r="E43" s="337">
        <v>4001400</v>
      </c>
      <c r="F43" s="526">
        <v>4001400</v>
      </c>
      <c r="G43" s="526"/>
      <c r="H43" s="526">
        <v>4001400</v>
      </c>
      <c r="I43" s="526">
        <f>'5. melléklet'!K218</f>
        <v>0</v>
      </c>
      <c r="J43" s="526"/>
      <c r="K43" s="526">
        <f t="shared" si="2"/>
        <v>0</v>
      </c>
      <c r="L43" s="526">
        <f>'5. melléklet'!N218</f>
        <v>0</v>
      </c>
      <c r="M43" s="526"/>
      <c r="N43" s="526">
        <f t="shared" si="3"/>
        <v>0</v>
      </c>
      <c r="O43" s="39"/>
    </row>
    <row r="44" spans="1:15" x14ac:dyDescent="0.35">
      <c r="A44" s="335" t="s">
        <v>322</v>
      </c>
      <c r="B44" s="336" t="s">
        <v>342</v>
      </c>
      <c r="C44" s="526">
        <v>2499995</v>
      </c>
      <c r="D44" s="337"/>
      <c r="E44" s="337">
        <v>2499995</v>
      </c>
      <c r="F44" s="526">
        <v>2499995</v>
      </c>
      <c r="G44" s="526"/>
      <c r="H44" s="526">
        <v>2499995</v>
      </c>
      <c r="I44" s="526">
        <f>+'5. melléklet'!K219</f>
        <v>0</v>
      </c>
      <c r="J44" s="526"/>
      <c r="K44" s="526">
        <f t="shared" si="2"/>
        <v>0</v>
      </c>
      <c r="L44" s="526">
        <f>'5. melléklet'!N219</f>
        <v>0</v>
      </c>
      <c r="M44" s="526"/>
      <c r="N44" s="526">
        <f t="shared" si="3"/>
        <v>0</v>
      </c>
      <c r="O44" s="39"/>
    </row>
    <row r="45" spans="1:15" x14ac:dyDescent="0.35">
      <c r="A45" s="335" t="s">
        <v>315</v>
      </c>
      <c r="B45" s="336" t="s">
        <v>343</v>
      </c>
      <c r="C45" s="337">
        <v>0</v>
      </c>
      <c r="D45" s="337">
        <v>0</v>
      </c>
      <c r="E45" s="337">
        <v>0</v>
      </c>
      <c r="F45" s="526">
        <v>0</v>
      </c>
      <c r="G45" s="526">
        <v>0</v>
      </c>
      <c r="H45" s="526">
        <v>0</v>
      </c>
      <c r="I45" s="526">
        <v>0</v>
      </c>
      <c r="J45" s="526">
        <v>0</v>
      </c>
      <c r="K45" s="526">
        <f t="shared" si="2"/>
        <v>0</v>
      </c>
      <c r="L45" s="526">
        <v>0</v>
      </c>
      <c r="M45" s="526">
        <v>0</v>
      </c>
      <c r="N45" s="526">
        <f t="shared" si="3"/>
        <v>0</v>
      </c>
      <c r="O45" s="39"/>
    </row>
    <row r="46" spans="1:15" x14ac:dyDescent="0.35">
      <c r="A46" s="343"/>
      <c r="B46" s="344" t="s">
        <v>344</v>
      </c>
      <c r="C46" s="316">
        <v>856949585</v>
      </c>
      <c r="D46" s="316">
        <v>0</v>
      </c>
      <c r="E46" s="316">
        <v>856949585</v>
      </c>
      <c r="F46" s="316">
        <v>875948569</v>
      </c>
      <c r="G46" s="316">
        <v>0</v>
      </c>
      <c r="H46" s="316">
        <v>875948569</v>
      </c>
      <c r="I46" s="316">
        <f>I36+I42</f>
        <v>0</v>
      </c>
      <c r="J46" s="316">
        <f>J36+J42</f>
        <v>0</v>
      </c>
      <c r="K46" s="316">
        <f t="shared" si="2"/>
        <v>0</v>
      </c>
      <c r="L46" s="316">
        <f>L36+L42</f>
        <v>0</v>
      </c>
      <c r="M46" s="316">
        <f>M36+M42</f>
        <v>0</v>
      </c>
      <c r="N46" s="316">
        <f t="shared" si="3"/>
        <v>0</v>
      </c>
      <c r="O46" s="39"/>
    </row>
    <row r="47" spans="1:15" x14ac:dyDescent="0.35">
      <c r="H47" s="39"/>
      <c r="K47" s="39">
        <f>+K46-H46</f>
        <v>-875948569</v>
      </c>
      <c r="N47" s="39">
        <f>+N46-K46</f>
        <v>0</v>
      </c>
    </row>
    <row r="48" spans="1:15" x14ac:dyDescent="0.35">
      <c r="H48" s="39"/>
      <c r="K48" s="39"/>
      <c r="N48" s="39"/>
    </row>
    <row r="49" spans="8:14" x14ac:dyDescent="0.35">
      <c r="H49" s="39"/>
      <c r="K49" s="39"/>
      <c r="N49" s="39"/>
    </row>
    <row r="50" spans="8:14" x14ac:dyDescent="0.35">
      <c r="H50" s="39"/>
    </row>
    <row r="51" spans="8:14" x14ac:dyDescent="0.35">
      <c r="H51" s="39"/>
    </row>
    <row r="52" spans="8:14" x14ac:dyDescent="0.35">
      <c r="H52" s="39"/>
    </row>
    <row r="53" spans="8:14" x14ac:dyDescent="0.35">
      <c r="H53" s="39"/>
    </row>
    <row r="55" spans="8:14" x14ac:dyDescent="0.35">
      <c r="H55" s="39"/>
    </row>
  </sheetData>
  <mergeCells count="6">
    <mergeCell ref="L4:N4"/>
    <mergeCell ref="C4:E4"/>
    <mergeCell ref="A4:A5"/>
    <mergeCell ref="B4:B5"/>
    <mergeCell ref="F4:H4"/>
    <mergeCell ref="I4:K4"/>
  </mergeCells>
  <printOptions horizontalCentered="1"/>
  <pageMargins left="0.19685039370078741" right="0.19685039370078741" top="0.74803149606299213" bottom="0.19685039370078741" header="0.31496062992125984" footer="0.31496062992125984"/>
  <pageSetup paperSize="9" scale="46" fitToWidth="0" fitToHeight="0" orientation="portrait" copies="4" r:id="rId1"/>
  <headerFooter>
    <oddHeader>&amp;L4.8  melléklet&amp;C&amp;"-,Félkövér"&amp;16
A Törökbálinti Városgondnokság 2021. évi bevételei és kiadásai jogcímenként és feladatonként</oddHeader>
    <oddFooter>&amp;C&amp;P&amp;R&amp;D, &amp;T</oddFooter>
  </headerFooter>
  <colBreaks count="1" manualBreakCount="1">
    <brk id="11" max="4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/>
  </sheetPr>
  <dimension ref="A1:P223"/>
  <sheetViews>
    <sheetView view="pageBreakPreview" zoomScale="104" zoomScaleNormal="96" zoomScaleSheetLayoutView="104" workbookViewId="0"/>
  </sheetViews>
  <sheetFormatPr defaultRowHeight="14.5" outlineLevelRow="4" x14ac:dyDescent="0.35"/>
  <cols>
    <col min="1" max="1" width="5.7265625" style="40" customWidth="1"/>
    <col min="2" max="2" width="35.26953125" style="41" customWidth="1"/>
    <col min="3" max="3" width="9.81640625" customWidth="1"/>
    <col min="4" max="4" width="10.7265625" customWidth="1"/>
    <col min="5" max="5" width="14.26953125" customWidth="1"/>
    <col min="6" max="7" width="10.7265625" customWidth="1"/>
    <col min="8" max="8" width="14.26953125" customWidth="1"/>
    <col min="9" max="10" width="10.7265625" hidden="1" customWidth="1"/>
    <col min="11" max="11" width="14.26953125" hidden="1" customWidth="1"/>
    <col min="12" max="13" width="10.7265625" hidden="1" customWidth="1"/>
    <col min="14" max="14" width="14.26953125" hidden="1" customWidth="1"/>
    <col min="15" max="15" width="16.81640625" customWidth="1"/>
    <col min="16" max="16" width="14.453125" customWidth="1"/>
    <col min="223" max="223" width="7.7265625" bestFit="1" customWidth="1"/>
    <col min="224" max="224" width="48.7265625" customWidth="1"/>
    <col min="225" max="226" width="9.7265625" customWidth="1"/>
    <col min="227" max="228" width="10.81640625" bestFit="1" customWidth="1"/>
    <col min="229" max="229" width="10.1796875" bestFit="1" customWidth="1"/>
    <col min="230" max="230" width="10.26953125" customWidth="1"/>
    <col min="231" max="231" width="14" bestFit="1" customWidth="1"/>
  </cols>
  <sheetData>
    <row r="1" spans="1:16" x14ac:dyDescent="0.35">
      <c r="C1" s="376"/>
      <c r="E1" s="31"/>
      <c r="F1" s="376"/>
      <c r="H1" s="31" t="s">
        <v>1638</v>
      </c>
      <c r="I1" s="376"/>
      <c r="K1" s="31" t="s">
        <v>1638</v>
      </c>
      <c r="L1" s="376"/>
    </row>
    <row r="2" spans="1:16" ht="15" customHeight="1" x14ac:dyDescent="0.35">
      <c r="A2" s="1070" t="s">
        <v>548</v>
      </c>
      <c r="B2" s="1072" t="s">
        <v>306</v>
      </c>
      <c r="C2" s="1107" t="s">
        <v>1344</v>
      </c>
      <c r="D2" s="1109" t="s">
        <v>1296</v>
      </c>
      <c r="E2" s="1109" t="s">
        <v>1293</v>
      </c>
      <c r="F2" s="1107" t="s">
        <v>1344</v>
      </c>
      <c r="G2" s="1109" t="s">
        <v>1296</v>
      </c>
      <c r="H2" s="1109" t="s">
        <v>1293</v>
      </c>
      <c r="I2" s="1107" t="s">
        <v>1344</v>
      </c>
      <c r="J2" s="1109" t="s">
        <v>1296</v>
      </c>
      <c r="K2" s="1109" t="s">
        <v>1293</v>
      </c>
      <c r="L2" s="1107" t="s">
        <v>1344</v>
      </c>
      <c r="M2" s="1109" t="s">
        <v>1296</v>
      </c>
      <c r="N2" s="1109" t="s">
        <v>1293</v>
      </c>
    </row>
    <row r="3" spans="1:16" ht="34.5" customHeight="1" thickBot="1" x14ac:dyDescent="0.4">
      <c r="A3" s="1070"/>
      <c r="B3" s="1072"/>
      <c r="C3" s="1108"/>
      <c r="D3" s="1110"/>
      <c r="E3" s="1110"/>
      <c r="F3" s="1108"/>
      <c r="G3" s="1110"/>
      <c r="H3" s="1110"/>
      <c r="I3" s="1108"/>
      <c r="J3" s="1110"/>
      <c r="K3" s="1110"/>
      <c r="L3" s="1111"/>
      <c r="M3" s="1112"/>
      <c r="N3" s="1112"/>
    </row>
    <row r="4" spans="1:16" s="30" customFormat="1" ht="38.25" customHeight="1" x14ac:dyDescent="0.35">
      <c r="A4" s="1070"/>
      <c r="B4" s="1072"/>
      <c r="C4" s="1092" t="s">
        <v>1794</v>
      </c>
      <c r="D4" s="1064"/>
      <c r="E4" s="1065"/>
      <c r="F4" s="1092" t="s">
        <v>1796</v>
      </c>
      <c r="G4" s="1064"/>
      <c r="H4" s="1065"/>
      <c r="I4" s="1092" t="s">
        <v>1799</v>
      </c>
      <c r="J4" s="1064"/>
      <c r="K4" s="1064"/>
      <c r="L4" s="1113"/>
      <c r="M4" s="1114"/>
      <c r="N4" s="1115"/>
    </row>
    <row r="5" spans="1:16" s="30" customFormat="1" ht="29" x14ac:dyDescent="0.35">
      <c r="A5" s="314" t="s">
        <v>315</v>
      </c>
      <c r="B5" s="345" t="s">
        <v>346</v>
      </c>
      <c r="C5" s="726">
        <v>232.75</v>
      </c>
      <c r="D5" s="316">
        <v>0</v>
      </c>
      <c r="E5" s="316">
        <v>2093304870</v>
      </c>
      <c r="F5" s="726">
        <v>234.25</v>
      </c>
      <c r="G5" s="316">
        <v>0</v>
      </c>
      <c r="H5" s="316">
        <v>2191280948</v>
      </c>
      <c r="I5" s="726">
        <f>+I6+I23+I39+I56+I86+I108+I134+I150</f>
        <v>234.25</v>
      </c>
      <c r="J5" s="316">
        <v>0</v>
      </c>
      <c r="K5" s="980">
        <f>+K6+K23+K39+K56+K86+K108+K134+K150</f>
        <v>732711605</v>
      </c>
      <c r="L5" s="994">
        <f>+L6+L23+L39+L56+L86+L108+L134+L150</f>
        <v>228.75</v>
      </c>
      <c r="M5" s="316">
        <v>0</v>
      </c>
      <c r="N5" s="995">
        <f>+N6+N23+N39+N56+N86+N108+N134+N150</f>
        <v>0</v>
      </c>
      <c r="O5" s="931"/>
    </row>
    <row r="6" spans="1:16" s="43" customFormat="1" x14ac:dyDescent="0.35">
      <c r="A6" s="346" t="s">
        <v>1411</v>
      </c>
      <c r="B6" s="347" t="s">
        <v>347</v>
      </c>
      <c r="C6" s="377">
        <v>13</v>
      </c>
      <c r="D6" s="348">
        <v>0</v>
      </c>
      <c r="E6" s="348">
        <v>73450920</v>
      </c>
      <c r="F6" s="377">
        <v>13</v>
      </c>
      <c r="G6" s="348">
        <v>0</v>
      </c>
      <c r="H6" s="348">
        <v>77018216</v>
      </c>
      <c r="I6" s="377">
        <v>13</v>
      </c>
      <c r="J6" s="348">
        <v>0</v>
      </c>
      <c r="K6" s="981">
        <f>+K7+K22</f>
        <v>27410353</v>
      </c>
      <c r="L6" s="996">
        <v>13</v>
      </c>
      <c r="M6" s="348">
        <v>0</v>
      </c>
      <c r="N6" s="997">
        <f>+N7+N22</f>
        <v>0</v>
      </c>
    </row>
    <row r="7" spans="1:16" outlineLevel="1" x14ac:dyDescent="0.35">
      <c r="A7" s="349" t="s">
        <v>309</v>
      </c>
      <c r="B7" s="350" t="s">
        <v>348</v>
      </c>
      <c r="C7" s="378">
        <v>13</v>
      </c>
      <c r="D7" s="351">
        <v>0</v>
      </c>
      <c r="E7" s="778">
        <v>73450920</v>
      </c>
      <c r="F7" s="378">
        <v>13</v>
      </c>
      <c r="G7" s="351">
        <v>0</v>
      </c>
      <c r="H7" s="778">
        <v>77018216</v>
      </c>
      <c r="I7" s="378">
        <v>13</v>
      </c>
      <c r="J7" s="351">
        <v>0</v>
      </c>
      <c r="K7" s="982">
        <f>+K8+K15+K20</f>
        <v>27410353</v>
      </c>
      <c r="L7" s="998">
        <v>13</v>
      </c>
      <c r="M7" s="351">
        <v>0</v>
      </c>
      <c r="N7" s="999">
        <f>+N8+N15+N20</f>
        <v>0</v>
      </c>
    </row>
    <row r="8" spans="1:16" outlineLevel="2" x14ac:dyDescent="0.35">
      <c r="A8" s="319" t="s">
        <v>311</v>
      </c>
      <c r="B8" s="320" t="s">
        <v>349</v>
      </c>
      <c r="C8" s="379">
        <v>13</v>
      </c>
      <c r="D8" s="321">
        <v>0</v>
      </c>
      <c r="E8" s="321">
        <v>63607920</v>
      </c>
      <c r="F8" s="379">
        <v>13</v>
      </c>
      <c r="G8" s="530">
        <v>0</v>
      </c>
      <c r="H8" s="530">
        <v>67175216</v>
      </c>
      <c r="I8" s="379">
        <v>13</v>
      </c>
      <c r="J8" s="530">
        <v>0</v>
      </c>
      <c r="K8" s="947">
        <f>SUM(K9:K14)</f>
        <v>23606356</v>
      </c>
      <c r="L8" s="1000">
        <v>13</v>
      </c>
      <c r="M8" s="530">
        <v>0</v>
      </c>
      <c r="N8" s="966">
        <f>SUM(N9:N14)</f>
        <v>0</v>
      </c>
    </row>
    <row r="9" spans="1:16" outlineLevel="3" x14ac:dyDescent="0.35">
      <c r="A9" s="322"/>
      <c r="B9" s="323" t="s">
        <v>286</v>
      </c>
      <c r="C9" s="380"/>
      <c r="D9" s="258"/>
      <c r="E9" s="258">
        <v>48780000</v>
      </c>
      <c r="F9" s="606"/>
      <c r="G9" s="258"/>
      <c r="H9" s="258">
        <v>50620000</v>
      </c>
      <c r="I9" s="606"/>
      <c r="J9" s="258"/>
      <c r="K9" s="983">
        <v>19266283</v>
      </c>
      <c r="L9" s="1001"/>
      <c r="M9" s="258"/>
      <c r="N9" s="1002"/>
    </row>
    <row r="10" spans="1:16" outlineLevel="3" x14ac:dyDescent="0.35">
      <c r="A10" s="322"/>
      <c r="B10" s="323" t="s">
        <v>350</v>
      </c>
      <c r="C10" s="380"/>
      <c r="D10" s="258"/>
      <c r="E10" s="258">
        <v>7560900</v>
      </c>
      <c r="F10" s="606"/>
      <c r="G10" s="258"/>
      <c r="H10" s="258">
        <v>7560900</v>
      </c>
      <c r="I10" s="606"/>
      <c r="J10" s="258"/>
      <c r="K10" s="983">
        <v>2959838</v>
      </c>
      <c r="L10" s="1001"/>
      <c r="M10" s="258"/>
      <c r="N10" s="1002"/>
    </row>
    <row r="11" spans="1:16" outlineLevel="3" x14ac:dyDescent="0.35">
      <c r="A11" s="322"/>
      <c r="B11" s="323" t="s">
        <v>292</v>
      </c>
      <c r="C11" s="380"/>
      <c r="D11" s="258"/>
      <c r="E11" s="258">
        <v>5837000</v>
      </c>
      <c r="F11" s="606"/>
      <c r="G11" s="258"/>
      <c r="H11" s="258">
        <v>5909850</v>
      </c>
      <c r="I11" s="606"/>
      <c r="J11" s="258"/>
      <c r="K11" s="983">
        <v>1167847</v>
      </c>
      <c r="L11" s="1001"/>
      <c r="M11" s="258"/>
      <c r="N11" s="1002"/>
      <c r="P11" s="39"/>
    </row>
    <row r="12" spans="1:16" outlineLevel="3" x14ac:dyDescent="0.35">
      <c r="A12" s="322"/>
      <c r="B12" s="323" t="s">
        <v>339</v>
      </c>
      <c r="C12" s="380"/>
      <c r="D12" s="258"/>
      <c r="E12" s="258"/>
      <c r="F12" s="606"/>
      <c r="G12" s="258"/>
      <c r="H12" s="258">
        <v>1654446</v>
      </c>
      <c r="I12" s="606"/>
      <c r="J12" s="258"/>
      <c r="K12" s="983"/>
      <c r="L12" s="1001"/>
      <c r="M12" s="258"/>
      <c r="N12" s="1002"/>
      <c r="P12" s="39"/>
    </row>
    <row r="13" spans="1:16" outlineLevel="3" x14ac:dyDescent="0.35">
      <c r="A13" s="322"/>
      <c r="B13" s="323" t="s">
        <v>351</v>
      </c>
      <c r="C13" s="380"/>
      <c r="D13" s="258"/>
      <c r="E13" s="258">
        <v>1430020</v>
      </c>
      <c r="F13" s="606"/>
      <c r="G13" s="258"/>
      <c r="H13" s="258">
        <v>1430020</v>
      </c>
      <c r="I13" s="606"/>
      <c r="J13" s="258"/>
      <c r="K13" s="983">
        <v>212388</v>
      </c>
      <c r="L13" s="1001"/>
      <c r="M13" s="258"/>
      <c r="N13" s="1002"/>
    </row>
    <row r="14" spans="1:16" outlineLevel="3" x14ac:dyDescent="0.35">
      <c r="A14" s="322"/>
      <c r="B14" s="323" t="s">
        <v>342</v>
      </c>
      <c r="C14" s="380"/>
      <c r="D14" s="258"/>
      <c r="E14" s="258"/>
      <c r="F14" s="606"/>
      <c r="G14" s="258"/>
      <c r="H14" s="258"/>
      <c r="I14" s="606"/>
      <c r="J14" s="258"/>
      <c r="K14" s="983"/>
      <c r="L14" s="1001"/>
      <c r="M14" s="258"/>
      <c r="N14" s="1002"/>
    </row>
    <row r="15" spans="1:16" outlineLevel="2" x14ac:dyDescent="0.35">
      <c r="A15" s="319" t="s">
        <v>322</v>
      </c>
      <c r="B15" s="320" t="s">
        <v>352</v>
      </c>
      <c r="C15" s="379">
        <v>0</v>
      </c>
      <c r="D15" s="321">
        <v>0</v>
      </c>
      <c r="E15" s="321">
        <v>9843000</v>
      </c>
      <c r="F15" s="379">
        <v>0</v>
      </c>
      <c r="G15" s="530">
        <v>0</v>
      </c>
      <c r="H15" s="530">
        <v>9843000</v>
      </c>
      <c r="I15" s="379">
        <v>0</v>
      </c>
      <c r="J15" s="530">
        <v>0</v>
      </c>
      <c r="K15" s="947">
        <f>SUM(K16:K19)</f>
        <v>3803997</v>
      </c>
      <c r="L15" s="1000">
        <v>0</v>
      </c>
      <c r="M15" s="530">
        <v>0</v>
      </c>
      <c r="N15" s="966">
        <f>SUM(N16:N19)</f>
        <v>0</v>
      </c>
    </row>
    <row r="16" spans="1:16" outlineLevel="3" x14ac:dyDescent="0.35">
      <c r="A16" s="322"/>
      <c r="B16" s="323" t="s">
        <v>286</v>
      </c>
      <c r="C16" s="380"/>
      <c r="D16" s="258"/>
      <c r="E16" s="258"/>
      <c r="F16" s="606"/>
      <c r="G16" s="258"/>
      <c r="H16" s="258"/>
      <c r="I16" s="606"/>
      <c r="J16" s="258"/>
      <c r="K16" s="983"/>
      <c r="L16" s="1001"/>
      <c r="M16" s="258"/>
      <c r="N16" s="1002"/>
    </row>
    <row r="17" spans="1:16" outlineLevel="3" x14ac:dyDescent="0.35">
      <c r="A17" s="322"/>
      <c r="B17" s="323" t="s">
        <v>350</v>
      </c>
      <c r="C17" s="380"/>
      <c r="D17" s="258"/>
      <c r="E17" s="258"/>
      <c r="F17" s="606"/>
      <c r="G17" s="258"/>
      <c r="H17" s="258"/>
      <c r="I17" s="606"/>
      <c r="J17" s="258"/>
      <c r="K17" s="983"/>
      <c r="L17" s="1001"/>
      <c r="M17" s="258"/>
      <c r="N17" s="1002"/>
    </row>
    <row r="18" spans="1:16" outlineLevel="3" x14ac:dyDescent="0.35">
      <c r="A18" s="322"/>
      <c r="B18" s="323" t="s">
        <v>292</v>
      </c>
      <c r="C18" s="380"/>
      <c r="D18" s="258"/>
      <c r="E18" s="258">
        <v>9843000</v>
      </c>
      <c r="F18" s="606"/>
      <c r="G18" s="258"/>
      <c r="H18" s="258">
        <v>9843000</v>
      </c>
      <c r="I18" s="606"/>
      <c r="J18" s="258"/>
      <c r="K18" s="983">
        <v>3803997</v>
      </c>
      <c r="L18" s="1001"/>
      <c r="M18" s="258"/>
      <c r="N18" s="1002"/>
    </row>
    <row r="19" spans="1:16" outlineLevel="3" x14ac:dyDescent="0.35">
      <c r="A19" s="322"/>
      <c r="B19" s="323" t="s">
        <v>351</v>
      </c>
      <c r="C19" s="380"/>
      <c r="D19" s="258"/>
      <c r="E19" s="258"/>
      <c r="F19" s="606"/>
      <c r="G19" s="258"/>
      <c r="H19" s="258"/>
      <c r="I19" s="606"/>
      <c r="J19" s="258"/>
      <c r="K19" s="983"/>
      <c r="L19" s="1001"/>
      <c r="M19" s="258"/>
      <c r="N19" s="1002"/>
    </row>
    <row r="20" spans="1:16" s="45" customFormat="1" outlineLevel="3" x14ac:dyDescent="0.35">
      <c r="A20" s="319" t="s">
        <v>1761</v>
      </c>
      <c r="B20" s="401" t="s">
        <v>1729</v>
      </c>
      <c r="C20" s="379"/>
      <c r="D20" s="530"/>
      <c r="E20" s="530"/>
      <c r="F20" s="379"/>
      <c r="G20" s="530"/>
      <c r="H20" s="530"/>
      <c r="I20" s="379"/>
      <c r="J20" s="530"/>
      <c r="K20" s="947">
        <f>SUM(K21)</f>
        <v>0</v>
      </c>
      <c r="L20" s="1000"/>
      <c r="M20" s="530"/>
      <c r="N20" s="966">
        <f>SUM(N21)</f>
        <v>0</v>
      </c>
    </row>
    <row r="21" spans="1:16" outlineLevel="3" x14ac:dyDescent="0.35">
      <c r="A21" s="322"/>
      <c r="B21" s="323" t="s">
        <v>292</v>
      </c>
      <c r="C21" s="606"/>
      <c r="D21" s="258"/>
      <c r="E21" s="258"/>
      <c r="F21" s="606"/>
      <c r="G21" s="258"/>
      <c r="H21" s="258"/>
      <c r="I21" s="606"/>
      <c r="J21" s="258"/>
      <c r="K21" s="983"/>
      <c r="L21" s="1001"/>
      <c r="M21" s="258"/>
      <c r="N21" s="1002"/>
    </row>
    <row r="22" spans="1:16" outlineLevel="1" x14ac:dyDescent="0.35">
      <c r="A22" s="349" t="s">
        <v>318</v>
      </c>
      <c r="B22" s="350" t="s">
        <v>353</v>
      </c>
      <c r="C22" s="378">
        <v>0</v>
      </c>
      <c r="D22" s="351">
        <v>0</v>
      </c>
      <c r="E22" s="351">
        <v>0</v>
      </c>
      <c r="F22" s="378">
        <v>0</v>
      </c>
      <c r="G22" s="351">
        <v>0</v>
      </c>
      <c r="H22" s="351">
        <v>0</v>
      </c>
      <c r="I22" s="378">
        <v>0</v>
      </c>
      <c r="J22" s="351">
        <v>0</v>
      </c>
      <c r="K22" s="984">
        <v>0</v>
      </c>
      <c r="L22" s="998">
        <v>0</v>
      </c>
      <c r="M22" s="351">
        <v>0</v>
      </c>
      <c r="N22" s="1003">
        <v>0</v>
      </c>
    </row>
    <row r="23" spans="1:16" x14ac:dyDescent="0.35">
      <c r="A23" s="346" t="s">
        <v>1412</v>
      </c>
      <c r="B23" s="347" t="s">
        <v>354</v>
      </c>
      <c r="C23" s="377">
        <v>32</v>
      </c>
      <c r="D23" s="348">
        <v>0</v>
      </c>
      <c r="E23" s="348">
        <v>203393540</v>
      </c>
      <c r="F23" s="377">
        <v>32</v>
      </c>
      <c r="G23" s="348">
        <v>0</v>
      </c>
      <c r="H23" s="348">
        <v>209262579</v>
      </c>
      <c r="I23" s="377">
        <v>32</v>
      </c>
      <c r="J23" s="348">
        <v>0</v>
      </c>
      <c r="K23" s="981">
        <f>+K24+K38</f>
        <v>72649287</v>
      </c>
      <c r="L23" s="996">
        <v>32</v>
      </c>
      <c r="M23" s="348">
        <v>0</v>
      </c>
      <c r="N23" s="997">
        <f>+N24+N38</f>
        <v>0</v>
      </c>
    </row>
    <row r="24" spans="1:16" outlineLevel="1" x14ac:dyDescent="0.35">
      <c r="A24" s="349" t="s">
        <v>309</v>
      </c>
      <c r="B24" s="350" t="s">
        <v>348</v>
      </c>
      <c r="C24" s="378">
        <v>32</v>
      </c>
      <c r="D24" s="351">
        <v>0</v>
      </c>
      <c r="E24" s="351">
        <v>203393540</v>
      </c>
      <c r="F24" s="378">
        <v>32</v>
      </c>
      <c r="G24" s="351">
        <v>0</v>
      </c>
      <c r="H24" s="351">
        <v>209262579</v>
      </c>
      <c r="I24" s="378">
        <v>32</v>
      </c>
      <c r="J24" s="351">
        <v>0</v>
      </c>
      <c r="K24" s="984">
        <f>+K25+K31+K36</f>
        <v>72649287</v>
      </c>
      <c r="L24" s="998">
        <v>32</v>
      </c>
      <c r="M24" s="351">
        <v>0</v>
      </c>
      <c r="N24" s="1003">
        <f>+N25+N31+N36</f>
        <v>0</v>
      </c>
    </row>
    <row r="25" spans="1:16" outlineLevel="2" x14ac:dyDescent="0.35">
      <c r="A25" s="319" t="s">
        <v>311</v>
      </c>
      <c r="B25" s="320" t="s">
        <v>349</v>
      </c>
      <c r="C25" s="379">
        <v>32</v>
      </c>
      <c r="D25" s="321">
        <v>0</v>
      </c>
      <c r="E25" s="321">
        <v>173040540</v>
      </c>
      <c r="F25" s="379">
        <v>32</v>
      </c>
      <c r="G25" s="530">
        <v>0</v>
      </c>
      <c r="H25" s="530">
        <v>178909579</v>
      </c>
      <c r="I25" s="379">
        <v>32</v>
      </c>
      <c r="J25" s="530">
        <v>0</v>
      </c>
      <c r="K25" s="947">
        <f>SUM(K26:K30)</f>
        <v>63582829</v>
      </c>
      <c r="L25" s="1000">
        <v>32</v>
      </c>
      <c r="M25" s="530">
        <v>0</v>
      </c>
      <c r="N25" s="966">
        <f>SUM(N26:N30)</f>
        <v>0</v>
      </c>
    </row>
    <row r="26" spans="1:16" outlineLevel="3" x14ac:dyDescent="0.35">
      <c r="A26" s="322"/>
      <c r="B26" s="323" t="s">
        <v>286</v>
      </c>
      <c r="C26" s="380"/>
      <c r="D26" s="258"/>
      <c r="E26" s="258">
        <v>130432040</v>
      </c>
      <c r="F26" s="606"/>
      <c r="G26" s="258"/>
      <c r="H26" s="258">
        <v>135202040</v>
      </c>
      <c r="I26" s="606"/>
      <c r="J26" s="258"/>
      <c r="K26" s="983">
        <v>50934518</v>
      </c>
      <c r="L26" s="1001"/>
      <c r="M26" s="258"/>
      <c r="N26" s="1002"/>
    </row>
    <row r="27" spans="1:16" outlineLevel="3" x14ac:dyDescent="0.35">
      <c r="A27" s="322"/>
      <c r="B27" s="323" t="s">
        <v>350</v>
      </c>
      <c r="C27" s="380"/>
      <c r="D27" s="258"/>
      <c r="E27" s="258">
        <v>22628000</v>
      </c>
      <c r="F27" s="606"/>
      <c r="G27" s="258"/>
      <c r="H27" s="258">
        <v>22628000</v>
      </c>
      <c r="I27" s="606"/>
      <c r="J27" s="258"/>
      <c r="K27" s="983">
        <v>9284835</v>
      </c>
      <c r="L27" s="1001"/>
      <c r="M27" s="258"/>
      <c r="N27" s="1002"/>
    </row>
    <row r="28" spans="1:16" outlineLevel="3" x14ac:dyDescent="0.35">
      <c r="A28" s="322"/>
      <c r="B28" s="323" t="s">
        <v>292</v>
      </c>
      <c r="C28" s="380"/>
      <c r="D28" s="327"/>
      <c r="E28" s="327">
        <v>15853000</v>
      </c>
      <c r="F28" s="606"/>
      <c r="G28" s="722"/>
      <c r="H28" s="722">
        <v>15892878</v>
      </c>
      <c r="I28" s="606"/>
      <c r="J28" s="722"/>
      <c r="K28" s="946">
        <v>3271707</v>
      </c>
      <c r="L28" s="1001"/>
      <c r="M28" s="722"/>
      <c r="N28" s="964"/>
      <c r="P28" s="39">
        <f>+N28-O28</f>
        <v>0</v>
      </c>
    </row>
    <row r="29" spans="1:16" outlineLevel="3" x14ac:dyDescent="0.35">
      <c r="A29" s="322"/>
      <c r="B29" s="323" t="s">
        <v>339</v>
      </c>
      <c r="C29" s="380"/>
      <c r="D29" s="327"/>
      <c r="E29" s="327"/>
      <c r="F29" s="606"/>
      <c r="G29" s="722"/>
      <c r="H29" s="722">
        <v>1059161</v>
      </c>
      <c r="I29" s="606"/>
      <c r="J29" s="722"/>
      <c r="K29" s="946"/>
      <c r="L29" s="1001"/>
      <c r="M29" s="722"/>
      <c r="N29" s="964"/>
    </row>
    <row r="30" spans="1:16" outlineLevel="3" x14ac:dyDescent="0.35">
      <c r="A30" s="322"/>
      <c r="B30" s="323" t="s">
        <v>351</v>
      </c>
      <c r="C30" s="381"/>
      <c r="D30" s="325"/>
      <c r="E30" s="565">
        <v>4127500</v>
      </c>
      <c r="F30" s="381"/>
      <c r="G30" s="325"/>
      <c r="H30" s="565">
        <v>4127500</v>
      </c>
      <c r="I30" s="381"/>
      <c r="J30" s="325"/>
      <c r="K30" s="985">
        <v>91769</v>
      </c>
      <c r="L30" s="1004"/>
      <c r="M30" s="325"/>
      <c r="N30" s="1005"/>
      <c r="P30" s="39">
        <f>+N30-O30</f>
        <v>0</v>
      </c>
    </row>
    <row r="31" spans="1:16" outlineLevel="2" x14ac:dyDescent="0.35">
      <c r="A31" s="319" t="s">
        <v>322</v>
      </c>
      <c r="B31" s="320" t="s">
        <v>352</v>
      </c>
      <c r="C31" s="379">
        <v>0</v>
      </c>
      <c r="D31" s="321">
        <v>0</v>
      </c>
      <c r="E31" s="321">
        <v>30353000</v>
      </c>
      <c r="F31" s="379">
        <v>0</v>
      </c>
      <c r="G31" s="530">
        <v>0</v>
      </c>
      <c r="H31" s="530">
        <v>30353000</v>
      </c>
      <c r="I31" s="379">
        <v>0</v>
      </c>
      <c r="J31" s="530">
        <v>0</v>
      </c>
      <c r="K31" s="947">
        <f>SUM(K32:K35)</f>
        <v>9066458</v>
      </c>
      <c r="L31" s="1000">
        <v>0</v>
      </c>
      <c r="M31" s="530">
        <v>0</v>
      </c>
      <c r="N31" s="966">
        <f>SUM(N32:N35)</f>
        <v>0</v>
      </c>
    </row>
    <row r="32" spans="1:16" outlineLevel="3" x14ac:dyDescent="0.35">
      <c r="A32" s="322"/>
      <c r="B32" s="323" t="s">
        <v>286</v>
      </c>
      <c r="C32" s="380"/>
      <c r="D32" s="327"/>
      <c r="E32" s="327"/>
      <c r="F32" s="606"/>
      <c r="G32" s="722"/>
      <c r="H32" s="722"/>
      <c r="I32" s="606"/>
      <c r="J32" s="722"/>
      <c r="K32" s="946"/>
      <c r="L32" s="1001"/>
      <c r="M32" s="722"/>
      <c r="N32" s="964"/>
    </row>
    <row r="33" spans="1:14" outlineLevel="3" x14ac:dyDescent="0.35">
      <c r="A33" s="322"/>
      <c r="B33" s="323" t="s">
        <v>350</v>
      </c>
      <c r="C33" s="381"/>
      <c r="D33" s="325"/>
      <c r="E33" s="325"/>
      <c r="F33" s="381"/>
      <c r="G33" s="325"/>
      <c r="H33" s="325"/>
      <c r="I33" s="381"/>
      <c r="J33" s="325"/>
      <c r="K33" s="986"/>
      <c r="L33" s="1004"/>
      <c r="M33" s="325"/>
      <c r="N33" s="1006"/>
    </row>
    <row r="34" spans="1:14" outlineLevel="3" x14ac:dyDescent="0.35">
      <c r="A34" s="322"/>
      <c r="B34" s="323" t="s">
        <v>292</v>
      </c>
      <c r="C34" s="381"/>
      <c r="D34" s="325"/>
      <c r="E34" s="325">
        <v>30353000</v>
      </c>
      <c r="F34" s="381"/>
      <c r="G34" s="325"/>
      <c r="H34" s="325">
        <v>30353000</v>
      </c>
      <c r="I34" s="381"/>
      <c r="J34" s="325"/>
      <c r="K34" s="986">
        <v>9066458</v>
      </c>
      <c r="L34" s="1004"/>
      <c r="M34" s="325"/>
      <c r="N34" s="1006"/>
    </row>
    <row r="35" spans="1:14" outlineLevel="3" x14ac:dyDescent="0.35">
      <c r="A35" s="322"/>
      <c r="B35" s="323" t="s">
        <v>351</v>
      </c>
      <c r="C35" s="381"/>
      <c r="D35" s="325"/>
      <c r="E35" s="325"/>
      <c r="F35" s="381"/>
      <c r="G35" s="325"/>
      <c r="H35" s="325"/>
      <c r="I35" s="381"/>
      <c r="J35" s="325"/>
      <c r="K35" s="986"/>
      <c r="L35" s="1004"/>
      <c r="M35" s="325"/>
      <c r="N35" s="1006"/>
    </row>
    <row r="36" spans="1:14" outlineLevel="3" x14ac:dyDescent="0.35">
      <c r="A36" s="319" t="s">
        <v>1761</v>
      </c>
      <c r="B36" s="401" t="s">
        <v>1729</v>
      </c>
      <c r="C36" s="379"/>
      <c r="D36" s="530"/>
      <c r="E36" s="530"/>
      <c r="F36" s="379"/>
      <c r="G36" s="530"/>
      <c r="H36" s="530"/>
      <c r="I36" s="379"/>
      <c r="J36" s="530"/>
      <c r="K36" s="947">
        <f>+K37</f>
        <v>0</v>
      </c>
      <c r="L36" s="1000"/>
      <c r="M36" s="530"/>
      <c r="N36" s="966">
        <f>SUM(N37)</f>
        <v>0</v>
      </c>
    </row>
    <row r="37" spans="1:14" outlineLevel="3" x14ac:dyDescent="0.35">
      <c r="A37" s="322"/>
      <c r="B37" s="323" t="s">
        <v>292</v>
      </c>
      <c r="C37" s="606"/>
      <c r="D37" s="258"/>
      <c r="E37" s="258"/>
      <c r="F37" s="606"/>
      <c r="G37" s="258"/>
      <c r="H37" s="258"/>
      <c r="I37" s="606"/>
      <c r="J37" s="258"/>
      <c r="K37" s="983"/>
      <c r="L37" s="1001"/>
      <c r="M37" s="258"/>
      <c r="N37" s="1002"/>
    </row>
    <row r="38" spans="1:14" outlineLevel="1" x14ac:dyDescent="0.35">
      <c r="A38" s="349" t="s">
        <v>318</v>
      </c>
      <c r="B38" s="350" t="s">
        <v>353</v>
      </c>
      <c r="C38" s="378">
        <v>0</v>
      </c>
      <c r="D38" s="351">
        <v>0</v>
      </c>
      <c r="E38" s="351">
        <v>0</v>
      </c>
      <c r="F38" s="378">
        <v>0</v>
      </c>
      <c r="G38" s="351">
        <v>0</v>
      </c>
      <c r="H38" s="351">
        <v>0</v>
      </c>
      <c r="I38" s="378">
        <v>0</v>
      </c>
      <c r="J38" s="351">
        <v>0</v>
      </c>
      <c r="K38" s="984">
        <v>0</v>
      </c>
      <c r="L38" s="998">
        <v>0</v>
      </c>
      <c r="M38" s="351">
        <v>0</v>
      </c>
      <c r="N38" s="1003">
        <v>0</v>
      </c>
    </row>
    <row r="39" spans="1:14" x14ac:dyDescent="0.35">
      <c r="A39" s="346" t="s">
        <v>1413</v>
      </c>
      <c r="B39" s="347" t="s">
        <v>355</v>
      </c>
      <c r="C39" s="377">
        <v>55</v>
      </c>
      <c r="D39" s="348">
        <v>0</v>
      </c>
      <c r="E39" s="348">
        <v>338861810</v>
      </c>
      <c r="F39" s="377">
        <v>55</v>
      </c>
      <c r="G39" s="348">
        <v>0</v>
      </c>
      <c r="H39" s="981">
        <v>349540011</v>
      </c>
      <c r="I39" s="377">
        <f>+I40</f>
        <v>55</v>
      </c>
      <c r="J39" s="348">
        <v>0</v>
      </c>
      <c r="K39" s="981">
        <f>+K40+K55</f>
        <v>132078448</v>
      </c>
      <c r="L39" s="996">
        <f>+L40</f>
        <v>55</v>
      </c>
      <c r="M39" s="348">
        <v>0</v>
      </c>
      <c r="N39" s="997">
        <f>+N40+N55</f>
        <v>0</v>
      </c>
    </row>
    <row r="40" spans="1:14" outlineLevel="1" x14ac:dyDescent="0.35">
      <c r="A40" s="349" t="s">
        <v>309</v>
      </c>
      <c r="B40" s="350" t="s">
        <v>348</v>
      </c>
      <c r="C40" s="378">
        <v>55</v>
      </c>
      <c r="D40" s="351">
        <v>0</v>
      </c>
      <c r="E40" s="778">
        <v>338861810</v>
      </c>
      <c r="F40" s="378">
        <v>55</v>
      </c>
      <c r="G40" s="351">
        <v>0</v>
      </c>
      <c r="H40" s="778">
        <v>349240011</v>
      </c>
      <c r="I40" s="378">
        <f>+I41</f>
        <v>55</v>
      </c>
      <c r="J40" s="351">
        <v>0</v>
      </c>
      <c r="K40" s="982">
        <f>+K41+K47+K52</f>
        <v>132078448</v>
      </c>
      <c r="L40" s="998">
        <f>+L41</f>
        <v>55</v>
      </c>
      <c r="M40" s="351">
        <v>0</v>
      </c>
      <c r="N40" s="999">
        <f>+N41+N47+N52</f>
        <v>0</v>
      </c>
    </row>
    <row r="41" spans="1:14" outlineLevel="2" x14ac:dyDescent="0.35">
      <c r="A41" s="319" t="s">
        <v>311</v>
      </c>
      <c r="B41" s="320" t="s">
        <v>349</v>
      </c>
      <c r="C41" s="379">
        <v>55</v>
      </c>
      <c r="D41" s="321">
        <v>0</v>
      </c>
      <c r="E41" s="402">
        <v>300570810</v>
      </c>
      <c r="F41" s="379">
        <v>55</v>
      </c>
      <c r="G41" s="530">
        <v>0</v>
      </c>
      <c r="H41" s="532">
        <v>310949011</v>
      </c>
      <c r="I41" s="379">
        <v>55</v>
      </c>
      <c r="J41" s="530">
        <v>0</v>
      </c>
      <c r="K41" s="948">
        <f>SUM(K42:K46)</f>
        <v>119755478</v>
      </c>
      <c r="L41" s="1000">
        <v>55</v>
      </c>
      <c r="M41" s="530">
        <v>0</v>
      </c>
      <c r="N41" s="969">
        <f>SUM(N42:N46)</f>
        <v>0</v>
      </c>
    </row>
    <row r="42" spans="1:14" outlineLevel="3" x14ac:dyDescent="0.35">
      <c r="A42" s="322"/>
      <c r="B42" s="323" t="s">
        <v>286</v>
      </c>
      <c r="C42" s="380"/>
      <c r="D42" s="258"/>
      <c r="E42" s="404">
        <v>219310010</v>
      </c>
      <c r="F42" s="606"/>
      <c r="G42" s="258"/>
      <c r="H42" s="535">
        <v>227625010</v>
      </c>
      <c r="I42" s="606"/>
      <c r="J42" s="258"/>
      <c r="K42" s="949">
        <v>90875060</v>
      </c>
      <c r="L42" s="1001"/>
      <c r="M42" s="258"/>
      <c r="N42" s="976"/>
    </row>
    <row r="43" spans="1:14" outlineLevel="3" x14ac:dyDescent="0.35">
      <c r="A43" s="322"/>
      <c r="B43" s="323" t="s">
        <v>350</v>
      </c>
      <c r="C43" s="380"/>
      <c r="D43" s="258"/>
      <c r="E43" s="404">
        <v>38136300</v>
      </c>
      <c r="F43" s="606"/>
      <c r="G43" s="258"/>
      <c r="H43" s="535">
        <v>38136300</v>
      </c>
      <c r="I43" s="606"/>
      <c r="J43" s="258"/>
      <c r="K43" s="949">
        <v>16224965</v>
      </c>
      <c r="L43" s="1001"/>
      <c r="M43" s="258"/>
      <c r="N43" s="976"/>
    </row>
    <row r="44" spans="1:14" outlineLevel="3" x14ac:dyDescent="0.35">
      <c r="A44" s="322"/>
      <c r="B44" s="323" t="s">
        <v>292</v>
      </c>
      <c r="C44" s="380"/>
      <c r="D44" s="258"/>
      <c r="E44" s="404">
        <v>42553000</v>
      </c>
      <c r="F44" s="606"/>
      <c r="G44" s="258"/>
      <c r="H44" s="535">
        <v>43053127</v>
      </c>
      <c r="I44" s="606"/>
      <c r="J44" s="258"/>
      <c r="K44" s="949">
        <v>12655453</v>
      </c>
      <c r="L44" s="1001"/>
      <c r="M44" s="258"/>
      <c r="N44" s="976"/>
    </row>
    <row r="45" spans="1:14" outlineLevel="3" x14ac:dyDescent="0.35">
      <c r="A45" s="322"/>
      <c r="B45" s="323" t="s">
        <v>339</v>
      </c>
      <c r="C45" s="380"/>
      <c r="D45" s="258"/>
      <c r="E45" s="258"/>
      <c r="F45" s="606"/>
      <c r="G45" s="258"/>
      <c r="H45" s="258">
        <v>1563074</v>
      </c>
      <c r="I45" s="606"/>
      <c r="J45" s="258"/>
      <c r="K45" s="983"/>
      <c r="L45" s="1001"/>
      <c r="M45" s="258"/>
      <c r="N45" s="1002"/>
    </row>
    <row r="46" spans="1:14" outlineLevel="3" x14ac:dyDescent="0.35">
      <c r="A46" s="322"/>
      <c r="B46" s="323" t="s">
        <v>351</v>
      </c>
      <c r="C46" s="380"/>
      <c r="D46" s="258"/>
      <c r="E46" s="258">
        <v>571500</v>
      </c>
      <c r="F46" s="606"/>
      <c r="G46" s="258"/>
      <c r="H46" s="258">
        <v>571500</v>
      </c>
      <c r="I46" s="606"/>
      <c r="J46" s="258"/>
      <c r="K46" s="983">
        <v>0</v>
      </c>
      <c r="L46" s="1001"/>
      <c r="M46" s="258"/>
      <c r="N46" s="1002"/>
    </row>
    <row r="47" spans="1:14" outlineLevel="2" x14ac:dyDescent="0.35">
      <c r="A47" s="319" t="s">
        <v>322</v>
      </c>
      <c r="B47" s="320" t="s">
        <v>352</v>
      </c>
      <c r="C47" s="379">
        <v>0</v>
      </c>
      <c r="D47" s="321">
        <v>0</v>
      </c>
      <c r="E47" s="321">
        <v>38291000</v>
      </c>
      <c r="F47" s="379">
        <v>0</v>
      </c>
      <c r="G47" s="530">
        <v>0</v>
      </c>
      <c r="H47" s="530">
        <v>38291000</v>
      </c>
      <c r="I47" s="379">
        <v>0</v>
      </c>
      <c r="J47" s="530">
        <v>0</v>
      </c>
      <c r="K47" s="947">
        <f>SUM(K48:K51)</f>
        <v>12322970</v>
      </c>
      <c r="L47" s="1000">
        <v>0</v>
      </c>
      <c r="M47" s="530">
        <v>0</v>
      </c>
      <c r="N47" s="966">
        <f>SUM(N48:N51)</f>
        <v>0</v>
      </c>
    </row>
    <row r="48" spans="1:14" outlineLevel="3" x14ac:dyDescent="0.35">
      <c r="A48" s="322"/>
      <c r="B48" s="323" t="s">
        <v>286</v>
      </c>
      <c r="C48" s="380"/>
      <c r="D48" s="258"/>
      <c r="E48" s="258"/>
      <c r="F48" s="606"/>
      <c r="G48" s="258"/>
      <c r="H48" s="258"/>
      <c r="I48" s="606"/>
      <c r="J48" s="258"/>
      <c r="K48" s="983"/>
      <c r="L48" s="1001"/>
      <c r="M48" s="258"/>
      <c r="N48" s="1002"/>
    </row>
    <row r="49" spans="1:16" outlineLevel="3" x14ac:dyDescent="0.35">
      <c r="A49" s="322"/>
      <c r="B49" s="323" t="s">
        <v>350</v>
      </c>
      <c r="C49" s="380"/>
      <c r="D49" s="258"/>
      <c r="E49" s="258"/>
      <c r="F49" s="606"/>
      <c r="G49" s="258"/>
      <c r="H49" s="258"/>
      <c r="I49" s="606"/>
      <c r="J49" s="258"/>
      <c r="K49" s="983"/>
      <c r="L49" s="1001"/>
      <c r="M49" s="258"/>
      <c r="N49" s="1002"/>
    </row>
    <row r="50" spans="1:16" outlineLevel="3" x14ac:dyDescent="0.35">
      <c r="A50" s="322"/>
      <c r="B50" s="323" t="s">
        <v>292</v>
      </c>
      <c r="C50" s="380"/>
      <c r="D50" s="258"/>
      <c r="E50" s="258">
        <v>38291000</v>
      </c>
      <c r="F50" s="606"/>
      <c r="G50" s="258"/>
      <c r="H50" s="258">
        <v>38291000</v>
      </c>
      <c r="I50" s="606"/>
      <c r="J50" s="258"/>
      <c r="K50" s="983">
        <v>12322970</v>
      </c>
      <c r="L50" s="1001"/>
      <c r="M50" s="258"/>
      <c r="N50" s="1002"/>
    </row>
    <row r="51" spans="1:16" outlineLevel="3" x14ac:dyDescent="0.35">
      <c r="A51" s="322"/>
      <c r="B51" s="323" t="s">
        <v>351</v>
      </c>
      <c r="C51" s="380"/>
      <c r="D51" s="258"/>
      <c r="E51" s="258"/>
      <c r="F51" s="606"/>
      <c r="G51" s="258"/>
      <c r="H51" s="258"/>
      <c r="I51" s="606"/>
      <c r="J51" s="258"/>
      <c r="K51" s="983"/>
      <c r="L51" s="1001"/>
      <c r="M51" s="258"/>
      <c r="N51" s="1002"/>
    </row>
    <row r="52" spans="1:16" outlineLevel="3" x14ac:dyDescent="0.35">
      <c r="A52" s="319" t="s">
        <v>1761</v>
      </c>
      <c r="B52" s="401" t="s">
        <v>1729</v>
      </c>
      <c r="C52" s="379"/>
      <c r="D52" s="530"/>
      <c r="E52" s="530"/>
      <c r="F52" s="379"/>
      <c r="G52" s="530"/>
      <c r="H52" s="947">
        <v>300000</v>
      </c>
      <c r="I52" s="379"/>
      <c r="J52" s="530"/>
      <c r="K52" s="947">
        <f>SUM(K53:K54)</f>
        <v>0</v>
      </c>
      <c r="L52" s="1000"/>
      <c r="M52" s="530"/>
      <c r="N52" s="966">
        <f>SUM(N53:N54)</f>
        <v>0</v>
      </c>
    </row>
    <row r="53" spans="1:16" outlineLevel="3" x14ac:dyDescent="0.35">
      <c r="A53" s="322"/>
      <c r="B53" s="323" t="s">
        <v>292</v>
      </c>
      <c r="C53" s="606"/>
      <c r="D53" s="258"/>
      <c r="E53" s="258"/>
      <c r="F53" s="606"/>
      <c r="G53" s="258"/>
      <c r="H53" s="258">
        <v>300000</v>
      </c>
      <c r="I53" s="606"/>
      <c r="J53" s="258"/>
      <c r="K53" s="983"/>
      <c r="L53" s="1001"/>
      <c r="M53" s="258"/>
      <c r="N53" s="1002"/>
    </row>
    <row r="54" spans="1:16" outlineLevel="3" x14ac:dyDescent="0.35">
      <c r="A54" s="322"/>
      <c r="B54" s="323" t="s">
        <v>351</v>
      </c>
      <c r="C54" s="606"/>
      <c r="D54" s="258"/>
      <c r="E54" s="258"/>
      <c r="F54" s="606"/>
      <c r="G54" s="258"/>
      <c r="H54" s="258"/>
      <c r="I54" s="606"/>
      <c r="J54" s="258"/>
      <c r="K54" s="983"/>
      <c r="L54" s="1001"/>
      <c r="M54" s="258"/>
      <c r="N54" s="1002"/>
    </row>
    <row r="55" spans="1:16" outlineLevel="1" x14ac:dyDescent="0.35">
      <c r="A55" s="349" t="s">
        <v>318</v>
      </c>
      <c r="B55" s="350" t="s">
        <v>353</v>
      </c>
      <c r="C55" s="378">
        <v>0</v>
      </c>
      <c r="D55" s="351">
        <v>0</v>
      </c>
      <c r="E55" s="351">
        <v>0</v>
      </c>
      <c r="F55" s="378">
        <v>0</v>
      </c>
      <c r="G55" s="351">
        <v>0</v>
      </c>
      <c r="H55" s="351">
        <v>0</v>
      </c>
      <c r="I55" s="378">
        <v>0</v>
      </c>
      <c r="J55" s="351">
        <v>0</v>
      </c>
      <c r="K55" s="984">
        <v>0</v>
      </c>
      <c r="L55" s="998">
        <v>0</v>
      </c>
      <c r="M55" s="351">
        <v>0</v>
      </c>
      <c r="N55" s="1003">
        <v>0</v>
      </c>
    </row>
    <row r="56" spans="1:16" x14ac:dyDescent="0.35">
      <c r="A56" s="346" t="s">
        <v>1414</v>
      </c>
      <c r="B56" s="347" t="s">
        <v>356</v>
      </c>
      <c r="C56" s="377">
        <v>15.5</v>
      </c>
      <c r="D56" s="348">
        <v>0</v>
      </c>
      <c r="E56" s="348">
        <v>238492300</v>
      </c>
      <c r="F56" s="377">
        <v>16</v>
      </c>
      <c r="G56" s="348">
        <v>0</v>
      </c>
      <c r="H56" s="348">
        <v>273070990</v>
      </c>
      <c r="I56" s="377">
        <f>+I57+I80</f>
        <v>16</v>
      </c>
      <c r="J56" s="348">
        <v>0</v>
      </c>
      <c r="K56" s="981">
        <f>+K57+K80</f>
        <v>95657060</v>
      </c>
      <c r="L56" s="996">
        <f>+L57</f>
        <v>11.5</v>
      </c>
      <c r="M56" s="348">
        <v>0</v>
      </c>
      <c r="N56" s="997">
        <f>+N57+N81</f>
        <v>0</v>
      </c>
      <c r="O56" s="39"/>
    </row>
    <row r="57" spans="1:16" outlineLevel="1" x14ac:dyDescent="0.35">
      <c r="A57" s="349" t="s">
        <v>309</v>
      </c>
      <c r="B57" s="350" t="s">
        <v>348</v>
      </c>
      <c r="C57" s="378">
        <v>15.5</v>
      </c>
      <c r="D57" s="351">
        <v>0</v>
      </c>
      <c r="E57" s="778">
        <v>238492300</v>
      </c>
      <c r="F57" s="378">
        <v>16</v>
      </c>
      <c r="G57" s="351">
        <v>0</v>
      </c>
      <c r="H57" s="778">
        <v>273070990</v>
      </c>
      <c r="I57" s="378">
        <f>+I58+I65</f>
        <v>16</v>
      </c>
      <c r="J57" s="351">
        <v>0</v>
      </c>
      <c r="K57" s="778">
        <f>+K58+K65+K72+K77</f>
        <v>95657060</v>
      </c>
      <c r="L57" s="998">
        <f>+L58+L65</f>
        <v>11.5</v>
      </c>
      <c r="M57" s="351">
        <v>0</v>
      </c>
      <c r="N57" s="999">
        <f>+N58+N65+N72+N77</f>
        <v>0</v>
      </c>
    </row>
    <row r="58" spans="1:16" outlineLevel="2" x14ac:dyDescent="0.35">
      <c r="A58" s="319" t="s">
        <v>311</v>
      </c>
      <c r="B58" s="320" t="s">
        <v>357</v>
      </c>
      <c r="C58" s="379">
        <v>4</v>
      </c>
      <c r="D58" s="321">
        <v>0</v>
      </c>
      <c r="E58" s="321">
        <v>56025500</v>
      </c>
      <c r="F58" s="379">
        <v>4</v>
      </c>
      <c r="G58" s="530">
        <v>0</v>
      </c>
      <c r="H58" s="530">
        <v>67476883</v>
      </c>
      <c r="I58" s="379">
        <v>4</v>
      </c>
      <c r="J58" s="530">
        <v>0</v>
      </c>
      <c r="K58" s="947">
        <f>SUM(K59:K64)</f>
        <v>15852694</v>
      </c>
      <c r="L58" s="1000">
        <f>+L59</f>
        <v>0</v>
      </c>
      <c r="M58" s="530">
        <v>0</v>
      </c>
      <c r="N58" s="966">
        <f>SUM(N59:N64)</f>
        <v>0</v>
      </c>
    </row>
    <row r="59" spans="1:16" outlineLevel="3" x14ac:dyDescent="0.35">
      <c r="A59" s="322"/>
      <c r="B59" s="323" t="s">
        <v>286</v>
      </c>
      <c r="C59" s="380">
        <v>4</v>
      </c>
      <c r="D59" s="258"/>
      <c r="E59" s="258">
        <v>23234500</v>
      </c>
      <c r="F59" s="606">
        <v>4</v>
      </c>
      <c r="G59" s="258"/>
      <c r="H59" s="258">
        <v>31263598</v>
      </c>
      <c r="I59" s="606"/>
      <c r="J59" s="258"/>
      <c r="K59" s="983">
        <v>10545821</v>
      </c>
      <c r="L59" s="1001"/>
      <c r="M59" s="258"/>
      <c r="N59" s="1002"/>
      <c r="O59" s="39"/>
    </row>
    <row r="60" spans="1:16" outlineLevel="3" x14ac:dyDescent="0.35">
      <c r="A60" s="322"/>
      <c r="B60" s="323" t="s">
        <v>350</v>
      </c>
      <c r="C60" s="380"/>
      <c r="D60" s="258"/>
      <c r="E60" s="258">
        <v>3602000</v>
      </c>
      <c r="F60" s="606"/>
      <c r="G60" s="258"/>
      <c r="H60" s="258">
        <v>5157285</v>
      </c>
      <c r="I60" s="606"/>
      <c r="J60" s="258"/>
      <c r="K60" s="983">
        <v>2338071</v>
      </c>
      <c r="L60" s="1001"/>
      <c r="M60" s="258"/>
      <c r="N60" s="1002"/>
      <c r="O60" s="39"/>
    </row>
    <row r="61" spans="1:16" outlineLevel="3" x14ac:dyDescent="0.35">
      <c r="A61" s="322"/>
      <c r="B61" s="323" t="s">
        <v>292</v>
      </c>
      <c r="C61" s="380"/>
      <c r="D61" s="258"/>
      <c r="E61" s="258">
        <v>29189000</v>
      </c>
      <c r="F61" s="606"/>
      <c r="G61" s="258"/>
      <c r="H61" s="258">
        <v>31056000</v>
      </c>
      <c r="I61" s="606"/>
      <c r="J61" s="258"/>
      <c r="K61" s="983">
        <v>2968802</v>
      </c>
      <c r="L61" s="1001"/>
      <c r="M61" s="258"/>
      <c r="N61" s="1002"/>
      <c r="O61" s="39"/>
      <c r="P61" s="39"/>
    </row>
    <row r="62" spans="1:16" outlineLevel="3" x14ac:dyDescent="0.35">
      <c r="A62" s="322"/>
      <c r="B62" s="323" t="s">
        <v>339</v>
      </c>
      <c r="C62" s="380"/>
      <c r="D62" s="258"/>
      <c r="E62" s="258"/>
      <c r="F62" s="606"/>
      <c r="G62" s="258"/>
      <c r="H62" s="258"/>
      <c r="I62" s="606"/>
      <c r="J62" s="258"/>
      <c r="K62" s="983"/>
      <c r="L62" s="1001"/>
      <c r="M62" s="258"/>
      <c r="N62" s="1002"/>
    </row>
    <row r="63" spans="1:16" s="45" customFormat="1" outlineLevel="3" x14ac:dyDescent="0.35">
      <c r="A63" s="322"/>
      <c r="B63" s="323" t="s">
        <v>351</v>
      </c>
      <c r="C63" s="380"/>
      <c r="D63" s="258"/>
      <c r="E63" s="258"/>
      <c r="F63" s="606"/>
      <c r="G63" s="258"/>
      <c r="H63" s="258"/>
      <c r="I63" s="606"/>
      <c r="J63" s="258"/>
      <c r="K63" s="983"/>
      <c r="L63" s="1001"/>
      <c r="M63" s="258"/>
      <c r="N63" s="1002"/>
    </row>
    <row r="64" spans="1:16" s="45" customFormat="1" outlineLevel="3" x14ac:dyDescent="0.35">
      <c r="A64" s="322"/>
      <c r="B64" s="323" t="s">
        <v>342</v>
      </c>
      <c r="C64" s="380"/>
      <c r="D64" s="258"/>
      <c r="E64" s="258"/>
      <c r="F64" s="606"/>
      <c r="G64" s="258"/>
      <c r="H64" s="258"/>
      <c r="I64" s="606"/>
      <c r="J64" s="258"/>
      <c r="K64" s="983"/>
      <c r="L64" s="1001"/>
      <c r="M64" s="258"/>
      <c r="N64" s="1002"/>
    </row>
    <row r="65" spans="1:16" outlineLevel="2" x14ac:dyDescent="0.35">
      <c r="A65" s="319" t="s">
        <v>322</v>
      </c>
      <c r="B65" s="320" t="s">
        <v>358</v>
      </c>
      <c r="C65" s="379">
        <v>11.5</v>
      </c>
      <c r="D65" s="321">
        <v>0</v>
      </c>
      <c r="E65" s="321">
        <v>180180800</v>
      </c>
      <c r="F65" s="379">
        <v>12</v>
      </c>
      <c r="G65" s="530">
        <v>0</v>
      </c>
      <c r="H65" s="530">
        <v>203008107</v>
      </c>
      <c r="I65" s="379">
        <f>+I66</f>
        <v>12</v>
      </c>
      <c r="J65" s="530">
        <v>0</v>
      </c>
      <c r="K65" s="530">
        <f>SUM(K66:K71)</f>
        <v>79683504</v>
      </c>
      <c r="L65" s="1000">
        <f>+L66</f>
        <v>11.5</v>
      </c>
      <c r="M65" s="530">
        <v>0</v>
      </c>
      <c r="N65" s="966">
        <f>SUM(N66:N71)</f>
        <v>0</v>
      </c>
    </row>
    <row r="66" spans="1:16" outlineLevel="3" x14ac:dyDescent="0.35">
      <c r="A66" s="322"/>
      <c r="B66" s="323" t="s">
        <v>286</v>
      </c>
      <c r="C66" s="380">
        <v>11.5</v>
      </c>
      <c r="D66" s="258"/>
      <c r="E66" s="258">
        <v>52513500</v>
      </c>
      <c r="F66" s="606">
        <v>12</v>
      </c>
      <c r="G66" s="258"/>
      <c r="H66" s="258">
        <v>47139402</v>
      </c>
      <c r="I66" s="606">
        <f>11.5+0.5</f>
        <v>12</v>
      </c>
      <c r="J66" s="258"/>
      <c r="K66" s="983">
        <v>20851964</v>
      </c>
      <c r="L66" s="1001">
        <v>11.5</v>
      </c>
      <c r="M66" s="258"/>
      <c r="N66" s="1002"/>
      <c r="O66" s="39"/>
    </row>
    <row r="67" spans="1:16" s="45" customFormat="1" outlineLevel="3" x14ac:dyDescent="0.35">
      <c r="A67" s="322"/>
      <c r="B67" s="323" t="s">
        <v>350</v>
      </c>
      <c r="C67" s="380"/>
      <c r="D67" s="258"/>
      <c r="E67" s="258">
        <v>8140000</v>
      </c>
      <c r="F67" s="606"/>
      <c r="G67" s="258"/>
      <c r="H67" s="258">
        <v>6584715</v>
      </c>
      <c r="I67" s="606"/>
      <c r="J67" s="258"/>
      <c r="K67" s="983">
        <v>4459003</v>
      </c>
      <c r="L67" s="1001"/>
      <c r="M67" s="258"/>
      <c r="N67" s="1002"/>
      <c r="O67" s="39"/>
    </row>
    <row r="68" spans="1:16" outlineLevel="3" x14ac:dyDescent="0.35">
      <c r="A68" s="322"/>
      <c r="B68" s="323" t="s">
        <v>292</v>
      </c>
      <c r="C68" s="380"/>
      <c r="D68" s="258"/>
      <c r="E68" s="404">
        <v>116530100</v>
      </c>
      <c r="F68" s="606"/>
      <c r="G68" s="258"/>
      <c r="H68" s="535">
        <v>120445210</v>
      </c>
      <c r="I68" s="606"/>
      <c r="J68" s="258"/>
      <c r="K68" s="949">
        <v>38392965</v>
      </c>
      <c r="L68" s="1001"/>
      <c r="M68" s="258"/>
      <c r="N68" s="976"/>
      <c r="O68" s="39"/>
      <c r="P68" s="39"/>
    </row>
    <row r="69" spans="1:16" outlineLevel="3" x14ac:dyDescent="0.35">
      <c r="A69" s="322"/>
      <c r="B69" s="323" t="s">
        <v>339</v>
      </c>
      <c r="C69" s="606"/>
      <c r="D69" s="258"/>
      <c r="E69" s="535"/>
      <c r="F69" s="606"/>
      <c r="G69" s="258"/>
      <c r="H69" s="535">
        <v>11435970</v>
      </c>
      <c r="I69" s="606"/>
      <c r="J69" s="258"/>
      <c r="K69" s="949"/>
      <c r="L69" s="1001"/>
      <c r="M69" s="258"/>
      <c r="N69" s="976"/>
      <c r="O69" s="39"/>
    </row>
    <row r="70" spans="1:16" outlineLevel="3" x14ac:dyDescent="0.35">
      <c r="A70" s="322"/>
      <c r="B70" s="323" t="s">
        <v>351</v>
      </c>
      <c r="C70" s="380"/>
      <c r="D70" s="258"/>
      <c r="E70" s="404">
        <v>1498600</v>
      </c>
      <c r="F70" s="606"/>
      <c r="G70" s="258"/>
      <c r="H70" s="535">
        <v>3020060</v>
      </c>
      <c r="I70" s="606"/>
      <c r="J70" s="258"/>
      <c r="K70" s="949">
        <v>1596822</v>
      </c>
      <c r="L70" s="1001"/>
      <c r="M70" s="258"/>
      <c r="N70" s="976"/>
      <c r="O70" s="39"/>
      <c r="P70" s="39"/>
    </row>
    <row r="71" spans="1:16" outlineLevel="3" x14ac:dyDescent="0.35">
      <c r="A71" s="322"/>
      <c r="B71" s="323" t="s">
        <v>342</v>
      </c>
      <c r="C71" s="606"/>
      <c r="D71" s="258"/>
      <c r="E71" s="535">
        <v>1498600</v>
      </c>
      <c r="F71" s="606"/>
      <c r="G71" s="258"/>
      <c r="H71" s="779">
        <v>14382750</v>
      </c>
      <c r="I71" s="1040"/>
      <c r="J71" s="1041"/>
      <c r="K71" s="988">
        <v>14382750</v>
      </c>
      <c r="L71" s="1001"/>
      <c r="M71" s="258"/>
      <c r="N71" s="976"/>
      <c r="O71" s="39"/>
    </row>
    <row r="72" spans="1:16" outlineLevel="2" x14ac:dyDescent="0.35">
      <c r="A72" s="319" t="s">
        <v>315</v>
      </c>
      <c r="B72" s="320" t="s">
        <v>595</v>
      </c>
      <c r="C72" s="379">
        <v>0</v>
      </c>
      <c r="D72" s="321">
        <v>0</v>
      </c>
      <c r="E72" s="321">
        <v>2286000</v>
      </c>
      <c r="F72" s="379">
        <v>0</v>
      </c>
      <c r="G72" s="530">
        <v>0</v>
      </c>
      <c r="H72" s="530">
        <v>2286000</v>
      </c>
      <c r="I72" s="379">
        <v>0</v>
      </c>
      <c r="J72" s="530">
        <v>0</v>
      </c>
      <c r="K72" s="947">
        <f>SUM(K73:K76)</f>
        <v>0</v>
      </c>
      <c r="L72" s="1000">
        <v>0</v>
      </c>
      <c r="M72" s="530">
        <v>0</v>
      </c>
      <c r="N72" s="966">
        <f>SUM(N73:N76)</f>
        <v>0</v>
      </c>
    </row>
    <row r="73" spans="1:16" outlineLevel="3" x14ac:dyDescent="0.35">
      <c r="A73" s="322"/>
      <c r="B73" s="323" t="s">
        <v>286</v>
      </c>
      <c r="C73" s="380"/>
      <c r="D73" s="258"/>
      <c r="E73" s="258"/>
      <c r="F73" s="606"/>
      <c r="G73" s="258"/>
      <c r="H73" s="258"/>
      <c r="I73" s="606"/>
      <c r="J73" s="258"/>
      <c r="K73" s="983"/>
      <c r="L73" s="1001"/>
      <c r="M73" s="258"/>
      <c r="N73" s="1002"/>
    </row>
    <row r="74" spans="1:16" outlineLevel="3" x14ac:dyDescent="0.35">
      <c r="A74" s="322"/>
      <c r="B74" s="323" t="s">
        <v>350</v>
      </c>
      <c r="C74" s="380"/>
      <c r="D74" s="258"/>
      <c r="E74" s="258"/>
      <c r="F74" s="606"/>
      <c r="G74" s="258"/>
      <c r="H74" s="258"/>
      <c r="I74" s="606"/>
      <c r="J74" s="258"/>
      <c r="K74" s="983"/>
      <c r="L74" s="1001"/>
      <c r="M74" s="258"/>
      <c r="N74" s="1002"/>
    </row>
    <row r="75" spans="1:16" outlineLevel="3" x14ac:dyDescent="0.35">
      <c r="A75" s="322"/>
      <c r="B75" s="323" t="s">
        <v>292</v>
      </c>
      <c r="C75" s="380"/>
      <c r="D75" s="258"/>
      <c r="E75" s="404">
        <v>2286000</v>
      </c>
      <c r="F75" s="606"/>
      <c r="G75" s="258"/>
      <c r="H75" s="535">
        <v>2286000</v>
      </c>
      <c r="I75" s="606"/>
      <c r="J75" s="258"/>
      <c r="K75" s="949"/>
      <c r="L75" s="1001"/>
      <c r="M75" s="258"/>
      <c r="N75" s="976"/>
      <c r="O75" s="39"/>
    </row>
    <row r="76" spans="1:16" outlineLevel="3" x14ac:dyDescent="0.35">
      <c r="A76" s="322"/>
      <c r="B76" s="323" t="s">
        <v>351</v>
      </c>
      <c r="C76" s="380"/>
      <c r="D76" s="258"/>
      <c r="E76" s="258"/>
      <c r="F76" s="606"/>
      <c r="G76" s="258"/>
      <c r="H76" s="258"/>
      <c r="I76" s="606"/>
      <c r="J76" s="258"/>
      <c r="K76" s="983"/>
      <c r="L76" s="1001"/>
      <c r="M76" s="258"/>
      <c r="N76" s="1002"/>
    </row>
    <row r="77" spans="1:16" s="45" customFormat="1" outlineLevel="3" x14ac:dyDescent="0.35">
      <c r="A77" s="319" t="s">
        <v>336</v>
      </c>
      <c r="B77" s="401" t="s">
        <v>1729</v>
      </c>
      <c r="C77" s="379"/>
      <c r="D77" s="530"/>
      <c r="E77" s="530"/>
      <c r="F77" s="379"/>
      <c r="G77" s="530"/>
      <c r="H77" s="947">
        <v>300000</v>
      </c>
      <c r="I77" s="379"/>
      <c r="J77" s="530"/>
      <c r="K77" s="947">
        <f>SUM(K78:K79)</f>
        <v>120862</v>
      </c>
      <c r="L77" s="1000"/>
      <c r="M77" s="530"/>
      <c r="N77" s="966">
        <f>SUM(N78:N79)</f>
        <v>0</v>
      </c>
    </row>
    <row r="78" spans="1:16" outlineLevel="3" x14ac:dyDescent="0.35">
      <c r="A78" s="322"/>
      <c r="B78" s="323" t="s">
        <v>292</v>
      </c>
      <c r="C78" s="606"/>
      <c r="D78" s="258"/>
      <c r="E78" s="258"/>
      <c r="F78" s="606"/>
      <c r="G78" s="258"/>
      <c r="H78" s="258">
        <v>300000</v>
      </c>
      <c r="I78" s="606"/>
      <c r="J78" s="258"/>
      <c r="K78" s="983">
        <v>120862</v>
      </c>
      <c r="L78" s="1001"/>
      <c r="M78" s="258"/>
      <c r="N78" s="964"/>
      <c r="O78" s="39"/>
    </row>
    <row r="79" spans="1:16" outlineLevel="3" x14ac:dyDescent="0.35">
      <c r="A79" s="322"/>
      <c r="B79" s="323" t="s">
        <v>351</v>
      </c>
      <c r="C79" s="606"/>
      <c r="D79" s="258"/>
      <c r="E79" s="258"/>
      <c r="F79" s="606"/>
      <c r="G79" s="258"/>
      <c r="H79" s="258"/>
      <c r="I79" s="606"/>
      <c r="J79" s="258"/>
      <c r="K79" s="983"/>
      <c r="L79" s="1001"/>
      <c r="M79" s="258"/>
      <c r="N79" s="1002"/>
    </row>
    <row r="80" spans="1:16" outlineLevel="1" x14ac:dyDescent="0.35">
      <c r="A80" s="349" t="s">
        <v>318</v>
      </c>
      <c r="B80" s="350" t="s">
        <v>353</v>
      </c>
      <c r="C80" s="378">
        <v>0</v>
      </c>
      <c r="D80" s="351">
        <v>0</v>
      </c>
      <c r="E80" s="351">
        <v>0</v>
      </c>
      <c r="F80" s="378">
        <v>0</v>
      </c>
      <c r="G80" s="351">
        <v>0</v>
      </c>
      <c r="H80" s="351">
        <v>0</v>
      </c>
      <c r="I80" s="378">
        <v>0</v>
      </c>
      <c r="J80" s="351">
        <v>0</v>
      </c>
      <c r="K80" s="984">
        <f>+K81</f>
        <v>0</v>
      </c>
      <c r="L80" s="998">
        <v>0</v>
      </c>
      <c r="M80" s="351">
        <v>0</v>
      </c>
      <c r="N80" s="1002"/>
    </row>
    <row r="81" spans="1:14" x14ac:dyDescent="0.35">
      <c r="A81" s="319" t="s">
        <v>311</v>
      </c>
      <c r="B81" s="320" t="s">
        <v>1621</v>
      </c>
      <c r="C81" s="379">
        <v>0</v>
      </c>
      <c r="D81" s="321">
        <v>0</v>
      </c>
      <c r="E81" s="321"/>
      <c r="F81" s="379">
        <v>0</v>
      </c>
      <c r="G81" s="530">
        <v>0</v>
      </c>
      <c r="H81" s="530">
        <v>0</v>
      </c>
      <c r="I81" s="379">
        <v>0</v>
      </c>
      <c r="J81" s="530">
        <v>0</v>
      </c>
      <c r="K81" s="947">
        <f>SUM(K82:K85)</f>
        <v>0</v>
      </c>
      <c r="L81" s="1000">
        <v>0</v>
      </c>
      <c r="M81" s="530">
        <v>0</v>
      </c>
      <c r="N81" s="1003">
        <f>+N82</f>
        <v>0</v>
      </c>
    </row>
    <row r="82" spans="1:14" ht="15" customHeight="1" outlineLevel="1" x14ac:dyDescent="0.35">
      <c r="A82" s="349"/>
      <c r="B82" s="352" t="s">
        <v>286</v>
      </c>
      <c r="C82" s="382"/>
      <c r="D82" s="353"/>
      <c r="E82" s="353"/>
      <c r="F82" s="382"/>
      <c r="G82" s="353"/>
      <c r="H82" s="353"/>
      <c r="I82" s="382"/>
      <c r="J82" s="353"/>
      <c r="K82" s="987"/>
      <c r="L82" s="1007"/>
      <c r="M82" s="353"/>
      <c r="N82" s="966">
        <f>SUM(N83:N85)</f>
        <v>0</v>
      </c>
    </row>
    <row r="83" spans="1:14" ht="15" customHeight="1" outlineLevel="1" x14ac:dyDescent="0.35">
      <c r="A83" s="349"/>
      <c r="B83" s="352" t="s">
        <v>350</v>
      </c>
      <c r="C83" s="382"/>
      <c r="D83" s="353"/>
      <c r="E83" s="353"/>
      <c r="F83" s="382"/>
      <c r="G83" s="353"/>
      <c r="H83" s="353"/>
      <c r="I83" s="382"/>
      <c r="J83" s="353"/>
      <c r="K83" s="987"/>
      <c r="L83" s="1007"/>
      <c r="M83" s="353"/>
      <c r="N83" s="1008"/>
    </row>
    <row r="84" spans="1:14" ht="15" customHeight="1" outlineLevel="1" x14ac:dyDescent="0.35">
      <c r="A84" s="349"/>
      <c r="B84" s="352" t="s">
        <v>292</v>
      </c>
      <c r="C84" s="382"/>
      <c r="D84" s="353"/>
      <c r="E84" s="353"/>
      <c r="F84" s="382"/>
      <c r="G84" s="353"/>
      <c r="H84" s="353"/>
      <c r="I84" s="382"/>
      <c r="J84" s="353"/>
      <c r="K84" s="987"/>
      <c r="L84" s="1007"/>
      <c r="M84" s="353"/>
      <c r="N84" s="1008"/>
    </row>
    <row r="85" spans="1:14" ht="15" customHeight="1" outlineLevel="1" x14ac:dyDescent="0.35">
      <c r="A85" s="349"/>
      <c r="B85" s="352" t="s">
        <v>351</v>
      </c>
      <c r="C85" s="382"/>
      <c r="D85" s="353"/>
      <c r="E85" s="353"/>
      <c r="F85" s="382"/>
      <c r="G85" s="353"/>
      <c r="H85" s="353"/>
      <c r="I85" s="382"/>
      <c r="J85" s="353"/>
      <c r="K85" s="987"/>
      <c r="L85" s="1007"/>
      <c r="M85" s="353"/>
      <c r="N85" s="1008"/>
    </row>
    <row r="86" spans="1:14" x14ac:dyDescent="0.35">
      <c r="A86" s="346" t="s">
        <v>1415</v>
      </c>
      <c r="B86" s="347" t="s">
        <v>359</v>
      </c>
      <c r="C86" s="377">
        <v>5.5</v>
      </c>
      <c r="D86" s="348">
        <v>0</v>
      </c>
      <c r="E86" s="348">
        <v>53502935</v>
      </c>
      <c r="F86" s="377">
        <v>5.5</v>
      </c>
      <c r="G86" s="348">
        <v>0</v>
      </c>
      <c r="H86" s="348">
        <v>63046716</v>
      </c>
      <c r="I86" s="377">
        <f>+I87+I102</f>
        <v>5.5</v>
      </c>
      <c r="J86" s="348">
        <v>0</v>
      </c>
      <c r="K86" s="981">
        <f>+K87+K102</f>
        <v>16702928</v>
      </c>
      <c r="L86" s="996">
        <f>+L87+L102</f>
        <v>5.5</v>
      </c>
      <c r="M86" s="348">
        <v>0</v>
      </c>
      <c r="N86" s="997">
        <f>+N87+N102</f>
        <v>0</v>
      </c>
    </row>
    <row r="87" spans="1:14" s="45" customFormat="1" outlineLevel="1" x14ac:dyDescent="0.35">
      <c r="A87" s="349" t="s">
        <v>309</v>
      </c>
      <c r="B87" s="350" t="s">
        <v>348</v>
      </c>
      <c r="C87" s="378">
        <v>4.5</v>
      </c>
      <c r="D87" s="351">
        <v>0</v>
      </c>
      <c r="E87" s="778">
        <v>44126240</v>
      </c>
      <c r="F87" s="378">
        <v>4.5</v>
      </c>
      <c r="G87" s="351">
        <v>0</v>
      </c>
      <c r="H87" s="778">
        <v>53670021</v>
      </c>
      <c r="I87" s="378">
        <f>+I88</f>
        <v>4.5</v>
      </c>
      <c r="J87" s="351">
        <v>0</v>
      </c>
      <c r="K87" s="982">
        <f>+K88+K95</f>
        <v>13161538</v>
      </c>
      <c r="L87" s="998">
        <f>+L88</f>
        <v>4.5</v>
      </c>
      <c r="M87" s="351">
        <v>0</v>
      </c>
      <c r="N87" s="999">
        <f>+N88+N95+N100</f>
        <v>0</v>
      </c>
    </row>
    <row r="88" spans="1:14" outlineLevel="2" x14ac:dyDescent="0.35">
      <c r="A88" s="319" t="s">
        <v>311</v>
      </c>
      <c r="B88" s="320" t="s">
        <v>360</v>
      </c>
      <c r="C88" s="379">
        <v>4.5</v>
      </c>
      <c r="D88" s="321">
        <v>0</v>
      </c>
      <c r="E88" s="402">
        <v>41459240</v>
      </c>
      <c r="F88" s="379">
        <v>4.5</v>
      </c>
      <c r="G88" s="530">
        <v>0</v>
      </c>
      <c r="H88" s="532">
        <v>50650021</v>
      </c>
      <c r="I88" s="379">
        <v>4.5</v>
      </c>
      <c r="J88" s="530">
        <v>0</v>
      </c>
      <c r="K88" s="948">
        <f>SUM(K89:K94)</f>
        <v>12509279</v>
      </c>
      <c r="L88" s="1000">
        <v>4.5</v>
      </c>
      <c r="M88" s="530">
        <v>0</v>
      </c>
      <c r="N88" s="969">
        <f>SUM(N89:N94)</f>
        <v>0</v>
      </c>
    </row>
    <row r="89" spans="1:14" outlineLevel="3" x14ac:dyDescent="0.35">
      <c r="A89" s="322"/>
      <c r="B89" s="323" t="s">
        <v>286</v>
      </c>
      <c r="C89" s="380"/>
      <c r="D89" s="258"/>
      <c r="E89" s="404">
        <v>17068000</v>
      </c>
      <c r="F89" s="606"/>
      <c r="G89" s="258"/>
      <c r="H89" s="535">
        <v>17873000</v>
      </c>
      <c r="I89" s="606"/>
      <c r="J89" s="258"/>
      <c r="K89" s="949">
        <v>8953036</v>
      </c>
      <c r="L89" s="1001"/>
      <c r="M89" s="258"/>
      <c r="N89" s="976"/>
    </row>
    <row r="90" spans="1:14" outlineLevel="3" x14ac:dyDescent="0.35">
      <c r="A90" s="322"/>
      <c r="B90" s="323" t="s">
        <v>350</v>
      </c>
      <c r="C90" s="380"/>
      <c r="D90" s="258"/>
      <c r="E90" s="404">
        <v>2645540</v>
      </c>
      <c r="F90" s="606"/>
      <c r="G90" s="258"/>
      <c r="H90" s="535">
        <v>2645540</v>
      </c>
      <c r="I90" s="606"/>
      <c r="J90" s="258"/>
      <c r="K90" s="949">
        <v>1368244</v>
      </c>
      <c r="L90" s="1001"/>
      <c r="M90" s="258"/>
      <c r="N90" s="976"/>
    </row>
    <row r="91" spans="1:14" outlineLevel="3" x14ac:dyDescent="0.35">
      <c r="A91" s="322"/>
      <c r="B91" s="323" t="s">
        <v>292</v>
      </c>
      <c r="C91" s="380"/>
      <c r="D91" s="258"/>
      <c r="E91" s="404">
        <v>20844000</v>
      </c>
      <c r="F91" s="606"/>
      <c r="G91" s="258"/>
      <c r="H91" s="535">
        <v>20980022</v>
      </c>
      <c r="I91" s="606"/>
      <c r="J91" s="258"/>
      <c r="K91" s="949">
        <v>2187999</v>
      </c>
      <c r="L91" s="1001"/>
      <c r="M91" s="258"/>
      <c r="N91" s="976"/>
    </row>
    <row r="92" spans="1:14" outlineLevel="3" x14ac:dyDescent="0.35">
      <c r="A92" s="322"/>
      <c r="B92" s="323" t="s">
        <v>339</v>
      </c>
      <c r="C92" s="380"/>
      <c r="D92" s="258"/>
      <c r="E92" s="258"/>
      <c r="F92" s="606"/>
      <c r="G92" s="258"/>
      <c r="H92" s="258">
        <v>8249759</v>
      </c>
      <c r="I92" s="606"/>
      <c r="J92" s="258"/>
      <c r="K92" s="983"/>
      <c r="L92" s="1001"/>
      <c r="M92" s="258"/>
      <c r="N92" s="1002"/>
    </row>
    <row r="93" spans="1:14" s="45" customFormat="1" outlineLevel="3" x14ac:dyDescent="0.35">
      <c r="A93" s="322"/>
      <c r="B93" s="323" t="s">
        <v>351</v>
      </c>
      <c r="C93" s="380"/>
      <c r="D93" s="258"/>
      <c r="E93" s="258">
        <v>901700</v>
      </c>
      <c r="F93" s="606"/>
      <c r="G93" s="258"/>
      <c r="H93" s="258">
        <v>901700</v>
      </c>
      <c r="I93" s="606"/>
      <c r="J93" s="258"/>
      <c r="K93" s="983">
        <v>0</v>
      </c>
      <c r="L93" s="1001"/>
      <c r="M93" s="258"/>
      <c r="N93" s="1002"/>
    </row>
    <row r="94" spans="1:14" s="45" customFormat="1" outlineLevel="3" x14ac:dyDescent="0.35">
      <c r="A94" s="322"/>
      <c r="B94" s="323" t="s">
        <v>342</v>
      </c>
      <c r="C94" s="380"/>
      <c r="D94" s="258"/>
      <c r="E94" s="258"/>
      <c r="F94" s="606"/>
      <c r="G94" s="258"/>
      <c r="H94" s="258"/>
      <c r="I94" s="606"/>
      <c r="J94" s="258"/>
      <c r="K94" s="983"/>
      <c r="L94" s="1001"/>
      <c r="M94" s="258"/>
      <c r="N94" s="1002"/>
    </row>
    <row r="95" spans="1:14" ht="29" outlineLevel="2" x14ac:dyDescent="0.35">
      <c r="A95" s="319" t="s">
        <v>322</v>
      </c>
      <c r="B95" s="477" t="s">
        <v>1420</v>
      </c>
      <c r="C95" s="379">
        <v>0</v>
      </c>
      <c r="D95" s="321">
        <v>0</v>
      </c>
      <c r="E95" s="321">
        <v>2667000</v>
      </c>
      <c r="F95" s="379">
        <v>0</v>
      </c>
      <c r="G95" s="530">
        <v>0</v>
      </c>
      <c r="H95" s="530">
        <v>2870000</v>
      </c>
      <c r="I95" s="379">
        <v>0</v>
      </c>
      <c r="J95" s="530">
        <v>0</v>
      </c>
      <c r="K95" s="947">
        <f>SUM(K96:K99)</f>
        <v>652259</v>
      </c>
      <c r="L95" s="1000">
        <v>0</v>
      </c>
      <c r="M95" s="530">
        <v>0</v>
      </c>
      <c r="N95" s="966">
        <f>SUM(N96:N99)</f>
        <v>0</v>
      </c>
    </row>
    <row r="96" spans="1:14" outlineLevel="3" x14ac:dyDescent="0.35">
      <c r="A96" s="322"/>
      <c r="B96" s="323" t="s">
        <v>286</v>
      </c>
      <c r="C96" s="380"/>
      <c r="D96" s="258"/>
      <c r="E96" s="258"/>
      <c r="F96" s="606"/>
      <c r="G96" s="258"/>
      <c r="H96" s="258"/>
      <c r="I96" s="606"/>
      <c r="J96" s="258"/>
      <c r="K96" s="983"/>
      <c r="L96" s="1001"/>
      <c r="M96" s="258"/>
      <c r="N96" s="1002"/>
    </row>
    <row r="97" spans="1:15" outlineLevel="3" x14ac:dyDescent="0.35">
      <c r="A97" s="322"/>
      <c r="B97" s="323" t="s">
        <v>350</v>
      </c>
      <c r="C97" s="380"/>
      <c r="D97" s="258"/>
      <c r="E97" s="258"/>
      <c r="F97" s="606"/>
      <c r="G97" s="258"/>
      <c r="H97" s="258"/>
      <c r="I97" s="606"/>
      <c r="J97" s="258"/>
      <c r="K97" s="983"/>
      <c r="L97" s="1001"/>
      <c r="M97" s="258"/>
      <c r="N97" s="1002"/>
    </row>
    <row r="98" spans="1:15" outlineLevel="3" x14ac:dyDescent="0.35">
      <c r="A98" s="322"/>
      <c r="B98" s="323" t="s">
        <v>292</v>
      </c>
      <c r="C98" s="380"/>
      <c r="D98" s="258"/>
      <c r="E98" s="258"/>
      <c r="F98" s="606"/>
      <c r="G98" s="258"/>
      <c r="H98" s="1041">
        <v>203000</v>
      </c>
      <c r="I98" s="1040"/>
      <c r="J98" s="1041"/>
      <c r="K98" s="1042">
        <v>202930</v>
      </c>
      <c r="L98" s="1001"/>
      <c r="M98" s="258"/>
      <c r="N98" s="1002"/>
    </row>
    <row r="99" spans="1:15" s="45" customFormat="1" outlineLevel="3" x14ac:dyDescent="0.35">
      <c r="A99" s="322"/>
      <c r="B99" s="323" t="s">
        <v>351</v>
      </c>
      <c r="C99" s="380"/>
      <c r="D99" s="258"/>
      <c r="E99" s="258">
        <v>2667000</v>
      </c>
      <c r="F99" s="606"/>
      <c r="G99" s="258"/>
      <c r="H99" s="258">
        <v>2667000</v>
      </c>
      <c r="I99" s="606"/>
      <c r="J99" s="258"/>
      <c r="K99" s="983">
        <v>449329</v>
      </c>
      <c r="L99" s="1001"/>
      <c r="M99" s="258"/>
      <c r="N99" s="1002"/>
    </row>
    <row r="100" spans="1:15" s="45" customFormat="1" outlineLevel="3" x14ac:dyDescent="0.35">
      <c r="A100" s="319" t="s">
        <v>315</v>
      </c>
      <c r="B100" s="401" t="s">
        <v>1729</v>
      </c>
      <c r="C100" s="379"/>
      <c r="D100" s="530"/>
      <c r="E100" s="530"/>
      <c r="F100" s="379"/>
      <c r="G100" s="530"/>
      <c r="H100" s="530">
        <v>150000</v>
      </c>
      <c r="I100" s="379"/>
      <c r="J100" s="530"/>
      <c r="K100" s="947">
        <f>SUM(K101)</f>
        <v>0</v>
      </c>
      <c r="L100" s="1000"/>
      <c r="M100" s="530"/>
      <c r="N100" s="966">
        <f>SUM(N101)</f>
        <v>0</v>
      </c>
    </row>
    <row r="101" spans="1:15" s="45" customFormat="1" outlineLevel="3" x14ac:dyDescent="0.35">
      <c r="A101" s="322"/>
      <c r="B101" s="323" t="s">
        <v>292</v>
      </c>
      <c r="C101" s="606"/>
      <c r="D101" s="258"/>
      <c r="E101" s="258"/>
      <c r="F101" s="606"/>
      <c r="G101" s="258"/>
      <c r="H101" s="258">
        <v>150000</v>
      </c>
      <c r="I101" s="606"/>
      <c r="J101" s="258"/>
      <c r="K101" s="946"/>
      <c r="L101" s="1001"/>
      <c r="M101" s="258"/>
      <c r="N101" s="964"/>
    </row>
    <row r="102" spans="1:15" outlineLevel="1" x14ac:dyDescent="0.35">
      <c r="A102" s="349" t="s">
        <v>318</v>
      </c>
      <c r="B102" s="350" t="s">
        <v>353</v>
      </c>
      <c r="C102" s="378">
        <v>1</v>
      </c>
      <c r="D102" s="351">
        <v>0</v>
      </c>
      <c r="E102" s="351">
        <v>9376695</v>
      </c>
      <c r="F102" s="378">
        <v>1</v>
      </c>
      <c r="G102" s="351">
        <v>0</v>
      </c>
      <c r="H102" s="351">
        <v>9376695</v>
      </c>
      <c r="I102" s="378">
        <f>+I103</f>
        <v>1</v>
      </c>
      <c r="J102" s="351">
        <v>0</v>
      </c>
      <c r="K102" s="984">
        <f>+K103</f>
        <v>3541390</v>
      </c>
      <c r="L102" s="998">
        <f>+L103</f>
        <v>1</v>
      </c>
      <c r="M102" s="351">
        <v>0</v>
      </c>
      <c r="N102" s="1003">
        <f>+N103</f>
        <v>0</v>
      </c>
    </row>
    <row r="103" spans="1:15" x14ac:dyDescent="0.35">
      <c r="A103" s="349" t="s">
        <v>311</v>
      </c>
      <c r="B103" s="350" t="s">
        <v>361</v>
      </c>
      <c r="C103" s="379">
        <v>1</v>
      </c>
      <c r="D103" s="321">
        <v>0</v>
      </c>
      <c r="E103" s="321">
        <v>9376695</v>
      </c>
      <c r="F103" s="379">
        <v>1</v>
      </c>
      <c r="G103" s="530">
        <v>0</v>
      </c>
      <c r="H103" s="530">
        <v>9376695</v>
      </c>
      <c r="I103" s="379">
        <v>1</v>
      </c>
      <c r="J103" s="530">
        <v>0</v>
      </c>
      <c r="K103" s="947">
        <f>SUM(K104:K107)</f>
        <v>3541390</v>
      </c>
      <c r="L103" s="1000">
        <v>1</v>
      </c>
      <c r="M103" s="530">
        <v>0</v>
      </c>
      <c r="N103" s="966">
        <f>SUM(N104:N107)</f>
        <v>0</v>
      </c>
    </row>
    <row r="104" spans="1:15" s="45" customFormat="1" outlineLevel="1" x14ac:dyDescent="0.35">
      <c r="A104" s="322"/>
      <c r="B104" s="323" t="s">
        <v>286</v>
      </c>
      <c r="C104" s="380"/>
      <c r="D104" s="258"/>
      <c r="E104" s="404">
        <v>6469000</v>
      </c>
      <c r="F104" s="606"/>
      <c r="G104" s="258"/>
      <c r="H104" s="535">
        <v>6469000</v>
      </c>
      <c r="I104" s="606"/>
      <c r="J104" s="258"/>
      <c r="K104" s="949">
        <v>2304056</v>
      </c>
      <c r="L104" s="1001"/>
      <c r="M104" s="258"/>
      <c r="N104" s="976"/>
    </row>
    <row r="105" spans="1:15" s="45" customFormat="1" outlineLevel="1" x14ac:dyDescent="0.35">
      <c r="A105" s="322"/>
      <c r="B105" s="323" t="s">
        <v>350</v>
      </c>
      <c r="C105" s="380"/>
      <c r="D105" s="258"/>
      <c r="E105" s="404">
        <v>1002695</v>
      </c>
      <c r="F105" s="606"/>
      <c r="G105" s="258"/>
      <c r="H105" s="535">
        <v>1002695</v>
      </c>
      <c r="I105" s="606"/>
      <c r="J105" s="258"/>
      <c r="K105" s="949">
        <v>321362</v>
      </c>
      <c r="L105" s="1001"/>
      <c r="M105" s="258"/>
      <c r="N105" s="976"/>
    </row>
    <row r="106" spans="1:15" s="45" customFormat="1" outlineLevel="1" x14ac:dyDescent="0.35">
      <c r="A106" s="322"/>
      <c r="B106" s="323" t="s">
        <v>292</v>
      </c>
      <c r="C106" s="380"/>
      <c r="D106" s="258"/>
      <c r="E106" s="258">
        <v>1905000</v>
      </c>
      <c r="F106" s="606"/>
      <c r="G106" s="258"/>
      <c r="H106" s="258">
        <v>1905000</v>
      </c>
      <c r="I106" s="606"/>
      <c r="J106" s="258"/>
      <c r="K106" s="983">
        <v>915972</v>
      </c>
      <c r="L106" s="1001"/>
      <c r="M106" s="258"/>
      <c r="N106" s="1002"/>
    </row>
    <row r="107" spans="1:15" s="45" customFormat="1" outlineLevel="1" x14ac:dyDescent="0.35">
      <c r="A107" s="322"/>
      <c r="B107" s="323" t="s">
        <v>351</v>
      </c>
      <c r="C107" s="380"/>
      <c r="D107" s="258"/>
      <c r="E107" s="258"/>
      <c r="F107" s="606"/>
      <c r="G107" s="258"/>
      <c r="H107" s="258"/>
      <c r="I107" s="606"/>
      <c r="J107" s="258"/>
      <c r="K107" s="983"/>
      <c r="L107" s="1001"/>
      <c r="M107" s="258"/>
      <c r="N107" s="1002"/>
    </row>
    <row r="108" spans="1:15" x14ac:dyDescent="0.35">
      <c r="A108" s="346" t="s">
        <v>1416</v>
      </c>
      <c r="B108" s="347" t="s">
        <v>362</v>
      </c>
      <c r="C108" s="377">
        <v>19</v>
      </c>
      <c r="D108" s="348">
        <v>0</v>
      </c>
      <c r="E108" s="348">
        <v>170442500</v>
      </c>
      <c r="F108" s="377">
        <v>20</v>
      </c>
      <c r="G108" s="348">
        <v>0</v>
      </c>
      <c r="H108" s="348">
        <v>177842934</v>
      </c>
      <c r="I108" s="377">
        <f>+I109</f>
        <v>20</v>
      </c>
      <c r="J108" s="348">
        <v>0</v>
      </c>
      <c r="K108" s="981">
        <f>+K109+K128</f>
        <v>63132042</v>
      </c>
      <c r="L108" s="996">
        <f>+L109</f>
        <v>19</v>
      </c>
      <c r="M108" s="348">
        <v>0</v>
      </c>
      <c r="N108" s="997">
        <f>+N109+N128</f>
        <v>0</v>
      </c>
      <c r="O108" s="39"/>
    </row>
    <row r="109" spans="1:15" s="45" customFormat="1" outlineLevel="1" x14ac:dyDescent="0.35">
      <c r="A109" s="349" t="s">
        <v>309</v>
      </c>
      <c r="B109" s="350" t="s">
        <v>348</v>
      </c>
      <c r="C109" s="378">
        <v>19</v>
      </c>
      <c r="D109" s="351">
        <v>0</v>
      </c>
      <c r="E109" s="351">
        <v>170442500</v>
      </c>
      <c r="F109" s="378">
        <v>20</v>
      </c>
      <c r="G109" s="351">
        <v>0</v>
      </c>
      <c r="H109" s="984">
        <v>177842934</v>
      </c>
      <c r="I109" s="378">
        <f>+I110+I116</f>
        <v>20</v>
      </c>
      <c r="J109" s="351">
        <v>0</v>
      </c>
      <c r="K109" s="984">
        <f>+K110+K116+K121+K126</f>
        <v>63132042</v>
      </c>
      <c r="L109" s="998">
        <f>+L110+L116</f>
        <v>19</v>
      </c>
      <c r="M109" s="351">
        <v>0</v>
      </c>
      <c r="N109" s="1003">
        <f>+N110+N116+N121+N126</f>
        <v>0</v>
      </c>
      <c r="O109" s="39"/>
    </row>
    <row r="110" spans="1:15" outlineLevel="2" x14ac:dyDescent="0.35">
      <c r="A110" s="319" t="s">
        <v>311</v>
      </c>
      <c r="B110" s="320" t="s">
        <v>363</v>
      </c>
      <c r="C110" s="379">
        <v>13</v>
      </c>
      <c r="D110" s="321">
        <v>0</v>
      </c>
      <c r="E110" s="321">
        <v>115412300</v>
      </c>
      <c r="F110" s="379">
        <v>12</v>
      </c>
      <c r="G110" s="530">
        <v>0</v>
      </c>
      <c r="H110" s="530">
        <v>119242584</v>
      </c>
      <c r="I110" s="379">
        <v>12</v>
      </c>
      <c r="J110" s="530">
        <v>0</v>
      </c>
      <c r="K110" s="947">
        <f>SUM(K111:K115)</f>
        <v>38656566</v>
      </c>
      <c r="L110" s="1000">
        <f>12+1</f>
        <v>13</v>
      </c>
      <c r="M110" s="530">
        <v>0</v>
      </c>
      <c r="N110" s="966">
        <f>SUM(N111:N115)</f>
        <v>0</v>
      </c>
      <c r="O110" s="39"/>
    </row>
    <row r="111" spans="1:15" outlineLevel="3" x14ac:dyDescent="0.35">
      <c r="A111" s="322"/>
      <c r="B111" s="323" t="s">
        <v>286</v>
      </c>
      <c r="C111" s="380"/>
      <c r="D111" s="258"/>
      <c r="E111" s="404">
        <v>63955200</v>
      </c>
      <c r="F111" s="606"/>
      <c r="G111" s="258"/>
      <c r="H111" s="535">
        <v>67245200</v>
      </c>
      <c r="I111" s="606"/>
      <c r="J111" s="258"/>
      <c r="K111" s="949">
        <v>23087903</v>
      </c>
      <c r="L111" s="1001"/>
      <c r="M111" s="258"/>
      <c r="N111" s="976"/>
      <c r="O111" s="39"/>
    </row>
    <row r="112" spans="1:15" outlineLevel="3" x14ac:dyDescent="0.35">
      <c r="A112" s="322"/>
      <c r="B112" s="323" t="s">
        <v>350</v>
      </c>
      <c r="C112" s="380"/>
      <c r="D112" s="258"/>
      <c r="E112" s="404">
        <v>9914000</v>
      </c>
      <c r="F112" s="606"/>
      <c r="G112" s="258"/>
      <c r="H112" s="535">
        <v>9914000</v>
      </c>
      <c r="I112" s="606"/>
      <c r="J112" s="258"/>
      <c r="K112" s="949">
        <v>3698487</v>
      </c>
      <c r="L112" s="1001"/>
      <c r="M112" s="258"/>
      <c r="N112" s="976"/>
      <c r="O112" s="39"/>
    </row>
    <row r="113" spans="1:16" outlineLevel="3" x14ac:dyDescent="0.35">
      <c r="A113" s="322"/>
      <c r="B113" s="323" t="s">
        <v>292</v>
      </c>
      <c r="C113" s="380"/>
      <c r="D113" s="258"/>
      <c r="E113" s="404">
        <v>40870000</v>
      </c>
      <c r="F113" s="606"/>
      <c r="G113" s="258"/>
      <c r="H113" s="535">
        <v>37988144</v>
      </c>
      <c r="I113" s="606"/>
      <c r="J113" s="258"/>
      <c r="K113" s="949">
        <v>11822041</v>
      </c>
      <c r="L113" s="1001"/>
      <c r="M113" s="258"/>
      <c r="N113" s="976"/>
      <c r="O113" s="39"/>
      <c r="P113" s="39"/>
    </row>
    <row r="114" spans="1:16" outlineLevel="3" x14ac:dyDescent="0.35">
      <c r="A114" s="322"/>
      <c r="B114" s="323" t="s">
        <v>339</v>
      </c>
      <c r="C114" s="380"/>
      <c r="D114" s="258"/>
      <c r="E114" s="404"/>
      <c r="F114" s="606"/>
      <c r="G114" s="258"/>
      <c r="H114" s="535">
        <v>1064140</v>
      </c>
      <c r="I114" s="606"/>
      <c r="J114" s="258"/>
      <c r="K114" s="949"/>
      <c r="L114" s="1001"/>
      <c r="M114" s="258"/>
      <c r="N114" s="976"/>
      <c r="O114" s="39"/>
    </row>
    <row r="115" spans="1:16" outlineLevel="3" x14ac:dyDescent="0.35">
      <c r="A115" s="322"/>
      <c r="B115" s="323" t="s">
        <v>351</v>
      </c>
      <c r="C115" s="380"/>
      <c r="D115" s="258"/>
      <c r="E115" s="779">
        <v>673100</v>
      </c>
      <c r="F115" s="606"/>
      <c r="G115" s="258"/>
      <c r="H115" s="779">
        <v>3031100</v>
      </c>
      <c r="I115" s="606"/>
      <c r="J115" s="258"/>
      <c r="K115" s="988">
        <v>48135</v>
      </c>
      <c r="L115" s="1001"/>
      <c r="M115" s="258"/>
      <c r="N115" s="1009"/>
      <c r="O115" s="39"/>
    </row>
    <row r="116" spans="1:16" outlineLevel="2" x14ac:dyDescent="0.35">
      <c r="A116" s="319" t="s">
        <v>322</v>
      </c>
      <c r="B116" s="320" t="s">
        <v>364</v>
      </c>
      <c r="C116" s="379">
        <v>6</v>
      </c>
      <c r="D116" s="321">
        <v>0</v>
      </c>
      <c r="E116" s="402">
        <v>35980200</v>
      </c>
      <c r="F116" s="379">
        <v>8</v>
      </c>
      <c r="G116" s="530">
        <v>0</v>
      </c>
      <c r="H116" s="532">
        <v>38941300</v>
      </c>
      <c r="I116" s="379">
        <v>8</v>
      </c>
      <c r="J116" s="530">
        <v>0</v>
      </c>
      <c r="K116" s="948">
        <f>SUM(K117:K120)</f>
        <v>15346019</v>
      </c>
      <c r="L116" s="1000">
        <v>6</v>
      </c>
      <c r="M116" s="530">
        <v>0</v>
      </c>
      <c r="N116" s="969">
        <f>SUM(N117:N120)</f>
        <v>0</v>
      </c>
      <c r="O116" s="39"/>
    </row>
    <row r="117" spans="1:16" outlineLevel="3" x14ac:dyDescent="0.35">
      <c r="A117" s="322"/>
      <c r="B117" s="323" t="s">
        <v>286</v>
      </c>
      <c r="C117" s="380"/>
      <c r="D117" s="258"/>
      <c r="E117" s="404">
        <v>31151200</v>
      </c>
      <c r="F117" s="606"/>
      <c r="G117" s="258"/>
      <c r="H117" s="535">
        <v>31251200</v>
      </c>
      <c r="I117" s="606"/>
      <c r="J117" s="258"/>
      <c r="K117" s="949">
        <v>12001657</v>
      </c>
      <c r="L117" s="1001"/>
      <c r="M117" s="258"/>
      <c r="N117" s="976"/>
      <c r="O117" s="39"/>
    </row>
    <row r="118" spans="1:16" outlineLevel="3" x14ac:dyDescent="0.35">
      <c r="A118" s="322"/>
      <c r="B118" s="323" t="s">
        <v>350</v>
      </c>
      <c r="C118" s="380"/>
      <c r="D118" s="258"/>
      <c r="E118" s="404">
        <v>4829000</v>
      </c>
      <c r="F118" s="606"/>
      <c r="G118" s="258"/>
      <c r="H118" s="535">
        <v>4829000</v>
      </c>
      <c r="I118" s="606"/>
      <c r="J118" s="258"/>
      <c r="K118" s="949">
        <v>1838113</v>
      </c>
      <c r="L118" s="1001"/>
      <c r="M118" s="258"/>
      <c r="N118" s="976"/>
      <c r="O118" s="39"/>
    </row>
    <row r="119" spans="1:16" outlineLevel="3" x14ac:dyDescent="0.35">
      <c r="A119" s="322"/>
      <c r="B119" s="323" t="s">
        <v>292</v>
      </c>
      <c r="C119" s="380"/>
      <c r="D119" s="258"/>
      <c r="E119" s="258"/>
      <c r="F119" s="606"/>
      <c r="G119" s="258"/>
      <c r="H119" s="1041">
        <v>2832100</v>
      </c>
      <c r="I119" s="1040"/>
      <c r="J119" s="1041"/>
      <c r="K119" s="1042">
        <v>1481600</v>
      </c>
      <c r="L119" s="1001"/>
      <c r="M119" s="258"/>
      <c r="N119" s="1002"/>
      <c r="O119" s="39"/>
    </row>
    <row r="120" spans="1:16" outlineLevel="3" x14ac:dyDescent="0.35">
      <c r="A120" s="322"/>
      <c r="B120" s="323" t="s">
        <v>351</v>
      </c>
      <c r="C120" s="380"/>
      <c r="D120" s="258"/>
      <c r="E120" s="258"/>
      <c r="F120" s="606"/>
      <c r="G120" s="258"/>
      <c r="H120" s="1041">
        <v>29000</v>
      </c>
      <c r="I120" s="1040"/>
      <c r="J120" s="1041"/>
      <c r="K120" s="1042">
        <v>24649</v>
      </c>
      <c r="L120" s="1001"/>
      <c r="M120" s="258"/>
      <c r="N120" s="1002"/>
      <c r="O120" s="39"/>
    </row>
    <row r="121" spans="1:16" outlineLevel="2" x14ac:dyDescent="0.35">
      <c r="A121" s="319" t="s">
        <v>315</v>
      </c>
      <c r="B121" s="320" t="s">
        <v>365</v>
      </c>
      <c r="C121" s="379">
        <v>0</v>
      </c>
      <c r="D121" s="321">
        <v>0</v>
      </c>
      <c r="E121" s="321">
        <v>19050000</v>
      </c>
      <c r="F121" s="379">
        <v>0</v>
      </c>
      <c r="G121" s="530">
        <v>0</v>
      </c>
      <c r="H121" s="530">
        <v>19593000</v>
      </c>
      <c r="I121" s="379">
        <v>0</v>
      </c>
      <c r="J121" s="530">
        <v>0</v>
      </c>
      <c r="K121" s="947">
        <f>SUM(K122:K125)</f>
        <v>9068136</v>
      </c>
      <c r="L121" s="1000">
        <v>0</v>
      </c>
      <c r="M121" s="530">
        <v>0</v>
      </c>
      <c r="N121" s="966">
        <f>SUM(N122:N125)</f>
        <v>0</v>
      </c>
      <c r="O121" s="39"/>
    </row>
    <row r="122" spans="1:16" outlineLevel="3" x14ac:dyDescent="0.35">
      <c r="A122" s="322"/>
      <c r="B122" s="323" t="s">
        <v>286</v>
      </c>
      <c r="C122" s="380"/>
      <c r="D122" s="258"/>
      <c r="E122" s="258"/>
      <c r="F122" s="606"/>
      <c r="G122" s="258"/>
      <c r="H122" s="258"/>
      <c r="I122" s="606"/>
      <c r="J122" s="258"/>
      <c r="K122" s="983"/>
      <c r="L122" s="1001"/>
      <c r="M122" s="258"/>
      <c r="N122" s="1002"/>
      <c r="O122" s="39"/>
    </row>
    <row r="123" spans="1:16" outlineLevel="3" x14ac:dyDescent="0.35">
      <c r="A123" s="322"/>
      <c r="B123" s="323" t="s">
        <v>350</v>
      </c>
      <c r="C123" s="380"/>
      <c r="D123" s="258"/>
      <c r="E123" s="258"/>
      <c r="F123" s="606"/>
      <c r="G123" s="258"/>
      <c r="H123" s="258"/>
      <c r="I123" s="606"/>
      <c r="J123" s="258"/>
      <c r="K123" s="983"/>
      <c r="L123" s="1001"/>
      <c r="M123" s="258"/>
      <c r="N123" s="1002"/>
      <c r="O123" s="39"/>
    </row>
    <row r="124" spans="1:16" outlineLevel="3" x14ac:dyDescent="0.35">
      <c r="A124" s="322"/>
      <c r="B124" s="323" t="s">
        <v>292</v>
      </c>
      <c r="C124" s="380"/>
      <c r="D124" s="258"/>
      <c r="E124" s="404">
        <v>19050000</v>
      </c>
      <c r="F124" s="606"/>
      <c r="G124" s="258"/>
      <c r="H124" s="535">
        <v>19480000</v>
      </c>
      <c r="I124" s="606"/>
      <c r="J124" s="258"/>
      <c r="K124" s="949">
        <v>8955336</v>
      </c>
      <c r="L124" s="1001"/>
      <c r="M124" s="258"/>
      <c r="N124" s="976"/>
      <c r="O124" s="39"/>
    </row>
    <row r="125" spans="1:16" outlineLevel="3" x14ac:dyDescent="0.35">
      <c r="A125" s="322"/>
      <c r="B125" s="323" t="s">
        <v>351</v>
      </c>
      <c r="C125" s="380"/>
      <c r="D125" s="258"/>
      <c r="E125" s="258"/>
      <c r="F125" s="606"/>
      <c r="G125" s="258"/>
      <c r="H125" s="258">
        <v>113000</v>
      </c>
      <c r="I125" s="606"/>
      <c r="J125" s="258"/>
      <c r="K125" s="983">
        <v>112800</v>
      </c>
      <c r="L125" s="1001"/>
      <c r="M125" s="258"/>
      <c r="N125" s="1002"/>
      <c r="O125" s="39"/>
    </row>
    <row r="126" spans="1:16" outlineLevel="3" x14ac:dyDescent="0.35">
      <c r="A126" s="319" t="s">
        <v>336</v>
      </c>
      <c r="B126" s="401" t="s">
        <v>1729</v>
      </c>
      <c r="C126" s="379"/>
      <c r="D126" s="530"/>
      <c r="E126" s="530"/>
      <c r="F126" s="379"/>
      <c r="G126" s="530"/>
      <c r="H126" s="947">
        <v>66050</v>
      </c>
      <c r="I126" s="379"/>
      <c r="J126" s="530"/>
      <c r="K126" s="947">
        <f>SUM(K127)</f>
        <v>61321</v>
      </c>
      <c r="L126" s="1000"/>
      <c r="M126" s="530"/>
      <c r="N126" s="966">
        <f>SUM(N127)</f>
        <v>0</v>
      </c>
      <c r="O126" s="39"/>
    </row>
    <row r="127" spans="1:16" outlineLevel="3" x14ac:dyDescent="0.35">
      <c r="A127" s="322"/>
      <c r="B127" s="323" t="s">
        <v>292</v>
      </c>
      <c r="C127" s="606"/>
      <c r="D127" s="258"/>
      <c r="E127" s="258"/>
      <c r="F127" s="606"/>
      <c r="G127" s="258"/>
      <c r="H127" s="1041">
        <v>66050</v>
      </c>
      <c r="I127" s="1040"/>
      <c r="J127" s="1041"/>
      <c r="K127" s="1042">
        <v>61321</v>
      </c>
      <c r="L127" s="1001"/>
      <c r="M127" s="258"/>
      <c r="N127" s="1002"/>
      <c r="O127" s="39"/>
    </row>
    <row r="128" spans="1:16" outlineLevel="1" x14ac:dyDescent="0.35">
      <c r="A128" s="319" t="s">
        <v>318</v>
      </c>
      <c r="B128" s="320" t="s">
        <v>353</v>
      </c>
      <c r="C128" s="379">
        <v>0</v>
      </c>
      <c r="D128" s="321">
        <v>0</v>
      </c>
      <c r="E128" s="321">
        <v>0</v>
      </c>
      <c r="F128" s="379">
        <v>0</v>
      </c>
      <c r="G128" s="530">
        <v>0</v>
      </c>
      <c r="H128" s="530">
        <v>0</v>
      </c>
      <c r="I128" s="379">
        <v>0</v>
      </c>
      <c r="J128" s="530">
        <v>0</v>
      </c>
      <c r="K128" s="947">
        <f>+K129</f>
        <v>0</v>
      </c>
      <c r="L128" s="1000">
        <v>0</v>
      </c>
      <c r="M128" s="530">
        <v>0</v>
      </c>
      <c r="N128" s="966">
        <f>+N129</f>
        <v>0</v>
      </c>
      <c r="O128" s="39"/>
    </row>
    <row r="129" spans="1:15" s="45" customFormat="1" x14ac:dyDescent="0.35">
      <c r="A129" s="319" t="s">
        <v>311</v>
      </c>
      <c r="B129" s="320" t="s">
        <v>1455</v>
      </c>
      <c r="C129" s="379"/>
      <c r="D129" s="321"/>
      <c r="E129" s="321">
        <v>0</v>
      </c>
      <c r="F129" s="379"/>
      <c r="G129" s="530"/>
      <c r="H129" s="530">
        <v>0</v>
      </c>
      <c r="I129" s="379"/>
      <c r="J129" s="530"/>
      <c r="K129" s="947">
        <f>SUM(K130:K133)</f>
        <v>0</v>
      </c>
      <c r="L129" s="1000"/>
      <c r="M129" s="530"/>
      <c r="N129" s="966">
        <f>SUM(N130:N133)</f>
        <v>0</v>
      </c>
    </row>
    <row r="130" spans="1:15" s="149" customFormat="1" ht="15" customHeight="1" outlineLevel="1" x14ac:dyDescent="0.35">
      <c r="A130" s="605"/>
      <c r="B130" s="352" t="s">
        <v>286</v>
      </c>
      <c r="C130" s="606"/>
      <c r="D130" s="327"/>
      <c r="E130" s="327"/>
      <c r="F130" s="606"/>
      <c r="G130" s="722"/>
      <c r="H130" s="722"/>
      <c r="I130" s="606"/>
      <c r="J130" s="722"/>
      <c r="K130" s="946"/>
      <c r="L130" s="1001"/>
      <c r="M130" s="722"/>
      <c r="N130" s="964"/>
    </row>
    <row r="131" spans="1:15" s="149" customFormat="1" ht="15" customHeight="1" outlineLevel="1" x14ac:dyDescent="0.35">
      <c r="A131" s="605"/>
      <c r="B131" s="352" t="s">
        <v>350</v>
      </c>
      <c r="C131" s="606"/>
      <c r="D131" s="327"/>
      <c r="E131" s="327"/>
      <c r="F131" s="606"/>
      <c r="G131" s="722"/>
      <c r="H131" s="722"/>
      <c r="I131" s="606"/>
      <c r="J131" s="722"/>
      <c r="K131" s="946"/>
      <c r="L131" s="1001"/>
      <c r="M131" s="722"/>
      <c r="N131" s="964"/>
    </row>
    <row r="132" spans="1:15" s="149" customFormat="1" ht="15" customHeight="1" outlineLevel="1" x14ac:dyDescent="0.35">
      <c r="A132" s="605"/>
      <c r="B132" s="352" t="s">
        <v>292</v>
      </c>
      <c r="C132" s="606"/>
      <c r="D132" s="327"/>
      <c r="E132" s="327"/>
      <c r="F132" s="606"/>
      <c r="G132" s="722"/>
      <c r="H132" s="722"/>
      <c r="I132" s="606"/>
      <c r="J132" s="722"/>
      <c r="K132" s="946"/>
      <c r="L132" s="1001"/>
      <c r="M132" s="722"/>
      <c r="N132" s="964"/>
    </row>
    <row r="133" spans="1:15" s="149" customFormat="1" ht="15" customHeight="1" outlineLevel="1" x14ac:dyDescent="0.35">
      <c r="A133" s="605"/>
      <c r="B133" s="352" t="s">
        <v>351</v>
      </c>
      <c r="C133" s="606"/>
      <c r="D133" s="327"/>
      <c r="E133" s="327"/>
      <c r="F133" s="606"/>
      <c r="G133" s="722"/>
      <c r="H133" s="722"/>
      <c r="I133" s="606"/>
      <c r="J133" s="722"/>
      <c r="K133" s="946"/>
      <c r="L133" s="1001"/>
      <c r="M133" s="722"/>
      <c r="N133" s="964"/>
    </row>
    <row r="134" spans="1:15" x14ac:dyDescent="0.35">
      <c r="A134" s="346" t="s">
        <v>1417</v>
      </c>
      <c r="B134" s="347" t="s">
        <v>1281</v>
      </c>
      <c r="C134" s="377">
        <v>24</v>
      </c>
      <c r="D134" s="348">
        <v>0</v>
      </c>
      <c r="E134" s="348">
        <v>158211280</v>
      </c>
      <c r="F134" s="377">
        <v>24</v>
      </c>
      <c r="G134" s="348">
        <v>0</v>
      </c>
      <c r="H134" s="348">
        <v>165550933</v>
      </c>
      <c r="I134" s="377">
        <v>24</v>
      </c>
      <c r="J134" s="348">
        <v>0</v>
      </c>
      <c r="K134" s="981">
        <f>+K135+K149</f>
        <v>59350696</v>
      </c>
      <c r="L134" s="996">
        <v>24</v>
      </c>
      <c r="M134" s="348">
        <v>0</v>
      </c>
      <c r="N134" s="997">
        <f>+N135+N149</f>
        <v>0</v>
      </c>
      <c r="O134" s="39"/>
    </row>
    <row r="135" spans="1:15" outlineLevel="1" x14ac:dyDescent="0.35">
      <c r="A135" s="319" t="s">
        <v>309</v>
      </c>
      <c r="B135" s="320" t="s">
        <v>348</v>
      </c>
      <c r="C135" s="379">
        <v>24</v>
      </c>
      <c r="D135" s="321">
        <v>0</v>
      </c>
      <c r="E135" s="402">
        <v>158211280</v>
      </c>
      <c r="F135" s="379">
        <v>24</v>
      </c>
      <c r="G135" s="530">
        <v>0</v>
      </c>
      <c r="H135" s="532">
        <v>165550933</v>
      </c>
      <c r="I135" s="379">
        <v>24</v>
      </c>
      <c r="J135" s="530">
        <v>0</v>
      </c>
      <c r="K135" s="948">
        <f>+K136+K142+K147</f>
        <v>59350696</v>
      </c>
      <c r="L135" s="1000">
        <v>24</v>
      </c>
      <c r="M135" s="530">
        <v>0</v>
      </c>
      <c r="N135" s="969">
        <f>+N136+N142+N147</f>
        <v>0</v>
      </c>
      <c r="O135" s="39"/>
    </row>
    <row r="136" spans="1:15" outlineLevel="2" x14ac:dyDescent="0.35">
      <c r="A136" s="319" t="s">
        <v>311</v>
      </c>
      <c r="B136" s="320" t="s">
        <v>366</v>
      </c>
      <c r="C136" s="379">
        <v>24</v>
      </c>
      <c r="D136" s="321">
        <v>0</v>
      </c>
      <c r="E136" s="402">
        <v>148051280</v>
      </c>
      <c r="F136" s="379">
        <v>24</v>
      </c>
      <c r="G136" s="530">
        <v>0</v>
      </c>
      <c r="H136" s="532">
        <v>155390933</v>
      </c>
      <c r="I136" s="379">
        <v>24</v>
      </c>
      <c r="J136" s="530">
        <v>0</v>
      </c>
      <c r="K136" s="948">
        <f>SUM(K137:K141)</f>
        <v>56668983</v>
      </c>
      <c r="L136" s="1000">
        <v>24</v>
      </c>
      <c r="M136" s="530">
        <v>0</v>
      </c>
      <c r="N136" s="969">
        <f>SUM(N137:N141)</f>
        <v>0</v>
      </c>
      <c r="O136" s="39"/>
    </row>
    <row r="137" spans="1:15" outlineLevel="3" x14ac:dyDescent="0.35">
      <c r="A137" s="322"/>
      <c r="B137" s="323" t="s">
        <v>286</v>
      </c>
      <c r="C137" s="380"/>
      <c r="D137" s="258"/>
      <c r="E137" s="404">
        <v>105285200</v>
      </c>
      <c r="F137" s="606"/>
      <c r="G137" s="258"/>
      <c r="H137" s="535">
        <v>109310200</v>
      </c>
      <c r="I137" s="606"/>
      <c r="J137" s="258"/>
      <c r="K137" s="949">
        <v>43993569</v>
      </c>
      <c r="L137" s="1001"/>
      <c r="M137" s="258"/>
      <c r="N137" s="976"/>
      <c r="O137" s="39"/>
    </row>
    <row r="138" spans="1:15" outlineLevel="3" x14ac:dyDescent="0.35">
      <c r="A138" s="319"/>
      <c r="B138" s="323" t="s">
        <v>350</v>
      </c>
      <c r="C138" s="380"/>
      <c r="D138" s="327"/>
      <c r="E138" s="404">
        <v>16320000</v>
      </c>
      <c r="F138" s="606"/>
      <c r="G138" s="722"/>
      <c r="H138" s="535">
        <v>16320000</v>
      </c>
      <c r="I138" s="606"/>
      <c r="J138" s="722"/>
      <c r="K138" s="949">
        <v>6989723</v>
      </c>
      <c r="L138" s="1001"/>
      <c r="M138" s="722"/>
      <c r="N138" s="976"/>
      <c r="O138" s="39"/>
    </row>
    <row r="139" spans="1:15" outlineLevel="3" x14ac:dyDescent="0.35">
      <c r="A139" s="322"/>
      <c r="B139" s="323" t="s">
        <v>292</v>
      </c>
      <c r="C139" s="380"/>
      <c r="D139" s="258"/>
      <c r="E139" s="404">
        <v>23144080</v>
      </c>
      <c r="F139" s="606"/>
      <c r="G139" s="258"/>
      <c r="H139" s="535">
        <v>23158585</v>
      </c>
      <c r="I139" s="606"/>
      <c r="J139" s="258"/>
      <c r="K139" s="949">
        <v>5290003</v>
      </c>
      <c r="L139" s="1001"/>
      <c r="M139" s="258"/>
      <c r="N139" s="976"/>
      <c r="O139" s="39"/>
    </row>
    <row r="140" spans="1:15" outlineLevel="3" x14ac:dyDescent="0.35">
      <c r="A140" s="322"/>
      <c r="B140" s="323" t="s">
        <v>339</v>
      </c>
      <c r="C140" s="380"/>
      <c r="D140" s="258"/>
      <c r="E140" s="258"/>
      <c r="F140" s="606"/>
      <c r="G140" s="258"/>
      <c r="H140" s="258">
        <v>3300148</v>
      </c>
      <c r="I140" s="606"/>
      <c r="J140" s="258"/>
      <c r="K140" s="983"/>
      <c r="L140" s="1001"/>
      <c r="M140" s="258"/>
      <c r="N140" s="1002"/>
      <c r="O140" s="39"/>
    </row>
    <row r="141" spans="1:15" outlineLevel="3" x14ac:dyDescent="0.35">
      <c r="A141" s="322"/>
      <c r="B141" s="323" t="s">
        <v>351</v>
      </c>
      <c r="C141" s="380"/>
      <c r="D141" s="258"/>
      <c r="E141" s="258">
        <v>3302000</v>
      </c>
      <c r="F141" s="606"/>
      <c r="G141" s="258"/>
      <c r="H141" s="258">
        <v>3302000</v>
      </c>
      <c r="I141" s="606"/>
      <c r="J141" s="258"/>
      <c r="K141" s="983">
        <v>395688</v>
      </c>
      <c r="L141" s="1001"/>
      <c r="M141" s="258"/>
      <c r="N141" s="1002"/>
      <c r="O141" s="39"/>
    </row>
    <row r="142" spans="1:15" outlineLevel="2" x14ac:dyDescent="0.35">
      <c r="A142" s="319" t="s">
        <v>322</v>
      </c>
      <c r="B142" s="320" t="s">
        <v>367</v>
      </c>
      <c r="C142" s="379">
        <v>0</v>
      </c>
      <c r="D142" s="321">
        <v>0</v>
      </c>
      <c r="E142" s="321">
        <v>10160000</v>
      </c>
      <c r="F142" s="379">
        <v>0</v>
      </c>
      <c r="G142" s="530">
        <v>0</v>
      </c>
      <c r="H142" s="530">
        <v>10160000</v>
      </c>
      <c r="I142" s="379">
        <v>0</v>
      </c>
      <c r="J142" s="530">
        <v>0</v>
      </c>
      <c r="K142" s="947">
        <f>SUM(K143:K146)</f>
        <v>2681713</v>
      </c>
      <c r="L142" s="1000">
        <v>0</v>
      </c>
      <c r="M142" s="530">
        <v>0</v>
      </c>
      <c r="N142" s="966">
        <f>SUM(N143:N146)</f>
        <v>0</v>
      </c>
      <c r="O142" s="39"/>
    </row>
    <row r="143" spans="1:15" outlineLevel="3" x14ac:dyDescent="0.35">
      <c r="A143" s="322"/>
      <c r="B143" s="323" t="s">
        <v>286</v>
      </c>
      <c r="C143" s="380"/>
      <c r="D143" s="258"/>
      <c r="E143" s="258"/>
      <c r="F143" s="606"/>
      <c r="G143" s="258"/>
      <c r="H143" s="258"/>
      <c r="I143" s="606"/>
      <c r="J143" s="258"/>
      <c r="K143" s="983"/>
      <c r="L143" s="1001"/>
      <c r="M143" s="258"/>
      <c r="N143" s="1002"/>
      <c r="O143" s="39"/>
    </row>
    <row r="144" spans="1:15" outlineLevel="3" x14ac:dyDescent="0.35">
      <c r="A144" s="349"/>
      <c r="B144" s="323" t="s">
        <v>350</v>
      </c>
      <c r="C144" s="382"/>
      <c r="D144" s="353"/>
      <c r="E144" s="353">
        <v>0</v>
      </c>
      <c r="F144" s="382"/>
      <c r="G144" s="353"/>
      <c r="H144" s="353"/>
      <c r="I144" s="382"/>
      <c r="J144" s="353"/>
      <c r="K144" s="987"/>
      <c r="L144" s="1007"/>
      <c r="M144" s="353"/>
      <c r="N144" s="1008"/>
      <c r="O144" s="39"/>
    </row>
    <row r="145" spans="1:16" s="45" customFormat="1" outlineLevel="3" x14ac:dyDescent="0.35">
      <c r="A145" s="319"/>
      <c r="B145" s="323" t="s">
        <v>292</v>
      </c>
      <c r="C145" s="380"/>
      <c r="D145" s="327"/>
      <c r="E145" s="327">
        <v>10160000</v>
      </c>
      <c r="F145" s="606"/>
      <c r="G145" s="722"/>
      <c r="H145" s="722">
        <v>10160000</v>
      </c>
      <c r="I145" s="606"/>
      <c r="J145" s="722"/>
      <c r="K145" s="946">
        <v>2681713</v>
      </c>
      <c r="L145" s="1001"/>
      <c r="M145" s="722"/>
      <c r="N145" s="964"/>
      <c r="O145" s="39"/>
    </row>
    <row r="146" spans="1:16" outlineLevel="3" x14ac:dyDescent="0.35">
      <c r="A146" s="322"/>
      <c r="B146" s="323" t="s">
        <v>351</v>
      </c>
      <c r="C146" s="380"/>
      <c r="D146" s="258"/>
      <c r="E146" s="258">
        <v>0</v>
      </c>
      <c r="F146" s="606"/>
      <c r="G146" s="258"/>
      <c r="H146" s="258"/>
      <c r="I146" s="606"/>
      <c r="J146" s="258"/>
      <c r="K146" s="983"/>
      <c r="L146" s="1001"/>
      <c r="M146" s="258"/>
      <c r="N146" s="1002"/>
      <c r="O146" s="39"/>
    </row>
    <row r="147" spans="1:16" outlineLevel="3" x14ac:dyDescent="0.35">
      <c r="A147" s="319" t="s">
        <v>1761</v>
      </c>
      <c r="B147" s="401" t="s">
        <v>1729</v>
      </c>
      <c r="C147" s="379"/>
      <c r="D147" s="530"/>
      <c r="E147" s="530"/>
      <c r="F147" s="379"/>
      <c r="G147" s="530"/>
      <c r="H147" s="530"/>
      <c r="I147" s="379"/>
      <c r="J147" s="530"/>
      <c r="K147" s="947">
        <f>SUM(K148)</f>
        <v>0</v>
      </c>
      <c r="L147" s="1000"/>
      <c r="M147" s="530"/>
      <c r="N147" s="966">
        <f>SUM(N148)</f>
        <v>0</v>
      </c>
    </row>
    <row r="148" spans="1:16" outlineLevel="3" x14ac:dyDescent="0.35">
      <c r="A148" s="322"/>
      <c r="B148" s="323" t="s">
        <v>292</v>
      </c>
      <c r="C148" s="606"/>
      <c r="D148" s="258"/>
      <c r="E148" s="258"/>
      <c r="F148" s="606"/>
      <c r="G148" s="258"/>
      <c r="H148" s="258"/>
      <c r="I148" s="606"/>
      <c r="J148" s="258"/>
      <c r="K148" s="983"/>
      <c r="L148" s="1001"/>
      <c r="M148" s="258"/>
      <c r="N148" s="1002"/>
    </row>
    <row r="149" spans="1:16" outlineLevel="1" x14ac:dyDescent="0.35">
      <c r="A149" s="319" t="s">
        <v>318</v>
      </c>
      <c r="B149" s="320" t="s">
        <v>353</v>
      </c>
      <c r="C149" s="379">
        <v>0</v>
      </c>
      <c r="D149" s="321">
        <v>0</v>
      </c>
      <c r="E149" s="321">
        <v>0</v>
      </c>
      <c r="F149" s="379">
        <v>0</v>
      </c>
      <c r="G149" s="530">
        <v>0</v>
      </c>
      <c r="H149" s="530">
        <v>0</v>
      </c>
      <c r="I149" s="379">
        <v>0</v>
      </c>
      <c r="J149" s="530">
        <v>0</v>
      </c>
      <c r="K149" s="947">
        <v>0</v>
      </c>
      <c r="L149" s="1000">
        <v>0</v>
      </c>
      <c r="M149" s="530">
        <v>0</v>
      </c>
      <c r="N149" s="966">
        <v>0</v>
      </c>
    </row>
    <row r="150" spans="1:16" x14ac:dyDescent="0.35">
      <c r="A150" s="346" t="s">
        <v>1418</v>
      </c>
      <c r="B150" s="347" t="s">
        <v>550</v>
      </c>
      <c r="C150" s="725">
        <v>68.75</v>
      </c>
      <c r="D150" s="348">
        <v>0</v>
      </c>
      <c r="E150" s="348">
        <v>856949585</v>
      </c>
      <c r="F150" s="725">
        <v>68.75</v>
      </c>
      <c r="G150" s="348">
        <v>0</v>
      </c>
      <c r="H150" s="348">
        <v>875948569</v>
      </c>
      <c r="I150" s="725">
        <f>+I151</f>
        <v>68.75</v>
      </c>
      <c r="J150" s="348">
        <v>0</v>
      </c>
      <c r="K150" s="981">
        <f>+K151+K207</f>
        <v>265730791</v>
      </c>
      <c r="L150" s="1010">
        <f>+L151</f>
        <v>68.75</v>
      </c>
      <c r="M150" s="348">
        <v>0</v>
      </c>
      <c r="N150" s="997">
        <f>+N151+N207</f>
        <v>0</v>
      </c>
      <c r="O150" s="39"/>
      <c r="P150" s="1058">
        <f>+K150/E150</f>
        <v>0.31008917636619193</v>
      </c>
    </row>
    <row r="151" spans="1:16" outlineLevel="1" x14ac:dyDescent="0.35">
      <c r="A151" s="319" t="s">
        <v>309</v>
      </c>
      <c r="B151" s="320" t="s">
        <v>348</v>
      </c>
      <c r="C151" s="724">
        <v>68.75</v>
      </c>
      <c r="D151" s="321">
        <v>0</v>
      </c>
      <c r="E151" s="321">
        <v>856949585</v>
      </c>
      <c r="F151" s="724">
        <v>68.75</v>
      </c>
      <c r="G151" s="530">
        <v>0</v>
      </c>
      <c r="H151" s="530">
        <v>875948569</v>
      </c>
      <c r="I151" s="724">
        <f>+I152+I157+I173+I178+I187+I194+I199</f>
        <v>68.75</v>
      </c>
      <c r="J151" s="530">
        <v>0</v>
      </c>
      <c r="K151" s="947">
        <f>+K152+K157+K163+K166+K170+K173+K178+K183+K187+K194+K199+K204</f>
        <v>265730791</v>
      </c>
      <c r="L151" s="1011">
        <f>+L152+L157+L173+L178+L187+L194+L199</f>
        <v>68.75</v>
      </c>
      <c r="M151" s="530">
        <v>0</v>
      </c>
      <c r="N151" s="966">
        <f>+N152+N157+N163+N166+N170+N173+N178+N183+N187+N194+N199+N204</f>
        <v>0</v>
      </c>
      <c r="O151" s="39"/>
    </row>
    <row r="152" spans="1:16" s="887" customFormat="1" outlineLevel="2" x14ac:dyDescent="0.35">
      <c r="A152" s="882" t="s">
        <v>311</v>
      </c>
      <c r="B152" s="883" t="s">
        <v>551</v>
      </c>
      <c r="C152" s="884">
        <v>5</v>
      </c>
      <c r="D152" s="885">
        <v>0</v>
      </c>
      <c r="E152" s="886">
        <v>93743300</v>
      </c>
      <c r="F152" s="884">
        <v>5</v>
      </c>
      <c r="G152" s="885">
        <v>0</v>
      </c>
      <c r="H152" s="886">
        <v>93053300</v>
      </c>
      <c r="I152" s="884">
        <v>5</v>
      </c>
      <c r="J152" s="885">
        <v>0</v>
      </c>
      <c r="K152" s="989">
        <f>SUM(K153:K156)</f>
        <v>22075367</v>
      </c>
      <c r="L152" s="1012">
        <v>5</v>
      </c>
      <c r="M152" s="885">
        <v>0</v>
      </c>
      <c r="N152" s="1013">
        <f>SUM(N153:N156)</f>
        <v>0</v>
      </c>
      <c r="O152" s="39"/>
    </row>
    <row r="153" spans="1:16" s="887" customFormat="1" outlineLevel="3" x14ac:dyDescent="0.35">
      <c r="A153" s="888"/>
      <c r="B153" s="889" t="s">
        <v>286</v>
      </c>
      <c r="C153" s="890"/>
      <c r="D153" s="891"/>
      <c r="E153" s="389">
        <v>22157800</v>
      </c>
      <c r="F153" s="890"/>
      <c r="G153" s="891"/>
      <c r="H153" s="389">
        <v>22157800</v>
      </c>
      <c r="I153" s="890"/>
      <c r="J153" s="891"/>
      <c r="K153" s="990">
        <v>10371123</v>
      </c>
      <c r="L153" s="1014"/>
      <c r="M153" s="891"/>
      <c r="N153" s="1015"/>
      <c r="O153" s="39"/>
    </row>
    <row r="154" spans="1:16" s="887" customFormat="1" outlineLevel="3" x14ac:dyDescent="0.35">
      <c r="A154" s="888"/>
      <c r="B154" s="889" t="s">
        <v>350</v>
      </c>
      <c r="C154" s="890"/>
      <c r="D154" s="892"/>
      <c r="E154" s="389">
        <v>3435000</v>
      </c>
      <c r="F154" s="890"/>
      <c r="G154" s="892"/>
      <c r="H154" s="389">
        <v>3435000</v>
      </c>
      <c r="I154" s="890"/>
      <c r="J154" s="892"/>
      <c r="K154" s="990">
        <v>1593300</v>
      </c>
      <c r="L154" s="1014"/>
      <c r="M154" s="892"/>
      <c r="N154" s="1015"/>
      <c r="O154" s="39"/>
    </row>
    <row r="155" spans="1:16" s="887" customFormat="1" outlineLevel="3" x14ac:dyDescent="0.35">
      <c r="A155" s="888"/>
      <c r="B155" s="889" t="s">
        <v>292</v>
      </c>
      <c r="C155" s="890"/>
      <c r="D155" s="891"/>
      <c r="E155" s="389">
        <v>66650400</v>
      </c>
      <c r="F155" s="890"/>
      <c r="G155" s="891"/>
      <c r="H155" s="389">
        <v>66650400</v>
      </c>
      <c r="I155" s="890"/>
      <c r="J155" s="891"/>
      <c r="K155" s="990">
        <v>10110944</v>
      </c>
      <c r="L155" s="1014"/>
      <c r="M155" s="891"/>
      <c r="N155" s="1015"/>
      <c r="O155" s="39"/>
    </row>
    <row r="156" spans="1:16" s="887" customFormat="1" outlineLevel="3" x14ac:dyDescent="0.35">
      <c r="A156" s="888"/>
      <c r="B156" s="889" t="s">
        <v>351</v>
      </c>
      <c r="C156" s="890"/>
      <c r="D156" s="891"/>
      <c r="E156" s="389">
        <v>1500100</v>
      </c>
      <c r="F156" s="890"/>
      <c r="G156" s="891"/>
      <c r="H156" s="389">
        <v>810100</v>
      </c>
      <c r="I156" s="890"/>
      <c r="J156" s="891"/>
      <c r="K156" s="990">
        <v>0</v>
      </c>
      <c r="L156" s="1014"/>
      <c r="M156" s="891"/>
      <c r="N156" s="1015"/>
      <c r="O156" s="39"/>
    </row>
    <row r="157" spans="1:16" s="887" customFormat="1" outlineLevel="2" x14ac:dyDescent="0.35">
      <c r="A157" s="882" t="s">
        <v>322</v>
      </c>
      <c r="B157" s="883" t="s">
        <v>552</v>
      </c>
      <c r="C157" s="884">
        <v>21</v>
      </c>
      <c r="D157" s="885">
        <v>0</v>
      </c>
      <c r="E157" s="886">
        <v>113433600</v>
      </c>
      <c r="F157" s="884">
        <v>21</v>
      </c>
      <c r="G157" s="885">
        <v>0</v>
      </c>
      <c r="H157" s="886">
        <v>113509600</v>
      </c>
      <c r="I157" s="884">
        <v>21</v>
      </c>
      <c r="J157" s="885">
        <v>0</v>
      </c>
      <c r="K157" s="989">
        <f>SUM(K158:K161)</f>
        <v>41889045</v>
      </c>
      <c r="L157" s="1012">
        <v>21</v>
      </c>
      <c r="M157" s="885">
        <v>0</v>
      </c>
      <c r="N157" s="1013">
        <f>SUM(N158:N162)</f>
        <v>0</v>
      </c>
      <c r="O157" s="39"/>
    </row>
    <row r="158" spans="1:16" s="887" customFormat="1" outlineLevel="3" x14ac:dyDescent="0.35">
      <c r="A158" s="888"/>
      <c r="B158" s="889" t="s">
        <v>286</v>
      </c>
      <c r="C158" s="893"/>
      <c r="D158" s="885"/>
      <c r="E158" s="389">
        <v>75417400</v>
      </c>
      <c r="F158" s="893"/>
      <c r="G158" s="885"/>
      <c r="H158" s="389">
        <v>75417400</v>
      </c>
      <c r="I158" s="893"/>
      <c r="J158" s="885"/>
      <c r="K158" s="990">
        <v>31238143</v>
      </c>
      <c r="L158" s="1016"/>
      <c r="M158" s="885"/>
      <c r="N158" s="1015"/>
      <c r="O158" s="39"/>
    </row>
    <row r="159" spans="1:16" s="887" customFormat="1" outlineLevel="4" x14ac:dyDescent="0.35">
      <c r="A159" s="888"/>
      <c r="B159" s="889" t="s">
        <v>350</v>
      </c>
      <c r="C159" s="893"/>
      <c r="D159" s="891"/>
      <c r="E159" s="389">
        <v>11690000</v>
      </c>
      <c r="F159" s="893"/>
      <c r="G159" s="891"/>
      <c r="H159" s="389">
        <v>11690000</v>
      </c>
      <c r="I159" s="893"/>
      <c r="J159" s="891"/>
      <c r="K159" s="990">
        <v>4734406</v>
      </c>
      <c r="L159" s="1016"/>
      <c r="M159" s="891"/>
      <c r="N159" s="1015"/>
      <c r="O159" s="39"/>
    </row>
    <row r="160" spans="1:16" s="887" customFormat="1" outlineLevel="4" x14ac:dyDescent="0.35">
      <c r="A160" s="888"/>
      <c r="B160" s="889" t="s">
        <v>292</v>
      </c>
      <c r="C160" s="893"/>
      <c r="D160" s="894"/>
      <c r="E160" s="389">
        <v>26326200</v>
      </c>
      <c r="F160" s="893"/>
      <c r="G160" s="894"/>
      <c r="H160" s="389">
        <v>26326200</v>
      </c>
      <c r="I160" s="893"/>
      <c r="J160" s="894"/>
      <c r="K160" s="990">
        <v>5841566</v>
      </c>
      <c r="L160" s="1016"/>
      <c r="M160" s="894"/>
      <c r="N160" s="1015"/>
      <c r="O160" s="39"/>
    </row>
    <row r="161" spans="1:15" s="887" customFormat="1" outlineLevel="4" x14ac:dyDescent="0.35">
      <c r="A161" s="888"/>
      <c r="B161" s="889" t="s">
        <v>351</v>
      </c>
      <c r="C161" s="893"/>
      <c r="D161" s="892"/>
      <c r="E161" s="389"/>
      <c r="F161" s="893"/>
      <c r="G161" s="892"/>
      <c r="H161" s="389">
        <v>76000</v>
      </c>
      <c r="I161" s="893"/>
      <c r="J161" s="892"/>
      <c r="K161" s="990">
        <v>74930</v>
      </c>
      <c r="L161" s="1016"/>
      <c r="M161" s="892"/>
      <c r="N161" s="1015"/>
      <c r="O161" s="39"/>
    </row>
    <row r="162" spans="1:15" s="887" customFormat="1" outlineLevel="4" x14ac:dyDescent="0.35">
      <c r="A162" s="888"/>
      <c r="B162" s="889" t="s">
        <v>342</v>
      </c>
      <c r="C162" s="893"/>
      <c r="D162" s="892"/>
      <c r="E162" s="389">
        <v>0</v>
      </c>
      <c r="F162" s="893"/>
      <c r="G162" s="892"/>
      <c r="H162" s="389"/>
      <c r="I162" s="893"/>
      <c r="J162" s="892"/>
      <c r="K162" s="990"/>
      <c r="L162" s="1016"/>
      <c r="M162" s="892"/>
      <c r="N162" s="1015"/>
      <c r="O162" s="39"/>
    </row>
    <row r="163" spans="1:15" s="887" customFormat="1" outlineLevel="3" x14ac:dyDescent="0.35">
      <c r="A163" s="882" t="s">
        <v>315</v>
      </c>
      <c r="B163" s="883" t="s">
        <v>553</v>
      </c>
      <c r="C163" s="893"/>
      <c r="D163" s="885">
        <v>0</v>
      </c>
      <c r="E163" s="886">
        <v>61800400</v>
      </c>
      <c r="F163" s="893"/>
      <c r="G163" s="885">
        <v>0</v>
      </c>
      <c r="H163" s="886">
        <v>65610400</v>
      </c>
      <c r="I163" s="893"/>
      <c r="J163" s="885">
        <v>0</v>
      </c>
      <c r="K163" s="989">
        <f>SUM(K164:K165)</f>
        <v>22134562</v>
      </c>
      <c r="L163" s="1016"/>
      <c r="M163" s="885">
        <v>0</v>
      </c>
      <c r="N163" s="1013">
        <f>SUM(N164:N165)</f>
        <v>0</v>
      </c>
      <c r="O163" s="39"/>
    </row>
    <row r="164" spans="1:15" s="887" customFormat="1" outlineLevel="3" x14ac:dyDescent="0.35">
      <c r="A164" s="888"/>
      <c r="B164" s="889" t="s">
        <v>292</v>
      </c>
      <c r="C164" s="893"/>
      <c r="D164" s="885"/>
      <c r="E164" s="389">
        <v>60800000</v>
      </c>
      <c r="F164" s="893"/>
      <c r="G164" s="885"/>
      <c r="H164" s="389">
        <v>64610000</v>
      </c>
      <c r="I164" s="893"/>
      <c r="J164" s="885"/>
      <c r="K164" s="990">
        <v>22134562</v>
      </c>
      <c r="L164" s="1016"/>
      <c r="M164" s="885"/>
      <c r="N164" s="1015"/>
      <c r="O164" s="39"/>
    </row>
    <row r="165" spans="1:15" s="887" customFormat="1" outlineLevel="3" x14ac:dyDescent="0.35">
      <c r="A165" s="888"/>
      <c r="B165" s="889" t="s">
        <v>351</v>
      </c>
      <c r="C165" s="893"/>
      <c r="E165" s="389">
        <v>1000400</v>
      </c>
      <c r="F165" s="893"/>
      <c r="H165" s="389">
        <v>1000400</v>
      </c>
      <c r="I165" s="893"/>
      <c r="K165" s="990">
        <v>0</v>
      </c>
      <c r="L165" s="1016"/>
      <c r="M165" s="1017"/>
      <c r="N165" s="1015"/>
      <c r="O165" s="39"/>
    </row>
    <row r="166" spans="1:15" s="887" customFormat="1" outlineLevel="2" x14ac:dyDescent="0.35">
      <c r="A166" s="882" t="s">
        <v>336</v>
      </c>
      <c r="B166" s="883" t="s">
        <v>554</v>
      </c>
      <c r="C166" s="884"/>
      <c r="E166" s="886">
        <v>22577200</v>
      </c>
      <c r="F166" s="884"/>
      <c r="H166" s="886">
        <v>23187200</v>
      </c>
      <c r="I166" s="884"/>
      <c r="K166" s="989">
        <f>SUM(K167:K169)</f>
        <v>3762242</v>
      </c>
      <c r="L166" s="1012"/>
      <c r="M166" s="1017"/>
      <c r="N166" s="1013">
        <f>SUM(N167:N169)</f>
        <v>0</v>
      </c>
      <c r="O166" s="39"/>
    </row>
    <row r="167" spans="1:15" s="887" customFormat="1" outlineLevel="3" x14ac:dyDescent="0.35">
      <c r="A167" s="888"/>
      <c r="B167" s="889" t="s">
        <v>292</v>
      </c>
      <c r="C167" s="893"/>
      <c r="E167" s="389">
        <v>22577200</v>
      </c>
      <c r="F167" s="893"/>
      <c r="H167" s="389">
        <v>22577200</v>
      </c>
      <c r="I167" s="893"/>
      <c r="K167" s="990">
        <v>3153594</v>
      </c>
      <c r="L167" s="1016"/>
      <c r="M167" s="1017"/>
      <c r="N167" s="1015"/>
      <c r="O167" s="39"/>
    </row>
    <row r="168" spans="1:15" s="887" customFormat="1" outlineLevel="3" x14ac:dyDescent="0.35">
      <c r="A168" s="888"/>
      <c r="B168" s="889" t="s">
        <v>351</v>
      </c>
      <c r="C168" s="893"/>
      <c r="E168" s="389"/>
      <c r="F168" s="893"/>
      <c r="H168" s="389">
        <v>610000</v>
      </c>
      <c r="I168" s="893"/>
      <c r="K168" s="990">
        <v>608648</v>
      </c>
      <c r="L168" s="1016"/>
      <c r="M168" s="1017"/>
      <c r="N168" s="1015"/>
      <c r="O168" s="39"/>
    </row>
    <row r="169" spans="1:15" s="887" customFormat="1" outlineLevel="3" x14ac:dyDescent="0.35">
      <c r="A169" s="888"/>
      <c r="B169" s="889" t="s">
        <v>342</v>
      </c>
      <c r="C169" s="893"/>
      <c r="E169" s="389"/>
      <c r="F169" s="893"/>
      <c r="H169" s="389"/>
      <c r="I169" s="893"/>
      <c r="K169" s="990"/>
      <c r="L169" s="1016"/>
      <c r="M169" s="1017"/>
      <c r="N169" s="1015"/>
      <c r="O169" s="39"/>
    </row>
    <row r="170" spans="1:15" s="887" customFormat="1" outlineLevel="2" x14ac:dyDescent="0.35">
      <c r="A170" s="882" t="s">
        <v>338</v>
      </c>
      <c r="B170" s="883" t="s">
        <v>555</v>
      </c>
      <c r="C170" s="884"/>
      <c r="E170" s="886">
        <v>10290400</v>
      </c>
      <c r="F170" s="884"/>
      <c r="H170" s="886">
        <v>10290400</v>
      </c>
      <c r="I170" s="884"/>
      <c r="K170" s="989">
        <f>SUM(K171:K172)</f>
        <v>3082935</v>
      </c>
      <c r="L170" s="1012"/>
      <c r="M170" s="1017"/>
      <c r="N170" s="1013">
        <f>SUM(N171:N172)</f>
        <v>0</v>
      </c>
      <c r="O170" s="39"/>
    </row>
    <row r="171" spans="1:15" s="887" customFormat="1" outlineLevel="3" x14ac:dyDescent="0.35">
      <c r="A171" s="888"/>
      <c r="B171" s="895" t="s">
        <v>292</v>
      </c>
      <c r="C171" s="896"/>
      <c r="E171" s="897">
        <v>10290400</v>
      </c>
      <c r="F171" s="896"/>
      <c r="H171" s="897">
        <v>10290400</v>
      </c>
      <c r="I171" s="896"/>
      <c r="K171" s="991">
        <v>3082935</v>
      </c>
      <c r="L171" s="1018"/>
      <c r="M171" s="1017"/>
      <c r="N171" s="1019"/>
      <c r="O171" s="39"/>
    </row>
    <row r="172" spans="1:15" s="887" customFormat="1" outlineLevel="3" x14ac:dyDescent="0.35">
      <c r="A172" s="888"/>
      <c r="B172" s="895" t="s">
        <v>351</v>
      </c>
      <c r="C172" s="896"/>
      <c r="E172" s="897"/>
      <c r="F172" s="896"/>
      <c r="H172" s="897"/>
      <c r="I172" s="896"/>
      <c r="K172" s="991"/>
      <c r="L172" s="1018"/>
      <c r="M172" s="1017"/>
      <c r="N172" s="1019"/>
      <c r="O172" s="39"/>
    </row>
    <row r="173" spans="1:15" s="887" customFormat="1" outlineLevel="2" x14ac:dyDescent="0.35">
      <c r="A173" s="882" t="s">
        <v>556</v>
      </c>
      <c r="B173" s="883" t="s">
        <v>557</v>
      </c>
      <c r="C173" s="898">
        <v>1.75</v>
      </c>
      <c r="E173" s="886">
        <v>12375550</v>
      </c>
      <c r="F173" s="898">
        <v>1.75</v>
      </c>
      <c r="H173" s="886">
        <v>12375550</v>
      </c>
      <c r="I173" s="898">
        <v>1.75</v>
      </c>
      <c r="K173" s="989">
        <f>SUM(K174:K177)</f>
        <v>4222091</v>
      </c>
      <c r="L173" s="1020">
        <v>1.75</v>
      </c>
      <c r="M173" s="1017"/>
      <c r="N173" s="1013">
        <f>SUM(N174:N177)</f>
        <v>0</v>
      </c>
      <c r="O173" s="39"/>
    </row>
    <row r="174" spans="1:15" s="887" customFormat="1" outlineLevel="3" x14ac:dyDescent="0.35">
      <c r="A174" s="888"/>
      <c r="B174" s="889" t="s">
        <v>286</v>
      </c>
      <c r="C174" s="896"/>
      <c r="E174" s="897">
        <v>5157250</v>
      </c>
      <c r="F174" s="896"/>
      <c r="H174" s="897">
        <v>5157250</v>
      </c>
      <c r="I174" s="896"/>
      <c r="K174" s="991">
        <v>2087848</v>
      </c>
      <c r="L174" s="1018"/>
      <c r="M174" s="1017"/>
      <c r="N174" s="1019"/>
      <c r="O174" s="39"/>
    </row>
    <row r="175" spans="1:15" s="887" customFormat="1" outlineLevel="3" x14ac:dyDescent="0.35">
      <c r="A175" s="882"/>
      <c r="B175" s="889" t="s">
        <v>350</v>
      </c>
      <c r="C175" s="896"/>
      <c r="E175" s="897">
        <v>800000</v>
      </c>
      <c r="F175" s="896"/>
      <c r="H175" s="897">
        <v>800000</v>
      </c>
      <c r="I175" s="896"/>
      <c r="K175" s="991">
        <v>383549</v>
      </c>
      <c r="L175" s="1018"/>
      <c r="M175" s="1017"/>
      <c r="N175" s="1019"/>
      <c r="O175" s="39"/>
    </row>
    <row r="176" spans="1:15" s="887" customFormat="1" outlineLevel="3" x14ac:dyDescent="0.35">
      <c r="A176" s="882"/>
      <c r="B176" s="889" t="s">
        <v>292</v>
      </c>
      <c r="C176" s="896"/>
      <c r="E176" s="897">
        <v>6418300</v>
      </c>
      <c r="F176" s="896"/>
      <c r="H176" s="897">
        <v>6418300</v>
      </c>
      <c r="I176" s="896"/>
      <c r="K176" s="991">
        <v>1750694</v>
      </c>
      <c r="L176" s="1018"/>
      <c r="M176" s="1017"/>
      <c r="N176" s="1019"/>
      <c r="O176" s="39"/>
    </row>
    <row r="177" spans="1:15" s="887" customFormat="1" outlineLevel="3" x14ac:dyDescent="0.35">
      <c r="A177" s="882"/>
      <c r="B177" s="889" t="s">
        <v>351</v>
      </c>
      <c r="C177" s="896"/>
      <c r="E177" s="897"/>
      <c r="F177" s="896"/>
      <c r="H177" s="897"/>
      <c r="I177" s="896"/>
      <c r="K177" s="991"/>
      <c r="L177" s="1018"/>
      <c r="M177" s="1017"/>
      <c r="N177" s="1019"/>
      <c r="O177" s="39"/>
    </row>
    <row r="178" spans="1:15" s="887" customFormat="1" outlineLevel="2" x14ac:dyDescent="0.35">
      <c r="A178" s="882" t="s">
        <v>558</v>
      </c>
      <c r="B178" s="883" t="s">
        <v>559</v>
      </c>
      <c r="C178" s="884">
        <v>2</v>
      </c>
      <c r="E178" s="886">
        <v>17118200</v>
      </c>
      <c r="F178" s="884">
        <v>2</v>
      </c>
      <c r="H178" s="886">
        <v>17118200</v>
      </c>
      <c r="I178" s="884">
        <v>2</v>
      </c>
      <c r="K178" s="989">
        <f>SUM(K179:K182)</f>
        <v>5583624</v>
      </c>
      <c r="L178" s="1012">
        <v>2</v>
      </c>
      <c r="M178" s="1017"/>
      <c r="N178" s="1013">
        <f>SUM(N179:N182)</f>
        <v>0</v>
      </c>
      <c r="O178" s="39"/>
    </row>
    <row r="179" spans="1:15" s="887" customFormat="1" outlineLevel="3" x14ac:dyDescent="0.35">
      <c r="A179" s="882"/>
      <c r="B179" s="889" t="s">
        <v>286</v>
      </c>
      <c r="C179" s="893"/>
      <c r="E179" s="389">
        <v>7114800</v>
      </c>
      <c r="F179" s="893"/>
      <c r="H179" s="389">
        <v>7114800</v>
      </c>
      <c r="I179" s="893"/>
      <c r="K179" s="990">
        <v>3192696</v>
      </c>
      <c r="L179" s="1016"/>
      <c r="M179" s="1017"/>
      <c r="N179" s="1015"/>
      <c r="O179" s="39"/>
    </row>
    <row r="180" spans="1:15" s="887" customFormat="1" outlineLevel="3" x14ac:dyDescent="0.35">
      <c r="A180" s="882"/>
      <c r="B180" s="889" t="s">
        <v>350</v>
      </c>
      <c r="C180" s="893"/>
      <c r="E180" s="389">
        <v>1103000</v>
      </c>
      <c r="F180" s="893"/>
      <c r="H180" s="389">
        <v>1103000</v>
      </c>
      <c r="I180" s="893"/>
      <c r="K180" s="990">
        <v>493131</v>
      </c>
      <c r="L180" s="1016"/>
      <c r="M180" s="1017"/>
      <c r="N180" s="1015"/>
      <c r="O180" s="39"/>
    </row>
    <row r="181" spans="1:15" s="887" customFormat="1" outlineLevel="3" x14ac:dyDescent="0.35">
      <c r="A181" s="882"/>
      <c r="B181" s="889" t="s">
        <v>292</v>
      </c>
      <c r="C181" s="893"/>
      <c r="E181" s="389">
        <v>8600400</v>
      </c>
      <c r="F181" s="893"/>
      <c r="H181" s="389">
        <v>8600400</v>
      </c>
      <c r="I181" s="893"/>
      <c r="K181" s="990">
        <v>1897797</v>
      </c>
      <c r="L181" s="1016"/>
      <c r="M181" s="1017"/>
      <c r="N181" s="1015"/>
      <c r="O181" s="39"/>
    </row>
    <row r="182" spans="1:15" s="887" customFormat="1" outlineLevel="3" x14ac:dyDescent="0.35">
      <c r="A182" s="882"/>
      <c r="B182" s="889" t="s">
        <v>351</v>
      </c>
      <c r="C182" s="893"/>
      <c r="E182" s="389">
        <v>300000</v>
      </c>
      <c r="F182" s="893"/>
      <c r="H182" s="389">
        <v>300000</v>
      </c>
      <c r="I182" s="893"/>
      <c r="K182" s="990"/>
      <c r="L182" s="1016"/>
      <c r="M182" s="1017"/>
      <c r="N182" s="1015"/>
      <c r="O182" s="39"/>
    </row>
    <row r="183" spans="1:15" s="887" customFormat="1" outlineLevel="2" x14ac:dyDescent="0.35">
      <c r="A183" s="882" t="s">
        <v>560</v>
      </c>
      <c r="B183" s="883" t="s">
        <v>562</v>
      </c>
      <c r="C183" s="884"/>
      <c r="E183" s="886">
        <v>11801995</v>
      </c>
      <c r="F183" s="884"/>
      <c r="H183" s="886">
        <v>11343995</v>
      </c>
      <c r="I183" s="884"/>
      <c r="K183" s="989">
        <f>SUM(K184:K186)</f>
        <v>1870906</v>
      </c>
      <c r="L183" s="1012"/>
      <c r="M183" s="1017"/>
      <c r="N183" s="1013">
        <f>SUM(N184:N186)</f>
        <v>0</v>
      </c>
      <c r="O183" s="39"/>
    </row>
    <row r="184" spans="1:15" s="887" customFormat="1" outlineLevel="3" x14ac:dyDescent="0.35">
      <c r="A184" s="882"/>
      <c r="B184" s="889" t="s">
        <v>292</v>
      </c>
      <c r="C184" s="893"/>
      <c r="E184" s="389">
        <v>8101100</v>
      </c>
      <c r="F184" s="893"/>
      <c r="H184" s="389">
        <v>8101100</v>
      </c>
      <c r="I184" s="893"/>
      <c r="K184" s="990">
        <v>1856284</v>
      </c>
      <c r="L184" s="1016"/>
      <c r="M184" s="1017"/>
      <c r="N184" s="1015"/>
      <c r="O184" s="39"/>
    </row>
    <row r="185" spans="1:15" s="887" customFormat="1" outlineLevel="3" x14ac:dyDescent="0.35">
      <c r="A185" s="882"/>
      <c r="B185" s="889" t="s">
        <v>351</v>
      </c>
      <c r="C185" s="893"/>
      <c r="E185" s="389">
        <v>1200900</v>
      </c>
      <c r="F185" s="893"/>
      <c r="H185" s="389">
        <v>742900</v>
      </c>
      <c r="I185" s="893"/>
      <c r="K185" s="990">
        <v>14622</v>
      </c>
      <c r="L185" s="1016"/>
      <c r="M185" s="1017"/>
      <c r="N185" s="1015"/>
      <c r="O185" s="39"/>
    </row>
    <row r="186" spans="1:15" s="887" customFormat="1" outlineLevel="3" x14ac:dyDescent="0.35">
      <c r="A186" s="882"/>
      <c r="B186" s="889" t="s">
        <v>342</v>
      </c>
      <c r="C186" s="893"/>
      <c r="E186" s="389">
        <v>2499995</v>
      </c>
      <c r="F186" s="893"/>
      <c r="H186" s="389">
        <v>2499995</v>
      </c>
      <c r="I186" s="893"/>
      <c r="K186" s="990">
        <v>0</v>
      </c>
      <c r="L186" s="1016"/>
      <c r="M186" s="1017"/>
      <c r="N186" s="1015"/>
      <c r="O186" s="39"/>
    </row>
    <row r="187" spans="1:15" s="887" customFormat="1" outlineLevel="2" x14ac:dyDescent="0.35">
      <c r="A187" s="882" t="s">
        <v>561</v>
      </c>
      <c r="B187" s="883" t="s">
        <v>1383</v>
      </c>
      <c r="C187" s="884">
        <v>11</v>
      </c>
      <c r="E187" s="886">
        <v>115496000</v>
      </c>
      <c r="F187" s="884">
        <v>11</v>
      </c>
      <c r="H187" s="886">
        <v>130674260</v>
      </c>
      <c r="I187" s="884">
        <v>11</v>
      </c>
      <c r="K187" s="989">
        <f>SUM(K188:K193)</f>
        <v>32956875</v>
      </c>
      <c r="L187" s="1012">
        <v>11</v>
      </c>
      <c r="M187" s="1017"/>
      <c r="N187" s="1013">
        <f>SUM(N188:N193)</f>
        <v>0</v>
      </c>
      <c r="O187" s="39"/>
    </row>
    <row r="188" spans="1:15" s="887" customFormat="1" outlineLevel="3" x14ac:dyDescent="0.35">
      <c r="A188" s="882"/>
      <c r="B188" s="889" t="s">
        <v>286</v>
      </c>
      <c r="C188" s="893"/>
      <c r="E188" s="389">
        <v>58000800</v>
      </c>
      <c r="F188" s="893"/>
      <c r="H188" s="389">
        <v>67365800</v>
      </c>
      <c r="I188" s="893"/>
      <c r="K188" s="990">
        <f>30915577-13991555</f>
        <v>16924022</v>
      </c>
      <c r="L188" s="1016"/>
      <c r="M188" s="1017"/>
      <c r="N188" s="1015"/>
      <c r="O188" s="39"/>
    </row>
    <row r="189" spans="1:15" s="887" customFormat="1" outlineLevel="3" x14ac:dyDescent="0.35">
      <c r="A189" s="888"/>
      <c r="B189" s="889" t="s">
        <v>350</v>
      </c>
      <c r="C189" s="893"/>
      <c r="E189" s="389">
        <v>14171000</v>
      </c>
      <c r="F189" s="893"/>
      <c r="H189" s="389">
        <v>14171000</v>
      </c>
      <c r="I189" s="893"/>
      <c r="K189" s="990">
        <f>7532851-2112784</f>
        <v>5420067</v>
      </c>
      <c r="L189" s="1016"/>
      <c r="M189" s="1017"/>
      <c r="N189" s="1015"/>
      <c r="O189" s="39"/>
    </row>
    <row r="190" spans="1:15" s="887" customFormat="1" outlineLevel="3" x14ac:dyDescent="0.35">
      <c r="A190" s="882"/>
      <c r="B190" s="889" t="s">
        <v>292</v>
      </c>
      <c r="C190" s="893"/>
      <c r="E190" s="389">
        <v>43324200</v>
      </c>
      <c r="F190" s="893"/>
      <c r="H190" s="389">
        <v>48787460</v>
      </c>
      <c r="I190" s="893"/>
      <c r="K190" s="990">
        <v>10308241</v>
      </c>
      <c r="L190" s="1016"/>
      <c r="M190" s="1017"/>
      <c r="N190" s="1015"/>
      <c r="O190" s="39"/>
    </row>
    <row r="191" spans="1:15" s="887" customFormat="1" outlineLevel="3" x14ac:dyDescent="0.35">
      <c r="A191" s="882"/>
      <c r="B191" s="889" t="s">
        <v>564</v>
      </c>
      <c r="C191" s="893"/>
      <c r="E191" s="389"/>
      <c r="F191" s="893"/>
      <c r="H191" s="389"/>
      <c r="I191" s="893"/>
      <c r="K191" s="990"/>
      <c r="L191" s="1016"/>
      <c r="M191" s="1017"/>
      <c r="N191" s="1015"/>
      <c r="O191" s="39"/>
    </row>
    <row r="192" spans="1:15" s="887" customFormat="1" outlineLevel="3" x14ac:dyDescent="0.35">
      <c r="A192" s="882"/>
      <c r="B192" s="889" t="s">
        <v>351</v>
      </c>
      <c r="C192" s="893"/>
      <c r="E192" s="389"/>
      <c r="F192" s="893"/>
      <c r="H192" s="779">
        <v>350000</v>
      </c>
      <c r="I192" s="1043"/>
      <c r="J192" s="1044"/>
      <c r="K192" s="988">
        <v>304545</v>
      </c>
      <c r="L192" s="1016"/>
      <c r="M192" s="1017"/>
      <c r="N192" s="1015"/>
      <c r="O192" s="39"/>
    </row>
    <row r="193" spans="1:15" s="887" customFormat="1" outlineLevel="3" x14ac:dyDescent="0.35">
      <c r="A193" s="882"/>
      <c r="B193" s="889" t="s">
        <v>342</v>
      </c>
      <c r="C193" s="893"/>
      <c r="E193" s="389"/>
      <c r="F193" s="893"/>
      <c r="H193" s="389"/>
      <c r="I193" s="893"/>
      <c r="K193" s="990"/>
      <c r="L193" s="1016"/>
      <c r="M193" s="1017"/>
      <c r="N193" s="1015"/>
      <c r="O193" s="39"/>
    </row>
    <row r="194" spans="1:15" s="887" customFormat="1" outlineLevel="2" x14ac:dyDescent="0.35">
      <c r="A194" s="882" t="s">
        <v>563</v>
      </c>
      <c r="B194" s="883" t="s">
        <v>567</v>
      </c>
      <c r="C194" s="884">
        <v>9</v>
      </c>
      <c r="E194" s="886">
        <v>44259600</v>
      </c>
      <c r="F194" s="884">
        <v>9</v>
      </c>
      <c r="H194" s="886">
        <v>44259600</v>
      </c>
      <c r="I194" s="884">
        <v>9</v>
      </c>
      <c r="K194" s="989">
        <f>SUM(K195:K198)</f>
        <v>17272970</v>
      </c>
      <c r="L194" s="1012">
        <v>9</v>
      </c>
      <c r="M194" s="1017"/>
      <c r="N194" s="1013">
        <f>SUM(N195:N198)</f>
        <v>0</v>
      </c>
      <c r="O194" s="39"/>
    </row>
    <row r="195" spans="1:15" s="887" customFormat="1" outlineLevel="3" x14ac:dyDescent="0.35">
      <c r="A195" s="882"/>
      <c r="B195" s="889" t="s">
        <v>286</v>
      </c>
      <c r="C195" s="893"/>
      <c r="E195" s="389">
        <v>35098400</v>
      </c>
      <c r="F195" s="893"/>
      <c r="H195" s="389">
        <v>35098400</v>
      </c>
      <c r="I195" s="893"/>
      <c r="K195" s="990">
        <v>13991555</v>
      </c>
      <c r="L195" s="1016"/>
      <c r="M195" s="1017"/>
      <c r="N195" s="1015"/>
      <c r="O195" s="39"/>
    </row>
    <row r="196" spans="1:15" s="887" customFormat="1" outlineLevel="3" x14ac:dyDescent="0.35">
      <c r="A196" s="882"/>
      <c r="B196" s="889" t="s">
        <v>350</v>
      </c>
      <c r="C196" s="893"/>
      <c r="E196" s="389">
        <v>5441000</v>
      </c>
      <c r="F196" s="893"/>
      <c r="H196" s="389">
        <v>5441000</v>
      </c>
      <c r="I196" s="893"/>
      <c r="K196" s="990">
        <v>2112784</v>
      </c>
      <c r="L196" s="1016"/>
      <c r="M196" s="1017"/>
      <c r="N196" s="1015"/>
      <c r="O196" s="39"/>
    </row>
    <row r="197" spans="1:15" s="887" customFormat="1" outlineLevel="3" x14ac:dyDescent="0.35">
      <c r="A197" s="882"/>
      <c r="B197" s="889" t="s">
        <v>292</v>
      </c>
      <c r="C197" s="893"/>
      <c r="E197" s="389">
        <v>3720200</v>
      </c>
      <c r="F197" s="893"/>
      <c r="H197" s="389">
        <v>3720200</v>
      </c>
      <c r="I197" s="893"/>
      <c r="K197" s="990">
        <v>1168631</v>
      </c>
      <c r="L197" s="1016"/>
      <c r="M197" s="1017"/>
      <c r="N197" s="1015"/>
      <c r="O197" s="39"/>
    </row>
    <row r="198" spans="1:15" s="887" customFormat="1" outlineLevel="3" x14ac:dyDescent="0.35">
      <c r="A198" s="882"/>
      <c r="B198" s="889" t="s">
        <v>351</v>
      </c>
      <c r="C198" s="893"/>
      <c r="E198" s="389"/>
      <c r="F198" s="893"/>
      <c r="H198" s="389"/>
      <c r="I198" s="893"/>
      <c r="K198" s="990"/>
      <c r="L198" s="1016"/>
      <c r="M198" s="1017"/>
      <c r="N198" s="1015"/>
      <c r="O198" s="39"/>
    </row>
    <row r="199" spans="1:15" s="887" customFormat="1" outlineLevel="2" x14ac:dyDescent="0.35">
      <c r="A199" s="882" t="s">
        <v>565</v>
      </c>
      <c r="B199" s="883" t="s">
        <v>571</v>
      </c>
      <c r="C199" s="884">
        <v>19</v>
      </c>
      <c r="E199" s="886">
        <v>354053340</v>
      </c>
      <c r="F199" s="884">
        <v>19</v>
      </c>
      <c r="H199" s="886">
        <v>354165340</v>
      </c>
      <c r="I199" s="884">
        <v>19</v>
      </c>
      <c r="K199" s="989">
        <f>SUM(K200:K203)</f>
        <v>110519450</v>
      </c>
      <c r="L199" s="1012">
        <v>19</v>
      </c>
      <c r="M199" s="1017"/>
      <c r="N199" s="1013">
        <f>SUM(N200:N203)</f>
        <v>0</v>
      </c>
      <c r="O199" s="39"/>
    </row>
    <row r="200" spans="1:15" s="887" customFormat="1" outlineLevel="3" x14ac:dyDescent="0.35">
      <c r="A200" s="882"/>
      <c r="B200" s="889" t="s">
        <v>286</v>
      </c>
      <c r="C200" s="893"/>
      <c r="E200" s="389">
        <v>60028000</v>
      </c>
      <c r="F200" s="893"/>
      <c r="H200" s="389">
        <v>60028000</v>
      </c>
      <c r="I200" s="893"/>
      <c r="K200" s="990">
        <f>18391821+7787801</f>
        <v>26179622</v>
      </c>
      <c r="L200" s="1016"/>
      <c r="M200" s="1017"/>
      <c r="N200" s="1015"/>
      <c r="O200" s="39"/>
    </row>
    <row r="201" spans="1:15" s="887" customFormat="1" outlineLevel="3" x14ac:dyDescent="0.35">
      <c r="A201" s="882"/>
      <c r="B201" s="889" t="s">
        <v>350</v>
      </c>
      <c r="C201" s="893"/>
      <c r="E201" s="389">
        <v>9304340</v>
      </c>
      <c r="F201" s="893"/>
      <c r="H201" s="389">
        <v>9304340</v>
      </c>
      <c r="I201" s="893"/>
      <c r="K201" s="990">
        <f>2768568+1202466</f>
        <v>3971034</v>
      </c>
      <c r="L201" s="1016"/>
      <c r="M201" s="1017"/>
      <c r="N201" s="1015"/>
      <c r="O201" s="39"/>
    </row>
    <row r="202" spans="1:15" s="887" customFormat="1" outlineLevel="3" x14ac:dyDescent="0.35">
      <c r="A202" s="882"/>
      <c r="B202" s="889" t="s">
        <v>292</v>
      </c>
      <c r="C202" s="893"/>
      <c r="E202" s="389">
        <v>284721000</v>
      </c>
      <c r="F202" s="893"/>
      <c r="H202" s="389">
        <v>284721000</v>
      </c>
      <c r="I202" s="893"/>
      <c r="K202" s="990">
        <f>48497714+31792857</f>
        <v>80290571</v>
      </c>
      <c r="L202" s="1016"/>
      <c r="M202" s="1017"/>
      <c r="N202" s="1015"/>
      <c r="O202" s="39"/>
    </row>
    <row r="203" spans="1:15" s="887" customFormat="1" outlineLevel="3" x14ac:dyDescent="0.35">
      <c r="A203" s="882"/>
      <c r="B203" s="889" t="s">
        <v>351</v>
      </c>
      <c r="C203" s="893"/>
      <c r="E203" s="389"/>
      <c r="F203" s="893"/>
      <c r="H203" s="389">
        <v>112000</v>
      </c>
      <c r="I203" s="893"/>
      <c r="K203" s="990">
        <v>78223</v>
      </c>
      <c r="L203" s="1016"/>
      <c r="M203" s="1017"/>
      <c r="N203" s="1015"/>
      <c r="O203" s="39"/>
    </row>
    <row r="204" spans="1:15" s="887" customFormat="1" outlineLevel="3" x14ac:dyDescent="0.35">
      <c r="A204" s="899" t="s">
        <v>1184</v>
      </c>
      <c r="B204" s="883" t="s">
        <v>1729</v>
      </c>
      <c r="C204" s="900"/>
      <c r="D204" s="885"/>
      <c r="E204" s="885"/>
      <c r="F204" s="900"/>
      <c r="G204" s="885"/>
      <c r="H204" s="992">
        <v>360724</v>
      </c>
      <c r="I204" s="900"/>
      <c r="J204" s="885"/>
      <c r="K204" s="992">
        <f>K205+K206</f>
        <v>360724</v>
      </c>
      <c r="L204" s="1021"/>
      <c r="M204" s="885"/>
      <c r="N204" s="1022">
        <f>N205+N206</f>
        <v>0</v>
      </c>
      <c r="O204" s="39"/>
    </row>
    <row r="205" spans="1:15" s="903" customFormat="1" outlineLevel="3" x14ac:dyDescent="0.35">
      <c r="A205" s="901"/>
      <c r="B205" s="902" t="s">
        <v>292</v>
      </c>
      <c r="C205" s="890"/>
      <c r="D205" s="892"/>
      <c r="E205" s="892"/>
      <c r="F205" s="890"/>
      <c r="G205" s="892"/>
      <c r="H205" s="892">
        <v>360724</v>
      </c>
      <c r="I205" s="890"/>
      <c r="J205" s="892"/>
      <c r="K205" s="993">
        <v>360724</v>
      </c>
      <c r="L205" s="1014"/>
      <c r="M205" s="892"/>
      <c r="N205" s="1023"/>
      <c r="O205" s="39"/>
    </row>
    <row r="206" spans="1:15" s="903" customFormat="1" outlineLevel="3" x14ac:dyDescent="0.35">
      <c r="A206" s="901"/>
      <c r="B206" s="904" t="s">
        <v>351</v>
      </c>
      <c r="C206" s="890"/>
      <c r="D206" s="892"/>
      <c r="E206" s="892"/>
      <c r="F206" s="890"/>
      <c r="G206" s="892"/>
      <c r="H206" s="892"/>
      <c r="I206" s="890"/>
      <c r="J206" s="892"/>
      <c r="K206" s="993"/>
      <c r="L206" s="1014"/>
      <c r="M206" s="892"/>
      <c r="N206" s="1023"/>
      <c r="O206" s="39"/>
    </row>
    <row r="207" spans="1:15" ht="15" outlineLevel="1" thickBot="1" x14ac:dyDescent="0.4">
      <c r="A207" s="559" t="s">
        <v>318</v>
      </c>
      <c r="B207" s="649" t="s">
        <v>353</v>
      </c>
      <c r="C207" s="378">
        <v>0</v>
      </c>
      <c r="D207" s="351">
        <v>0</v>
      </c>
      <c r="E207" s="351">
        <v>0</v>
      </c>
      <c r="F207" s="378">
        <v>0</v>
      </c>
      <c r="G207" s="351">
        <v>0</v>
      </c>
      <c r="H207" s="351">
        <v>0</v>
      </c>
      <c r="I207" s="378">
        <v>0</v>
      </c>
      <c r="J207" s="351">
        <v>0</v>
      </c>
      <c r="K207" s="984">
        <v>0</v>
      </c>
      <c r="L207" s="1024">
        <v>0</v>
      </c>
      <c r="M207" s="1025">
        <v>0</v>
      </c>
      <c r="N207" s="1026">
        <v>0</v>
      </c>
    </row>
    <row r="214" spans="5:14" x14ac:dyDescent="0.35">
      <c r="E214" s="39"/>
      <c r="H214" s="39"/>
      <c r="K214" s="39"/>
      <c r="N214" s="39"/>
    </row>
    <row r="215" spans="5:14" x14ac:dyDescent="0.35">
      <c r="E215" s="39"/>
      <c r="H215" s="39"/>
      <c r="K215" s="39"/>
      <c r="N215" s="39"/>
    </row>
    <row r="216" spans="5:14" x14ac:dyDescent="0.35">
      <c r="E216" s="39"/>
      <c r="H216" s="39"/>
      <c r="K216" s="39"/>
      <c r="N216" s="39"/>
    </row>
    <row r="217" spans="5:14" x14ac:dyDescent="0.35">
      <c r="E217" s="39"/>
      <c r="H217" s="39"/>
      <c r="K217" s="39"/>
      <c r="N217" s="39"/>
    </row>
    <row r="218" spans="5:14" x14ac:dyDescent="0.35">
      <c r="E218" s="39"/>
      <c r="H218" s="39"/>
      <c r="K218" s="39"/>
      <c r="N218" s="39"/>
    </row>
    <row r="219" spans="5:14" x14ac:dyDescent="0.35">
      <c r="E219" s="39"/>
      <c r="H219" s="39"/>
      <c r="K219" s="39"/>
      <c r="N219" s="39"/>
    </row>
    <row r="220" spans="5:14" x14ac:dyDescent="0.35">
      <c r="E220" s="39"/>
      <c r="H220" s="39"/>
      <c r="K220" s="39"/>
      <c r="N220" s="39"/>
    </row>
    <row r="222" spans="5:14" x14ac:dyDescent="0.35">
      <c r="H222" s="39"/>
    </row>
    <row r="223" spans="5:14" x14ac:dyDescent="0.35">
      <c r="K223" s="39"/>
    </row>
  </sheetData>
  <mergeCells count="18">
    <mergeCell ref="L2:L3"/>
    <mergeCell ref="M2:M3"/>
    <mergeCell ref="N2:N3"/>
    <mergeCell ref="L4:N4"/>
    <mergeCell ref="I2:I3"/>
    <mergeCell ref="J2:J3"/>
    <mergeCell ref="K2:K3"/>
    <mergeCell ref="I4:K4"/>
    <mergeCell ref="A2:A4"/>
    <mergeCell ref="B2:B4"/>
    <mergeCell ref="F2:F3"/>
    <mergeCell ref="G2:G3"/>
    <mergeCell ref="H2:H3"/>
    <mergeCell ref="F4:H4"/>
    <mergeCell ref="C2:C3"/>
    <mergeCell ref="D2:D3"/>
    <mergeCell ref="E2:E3"/>
    <mergeCell ref="C4:E4"/>
  </mergeCells>
  <printOptions horizontalCentered="1" gridLines="1"/>
  <pageMargins left="0.19685039370078741" right="0.19685039370078741" top="1.0416666666666667" bottom="0.47244094488188981" header="0.15748031496062992" footer="0.27559055118110237"/>
  <pageSetup paperSize="9" scale="53" fitToWidth="0" fitToHeight="6" pageOrder="overThenDown" orientation="portrait" r:id="rId1"/>
  <headerFooter>
    <oddHeader>&amp;L5.  melléklet &amp;C&amp;"-,Félkövér"&amp;16
A gazdasági szervezettel nem rendelkező költségvetési szervek 2021. évi kiadásai költségvetési szervenként és feladatonként részletes bontásban</oddHeader>
    <oddFooter>&amp;C&amp;P&amp;R&amp;D, &amp;T</oddFooter>
  </headerFooter>
  <rowBreaks count="3" manualBreakCount="3">
    <brk id="85" max="13" man="1"/>
    <brk id="165" max="13" man="1"/>
    <brk id="207" max="24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19"/>
  <sheetViews>
    <sheetView showZeros="0" view="pageBreakPreview" zoomScale="124" zoomScaleNormal="100" zoomScaleSheetLayoutView="124" workbookViewId="0">
      <selection activeCell="C19" sqref="C19"/>
    </sheetView>
  </sheetViews>
  <sheetFormatPr defaultColWidth="12.26953125" defaultRowHeight="12.5" x14ac:dyDescent="0.25"/>
  <cols>
    <col min="1" max="1" width="57" style="290" customWidth="1"/>
    <col min="2" max="2" width="14" style="746" customWidth="1"/>
    <col min="3" max="3" width="14" style="290" customWidth="1"/>
    <col min="4" max="7" width="12.26953125" style="290" hidden="1" customWidth="1"/>
    <col min="8" max="16384" width="12.26953125" style="290"/>
  </cols>
  <sheetData>
    <row r="1" spans="1:7" s="289" customFormat="1" ht="42.65" customHeight="1" x14ac:dyDescent="0.35">
      <c r="A1" s="1118" t="s">
        <v>1233</v>
      </c>
      <c r="B1" s="1118"/>
      <c r="C1" s="1118"/>
      <c r="D1" s="1118"/>
      <c r="E1" s="1118"/>
      <c r="F1" s="1118"/>
      <c r="G1" s="1118"/>
    </row>
    <row r="2" spans="1:7" ht="39.75" customHeight="1" x14ac:dyDescent="0.25">
      <c r="A2" s="1119" t="s">
        <v>1234</v>
      </c>
      <c r="B2" s="1116" t="s">
        <v>1356</v>
      </c>
      <c r="C2" s="1117" t="s">
        <v>1445</v>
      </c>
      <c r="D2" s="1116" t="s">
        <v>1819</v>
      </c>
      <c r="E2" s="1117" t="s">
        <v>1445</v>
      </c>
      <c r="F2" s="1117" t="s">
        <v>1235</v>
      </c>
      <c r="G2" s="1117" t="s">
        <v>1238</v>
      </c>
    </row>
    <row r="3" spans="1:7" s="291" customFormat="1" ht="24" customHeight="1" x14ac:dyDescent="0.35">
      <c r="A3" s="1119"/>
      <c r="B3" s="1116"/>
      <c r="C3" s="1117"/>
      <c r="D3" s="1116"/>
      <c r="E3" s="1117"/>
      <c r="F3" s="1117"/>
      <c r="G3" s="1117"/>
    </row>
    <row r="4" spans="1:7" s="291" customFormat="1" x14ac:dyDescent="0.35">
      <c r="A4" s="292"/>
      <c r="B4" s="740" t="s">
        <v>1792</v>
      </c>
      <c r="C4" s="293" t="s">
        <v>1792</v>
      </c>
      <c r="D4" s="740" t="s">
        <v>1792</v>
      </c>
      <c r="E4" s="293"/>
      <c r="F4" s="740" t="s">
        <v>1792</v>
      </c>
      <c r="G4" s="740" t="s">
        <v>1792</v>
      </c>
    </row>
    <row r="5" spans="1:7" s="295" customFormat="1" ht="24" customHeight="1" x14ac:dyDescent="0.35">
      <c r="A5" s="294" t="s">
        <v>1236</v>
      </c>
      <c r="B5" s="741"/>
      <c r="C5" s="294"/>
      <c r="D5" s="741"/>
      <c r="E5" s="294"/>
      <c r="F5" s="294"/>
      <c r="G5" s="294"/>
    </row>
    <row r="6" spans="1:7" s="295" customFormat="1" ht="23.25" customHeight="1" x14ac:dyDescent="0.35">
      <c r="A6" s="296" t="s">
        <v>1211</v>
      </c>
      <c r="B6" s="742">
        <f>'2.2 melléklet'!F5</f>
        <v>11</v>
      </c>
      <c r="C6" s="744">
        <f>'2.2 melléklet'!G5</f>
        <v>11</v>
      </c>
      <c r="D6" s="744">
        <f>'2.2 melléklet'!H5</f>
        <v>0</v>
      </c>
      <c r="E6" s="297"/>
      <c r="F6" s="297">
        <f>'2.2 melléklet'!F6</f>
        <v>0</v>
      </c>
      <c r="G6" s="297">
        <v>0</v>
      </c>
    </row>
    <row r="7" spans="1:7" s="295" customFormat="1" ht="23.25" customHeight="1" x14ac:dyDescent="0.35">
      <c r="A7" s="296" t="s">
        <v>978</v>
      </c>
      <c r="B7" s="742">
        <f>'3.1 melléklet'!F5</f>
        <v>84</v>
      </c>
      <c r="C7" s="744">
        <f>'3.1 melléklet'!J5</f>
        <v>84</v>
      </c>
      <c r="D7" s="744">
        <f>'3.1 melléklet'!H5</f>
        <v>5</v>
      </c>
      <c r="E7" s="297"/>
      <c r="F7" s="297">
        <f>'3.1 melléklet'!F6</f>
        <v>0</v>
      </c>
      <c r="G7" s="297"/>
    </row>
    <row r="8" spans="1:7" s="301" customFormat="1" ht="23.25" customHeight="1" x14ac:dyDescent="0.35">
      <c r="A8" s="299" t="s">
        <v>1011</v>
      </c>
      <c r="B8" s="743">
        <f t="shared" ref="B8:F8" si="0">SUM(B6:B7)</f>
        <v>95</v>
      </c>
      <c r="C8" s="300">
        <f t="shared" si="0"/>
        <v>95</v>
      </c>
      <c r="D8" s="743">
        <f t="shared" ref="D8:E8" si="1">SUM(D6:D7)</f>
        <v>5</v>
      </c>
      <c r="E8" s="300">
        <f t="shared" si="1"/>
        <v>0</v>
      </c>
      <c r="F8" s="300">
        <f t="shared" si="0"/>
        <v>0</v>
      </c>
      <c r="G8" s="300">
        <f>SUM(G7:G7)</f>
        <v>0</v>
      </c>
    </row>
    <row r="9" spans="1:7" s="295" customFormat="1" ht="23.25" customHeight="1" x14ac:dyDescent="0.35">
      <c r="A9" s="294" t="s">
        <v>1212</v>
      </c>
      <c r="B9" s="741"/>
      <c r="C9" s="294"/>
      <c r="D9" s="741"/>
      <c r="E9" s="294"/>
      <c r="F9" s="294"/>
      <c r="G9" s="294"/>
    </row>
    <row r="10" spans="1:7" s="289" customFormat="1" ht="23.25" customHeight="1" x14ac:dyDescent="0.35">
      <c r="A10" s="298" t="s">
        <v>347</v>
      </c>
      <c r="B10" s="742">
        <f>'4.1 melléklet'!E6</f>
        <v>13</v>
      </c>
      <c r="C10" s="744">
        <f>'4.1 melléklet'!H6</f>
        <v>13</v>
      </c>
      <c r="D10" s="744">
        <f>'4.1 melléklet'!G6</f>
        <v>0</v>
      </c>
      <c r="E10" s="701"/>
      <c r="F10" s="302"/>
      <c r="G10" s="302">
        <v>0</v>
      </c>
    </row>
    <row r="11" spans="1:7" s="289" customFormat="1" ht="23.25" customHeight="1" x14ac:dyDescent="0.35">
      <c r="A11" s="298" t="s">
        <v>354</v>
      </c>
      <c r="B11" s="742">
        <f>'4.2 melléklet'!E6</f>
        <v>32</v>
      </c>
      <c r="C11" s="744">
        <f>'4.2 melléklet'!H6</f>
        <v>32</v>
      </c>
      <c r="D11" s="744">
        <f>'4.2 melléklet'!G6</f>
        <v>0</v>
      </c>
      <c r="E11" s="701"/>
      <c r="F11" s="303"/>
      <c r="G11" s="303">
        <v>0</v>
      </c>
    </row>
    <row r="12" spans="1:7" s="289" customFormat="1" ht="23.25" customHeight="1" x14ac:dyDescent="0.35">
      <c r="A12" s="298" t="s">
        <v>355</v>
      </c>
      <c r="B12" s="742">
        <f>'4.3 melléklet'!E6</f>
        <v>55</v>
      </c>
      <c r="C12" s="744">
        <f>'4.3 melléklet'!H6</f>
        <v>55</v>
      </c>
      <c r="D12" s="744">
        <f>'4.3 melléklet'!G6</f>
        <v>0</v>
      </c>
      <c r="E12" s="701"/>
      <c r="F12" s="302"/>
      <c r="G12" s="302">
        <v>0</v>
      </c>
    </row>
    <row r="13" spans="1:7" s="289" customFormat="1" ht="23.25" customHeight="1" x14ac:dyDescent="0.35">
      <c r="A13" s="298" t="s">
        <v>356</v>
      </c>
      <c r="B13" s="742">
        <v>15.5</v>
      </c>
      <c r="C13" s="744">
        <f>+'4.4 melléklet'!H6</f>
        <v>16</v>
      </c>
      <c r="D13" s="744">
        <v>15.5</v>
      </c>
      <c r="E13" s="701"/>
      <c r="F13" s="303"/>
      <c r="G13" s="303">
        <v>0</v>
      </c>
    </row>
    <row r="14" spans="1:7" s="289" customFormat="1" ht="23.25" customHeight="1" x14ac:dyDescent="0.35">
      <c r="A14" s="298" t="s">
        <v>1218</v>
      </c>
      <c r="B14" s="742">
        <f>+'4.5 melléklet'!E6</f>
        <v>5.5</v>
      </c>
      <c r="C14" s="744">
        <f>+'4.5 melléklet'!H6</f>
        <v>5.5</v>
      </c>
      <c r="D14" s="744">
        <f>+'4.5 melléklet'!G6</f>
        <v>1</v>
      </c>
      <c r="E14" s="701"/>
      <c r="F14" s="303"/>
      <c r="G14" s="303">
        <v>0</v>
      </c>
    </row>
    <row r="15" spans="1:7" s="289" customFormat="1" ht="23.25" customHeight="1" x14ac:dyDescent="0.35">
      <c r="A15" s="298" t="s">
        <v>362</v>
      </c>
      <c r="B15" s="742">
        <v>19</v>
      </c>
      <c r="C15" s="744">
        <f>+'4.6 melléklet'!H6</f>
        <v>20</v>
      </c>
      <c r="D15" s="744">
        <v>19</v>
      </c>
      <c r="E15" s="701"/>
      <c r="F15" s="302"/>
      <c r="G15" s="302">
        <v>0</v>
      </c>
    </row>
    <row r="16" spans="1:7" s="289" customFormat="1" ht="23.25" customHeight="1" x14ac:dyDescent="0.35">
      <c r="A16" s="298" t="s">
        <v>1281</v>
      </c>
      <c r="B16" s="742">
        <f>+'4.7 melléklet'!E6</f>
        <v>24</v>
      </c>
      <c r="C16" s="744">
        <f>+'4.7 melléklet'!F6</f>
        <v>24</v>
      </c>
      <c r="D16" s="744">
        <f>+'4.7 melléklet'!G6</f>
        <v>0</v>
      </c>
      <c r="E16" s="701"/>
      <c r="F16" s="302"/>
      <c r="G16" s="302"/>
    </row>
    <row r="17" spans="1:7" s="289" customFormat="1" ht="23.25" customHeight="1" x14ac:dyDescent="0.35">
      <c r="A17" s="298" t="s">
        <v>981</v>
      </c>
      <c r="B17" s="744">
        <v>68.75</v>
      </c>
      <c r="C17" s="744">
        <v>68.75</v>
      </c>
      <c r="D17" s="744">
        <v>68.75</v>
      </c>
      <c r="E17" s="701"/>
      <c r="F17" s="701"/>
      <c r="G17" s="701"/>
    </row>
    <row r="18" spans="1:7" s="301" customFormat="1" ht="23.25" customHeight="1" x14ac:dyDescent="0.35">
      <c r="A18" s="299" t="s">
        <v>1011</v>
      </c>
      <c r="B18" s="743">
        <f>SUM(B10:B17)</f>
        <v>232.75</v>
      </c>
      <c r="C18" s="743">
        <f>SUM(C10:C17)</f>
        <v>234.25</v>
      </c>
      <c r="D18" s="743">
        <f>SUM(D10:D17)</f>
        <v>104.25</v>
      </c>
      <c r="E18" s="304">
        <f>SUM(E10:E16)</f>
        <v>0</v>
      </c>
      <c r="F18" s="304">
        <f>SUM(F10:F15)</f>
        <v>0</v>
      </c>
      <c r="G18" s="304">
        <f>SUM(G10:G15)</f>
        <v>0</v>
      </c>
    </row>
    <row r="19" spans="1:7" s="307" customFormat="1" ht="23.25" customHeight="1" x14ac:dyDescent="0.35">
      <c r="A19" s="305" t="s">
        <v>1237</v>
      </c>
      <c r="B19" s="745">
        <f t="shared" ref="B19:G19" si="2">B18+B8</f>
        <v>327.75</v>
      </c>
      <c r="C19" s="1061">
        <f t="shared" si="2"/>
        <v>329.25</v>
      </c>
      <c r="D19" s="745">
        <f t="shared" ref="D19:E19" si="3">D18+D8</f>
        <v>109.25</v>
      </c>
      <c r="E19" s="306">
        <f t="shared" si="3"/>
        <v>0</v>
      </c>
      <c r="F19" s="306">
        <f t="shared" si="2"/>
        <v>0</v>
      </c>
      <c r="G19" s="306">
        <f t="shared" si="2"/>
        <v>0</v>
      </c>
    </row>
  </sheetData>
  <mergeCells count="8">
    <mergeCell ref="B2:B3"/>
    <mergeCell ref="F2:F3"/>
    <mergeCell ref="G2:G3"/>
    <mergeCell ref="A1:G1"/>
    <mergeCell ref="A2:A3"/>
    <mergeCell ref="C2:C3"/>
    <mergeCell ref="D2:D3"/>
    <mergeCell ref="E2:E3"/>
  </mergeCells>
  <pageMargins left="0.78740157480314965" right="0.78740157480314965" top="1.0236220472440944" bottom="1.0236220472440944" header="0.78740157480314965" footer="0.78740157480314965"/>
  <pageSetup paperSize="9" firstPageNumber="0" orientation="portrait" r:id="rId1"/>
  <headerFooter alignWithMargins="0">
    <oddHeader xml:space="preserve">&amp;L 6. melléklet </oddHeader>
    <oddFooter xml:space="preserve">&amp;C&amp;10&amp;P&amp;R&amp;10&amp;D 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T184"/>
  <sheetViews>
    <sheetView topLeftCell="B1" zoomScale="150" zoomScaleNormal="150" zoomScaleSheetLayoutView="100" workbookViewId="0">
      <pane xSplit="2" ySplit="3" topLeftCell="D102" activePane="bottomRight" state="frozen"/>
      <selection activeCell="B1" sqref="B1"/>
      <selection pane="topRight" activeCell="D1" sqref="D1"/>
      <selection pane="bottomLeft" activeCell="B4" sqref="B4"/>
      <selection pane="bottomRight" activeCell="E113" sqref="E113"/>
    </sheetView>
  </sheetViews>
  <sheetFormatPr defaultColWidth="11.7265625" defaultRowHeight="14.15" customHeight="1" x14ac:dyDescent="0.35"/>
  <cols>
    <col min="1" max="1" width="5.7265625" style="4" customWidth="1"/>
    <col min="2" max="2" width="7.7265625" style="4" customWidth="1"/>
    <col min="3" max="3" width="30.7265625" style="5" customWidth="1"/>
    <col min="4" max="5" width="10.81640625" style="6" customWidth="1"/>
    <col min="6" max="6" width="9.81640625" style="6" bestFit="1" customWidth="1"/>
    <col min="7" max="7" width="9.81640625" style="6" customWidth="1"/>
    <col min="8" max="8" width="10.7265625" style="6" customWidth="1"/>
    <col min="9" max="9" width="12" style="6" customWidth="1"/>
    <col min="10" max="10" width="10.7265625" style="6" customWidth="1"/>
    <col min="11" max="11" width="12" style="6" customWidth="1"/>
    <col min="12" max="16384" width="11.7265625" style="5"/>
  </cols>
  <sheetData>
    <row r="1" spans="1:11" s="1" customFormat="1" ht="12.75" customHeight="1" x14ac:dyDescent="0.35">
      <c r="A1" s="1120" t="s">
        <v>572</v>
      </c>
      <c r="B1" s="1121"/>
      <c r="C1" s="1121"/>
      <c r="D1" s="1121"/>
      <c r="E1" s="1121"/>
      <c r="F1" s="1121"/>
      <c r="G1" s="1121"/>
      <c r="H1" s="1121"/>
      <c r="I1" s="1121"/>
      <c r="J1" s="1121"/>
      <c r="K1" s="1122"/>
    </row>
    <row r="2" spans="1:11" s="1" customFormat="1" ht="14.15" customHeight="1" x14ac:dyDescent="0.35">
      <c r="A2" s="1101" t="s">
        <v>0</v>
      </c>
      <c r="B2" s="1102" t="s">
        <v>1</v>
      </c>
      <c r="C2" s="1101" t="s">
        <v>2</v>
      </c>
      <c r="D2" s="1103" t="s">
        <v>260</v>
      </c>
      <c r="E2" s="1096" t="s">
        <v>259</v>
      </c>
      <c r="F2" s="1098" t="s">
        <v>360</v>
      </c>
      <c r="G2" s="1099"/>
      <c r="H2" s="1098" t="s">
        <v>575</v>
      </c>
      <c r="I2" s="1099"/>
      <c r="J2" s="1098" t="s">
        <v>361</v>
      </c>
      <c r="K2" s="1099"/>
    </row>
    <row r="3" spans="1:11" s="3" customFormat="1" ht="25.5" customHeight="1" x14ac:dyDescent="0.35">
      <c r="A3" s="1101"/>
      <c r="B3" s="1102"/>
      <c r="C3" s="1101"/>
      <c r="D3" s="1103"/>
      <c r="E3" s="1097"/>
      <c r="F3" s="2" t="s">
        <v>263</v>
      </c>
      <c r="G3" s="2" t="s">
        <v>259</v>
      </c>
      <c r="H3" s="2" t="s">
        <v>260</v>
      </c>
      <c r="I3" s="2" t="s">
        <v>259</v>
      </c>
      <c r="J3" s="2" t="s">
        <v>260</v>
      </c>
      <c r="K3" s="2" t="s">
        <v>259</v>
      </c>
    </row>
    <row r="4" spans="1:11" ht="5.65" customHeight="1" x14ac:dyDescent="0.35"/>
    <row r="5" spans="1:11" ht="14.15" customHeight="1" x14ac:dyDescent="0.35">
      <c r="A5" s="1100" t="s">
        <v>3</v>
      </c>
      <c r="B5" s="1100"/>
      <c r="C5" s="1100"/>
      <c r="D5" s="1100"/>
      <c r="E5" s="1100"/>
      <c r="F5" s="1100"/>
      <c r="G5" s="1100"/>
      <c r="H5" s="1100"/>
      <c r="I5" s="1100"/>
      <c r="J5" s="96"/>
      <c r="K5" s="96"/>
    </row>
    <row r="6" spans="1:11" s="3" customFormat="1" ht="12.75" customHeight="1" x14ac:dyDescent="0.35">
      <c r="A6" s="7" t="s">
        <v>4</v>
      </c>
      <c r="B6" s="7" t="s">
        <v>5</v>
      </c>
      <c r="C6" s="8" t="s">
        <v>6</v>
      </c>
      <c r="D6" s="9">
        <f>F6+H6+J6</f>
        <v>9466</v>
      </c>
      <c r="E6" s="9">
        <f>G6+I6+K6</f>
        <v>8028</v>
      </c>
      <c r="F6" s="10">
        <v>7546</v>
      </c>
      <c r="G6" s="10">
        <v>8028</v>
      </c>
      <c r="H6" s="10">
        <v>0</v>
      </c>
      <c r="I6" s="10">
        <f>SUM(I7:I19)</f>
        <v>0</v>
      </c>
      <c r="J6" s="10">
        <v>1920</v>
      </c>
      <c r="K6" s="10">
        <v>0</v>
      </c>
    </row>
    <row r="7" spans="1:11" s="15" customFormat="1" ht="11.5" hidden="1" customHeight="1" x14ac:dyDescent="0.35">
      <c r="A7" s="11"/>
      <c r="B7" s="11"/>
      <c r="C7" s="12"/>
      <c r="D7" s="13"/>
      <c r="E7" s="13"/>
      <c r="F7" s="14"/>
      <c r="G7" s="14"/>
      <c r="H7" s="14"/>
      <c r="I7" s="14"/>
      <c r="J7" s="14"/>
      <c r="K7" s="14"/>
    </row>
    <row r="8" spans="1:11" s="15" customFormat="1" ht="11.5" hidden="1" customHeight="1" x14ac:dyDescent="0.35">
      <c r="A8" s="11"/>
      <c r="B8" s="11"/>
      <c r="C8" s="12"/>
      <c r="D8" s="13"/>
      <c r="E8" s="13"/>
      <c r="F8" s="14"/>
      <c r="G8" s="14"/>
      <c r="H8" s="14"/>
      <c r="I8" s="14"/>
      <c r="J8" s="14"/>
      <c r="K8" s="14"/>
    </row>
    <row r="9" spans="1:11" s="15" customFormat="1" ht="11.5" hidden="1" customHeight="1" x14ac:dyDescent="0.35">
      <c r="A9" s="11"/>
      <c r="B9" s="11"/>
      <c r="C9" s="12"/>
      <c r="D9" s="13"/>
      <c r="E9" s="13"/>
      <c r="F9" s="14"/>
      <c r="G9" s="14"/>
      <c r="H9" s="14"/>
      <c r="I9" s="14"/>
      <c r="J9" s="14"/>
      <c r="K9" s="14"/>
    </row>
    <row r="10" spans="1:11" s="15" customFormat="1" ht="11.5" hidden="1" customHeight="1" x14ac:dyDescent="0.35">
      <c r="A10" s="11"/>
      <c r="B10" s="11"/>
      <c r="C10" s="12"/>
      <c r="D10" s="13"/>
      <c r="E10" s="13"/>
      <c r="F10" s="14"/>
      <c r="G10" s="14"/>
      <c r="H10" s="14"/>
      <c r="I10" s="14"/>
      <c r="J10" s="14"/>
      <c r="K10" s="14"/>
    </row>
    <row r="11" spans="1:11" s="15" customFormat="1" ht="11.5" hidden="1" customHeight="1" x14ac:dyDescent="0.35">
      <c r="A11" s="11"/>
      <c r="B11" s="11"/>
      <c r="C11" s="12"/>
      <c r="D11" s="13"/>
      <c r="E11" s="13"/>
      <c r="F11" s="14"/>
      <c r="G11" s="14"/>
      <c r="H11" s="14"/>
      <c r="I11" s="14"/>
      <c r="J11" s="14"/>
      <c r="K11" s="14"/>
    </row>
    <row r="12" spans="1:11" s="15" customFormat="1" ht="11.5" hidden="1" customHeight="1" x14ac:dyDescent="0.35">
      <c r="A12" s="11"/>
      <c r="B12" s="11"/>
      <c r="C12" s="12"/>
      <c r="D12" s="13"/>
      <c r="E12" s="13"/>
      <c r="F12" s="14"/>
      <c r="G12" s="14"/>
      <c r="H12" s="14"/>
      <c r="I12" s="14"/>
      <c r="J12" s="14"/>
      <c r="K12" s="14"/>
    </row>
    <row r="13" spans="1:11" s="15" customFormat="1" ht="11.5" hidden="1" customHeight="1" x14ac:dyDescent="0.35">
      <c r="A13" s="11"/>
      <c r="B13" s="11"/>
      <c r="C13" s="12"/>
      <c r="D13" s="13"/>
      <c r="E13" s="13"/>
      <c r="F13" s="14"/>
      <c r="G13" s="14"/>
      <c r="H13" s="14"/>
      <c r="I13" s="14"/>
      <c r="J13" s="14"/>
      <c r="K13" s="14"/>
    </row>
    <row r="14" spans="1:11" s="15" customFormat="1" ht="11.5" hidden="1" customHeight="1" x14ac:dyDescent="0.35">
      <c r="A14" s="11"/>
      <c r="B14" s="11"/>
      <c r="C14" s="12"/>
      <c r="D14" s="13"/>
      <c r="E14" s="13"/>
      <c r="F14" s="14"/>
      <c r="G14" s="14"/>
      <c r="H14" s="14"/>
      <c r="I14" s="14"/>
      <c r="J14" s="14"/>
      <c r="K14" s="14"/>
    </row>
    <row r="15" spans="1:11" s="15" customFormat="1" ht="11.5" hidden="1" customHeight="1" x14ac:dyDescent="0.35">
      <c r="A15" s="11"/>
      <c r="B15" s="11"/>
      <c r="C15" s="12"/>
      <c r="D15" s="13"/>
      <c r="E15" s="13"/>
      <c r="F15" s="14"/>
      <c r="G15" s="14"/>
      <c r="H15" s="14"/>
      <c r="I15" s="14"/>
      <c r="J15" s="14"/>
      <c r="K15" s="14"/>
    </row>
    <row r="16" spans="1:11" s="15" customFormat="1" ht="11.5" hidden="1" customHeight="1" x14ac:dyDescent="0.35">
      <c r="A16" s="11"/>
      <c r="B16" s="11"/>
      <c r="C16" s="12"/>
      <c r="D16" s="13"/>
      <c r="E16" s="13"/>
      <c r="F16" s="14"/>
      <c r="G16" s="14"/>
      <c r="H16" s="14"/>
      <c r="I16" s="14"/>
      <c r="J16" s="14"/>
      <c r="K16" s="14"/>
    </row>
    <row r="17" spans="1:11" s="15" customFormat="1" ht="11.5" hidden="1" customHeight="1" x14ac:dyDescent="0.35">
      <c r="A17" s="11"/>
      <c r="B17" s="11"/>
      <c r="C17" s="12"/>
      <c r="D17" s="13"/>
      <c r="E17" s="13"/>
      <c r="F17" s="14"/>
      <c r="G17" s="14"/>
      <c r="H17" s="14"/>
      <c r="I17" s="14"/>
      <c r="J17" s="14"/>
      <c r="K17" s="14"/>
    </row>
    <row r="18" spans="1:11" s="15" customFormat="1" ht="11.5" hidden="1" customHeight="1" x14ac:dyDescent="0.35">
      <c r="A18" s="11"/>
      <c r="B18" s="11"/>
      <c r="C18" s="12"/>
      <c r="D18" s="13"/>
      <c r="E18" s="13"/>
      <c r="F18" s="14"/>
      <c r="G18" s="14"/>
      <c r="H18" s="14"/>
      <c r="I18" s="14"/>
      <c r="J18" s="14"/>
      <c r="K18" s="14"/>
    </row>
    <row r="19" spans="1:11" s="15" customFormat="1" ht="11.5" hidden="1" customHeight="1" x14ac:dyDescent="0.35">
      <c r="A19" s="11"/>
      <c r="B19" s="11"/>
      <c r="C19" s="12"/>
      <c r="D19" s="13"/>
      <c r="E19" s="13"/>
      <c r="F19" s="14"/>
      <c r="G19" s="14"/>
      <c r="H19" s="14"/>
      <c r="I19" s="14"/>
      <c r="J19" s="14"/>
      <c r="K19" s="14"/>
    </row>
    <row r="20" spans="1:11" s="3" customFormat="1" ht="12.75" customHeight="1" x14ac:dyDescent="0.35">
      <c r="A20" s="7" t="s">
        <v>7</v>
      </c>
      <c r="B20" s="7" t="s">
        <v>8</v>
      </c>
      <c r="C20" s="8" t="s">
        <v>9</v>
      </c>
      <c r="D20" s="9">
        <f t="shared" ref="D20:E22" si="0">F20+H20+J20</f>
        <v>0</v>
      </c>
      <c r="E20" s="9">
        <f t="shared" si="0"/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1:11" s="3" customFormat="1" ht="12.75" customHeight="1" x14ac:dyDescent="0.35">
      <c r="A21" s="7" t="s">
        <v>10</v>
      </c>
      <c r="B21" s="7" t="s">
        <v>11</v>
      </c>
      <c r="C21" s="8" t="s">
        <v>12</v>
      </c>
      <c r="D21" s="9">
        <f t="shared" si="0"/>
        <v>0</v>
      </c>
      <c r="E21" s="9">
        <f t="shared" si="0"/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1" s="3" customFormat="1" ht="12.75" customHeight="1" x14ac:dyDescent="0.35">
      <c r="A22" s="7" t="s">
        <v>13</v>
      </c>
      <c r="B22" s="7" t="s">
        <v>14</v>
      </c>
      <c r="C22" s="8" t="s">
        <v>15</v>
      </c>
      <c r="D22" s="9">
        <f t="shared" si="0"/>
        <v>50</v>
      </c>
      <c r="E22" s="9">
        <f t="shared" si="0"/>
        <v>50</v>
      </c>
      <c r="F22" s="10">
        <f>SUM(F23:F24)</f>
        <v>50</v>
      </c>
      <c r="G22" s="10">
        <f>SUM(G23:G24)</f>
        <v>50</v>
      </c>
      <c r="H22" s="10">
        <v>0</v>
      </c>
      <c r="I22" s="10">
        <f>SUM(I23:I24)</f>
        <v>0</v>
      </c>
      <c r="J22" s="10">
        <v>0</v>
      </c>
      <c r="K22" s="10">
        <v>0</v>
      </c>
    </row>
    <row r="23" spans="1:11" s="15" customFormat="1" ht="11.5" customHeight="1" x14ac:dyDescent="0.35">
      <c r="A23" s="11"/>
      <c r="B23" s="11"/>
      <c r="C23" s="12" t="s">
        <v>16</v>
      </c>
      <c r="D23" s="13"/>
      <c r="E23" s="13"/>
      <c r="F23" s="14">
        <v>50</v>
      </c>
      <c r="G23" s="14">
        <v>50</v>
      </c>
      <c r="H23" s="14"/>
      <c r="I23" s="14"/>
      <c r="J23" s="14"/>
      <c r="K23" s="14"/>
    </row>
    <row r="24" spans="1:11" s="15" customFormat="1" ht="11.5" customHeight="1" x14ac:dyDescent="0.35">
      <c r="A24" s="11"/>
      <c r="B24" s="11"/>
      <c r="C24" s="12" t="s">
        <v>17</v>
      </c>
      <c r="D24" s="13"/>
      <c r="E24" s="13"/>
      <c r="F24" s="14">
        <v>0</v>
      </c>
      <c r="G24" s="14">
        <v>0</v>
      </c>
      <c r="H24" s="14"/>
      <c r="I24" s="14"/>
      <c r="J24" s="14"/>
      <c r="K24" s="14"/>
    </row>
    <row r="25" spans="1:11" s="3" customFormat="1" ht="12.75" customHeight="1" x14ac:dyDescent="0.35">
      <c r="A25" s="7" t="s">
        <v>18</v>
      </c>
      <c r="B25" s="7" t="s">
        <v>19</v>
      </c>
      <c r="C25" s="8" t="s">
        <v>20</v>
      </c>
      <c r="D25" s="9">
        <f t="shared" ref="D25:E27" si="1">F25+H25+J25</f>
        <v>0</v>
      </c>
      <c r="E25" s="9">
        <f t="shared" si="1"/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</row>
    <row r="26" spans="1:11" s="3" customFormat="1" ht="12.75" customHeight="1" x14ac:dyDescent="0.35">
      <c r="A26" s="7" t="s">
        <v>21</v>
      </c>
      <c r="B26" s="7" t="s">
        <v>22</v>
      </c>
      <c r="C26" s="8" t="s">
        <v>23</v>
      </c>
      <c r="D26" s="9">
        <f t="shared" si="1"/>
        <v>0</v>
      </c>
      <c r="E26" s="9">
        <f t="shared" si="1"/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</row>
    <row r="27" spans="1:11" s="3" customFormat="1" ht="12.75" customHeight="1" x14ac:dyDescent="0.35">
      <c r="A27" s="7" t="s">
        <v>24</v>
      </c>
      <c r="B27" s="7" t="s">
        <v>25</v>
      </c>
      <c r="C27" s="8" t="s">
        <v>26</v>
      </c>
      <c r="D27" s="9">
        <f t="shared" si="1"/>
        <v>348</v>
      </c>
      <c r="E27" s="9">
        <f t="shared" si="1"/>
        <v>384</v>
      </c>
      <c r="F27" s="10">
        <v>348</v>
      </c>
      <c r="G27" s="10">
        <f>G28</f>
        <v>384</v>
      </c>
      <c r="H27" s="10">
        <v>0</v>
      </c>
      <c r="I27" s="10">
        <f>I28</f>
        <v>0</v>
      </c>
      <c r="J27" s="10">
        <v>0</v>
      </c>
      <c r="K27" s="10">
        <v>0</v>
      </c>
    </row>
    <row r="28" spans="1:11" s="15" customFormat="1" ht="11.5" customHeight="1" x14ac:dyDescent="0.35">
      <c r="A28" s="11"/>
      <c r="B28" s="11"/>
      <c r="C28" s="12" t="s">
        <v>1022</v>
      </c>
      <c r="D28" s="13"/>
      <c r="E28" s="13"/>
      <c r="F28" s="14"/>
      <c r="G28" s="14">
        <v>384</v>
      </c>
      <c r="H28" s="14"/>
      <c r="I28" s="14"/>
      <c r="J28" s="14"/>
      <c r="K28" s="14"/>
    </row>
    <row r="29" spans="1:11" s="3" customFormat="1" ht="12.75" customHeight="1" x14ac:dyDescent="0.35">
      <c r="A29" s="7" t="s">
        <v>27</v>
      </c>
      <c r="B29" s="7" t="s">
        <v>28</v>
      </c>
      <c r="C29" s="8" t="s">
        <v>29</v>
      </c>
      <c r="D29" s="9">
        <f t="shared" ref="D29:E31" si="2">F29+H29+J29</f>
        <v>0</v>
      </c>
      <c r="E29" s="9">
        <f t="shared" si="2"/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</row>
    <row r="30" spans="1:11" s="3" customFormat="1" ht="12.75" customHeight="1" x14ac:dyDescent="0.35">
      <c r="A30" s="7" t="s">
        <v>30</v>
      </c>
      <c r="B30" s="7" t="s">
        <v>31</v>
      </c>
      <c r="C30" s="8" t="s">
        <v>32</v>
      </c>
      <c r="D30" s="9">
        <f t="shared" si="2"/>
        <v>200</v>
      </c>
      <c r="E30" s="9">
        <f t="shared" si="2"/>
        <v>200</v>
      </c>
      <c r="F30" s="10">
        <v>200</v>
      </c>
      <c r="G30" s="10">
        <v>200</v>
      </c>
      <c r="H30" s="10">
        <v>0</v>
      </c>
      <c r="I30" s="10">
        <v>0</v>
      </c>
      <c r="J30" s="10">
        <v>0</v>
      </c>
      <c r="K30" s="10">
        <v>0</v>
      </c>
    </row>
    <row r="31" spans="1:11" s="3" customFormat="1" ht="12.75" customHeight="1" x14ac:dyDescent="0.35">
      <c r="A31" s="7" t="s">
        <v>33</v>
      </c>
      <c r="B31" s="7" t="s">
        <v>34</v>
      </c>
      <c r="C31" s="8" t="s">
        <v>35</v>
      </c>
      <c r="D31" s="9">
        <f t="shared" si="2"/>
        <v>0</v>
      </c>
      <c r="E31" s="9">
        <f t="shared" si="2"/>
        <v>60</v>
      </c>
      <c r="F31" s="10">
        <v>0</v>
      </c>
      <c r="G31" s="10">
        <f>G32</f>
        <v>60</v>
      </c>
      <c r="H31" s="10">
        <v>0</v>
      </c>
      <c r="I31" s="10">
        <f>I32</f>
        <v>0</v>
      </c>
      <c r="J31" s="10">
        <v>0</v>
      </c>
      <c r="K31" s="10">
        <v>0</v>
      </c>
    </row>
    <row r="32" spans="1:11" s="3" customFormat="1" ht="12.75" customHeight="1" x14ac:dyDescent="0.35">
      <c r="A32" s="11"/>
      <c r="B32" s="11"/>
      <c r="C32" s="12" t="s">
        <v>1257</v>
      </c>
      <c r="D32" s="13"/>
      <c r="E32" s="13"/>
      <c r="F32" s="14"/>
      <c r="G32" s="14">
        <v>60</v>
      </c>
      <c r="H32" s="14"/>
      <c r="I32" s="14"/>
      <c r="J32" s="14"/>
      <c r="K32" s="14"/>
    </row>
    <row r="33" spans="1:11" s="3" customFormat="1" ht="12.75" customHeight="1" x14ac:dyDescent="0.35">
      <c r="A33" s="7" t="s">
        <v>36</v>
      </c>
      <c r="B33" s="7" t="s">
        <v>37</v>
      </c>
      <c r="C33" s="8" t="s">
        <v>38</v>
      </c>
      <c r="D33" s="9">
        <f>F33+H33+J33</f>
        <v>0</v>
      </c>
      <c r="E33" s="9">
        <f>G33+I33+K33</f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</row>
    <row r="34" spans="1:11" s="3" customFormat="1" ht="12.75" customHeight="1" x14ac:dyDescent="0.35">
      <c r="A34" s="7" t="s">
        <v>39</v>
      </c>
      <c r="B34" s="7" t="s">
        <v>40</v>
      </c>
      <c r="C34" s="8" t="s">
        <v>41</v>
      </c>
      <c r="D34" s="9">
        <f>F34+H34+J34</f>
        <v>0</v>
      </c>
      <c r="E34" s="9">
        <f>G34+I34+K34</f>
        <v>32</v>
      </c>
      <c r="F34" s="10">
        <f>F35</f>
        <v>0</v>
      </c>
      <c r="G34" s="10">
        <f>G35</f>
        <v>32</v>
      </c>
      <c r="H34" s="10">
        <f>H35</f>
        <v>0</v>
      </c>
      <c r="I34" s="10">
        <f>I35</f>
        <v>0</v>
      </c>
      <c r="J34" s="10">
        <v>0</v>
      </c>
      <c r="K34" s="10">
        <v>0</v>
      </c>
    </row>
    <row r="35" spans="1:11" s="3" customFormat="1" ht="12.75" customHeight="1" x14ac:dyDescent="0.35">
      <c r="A35" s="11"/>
      <c r="B35" s="11"/>
      <c r="C35" s="12" t="s">
        <v>280</v>
      </c>
      <c r="D35" s="13"/>
      <c r="E35" s="13"/>
      <c r="F35" s="14">
        <v>0</v>
      </c>
      <c r="G35" s="14">
        <f>ROUND(G6*0.004,0)</f>
        <v>32</v>
      </c>
      <c r="H35" s="14"/>
      <c r="I35" s="14"/>
      <c r="J35" s="14"/>
      <c r="K35" s="14"/>
    </row>
    <row r="36" spans="1:11" s="3" customFormat="1" ht="12.75" customHeight="1" x14ac:dyDescent="0.35">
      <c r="A36" s="7" t="s">
        <v>42</v>
      </c>
      <c r="B36" s="7" t="s">
        <v>43</v>
      </c>
      <c r="C36" s="8" t="s">
        <v>44</v>
      </c>
      <c r="D36" s="9">
        <f>F36+H36+J36</f>
        <v>0</v>
      </c>
      <c r="E36" s="9">
        <f>G36+I36+K36</f>
        <v>241</v>
      </c>
      <c r="F36" s="10">
        <v>0</v>
      </c>
      <c r="G36" s="10">
        <f>G37</f>
        <v>241</v>
      </c>
      <c r="H36" s="10">
        <v>0</v>
      </c>
      <c r="I36" s="10">
        <f>I37</f>
        <v>0</v>
      </c>
      <c r="J36" s="10">
        <v>0</v>
      </c>
      <c r="K36" s="10">
        <v>0</v>
      </c>
    </row>
    <row r="37" spans="1:11" s="15" customFormat="1" ht="11.5" customHeight="1" x14ac:dyDescent="0.35">
      <c r="A37" s="11"/>
      <c r="B37" s="11"/>
      <c r="C37" s="12" t="s">
        <v>1259</v>
      </c>
      <c r="D37" s="13"/>
      <c r="E37" s="13"/>
      <c r="F37" s="14"/>
      <c r="G37" s="14">
        <f>ROUND(G6*0.03,0)</f>
        <v>241</v>
      </c>
      <c r="H37" s="14"/>
      <c r="I37" s="14"/>
      <c r="J37" s="14"/>
      <c r="K37" s="14"/>
    </row>
    <row r="38" spans="1:11" s="3" customFormat="1" ht="12.75" customHeight="1" x14ac:dyDescent="0.35">
      <c r="A38" s="16" t="s">
        <v>45</v>
      </c>
      <c r="B38" s="16" t="s">
        <v>46</v>
      </c>
      <c r="C38" s="17" t="s">
        <v>47</v>
      </c>
      <c r="D38" s="18">
        <f>D6+D20+D21+D22+D25+D26+D27+D29+D30+D31+D33+D34+D36</f>
        <v>10064</v>
      </c>
      <c r="E38" s="18">
        <f t="shared" ref="E38:K38" si="3">E6+E20+E21+E22+E25+E26+E27+E29+E30+E31+E33+E34+E36</f>
        <v>8995</v>
      </c>
      <c r="F38" s="18">
        <f t="shared" si="3"/>
        <v>8144</v>
      </c>
      <c r="G38" s="18">
        <f t="shared" si="3"/>
        <v>8995</v>
      </c>
      <c r="H38" s="18">
        <f t="shared" si="3"/>
        <v>0</v>
      </c>
      <c r="I38" s="18">
        <f t="shared" si="3"/>
        <v>0</v>
      </c>
      <c r="J38" s="18">
        <f t="shared" si="3"/>
        <v>1920</v>
      </c>
      <c r="K38" s="18">
        <f t="shared" si="3"/>
        <v>0</v>
      </c>
    </row>
    <row r="39" spans="1:11" s="3" customFormat="1" ht="12.75" customHeight="1" x14ac:dyDescent="0.35">
      <c r="A39" s="7" t="s">
        <v>48</v>
      </c>
      <c r="B39" s="7" t="s">
        <v>49</v>
      </c>
      <c r="C39" s="8" t="s">
        <v>50</v>
      </c>
      <c r="D39" s="9">
        <f>F39+H39+J39</f>
        <v>0</v>
      </c>
      <c r="E39" s="9">
        <f>G39+I39+K39</f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</row>
    <row r="40" spans="1:11" s="3" customFormat="1" ht="12.75" customHeight="1" x14ac:dyDescent="0.35">
      <c r="A40" s="7" t="s">
        <v>51</v>
      </c>
      <c r="B40" s="7" t="s">
        <v>52</v>
      </c>
      <c r="C40" s="8" t="s">
        <v>53</v>
      </c>
      <c r="D40" s="9">
        <f>F40+H40+J40</f>
        <v>1232</v>
      </c>
      <c r="E40" s="9">
        <f>G40+I40+K40</f>
        <v>680</v>
      </c>
      <c r="F40" s="10">
        <f t="shared" ref="F40:K40" si="4">F41</f>
        <v>652</v>
      </c>
      <c r="G40" s="10">
        <f t="shared" si="4"/>
        <v>100</v>
      </c>
      <c r="H40" s="10">
        <f t="shared" si="4"/>
        <v>0</v>
      </c>
      <c r="I40" s="10">
        <f t="shared" si="4"/>
        <v>0</v>
      </c>
      <c r="J40" s="10">
        <f t="shared" si="4"/>
        <v>580</v>
      </c>
      <c r="K40" s="10">
        <f t="shared" si="4"/>
        <v>580</v>
      </c>
    </row>
    <row r="41" spans="1:11" s="15" customFormat="1" ht="11.5" customHeight="1" x14ac:dyDescent="0.35">
      <c r="A41" s="11"/>
      <c r="B41" s="11"/>
      <c r="C41" s="12" t="s">
        <v>282</v>
      </c>
      <c r="D41" s="13"/>
      <c r="E41" s="13"/>
      <c r="F41" s="14">
        <v>652</v>
      </c>
      <c r="G41" s="14">
        <v>100</v>
      </c>
      <c r="H41" s="14"/>
      <c r="I41" s="14"/>
      <c r="J41" s="14">
        <v>580</v>
      </c>
      <c r="K41" s="14">
        <v>580</v>
      </c>
    </row>
    <row r="42" spans="1:11" s="3" customFormat="1" ht="12.75" customHeight="1" x14ac:dyDescent="0.35">
      <c r="A42" s="7" t="s">
        <v>54</v>
      </c>
      <c r="B42" s="7" t="s">
        <v>55</v>
      </c>
      <c r="C42" s="8" t="s">
        <v>285</v>
      </c>
      <c r="D42" s="9">
        <f>F42+H42+J42</f>
        <v>220</v>
      </c>
      <c r="E42" s="9">
        <f>G42+I42+K42</f>
        <v>160</v>
      </c>
      <c r="F42" s="10">
        <f t="shared" ref="F42:K42" si="5">F43</f>
        <v>150</v>
      </c>
      <c r="G42" s="10">
        <f t="shared" si="5"/>
        <v>100</v>
      </c>
      <c r="H42" s="10">
        <f t="shared" si="5"/>
        <v>0</v>
      </c>
      <c r="I42" s="10">
        <f t="shared" si="5"/>
        <v>0</v>
      </c>
      <c r="J42" s="10">
        <f t="shared" si="5"/>
        <v>70</v>
      </c>
      <c r="K42" s="10">
        <f t="shared" si="5"/>
        <v>60</v>
      </c>
    </row>
    <row r="43" spans="1:11" s="15" customFormat="1" ht="11.5" customHeight="1" x14ac:dyDescent="0.35">
      <c r="A43" s="11"/>
      <c r="B43" s="11"/>
      <c r="C43" s="12" t="s">
        <v>283</v>
      </c>
      <c r="D43" s="13"/>
      <c r="E43" s="13"/>
      <c r="F43" s="14">
        <v>150</v>
      </c>
      <c r="G43" s="14">
        <v>100</v>
      </c>
      <c r="H43" s="14"/>
      <c r="I43" s="14"/>
      <c r="J43" s="14">
        <v>70</v>
      </c>
      <c r="K43" s="14">
        <v>60</v>
      </c>
    </row>
    <row r="44" spans="1:11" s="3" customFormat="1" ht="12.75" customHeight="1" x14ac:dyDescent="0.35">
      <c r="A44" s="16" t="s">
        <v>56</v>
      </c>
      <c r="B44" s="16" t="s">
        <v>57</v>
      </c>
      <c r="C44" s="17" t="s">
        <v>58</v>
      </c>
      <c r="D44" s="18">
        <f>D39+D40+D42</f>
        <v>1452</v>
      </c>
      <c r="E44" s="18">
        <f t="shared" ref="E44:K44" si="6">E39+E40+E42</f>
        <v>840</v>
      </c>
      <c r="F44" s="18">
        <f t="shared" si="6"/>
        <v>802</v>
      </c>
      <c r="G44" s="18">
        <f t="shared" si="6"/>
        <v>200</v>
      </c>
      <c r="H44" s="18">
        <f t="shared" si="6"/>
        <v>0</v>
      </c>
      <c r="I44" s="18">
        <f t="shared" si="6"/>
        <v>0</v>
      </c>
      <c r="J44" s="18">
        <f t="shared" si="6"/>
        <v>650</v>
      </c>
      <c r="K44" s="18">
        <f t="shared" si="6"/>
        <v>640</v>
      </c>
    </row>
    <row r="45" spans="1:11" s="3" customFormat="1" ht="12.75" customHeight="1" x14ac:dyDescent="0.35">
      <c r="A45" s="20" t="s">
        <v>59</v>
      </c>
      <c r="B45" s="20" t="s">
        <v>60</v>
      </c>
      <c r="C45" s="21" t="s">
        <v>286</v>
      </c>
      <c r="D45" s="22">
        <f>D38+D44</f>
        <v>11516</v>
      </c>
      <c r="E45" s="22">
        <f t="shared" ref="E45:K45" si="7">E38+E44</f>
        <v>9835</v>
      </c>
      <c r="F45" s="22">
        <f t="shared" si="7"/>
        <v>8946</v>
      </c>
      <c r="G45" s="22">
        <f t="shared" si="7"/>
        <v>9195</v>
      </c>
      <c r="H45" s="22">
        <f t="shared" si="7"/>
        <v>0</v>
      </c>
      <c r="I45" s="22">
        <f t="shared" si="7"/>
        <v>0</v>
      </c>
      <c r="J45" s="22">
        <f t="shared" si="7"/>
        <v>2570</v>
      </c>
      <c r="K45" s="22">
        <f t="shared" si="7"/>
        <v>640</v>
      </c>
    </row>
    <row r="46" spans="1:11" s="15" customFormat="1" ht="11.5" customHeight="1" x14ac:dyDescent="0.35">
      <c r="A46" s="11"/>
      <c r="B46" s="11"/>
      <c r="C46" s="12" t="s">
        <v>284</v>
      </c>
      <c r="D46" s="13">
        <f>H46+F46+J46</f>
        <v>2961</v>
      </c>
      <c r="E46" s="13">
        <f>I46+G46+K46</f>
        <v>2374</v>
      </c>
      <c r="F46" s="13">
        <v>2267</v>
      </c>
      <c r="G46" s="13">
        <f>ROUND((G6+G20+G21+G22+G25+G26+G34+G40)*0.27,0)</f>
        <v>2217</v>
      </c>
      <c r="H46" s="13">
        <f>ROUND((H6+H20+H21+H22+H25+H26+H40)*0.27,0)</f>
        <v>0</v>
      </c>
      <c r="I46" s="13">
        <f>ROUND((I6+I20+I21+I22+I25+I26+I40)*0.27,0)</f>
        <v>0</v>
      </c>
      <c r="J46" s="13">
        <v>694</v>
      </c>
      <c r="K46" s="13">
        <f>ROUND((K6+K20+K21+K22+K25+K26+K40)*0.27,0)</f>
        <v>157</v>
      </c>
    </row>
    <row r="47" spans="1:11" s="15" customFormat="1" ht="11.5" customHeight="1" x14ac:dyDescent="0.35">
      <c r="A47" s="11"/>
      <c r="B47" s="11"/>
      <c r="C47" s="12" t="s">
        <v>61</v>
      </c>
      <c r="D47" s="13">
        <f t="shared" ref="D47:E49" si="8">H47+F47+J47</f>
        <v>150</v>
      </c>
      <c r="E47" s="13">
        <f t="shared" si="8"/>
        <v>193</v>
      </c>
      <c r="F47" s="14">
        <v>106</v>
      </c>
      <c r="G47" s="13">
        <f>ROUND(G27*1.19*0.14+(G42+G36)*1.19*0.27,0)</f>
        <v>174</v>
      </c>
      <c r="H47" s="14"/>
      <c r="I47" s="14"/>
      <c r="J47" s="14">
        <v>44</v>
      </c>
      <c r="K47" s="13">
        <f>ROUND(K27*1.19*0.14+(K42+K36)*1.19*0.27,0)</f>
        <v>19</v>
      </c>
    </row>
    <row r="48" spans="1:11" s="15" customFormat="1" ht="11.5" customHeight="1" x14ac:dyDescent="0.35">
      <c r="A48" s="11"/>
      <c r="B48" s="11"/>
      <c r="C48" s="12" t="s">
        <v>62</v>
      </c>
      <c r="D48" s="13">
        <f t="shared" si="8"/>
        <v>0</v>
      </c>
      <c r="E48" s="13">
        <f t="shared" si="8"/>
        <v>0</v>
      </c>
      <c r="F48" s="14">
        <v>0</v>
      </c>
      <c r="G48" s="14"/>
      <c r="H48" s="14"/>
      <c r="I48" s="14"/>
      <c r="J48" s="14">
        <v>0</v>
      </c>
      <c r="K48" s="14"/>
    </row>
    <row r="49" spans="1:11" s="15" customFormat="1" ht="11.5" customHeight="1" x14ac:dyDescent="0.35">
      <c r="A49" s="11"/>
      <c r="B49" s="11"/>
      <c r="C49" s="12" t="s">
        <v>63</v>
      </c>
      <c r="D49" s="13">
        <f t="shared" si="8"/>
        <v>121</v>
      </c>
      <c r="E49" s="13">
        <f t="shared" si="8"/>
        <v>149</v>
      </c>
      <c r="F49" s="14">
        <v>95</v>
      </c>
      <c r="G49" s="14">
        <f>ROUND((G43+G37+G28)*1.19*0.16,0)</f>
        <v>138</v>
      </c>
      <c r="H49" s="14"/>
      <c r="I49" s="14"/>
      <c r="J49" s="14">
        <v>26</v>
      </c>
      <c r="K49" s="14">
        <f>ROUND((K43+K37+K28)*1.19*0.16,0)</f>
        <v>11</v>
      </c>
    </row>
    <row r="50" spans="1:11" s="3" customFormat="1" ht="12.75" customHeight="1" x14ac:dyDescent="0.35">
      <c r="A50" s="20" t="s">
        <v>64</v>
      </c>
      <c r="B50" s="20" t="s">
        <v>65</v>
      </c>
      <c r="C50" s="21" t="s">
        <v>287</v>
      </c>
      <c r="D50" s="22">
        <f>D46+D47+D48+D49</f>
        <v>3232</v>
      </c>
      <c r="E50" s="22">
        <f t="shared" ref="E50:K50" si="9">E46+E47+E48+E49</f>
        <v>2716</v>
      </c>
      <c r="F50" s="22">
        <f t="shared" si="9"/>
        <v>2468</v>
      </c>
      <c r="G50" s="22">
        <f t="shared" si="9"/>
        <v>2529</v>
      </c>
      <c r="H50" s="22">
        <f t="shared" si="9"/>
        <v>0</v>
      </c>
      <c r="I50" s="22">
        <f t="shared" si="9"/>
        <v>0</v>
      </c>
      <c r="J50" s="22">
        <f t="shared" si="9"/>
        <v>764</v>
      </c>
      <c r="K50" s="22">
        <f t="shared" si="9"/>
        <v>187</v>
      </c>
    </row>
    <row r="51" spans="1:11" s="3" customFormat="1" ht="14.15" customHeight="1" x14ac:dyDescent="0.35">
      <c r="A51" s="1093" t="s">
        <v>66</v>
      </c>
      <c r="B51" s="1094"/>
      <c r="C51" s="1095"/>
      <c r="D51" s="29">
        <f>D45+D50</f>
        <v>14748</v>
      </c>
      <c r="E51" s="29">
        <f t="shared" ref="E51:K51" si="10">E45+E50</f>
        <v>12551</v>
      </c>
      <c r="F51" s="29">
        <f t="shared" si="10"/>
        <v>11414</v>
      </c>
      <c r="G51" s="29">
        <f t="shared" si="10"/>
        <v>11724</v>
      </c>
      <c r="H51" s="29">
        <f t="shared" si="10"/>
        <v>0</v>
      </c>
      <c r="I51" s="29">
        <f t="shared" si="10"/>
        <v>0</v>
      </c>
      <c r="J51" s="29">
        <f t="shared" si="10"/>
        <v>3334</v>
      </c>
      <c r="K51" s="29">
        <f t="shared" si="10"/>
        <v>827</v>
      </c>
    </row>
    <row r="52" spans="1:11" s="1" customFormat="1" ht="12.75" customHeight="1" x14ac:dyDescent="0.35">
      <c r="A52" s="1120" t="s">
        <v>573</v>
      </c>
      <c r="B52" s="1121"/>
      <c r="C52" s="1121"/>
      <c r="D52" s="1121"/>
      <c r="E52" s="1121"/>
      <c r="F52" s="1121"/>
      <c r="G52" s="1121"/>
      <c r="H52" s="1121"/>
      <c r="I52" s="1121"/>
      <c r="J52" s="1121"/>
      <c r="K52" s="1122"/>
    </row>
    <row r="53" spans="1:11" s="1" customFormat="1" ht="14.15" customHeight="1" x14ac:dyDescent="0.35">
      <c r="A53" s="1101" t="s">
        <v>0</v>
      </c>
      <c r="B53" s="1102" t="s">
        <v>1</v>
      </c>
      <c r="C53" s="1101" t="s">
        <v>2</v>
      </c>
      <c r="D53" s="1103" t="s">
        <v>260</v>
      </c>
      <c r="E53" s="1096" t="s">
        <v>259</v>
      </c>
      <c r="F53" s="1098" t="s">
        <v>360</v>
      </c>
      <c r="G53" s="1099"/>
      <c r="H53" s="1098" t="s">
        <v>575</v>
      </c>
      <c r="I53" s="1099"/>
      <c r="J53" s="1098" t="s">
        <v>361</v>
      </c>
      <c r="K53" s="1099"/>
    </row>
    <row r="54" spans="1:11" s="3" customFormat="1" ht="33" customHeight="1" x14ac:dyDescent="0.35">
      <c r="A54" s="1101"/>
      <c r="B54" s="1102"/>
      <c r="C54" s="1101"/>
      <c r="D54" s="1103"/>
      <c r="E54" s="1097"/>
      <c r="F54" s="2" t="s">
        <v>260</v>
      </c>
      <c r="G54" s="2" t="s">
        <v>259</v>
      </c>
      <c r="H54" s="2" t="s">
        <v>260</v>
      </c>
      <c r="I54" s="2" t="s">
        <v>259</v>
      </c>
      <c r="J54" s="2" t="s">
        <v>260</v>
      </c>
      <c r="K54" s="2" t="s">
        <v>259</v>
      </c>
    </row>
    <row r="55" spans="1:11" ht="5.65" customHeight="1" x14ac:dyDescent="0.35"/>
    <row r="56" spans="1:11" ht="14.15" customHeight="1" x14ac:dyDescent="0.35">
      <c r="A56" s="1100" t="s">
        <v>288</v>
      </c>
      <c r="B56" s="1100"/>
      <c r="C56" s="1100"/>
      <c r="D56" s="1100"/>
      <c r="E56" s="1100"/>
      <c r="F56" s="1100"/>
      <c r="G56" s="1100"/>
      <c r="H56" s="1100"/>
      <c r="I56" s="1100"/>
      <c r="J56" s="96"/>
      <c r="K56" s="96"/>
    </row>
    <row r="57" spans="1:11" s="3" customFormat="1" ht="14.15" customHeight="1" x14ac:dyDescent="0.35">
      <c r="A57" s="7" t="s">
        <v>67</v>
      </c>
      <c r="B57" s="7" t="s">
        <v>68</v>
      </c>
      <c r="C57" s="8" t="s">
        <v>69</v>
      </c>
      <c r="D57" s="9">
        <f>F57+H57+J57</f>
        <v>2000</v>
      </c>
      <c r="E57" s="9">
        <f>G57+I57+K57</f>
        <v>600</v>
      </c>
      <c r="F57" s="10">
        <f t="shared" ref="F57:K57" si="11">SUM(F58:F63)</f>
        <v>0</v>
      </c>
      <c r="G57" s="10">
        <f t="shared" si="11"/>
        <v>0</v>
      </c>
      <c r="H57" s="10">
        <f t="shared" si="11"/>
        <v>2000</v>
      </c>
      <c r="I57" s="10">
        <f t="shared" si="11"/>
        <v>600</v>
      </c>
      <c r="J57" s="10">
        <f t="shared" si="11"/>
        <v>0</v>
      </c>
      <c r="K57" s="10">
        <f t="shared" si="11"/>
        <v>0</v>
      </c>
    </row>
    <row r="58" spans="1:11" ht="14.15" customHeight="1" x14ac:dyDescent="0.35">
      <c r="A58" s="24"/>
      <c r="B58" s="24"/>
      <c r="C58" s="25" t="s">
        <v>70</v>
      </c>
      <c r="D58" s="26"/>
      <c r="E58" s="26"/>
      <c r="F58" s="26">
        <v>0</v>
      </c>
      <c r="G58" s="26"/>
      <c r="H58" s="26"/>
      <c r="I58" s="26"/>
      <c r="J58" s="26"/>
      <c r="K58" s="26"/>
    </row>
    <row r="59" spans="1:11" ht="14.15" customHeight="1" x14ac:dyDescent="0.35">
      <c r="A59" s="24"/>
      <c r="B59" s="24"/>
      <c r="C59" s="25" t="s">
        <v>71</v>
      </c>
      <c r="D59" s="26"/>
      <c r="E59" s="26"/>
      <c r="F59" s="26">
        <v>0</v>
      </c>
      <c r="G59" s="26"/>
      <c r="H59" s="26"/>
      <c r="I59" s="26"/>
      <c r="J59" s="26"/>
      <c r="K59" s="26"/>
    </row>
    <row r="60" spans="1:11" ht="14.15" customHeight="1" x14ac:dyDescent="0.35">
      <c r="A60" s="24"/>
      <c r="B60" s="24"/>
      <c r="C60" s="25" t="s">
        <v>72</v>
      </c>
      <c r="D60" s="26"/>
      <c r="E60" s="26"/>
      <c r="F60" s="26">
        <v>0</v>
      </c>
      <c r="G60" s="26"/>
      <c r="H60" s="26"/>
      <c r="I60" s="26"/>
      <c r="J60" s="26"/>
      <c r="K60" s="26"/>
    </row>
    <row r="61" spans="1:11" ht="14.15" customHeight="1" x14ac:dyDescent="0.35">
      <c r="A61" s="24"/>
      <c r="B61" s="24"/>
      <c r="C61" s="25" t="s">
        <v>73</v>
      </c>
      <c r="D61" s="26"/>
      <c r="E61" s="26"/>
      <c r="F61" s="26">
        <v>0</v>
      </c>
      <c r="G61" s="26"/>
      <c r="H61" s="26">
        <v>55</v>
      </c>
      <c r="I61" s="26">
        <v>150</v>
      </c>
      <c r="J61" s="26"/>
      <c r="K61" s="26"/>
    </row>
    <row r="62" spans="1:11" ht="14.15" customHeight="1" x14ac:dyDescent="0.35">
      <c r="A62" s="24"/>
      <c r="B62" s="24"/>
      <c r="C62" s="25" t="s">
        <v>74</v>
      </c>
      <c r="D62" s="26"/>
      <c r="E62" s="26"/>
      <c r="F62" s="26">
        <v>0</v>
      </c>
      <c r="G62" s="26"/>
      <c r="H62" s="26">
        <v>245</v>
      </c>
      <c r="I62" s="26">
        <v>450</v>
      </c>
      <c r="J62" s="26"/>
      <c r="K62" s="26"/>
    </row>
    <row r="63" spans="1:11" ht="14.15" customHeight="1" x14ac:dyDescent="0.35">
      <c r="A63" s="24"/>
      <c r="B63" s="24"/>
      <c r="C63" s="25" t="s">
        <v>75</v>
      </c>
      <c r="D63" s="26"/>
      <c r="E63" s="26"/>
      <c r="F63" s="26">
        <v>0</v>
      </c>
      <c r="G63" s="26"/>
      <c r="H63" s="26">
        <v>1700</v>
      </c>
      <c r="I63" s="26"/>
      <c r="J63" s="26"/>
      <c r="K63" s="26"/>
    </row>
    <row r="64" spans="1:11" s="3" customFormat="1" ht="14.15" customHeight="1" x14ac:dyDescent="0.35">
      <c r="A64" s="7" t="s">
        <v>76</v>
      </c>
      <c r="B64" s="7" t="s">
        <v>77</v>
      </c>
      <c r="C64" s="8" t="s">
        <v>78</v>
      </c>
      <c r="D64" s="9">
        <f>F64+H64+J64</f>
        <v>270</v>
      </c>
      <c r="E64" s="9">
        <f>G64+I64+K64</f>
        <v>410</v>
      </c>
      <c r="F64" s="10">
        <f t="shared" ref="F64:K64" si="12">SUM(F65:F70)</f>
        <v>250</v>
      </c>
      <c r="G64" s="10">
        <f t="shared" si="12"/>
        <v>390</v>
      </c>
      <c r="H64" s="10">
        <f t="shared" si="12"/>
        <v>0</v>
      </c>
      <c r="I64" s="10">
        <f t="shared" si="12"/>
        <v>0</v>
      </c>
      <c r="J64" s="10">
        <f t="shared" si="12"/>
        <v>20</v>
      </c>
      <c r="K64" s="10">
        <f t="shared" si="12"/>
        <v>20</v>
      </c>
    </row>
    <row r="65" spans="1:11" ht="14.15" customHeight="1" x14ac:dyDescent="0.35">
      <c r="A65" s="24"/>
      <c r="B65" s="24"/>
      <c r="C65" s="25" t="s">
        <v>79</v>
      </c>
      <c r="D65" s="26"/>
      <c r="E65" s="26"/>
      <c r="F65" s="26"/>
      <c r="G65" s="26"/>
      <c r="H65" s="26"/>
      <c r="I65" s="26"/>
      <c r="J65" s="26"/>
      <c r="K65" s="26"/>
    </row>
    <row r="66" spans="1:11" ht="14.15" customHeight="1" x14ac:dyDescent="0.35">
      <c r="A66" s="24"/>
      <c r="B66" s="24"/>
      <c r="C66" s="25" t="s">
        <v>80</v>
      </c>
      <c r="D66" s="26"/>
      <c r="E66" s="26"/>
      <c r="F66" s="26">
        <v>120</v>
      </c>
      <c r="G66" s="26">
        <v>120</v>
      </c>
      <c r="H66" s="26"/>
      <c r="I66" s="26"/>
      <c r="J66" s="26"/>
      <c r="K66" s="26"/>
    </row>
    <row r="67" spans="1:11" ht="14.15" customHeight="1" x14ac:dyDescent="0.35">
      <c r="A67" s="24"/>
      <c r="B67" s="24"/>
      <c r="C67" s="25" t="s">
        <v>81</v>
      </c>
      <c r="D67" s="26"/>
      <c r="E67" s="26"/>
      <c r="F67" s="26"/>
      <c r="G67" s="26"/>
      <c r="H67" s="26"/>
      <c r="I67" s="26"/>
      <c r="J67" s="26"/>
      <c r="K67" s="26"/>
    </row>
    <row r="68" spans="1:11" ht="14.15" customHeight="1" x14ac:dyDescent="0.35">
      <c r="A68" s="24"/>
      <c r="B68" s="24"/>
      <c r="C68" s="25" t="s">
        <v>82</v>
      </c>
      <c r="D68" s="26"/>
      <c r="E68" s="26"/>
      <c r="F68" s="26"/>
      <c r="G68" s="26"/>
      <c r="H68" s="26"/>
      <c r="I68" s="26"/>
      <c r="J68" s="26"/>
      <c r="K68" s="26"/>
    </row>
    <row r="69" spans="1:11" ht="14.15" customHeight="1" x14ac:dyDescent="0.35">
      <c r="A69" s="24"/>
      <c r="B69" s="24"/>
      <c r="C69" s="25" t="s">
        <v>83</v>
      </c>
      <c r="D69" s="26"/>
      <c r="E69" s="26"/>
      <c r="F69" s="26"/>
      <c r="G69" s="26"/>
      <c r="H69" s="26"/>
      <c r="I69" s="26"/>
      <c r="J69" s="26"/>
      <c r="K69" s="26"/>
    </row>
    <row r="70" spans="1:11" ht="14.15" customHeight="1" x14ac:dyDescent="0.35">
      <c r="A70" s="24"/>
      <c r="B70" s="24"/>
      <c r="C70" s="25" t="s">
        <v>84</v>
      </c>
      <c r="D70" s="26"/>
      <c r="E70" s="26"/>
      <c r="F70" s="26">
        <v>130</v>
      </c>
      <c r="G70" s="26">
        <v>270</v>
      </c>
      <c r="H70" s="26"/>
      <c r="I70" s="26"/>
      <c r="J70" s="26">
        <v>20</v>
      </c>
      <c r="K70" s="26">
        <v>20</v>
      </c>
    </row>
    <row r="71" spans="1:11" s="3" customFormat="1" ht="14.15" customHeight="1" x14ac:dyDescent="0.35">
      <c r="A71" s="7" t="s">
        <v>85</v>
      </c>
      <c r="B71" s="7" t="s">
        <v>86</v>
      </c>
      <c r="C71" s="8" t="s">
        <v>87</v>
      </c>
      <c r="D71" s="9">
        <f>F71+H71+J71</f>
        <v>0</v>
      </c>
      <c r="E71" s="9">
        <f>G71+I71+K71</f>
        <v>0</v>
      </c>
      <c r="F71" s="10">
        <f t="shared" ref="F71:K71" si="13">SUM(F72:F73)</f>
        <v>0</v>
      </c>
      <c r="G71" s="10">
        <f t="shared" si="13"/>
        <v>0</v>
      </c>
      <c r="H71" s="10">
        <f t="shared" si="13"/>
        <v>0</v>
      </c>
      <c r="I71" s="10">
        <f t="shared" si="13"/>
        <v>0</v>
      </c>
      <c r="J71" s="10">
        <f t="shared" si="13"/>
        <v>0</v>
      </c>
      <c r="K71" s="10">
        <f t="shared" si="13"/>
        <v>0</v>
      </c>
    </row>
    <row r="72" spans="1:11" ht="14.15" customHeight="1" x14ac:dyDescent="0.35">
      <c r="A72" s="24"/>
      <c r="B72" s="24"/>
      <c r="C72" s="25" t="s">
        <v>88</v>
      </c>
      <c r="D72" s="26"/>
      <c r="E72" s="26"/>
      <c r="F72" s="26"/>
      <c r="G72" s="26"/>
      <c r="H72" s="26"/>
      <c r="I72" s="26"/>
      <c r="J72" s="26"/>
      <c r="K72" s="26"/>
    </row>
    <row r="73" spans="1:11" ht="14.15" customHeight="1" x14ac:dyDescent="0.35">
      <c r="A73" s="24"/>
      <c r="B73" s="24"/>
      <c r="C73" s="25" t="s">
        <v>89</v>
      </c>
      <c r="D73" s="26"/>
      <c r="E73" s="26"/>
      <c r="F73" s="26"/>
      <c r="G73" s="26"/>
      <c r="H73" s="26"/>
      <c r="I73" s="26"/>
      <c r="J73" s="26"/>
      <c r="K73" s="26"/>
    </row>
    <row r="74" spans="1:11" s="3" customFormat="1" ht="14.15" customHeight="1" x14ac:dyDescent="0.35">
      <c r="A74" s="16" t="s">
        <v>90</v>
      </c>
      <c r="B74" s="16" t="s">
        <v>91</v>
      </c>
      <c r="C74" s="17" t="s">
        <v>92</v>
      </c>
      <c r="D74" s="19">
        <f>D57+D64</f>
        <v>2270</v>
      </c>
      <c r="E74" s="19">
        <f t="shared" ref="E74:K74" si="14">E57+E64</f>
        <v>1010</v>
      </c>
      <c r="F74" s="19">
        <f t="shared" si="14"/>
        <v>250</v>
      </c>
      <c r="G74" s="19">
        <f t="shared" si="14"/>
        <v>390</v>
      </c>
      <c r="H74" s="19">
        <f t="shared" si="14"/>
        <v>2000</v>
      </c>
      <c r="I74" s="19">
        <f t="shared" si="14"/>
        <v>600</v>
      </c>
      <c r="J74" s="19">
        <f t="shared" si="14"/>
        <v>20</v>
      </c>
      <c r="K74" s="19">
        <f t="shared" si="14"/>
        <v>20</v>
      </c>
    </row>
    <row r="75" spans="1:11" s="3" customFormat="1" ht="14.15" customHeight="1" x14ac:dyDescent="0.35">
      <c r="A75" s="7" t="s">
        <v>93</v>
      </c>
      <c r="B75" s="7" t="s">
        <v>94</v>
      </c>
      <c r="C75" s="8" t="s">
        <v>95</v>
      </c>
      <c r="D75" s="9">
        <f>F75+H75+J75</f>
        <v>683</v>
      </c>
      <c r="E75" s="9">
        <f>G75+I75+K75</f>
        <v>650</v>
      </c>
      <c r="F75" s="10">
        <f t="shared" ref="F75:K75" si="15">SUM(F76:F81)</f>
        <v>683</v>
      </c>
      <c r="G75" s="10">
        <f t="shared" si="15"/>
        <v>650</v>
      </c>
      <c r="H75" s="10">
        <f t="shared" si="15"/>
        <v>0</v>
      </c>
      <c r="I75" s="10">
        <f t="shared" si="15"/>
        <v>0</v>
      </c>
      <c r="J75" s="10">
        <f t="shared" si="15"/>
        <v>0</v>
      </c>
      <c r="K75" s="10">
        <f t="shared" si="15"/>
        <v>0</v>
      </c>
    </row>
    <row r="76" spans="1:11" ht="14.15" customHeight="1" x14ac:dyDescent="0.35">
      <c r="A76" s="24"/>
      <c r="B76" s="24"/>
      <c r="C76" s="25" t="s">
        <v>96</v>
      </c>
      <c r="D76" s="26"/>
      <c r="E76" s="26"/>
      <c r="F76" s="26"/>
      <c r="G76" s="26"/>
      <c r="H76" s="26"/>
      <c r="I76" s="26"/>
      <c r="J76" s="26"/>
      <c r="K76" s="26"/>
    </row>
    <row r="77" spans="1:11" ht="14.15" customHeight="1" x14ac:dyDescent="0.35">
      <c r="A77" s="24"/>
      <c r="B77" s="24"/>
      <c r="C77" s="25" t="s">
        <v>97</v>
      </c>
      <c r="D77" s="26"/>
      <c r="E77" s="26"/>
      <c r="F77" s="26">
        <v>513</v>
      </c>
      <c r="G77" s="26">
        <f>400+100</f>
        <v>500</v>
      </c>
      <c r="H77" s="26"/>
      <c r="I77" s="26"/>
      <c r="J77" s="26"/>
      <c r="K77" s="26"/>
    </row>
    <row r="78" spans="1:11" ht="14.15" customHeight="1" x14ac:dyDescent="0.35">
      <c r="A78" s="24"/>
      <c r="B78" s="24"/>
      <c r="C78" s="25" t="s">
        <v>98</v>
      </c>
      <c r="D78" s="26"/>
      <c r="E78" s="26"/>
      <c r="F78" s="26"/>
      <c r="G78" s="26"/>
      <c r="H78" s="26"/>
      <c r="I78" s="26"/>
      <c r="J78" s="26"/>
      <c r="K78" s="26"/>
    </row>
    <row r="79" spans="1:11" ht="14.15" customHeight="1" x14ac:dyDescent="0.35">
      <c r="A79" s="24"/>
      <c r="B79" s="24"/>
      <c r="C79" s="25" t="s">
        <v>99</v>
      </c>
      <c r="D79" s="26"/>
      <c r="E79" s="26"/>
      <c r="F79" s="26">
        <v>170</v>
      </c>
      <c r="G79" s="26">
        <v>150</v>
      </c>
      <c r="H79" s="26"/>
      <c r="I79" s="26"/>
      <c r="J79" s="26"/>
      <c r="K79" s="26"/>
    </row>
    <row r="80" spans="1:11" ht="14.15" customHeight="1" x14ac:dyDescent="0.35">
      <c r="A80" s="24"/>
      <c r="B80" s="24"/>
      <c r="C80" s="25" t="s">
        <v>100</v>
      </c>
      <c r="D80" s="26"/>
      <c r="E80" s="26"/>
      <c r="F80" s="26"/>
      <c r="G80" s="26"/>
      <c r="H80" s="26"/>
      <c r="I80" s="26"/>
      <c r="J80" s="26"/>
      <c r="K80" s="26"/>
    </row>
    <row r="81" spans="1:11" ht="14.15" customHeight="1" x14ac:dyDescent="0.35">
      <c r="A81" s="24"/>
      <c r="B81" s="24"/>
      <c r="C81" s="25" t="s">
        <v>101</v>
      </c>
      <c r="D81" s="26"/>
      <c r="E81" s="26"/>
      <c r="F81" s="26"/>
      <c r="G81" s="26"/>
      <c r="H81" s="26"/>
      <c r="I81" s="26"/>
      <c r="J81" s="26"/>
      <c r="K81" s="26"/>
    </row>
    <row r="82" spans="1:11" s="3" customFormat="1" ht="14.15" customHeight="1" x14ac:dyDescent="0.35">
      <c r="A82" s="7" t="s">
        <v>102</v>
      </c>
      <c r="B82" s="7" t="s">
        <v>103</v>
      </c>
      <c r="C82" s="8" t="s">
        <v>104</v>
      </c>
      <c r="D82" s="9">
        <f>F82+H82+J82</f>
        <v>200</v>
      </c>
      <c r="E82" s="9">
        <f>G82+I82+K82</f>
        <v>160</v>
      </c>
      <c r="F82" s="10">
        <f t="shared" ref="F82:K82" si="16">SUM(F83:F84)</f>
        <v>140</v>
      </c>
      <c r="G82" s="10">
        <f t="shared" si="16"/>
        <v>100</v>
      </c>
      <c r="H82" s="10">
        <f t="shared" si="16"/>
        <v>0</v>
      </c>
      <c r="I82" s="10">
        <f t="shared" si="16"/>
        <v>0</v>
      </c>
      <c r="J82" s="10">
        <f t="shared" si="16"/>
        <v>60</v>
      </c>
      <c r="K82" s="10">
        <f t="shared" si="16"/>
        <v>60</v>
      </c>
    </row>
    <row r="83" spans="1:11" ht="14.15" customHeight="1" x14ac:dyDescent="0.35">
      <c r="A83" s="24"/>
      <c r="B83" s="24"/>
      <c r="C83" s="25" t="s">
        <v>105</v>
      </c>
      <c r="D83" s="26"/>
      <c r="E83" s="26"/>
      <c r="F83" s="26">
        <v>140</v>
      </c>
      <c r="G83" s="26">
        <v>100</v>
      </c>
      <c r="H83" s="26"/>
      <c r="I83" s="26"/>
      <c r="J83" s="26">
        <v>60</v>
      </c>
      <c r="K83" s="26">
        <v>60</v>
      </c>
    </row>
    <row r="84" spans="1:11" ht="14.15" customHeight="1" x14ac:dyDescent="0.35">
      <c r="A84" s="24"/>
      <c r="B84" s="24"/>
      <c r="C84" s="25" t="s">
        <v>106</v>
      </c>
      <c r="D84" s="26"/>
      <c r="E84" s="26"/>
      <c r="F84" s="26"/>
      <c r="G84" s="26"/>
      <c r="H84" s="26"/>
      <c r="I84" s="26"/>
      <c r="J84" s="26"/>
      <c r="K84" s="26"/>
    </row>
    <row r="85" spans="1:11" s="3" customFormat="1" ht="14.15" customHeight="1" x14ac:dyDescent="0.35">
      <c r="A85" s="16" t="s">
        <v>107</v>
      </c>
      <c r="B85" s="16" t="s">
        <v>108</v>
      </c>
      <c r="C85" s="17" t="s">
        <v>109</v>
      </c>
      <c r="D85" s="19">
        <f>D75+D82</f>
        <v>883</v>
      </c>
      <c r="E85" s="19">
        <f t="shared" ref="E85:K85" si="17">E75+E82</f>
        <v>810</v>
      </c>
      <c r="F85" s="19">
        <f t="shared" si="17"/>
        <v>823</v>
      </c>
      <c r="G85" s="19">
        <f t="shared" si="17"/>
        <v>750</v>
      </c>
      <c r="H85" s="19">
        <f t="shared" si="17"/>
        <v>0</v>
      </c>
      <c r="I85" s="19">
        <f t="shared" si="17"/>
        <v>0</v>
      </c>
      <c r="J85" s="19">
        <f t="shared" si="17"/>
        <v>60</v>
      </c>
      <c r="K85" s="19">
        <f t="shared" si="17"/>
        <v>60</v>
      </c>
    </row>
    <row r="86" spans="1:11" s="3" customFormat="1" ht="14.15" customHeight="1" x14ac:dyDescent="0.35">
      <c r="A86" s="7" t="s">
        <v>110</v>
      </c>
      <c r="B86" s="7" t="s">
        <v>111</v>
      </c>
      <c r="C86" s="8" t="s">
        <v>112</v>
      </c>
      <c r="D86" s="9">
        <f>F86+H86+J86</f>
        <v>2745</v>
      </c>
      <c r="E86" s="9">
        <f>G86+I86+K86</f>
        <v>2520</v>
      </c>
      <c r="F86" s="10">
        <f t="shared" ref="F86:K86" si="18">SUM(F87:F89)</f>
        <v>2360</v>
      </c>
      <c r="G86" s="10">
        <f t="shared" si="18"/>
        <v>2100</v>
      </c>
      <c r="H86" s="10">
        <f t="shared" si="18"/>
        <v>0</v>
      </c>
      <c r="I86" s="10">
        <f t="shared" si="18"/>
        <v>0</v>
      </c>
      <c r="J86" s="10">
        <f t="shared" si="18"/>
        <v>385</v>
      </c>
      <c r="K86" s="10">
        <f t="shared" si="18"/>
        <v>420</v>
      </c>
    </row>
    <row r="87" spans="1:11" ht="14.15" customHeight="1" x14ac:dyDescent="0.35">
      <c r="A87" s="24"/>
      <c r="B87" s="24"/>
      <c r="C87" s="25" t="s">
        <v>113</v>
      </c>
      <c r="D87" s="26"/>
      <c r="E87" s="26"/>
      <c r="F87" s="26">
        <v>1200</v>
      </c>
      <c r="G87" s="26">
        <v>1000</v>
      </c>
      <c r="H87" s="26"/>
      <c r="I87" s="26"/>
      <c r="J87" s="26">
        <v>25</v>
      </c>
      <c r="K87" s="26">
        <v>200</v>
      </c>
    </row>
    <row r="88" spans="1:11" ht="14.15" customHeight="1" x14ac:dyDescent="0.35">
      <c r="A88" s="24"/>
      <c r="B88" s="24"/>
      <c r="C88" s="25" t="s">
        <v>114</v>
      </c>
      <c r="D88" s="26"/>
      <c r="E88" s="26"/>
      <c r="F88" s="26">
        <v>1100</v>
      </c>
      <c r="G88" s="26">
        <v>1040</v>
      </c>
      <c r="H88" s="26"/>
      <c r="I88" s="26"/>
      <c r="J88" s="26">
        <v>350</v>
      </c>
      <c r="K88" s="26">
        <v>210</v>
      </c>
    </row>
    <row r="89" spans="1:11" ht="14.15" customHeight="1" x14ac:dyDescent="0.35">
      <c r="A89" s="24"/>
      <c r="B89" s="24"/>
      <c r="C89" s="25" t="s">
        <v>115</v>
      </c>
      <c r="D89" s="26"/>
      <c r="E89" s="26"/>
      <c r="F89" s="26">
        <v>60</v>
      </c>
      <c r="G89" s="26">
        <v>60</v>
      </c>
      <c r="H89" s="26"/>
      <c r="I89" s="26"/>
      <c r="J89" s="26">
        <v>10</v>
      </c>
      <c r="K89" s="26">
        <v>10</v>
      </c>
    </row>
    <row r="90" spans="1:11" s="3" customFormat="1" ht="14.15" customHeight="1" x14ac:dyDescent="0.35">
      <c r="A90" s="7" t="s">
        <v>116</v>
      </c>
      <c r="B90" s="7" t="s">
        <v>117</v>
      </c>
      <c r="C90" s="8" t="s">
        <v>118</v>
      </c>
      <c r="D90" s="9">
        <f>F90+H90+J90</f>
        <v>0</v>
      </c>
      <c r="E90" s="9">
        <f>G90+I90+K90</f>
        <v>0</v>
      </c>
      <c r="F90" s="10">
        <v>0</v>
      </c>
      <c r="G90" s="10">
        <f>G91</f>
        <v>0</v>
      </c>
      <c r="H90" s="10">
        <v>0</v>
      </c>
      <c r="I90" s="10">
        <f>I91</f>
        <v>0</v>
      </c>
      <c r="J90" s="10">
        <f>J91</f>
        <v>0</v>
      </c>
      <c r="K90" s="10">
        <f>K91</f>
        <v>0</v>
      </c>
    </row>
    <row r="91" spans="1:11" s="3" customFormat="1" ht="14.15" customHeight="1" x14ac:dyDescent="0.35">
      <c r="A91" s="24"/>
      <c r="B91" s="24"/>
      <c r="C91" s="25"/>
      <c r="D91" s="26"/>
      <c r="E91" s="26"/>
      <c r="F91" s="26"/>
      <c r="G91" s="26"/>
      <c r="H91" s="26"/>
      <c r="I91" s="26">
        <v>0</v>
      </c>
      <c r="J91" s="26"/>
      <c r="K91" s="26"/>
    </row>
    <row r="92" spans="1:11" s="3" customFormat="1" ht="14.15" customHeight="1" x14ac:dyDescent="0.35">
      <c r="A92" s="7" t="s">
        <v>119</v>
      </c>
      <c r="B92" s="7" t="s">
        <v>120</v>
      </c>
      <c r="C92" s="8" t="s">
        <v>121</v>
      </c>
      <c r="D92" s="9">
        <f>F92+H92+J92</f>
        <v>2030</v>
      </c>
      <c r="E92" s="9">
        <f>G92+I92+K92</f>
        <v>2200</v>
      </c>
      <c r="F92" s="10">
        <f t="shared" ref="F92:K92" si="19">SUM(F93:F94)</f>
        <v>0</v>
      </c>
      <c r="G92" s="10">
        <f t="shared" si="19"/>
        <v>200</v>
      </c>
      <c r="H92" s="10">
        <f t="shared" si="19"/>
        <v>0</v>
      </c>
      <c r="I92" s="10">
        <f t="shared" si="19"/>
        <v>0</v>
      </c>
      <c r="J92" s="10">
        <f t="shared" si="19"/>
        <v>2030</v>
      </c>
      <c r="K92" s="10">
        <f t="shared" si="19"/>
        <v>2000</v>
      </c>
    </row>
    <row r="93" spans="1:11" ht="14.15" customHeight="1" x14ac:dyDescent="0.35">
      <c r="A93" s="24"/>
      <c r="B93" s="24"/>
      <c r="C93" s="25" t="s">
        <v>122</v>
      </c>
      <c r="D93" s="26"/>
      <c r="E93" s="26"/>
      <c r="F93" s="26"/>
      <c r="G93" s="26"/>
      <c r="H93" s="26"/>
      <c r="I93" s="26"/>
      <c r="J93" s="26"/>
      <c r="K93" s="26"/>
    </row>
    <row r="94" spans="1:11" ht="14.15" customHeight="1" x14ac:dyDescent="0.35">
      <c r="A94" s="24"/>
      <c r="B94" s="24"/>
      <c r="C94" s="25" t="s">
        <v>123</v>
      </c>
      <c r="D94" s="26"/>
      <c r="E94" s="26"/>
      <c r="F94" s="26"/>
      <c r="G94" s="26">
        <v>200</v>
      </c>
      <c r="H94" s="26"/>
      <c r="I94" s="26"/>
      <c r="J94" s="26">
        <v>2030</v>
      </c>
      <c r="K94" s="26">
        <v>2000</v>
      </c>
    </row>
    <row r="95" spans="1:11" s="3" customFormat="1" ht="14.15" customHeight="1" x14ac:dyDescent="0.35">
      <c r="A95" s="7" t="s">
        <v>124</v>
      </c>
      <c r="B95" s="7" t="s">
        <v>125</v>
      </c>
      <c r="C95" s="8" t="s">
        <v>126</v>
      </c>
      <c r="D95" s="9">
        <f>F95+H95+J95</f>
        <v>875</v>
      </c>
      <c r="E95" s="9">
        <f>G95+I95+K95</f>
        <v>1366</v>
      </c>
      <c r="F95" s="10">
        <v>875</v>
      </c>
      <c r="G95" s="10">
        <f>762+114+290+200</f>
        <v>1366</v>
      </c>
      <c r="H95" s="10">
        <v>0</v>
      </c>
      <c r="I95" s="10">
        <v>0</v>
      </c>
      <c r="J95" s="10">
        <v>0</v>
      </c>
      <c r="K95" s="10">
        <v>0</v>
      </c>
    </row>
    <row r="96" spans="1:11" s="3" customFormat="1" ht="14.15" customHeight="1" x14ac:dyDescent="0.35">
      <c r="A96" s="7" t="s">
        <v>127</v>
      </c>
      <c r="B96" s="7" t="s">
        <v>128</v>
      </c>
      <c r="C96" s="8" t="s">
        <v>129</v>
      </c>
      <c r="D96" s="9">
        <f>F96+H96+J96</f>
        <v>200</v>
      </c>
      <c r="E96" s="9">
        <f>G96+I96+K96</f>
        <v>200</v>
      </c>
      <c r="F96" s="10">
        <f>SUM(F97:F98)</f>
        <v>200</v>
      </c>
      <c r="G96" s="10">
        <f>SUM(G97:G98)</f>
        <v>200</v>
      </c>
      <c r="H96" s="10">
        <v>0</v>
      </c>
      <c r="I96" s="10">
        <f>SUM(I97:I98)</f>
        <v>0</v>
      </c>
      <c r="J96" s="10">
        <f>SUM(J97:J98)</f>
        <v>0</v>
      </c>
      <c r="K96" s="10">
        <f>SUM(K97:K98)</f>
        <v>0</v>
      </c>
    </row>
    <row r="97" spans="1:11" ht="14.15" customHeight="1" x14ac:dyDescent="0.35">
      <c r="A97" s="24"/>
      <c r="B97" s="24"/>
      <c r="C97" s="25" t="s">
        <v>130</v>
      </c>
      <c r="D97" s="26"/>
      <c r="E97" s="26"/>
      <c r="F97" s="26">
        <v>200</v>
      </c>
      <c r="G97" s="26">
        <v>200</v>
      </c>
      <c r="H97" s="26"/>
      <c r="I97" s="26"/>
      <c r="J97" s="26"/>
      <c r="K97" s="26"/>
    </row>
    <row r="98" spans="1:11" ht="14.15" customHeight="1" x14ac:dyDescent="0.35">
      <c r="A98" s="24"/>
      <c r="B98" s="24"/>
      <c r="C98" s="25" t="s">
        <v>131</v>
      </c>
      <c r="D98" s="26"/>
      <c r="E98" s="26"/>
      <c r="F98" s="26"/>
      <c r="G98" s="26"/>
      <c r="H98" s="26"/>
      <c r="I98" s="26"/>
      <c r="J98" s="26"/>
      <c r="K98" s="26"/>
    </row>
    <row r="99" spans="1:11" s="3" customFormat="1" ht="14.15" customHeight="1" x14ac:dyDescent="0.35">
      <c r="A99" s="7" t="s">
        <v>132</v>
      </c>
      <c r="B99" s="7" t="s">
        <v>133</v>
      </c>
      <c r="C99" s="8" t="s">
        <v>134</v>
      </c>
      <c r="D99" s="9">
        <f>F99+H99+J99</f>
        <v>230</v>
      </c>
      <c r="E99" s="9">
        <f>G99+I99+K99</f>
        <v>1815</v>
      </c>
      <c r="F99" s="10">
        <f t="shared" ref="F99:K99" si="20">SUM(F100:F102)</f>
        <v>200</v>
      </c>
      <c r="G99" s="10">
        <f t="shared" si="20"/>
        <v>1815</v>
      </c>
      <c r="H99" s="10">
        <f t="shared" si="20"/>
        <v>0</v>
      </c>
      <c r="I99" s="10">
        <f t="shared" si="20"/>
        <v>0</v>
      </c>
      <c r="J99" s="10">
        <f t="shared" si="20"/>
        <v>30</v>
      </c>
      <c r="K99" s="10">
        <f t="shared" si="20"/>
        <v>0</v>
      </c>
    </row>
    <row r="100" spans="1:11" ht="14.15" customHeight="1" x14ac:dyDescent="0.35">
      <c r="A100" s="24"/>
      <c r="B100" s="24"/>
      <c r="C100" s="25" t="s">
        <v>135</v>
      </c>
      <c r="D100" s="26"/>
      <c r="E100" s="26"/>
      <c r="F100" s="26">
        <v>0</v>
      </c>
      <c r="G100" s="26"/>
      <c r="H100" s="26">
        <v>0</v>
      </c>
      <c r="I100" s="26">
        <v>0</v>
      </c>
      <c r="J100" s="26"/>
      <c r="K100" s="26"/>
    </row>
    <row r="101" spans="1:11" ht="14.15" customHeight="1" x14ac:dyDescent="0.35">
      <c r="A101" s="24"/>
      <c r="B101" s="24"/>
      <c r="C101" s="25" t="s">
        <v>136</v>
      </c>
      <c r="D101" s="26"/>
      <c r="E101" s="26"/>
      <c r="F101" s="26">
        <v>0</v>
      </c>
      <c r="G101" s="26"/>
      <c r="H101" s="26">
        <v>0</v>
      </c>
      <c r="I101" s="26">
        <v>0</v>
      </c>
      <c r="J101" s="26"/>
      <c r="K101" s="26"/>
    </row>
    <row r="102" spans="1:11" ht="14.15" customHeight="1" x14ac:dyDescent="0.35">
      <c r="A102" s="24"/>
      <c r="B102" s="24"/>
      <c r="C102" s="25" t="s">
        <v>137</v>
      </c>
      <c r="D102" s="26"/>
      <c r="E102" s="26"/>
      <c r="F102" s="26">
        <v>200</v>
      </c>
      <c r="G102" s="26">
        <f>200+40+1575</f>
        <v>1815</v>
      </c>
      <c r="H102" s="26">
        <v>0</v>
      </c>
      <c r="I102" s="26">
        <v>0</v>
      </c>
      <c r="J102" s="26">
        <v>30</v>
      </c>
      <c r="K102" s="26"/>
    </row>
    <row r="103" spans="1:11" s="3" customFormat="1" ht="14.15" customHeight="1" x14ac:dyDescent="0.35">
      <c r="A103" s="7" t="s">
        <v>138</v>
      </c>
      <c r="B103" s="7" t="s">
        <v>139</v>
      </c>
      <c r="C103" s="8" t="s">
        <v>140</v>
      </c>
      <c r="D103" s="9">
        <f>F103+H103+J103</f>
        <v>1880</v>
      </c>
      <c r="E103" s="9">
        <f>G103+I103+K103</f>
        <v>1950</v>
      </c>
      <c r="F103" s="10">
        <f t="shared" ref="F103:K103" si="21">SUM(F104:F107)</f>
        <v>1830</v>
      </c>
      <c r="G103" s="10">
        <f t="shared" si="21"/>
        <v>1900</v>
      </c>
      <c r="H103" s="10">
        <f t="shared" si="21"/>
        <v>0</v>
      </c>
      <c r="I103" s="10">
        <f t="shared" si="21"/>
        <v>0</v>
      </c>
      <c r="J103" s="10">
        <f t="shared" si="21"/>
        <v>50</v>
      </c>
      <c r="K103" s="10">
        <f t="shared" si="21"/>
        <v>50</v>
      </c>
    </row>
    <row r="104" spans="1:11" ht="14.15" customHeight="1" x14ac:dyDescent="0.35">
      <c r="A104" s="24"/>
      <c r="B104" s="24"/>
      <c r="C104" s="25" t="s">
        <v>141</v>
      </c>
      <c r="D104" s="26"/>
      <c r="E104" s="26"/>
      <c r="F104" s="26">
        <v>0</v>
      </c>
      <c r="G104" s="26"/>
      <c r="H104" s="26"/>
      <c r="I104" s="26"/>
      <c r="J104" s="26"/>
      <c r="K104" s="26"/>
    </row>
    <row r="105" spans="1:11" ht="14.15" customHeight="1" x14ac:dyDescent="0.35">
      <c r="A105" s="24"/>
      <c r="B105" s="24"/>
      <c r="C105" s="25" t="s">
        <v>142</v>
      </c>
      <c r="D105" s="26"/>
      <c r="E105" s="26"/>
      <c r="F105" s="26">
        <v>70</v>
      </c>
      <c r="G105" s="26"/>
      <c r="H105" s="26"/>
      <c r="I105" s="26"/>
      <c r="J105" s="26"/>
      <c r="K105" s="26"/>
    </row>
    <row r="106" spans="1:11" ht="14.15" customHeight="1" x14ac:dyDescent="0.35">
      <c r="A106" s="24"/>
      <c r="B106" s="24"/>
      <c r="C106" s="25" t="s">
        <v>143</v>
      </c>
      <c r="D106" s="26"/>
      <c r="E106" s="26"/>
      <c r="F106" s="26">
        <v>0</v>
      </c>
      <c r="G106" s="26">
        <v>100</v>
      </c>
      <c r="H106" s="26"/>
      <c r="I106" s="26"/>
      <c r="J106" s="26"/>
      <c r="K106" s="26"/>
    </row>
    <row r="107" spans="1:11" ht="14.15" customHeight="1" x14ac:dyDescent="0.35">
      <c r="A107" s="24"/>
      <c r="B107" s="24"/>
      <c r="C107" s="25" t="s">
        <v>144</v>
      </c>
      <c r="D107" s="26"/>
      <c r="E107" s="26"/>
      <c r="F107" s="26">
        <v>1760</v>
      </c>
      <c r="G107" s="26">
        <f>1800</f>
        <v>1800</v>
      </c>
      <c r="H107" s="26"/>
      <c r="I107" s="26"/>
      <c r="J107" s="26">
        <v>50</v>
      </c>
      <c r="K107" s="26">
        <v>50</v>
      </c>
    </row>
    <row r="108" spans="1:11" s="3" customFormat="1" ht="14.15" customHeight="1" x14ac:dyDescent="0.35">
      <c r="A108" s="16" t="s">
        <v>145</v>
      </c>
      <c r="B108" s="16" t="s">
        <v>146</v>
      </c>
      <c r="C108" s="17" t="s">
        <v>147</v>
      </c>
      <c r="D108" s="19">
        <f>D86+D90+D92+D95+D96+D99+D103</f>
        <v>7960</v>
      </c>
      <c r="E108" s="19">
        <f t="shared" ref="E108:K108" si="22">E86+E90+E92+E95+E96+E99+E103</f>
        <v>10051</v>
      </c>
      <c r="F108" s="19">
        <f t="shared" si="22"/>
        <v>5465</v>
      </c>
      <c r="G108" s="19">
        <f t="shared" si="22"/>
        <v>7581</v>
      </c>
      <c r="H108" s="19">
        <f t="shared" si="22"/>
        <v>0</v>
      </c>
      <c r="I108" s="19">
        <f t="shared" si="22"/>
        <v>0</v>
      </c>
      <c r="J108" s="19">
        <f t="shared" si="22"/>
        <v>2495</v>
      </c>
      <c r="K108" s="19">
        <f t="shared" si="22"/>
        <v>2470</v>
      </c>
    </row>
    <row r="109" spans="1:11" s="3" customFormat="1" ht="14.15" customHeight="1" x14ac:dyDescent="0.35">
      <c r="A109" s="7" t="s">
        <v>148</v>
      </c>
      <c r="B109" s="7" t="s">
        <v>149</v>
      </c>
      <c r="C109" s="8" t="s">
        <v>150</v>
      </c>
      <c r="D109" s="9">
        <f>F109+H109+J109</f>
        <v>50</v>
      </c>
      <c r="E109" s="9">
        <f>G109+I109+K109</f>
        <v>50</v>
      </c>
      <c r="F109" s="10">
        <f t="shared" ref="F109:K109" si="23">SUM(F110:F111)</f>
        <v>50</v>
      </c>
      <c r="G109" s="10">
        <f t="shared" si="23"/>
        <v>50</v>
      </c>
      <c r="H109" s="10">
        <f t="shared" si="23"/>
        <v>0</v>
      </c>
      <c r="I109" s="10">
        <f t="shared" si="23"/>
        <v>0</v>
      </c>
      <c r="J109" s="10">
        <f t="shared" si="23"/>
        <v>0</v>
      </c>
      <c r="K109" s="10">
        <f t="shared" si="23"/>
        <v>0</v>
      </c>
    </row>
    <row r="110" spans="1:11" ht="14.15" customHeight="1" x14ac:dyDescent="0.35">
      <c r="A110" s="24"/>
      <c r="B110" s="24"/>
      <c r="C110" s="25" t="s">
        <v>151</v>
      </c>
      <c r="D110" s="26"/>
      <c r="E110" s="26"/>
      <c r="F110" s="26">
        <v>50</v>
      </c>
      <c r="G110" s="26">
        <v>50</v>
      </c>
      <c r="H110" s="26"/>
      <c r="I110" s="26"/>
      <c r="J110" s="26"/>
      <c r="K110" s="26"/>
    </row>
    <row r="111" spans="1:11" ht="14.15" customHeight="1" x14ac:dyDescent="0.35">
      <c r="A111" s="24"/>
      <c r="B111" s="24"/>
      <c r="C111" s="25" t="s">
        <v>152</v>
      </c>
      <c r="D111" s="26"/>
      <c r="E111" s="26"/>
      <c r="F111" s="26"/>
      <c r="G111" s="26"/>
      <c r="H111" s="26"/>
      <c r="I111" s="26"/>
      <c r="J111" s="26"/>
      <c r="K111" s="26"/>
    </row>
    <row r="112" spans="1:11" s="3" customFormat="1" ht="14.15" customHeight="1" x14ac:dyDescent="0.35">
      <c r="A112" s="7" t="s">
        <v>153</v>
      </c>
      <c r="B112" s="7" t="s">
        <v>154</v>
      </c>
      <c r="C112" s="8" t="s">
        <v>155</v>
      </c>
      <c r="D112" s="9">
        <f>F112+H112+J112</f>
        <v>60</v>
      </c>
      <c r="E112" s="9">
        <f>G112+I112+K112</f>
        <v>60</v>
      </c>
      <c r="F112" s="10">
        <v>30</v>
      </c>
      <c r="G112" s="10">
        <v>30</v>
      </c>
      <c r="H112" s="10">
        <v>0</v>
      </c>
      <c r="I112" s="10">
        <v>0</v>
      </c>
      <c r="J112" s="10">
        <v>30</v>
      </c>
      <c r="K112" s="10">
        <v>30</v>
      </c>
    </row>
    <row r="113" spans="1:11" s="3" customFormat="1" ht="14.15" customHeight="1" x14ac:dyDescent="0.35">
      <c r="A113" s="16" t="s">
        <v>156</v>
      </c>
      <c r="B113" s="16" t="s">
        <v>157</v>
      </c>
      <c r="C113" s="17" t="s">
        <v>158</v>
      </c>
      <c r="D113" s="19">
        <f>D109+D112</f>
        <v>110</v>
      </c>
      <c r="E113" s="19">
        <f t="shared" ref="E113:K113" si="24">E109+E112</f>
        <v>110</v>
      </c>
      <c r="F113" s="19">
        <f t="shared" si="24"/>
        <v>80</v>
      </c>
      <c r="G113" s="19">
        <f t="shared" si="24"/>
        <v>80</v>
      </c>
      <c r="H113" s="19">
        <f t="shared" si="24"/>
        <v>0</v>
      </c>
      <c r="I113" s="19">
        <f t="shared" si="24"/>
        <v>0</v>
      </c>
      <c r="J113" s="19">
        <f t="shared" si="24"/>
        <v>30</v>
      </c>
      <c r="K113" s="19">
        <f t="shared" si="24"/>
        <v>30</v>
      </c>
    </row>
    <row r="114" spans="1:11" s="3" customFormat="1" ht="14.15" customHeight="1" x14ac:dyDescent="0.35">
      <c r="A114" s="7" t="s">
        <v>159</v>
      </c>
      <c r="B114" s="7" t="s">
        <v>160</v>
      </c>
      <c r="C114" s="8" t="s">
        <v>161</v>
      </c>
      <c r="D114" s="9">
        <f>F114+H114+J114</f>
        <v>1924</v>
      </c>
      <c r="E114" s="9">
        <f>G114+I114+K114</f>
        <v>2525</v>
      </c>
      <c r="F114" s="10">
        <f t="shared" ref="F114:K114" si="25">SUM(F115:F116)</f>
        <v>1773</v>
      </c>
      <c r="G114" s="10">
        <f t="shared" si="25"/>
        <v>2363</v>
      </c>
      <c r="H114" s="10">
        <f t="shared" si="25"/>
        <v>151</v>
      </c>
      <c r="I114" s="10">
        <f t="shared" si="25"/>
        <v>162</v>
      </c>
      <c r="J114" s="10">
        <f t="shared" si="25"/>
        <v>0</v>
      </c>
      <c r="K114" s="10">
        <f t="shared" si="25"/>
        <v>0</v>
      </c>
    </row>
    <row r="115" spans="1:11" ht="14.15" customHeight="1" x14ac:dyDescent="0.35">
      <c r="A115" s="24"/>
      <c r="B115" s="24"/>
      <c r="C115" s="25" t="s">
        <v>162</v>
      </c>
      <c r="D115" s="26"/>
      <c r="E115" s="26"/>
      <c r="F115" s="26"/>
      <c r="G115" s="26"/>
      <c r="H115" s="26"/>
      <c r="I115" s="26"/>
      <c r="J115" s="26"/>
      <c r="K115" s="26"/>
    </row>
    <row r="116" spans="1:11" ht="14.15" customHeight="1" x14ac:dyDescent="0.35">
      <c r="A116" s="24"/>
      <c r="B116" s="24"/>
      <c r="C116" s="25" t="s">
        <v>163</v>
      </c>
      <c r="D116" s="26"/>
      <c r="E116" s="26"/>
      <c r="F116" s="26">
        <v>1773</v>
      </c>
      <c r="G116" s="26">
        <f>ROUND((G74+G85+G108+G112)*0.27,0)</f>
        <v>2363</v>
      </c>
      <c r="H116" s="26">
        <v>151</v>
      </c>
      <c r="I116" s="26">
        <f>ROUND((I74+I85+I108+I112)*0.27,0)</f>
        <v>162</v>
      </c>
      <c r="J116" s="26"/>
      <c r="K116" s="26"/>
    </row>
    <row r="117" spans="1:11" s="3" customFormat="1" ht="14.15" customHeight="1" x14ac:dyDescent="0.35">
      <c r="A117" s="7" t="s">
        <v>164</v>
      </c>
      <c r="B117" s="7" t="s">
        <v>165</v>
      </c>
      <c r="C117" s="8" t="s">
        <v>166</v>
      </c>
      <c r="D117" s="9">
        <f>F117+H117+J117</f>
        <v>0</v>
      </c>
      <c r="E117" s="9">
        <f>G117+I117+K117</f>
        <v>0</v>
      </c>
      <c r="F117" s="10">
        <f t="shared" ref="F117:K117" si="26">SUM(F118:F120)</f>
        <v>0</v>
      </c>
      <c r="G117" s="10">
        <f t="shared" si="26"/>
        <v>0</v>
      </c>
      <c r="H117" s="10">
        <f t="shared" si="26"/>
        <v>0</v>
      </c>
      <c r="I117" s="10">
        <f t="shared" si="26"/>
        <v>0</v>
      </c>
      <c r="J117" s="10">
        <f t="shared" si="26"/>
        <v>0</v>
      </c>
      <c r="K117" s="10">
        <f t="shared" si="26"/>
        <v>0</v>
      </c>
    </row>
    <row r="118" spans="1:11" ht="14.15" customHeight="1" x14ac:dyDescent="0.35">
      <c r="A118" s="24"/>
      <c r="B118" s="24"/>
      <c r="C118" s="25" t="s">
        <v>167</v>
      </c>
      <c r="D118" s="26"/>
      <c r="E118" s="26"/>
      <c r="F118" s="26"/>
      <c r="G118" s="26"/>
      <c r="H118" s="26"/>
      <c r="I118" s="26"/>
      <c r="J118" s="26"/>
      <c r="K118" s="26"/>
    </row>
    <row r="119" spans="1:11" ht="14.15" customHeight="1" x14ac:dyDescent="0.35">
      <c r="A119" s="24"/>
      <c r="B119" s="24"/>
      <c r="C119" s="25" t="s">
        <v>168</v>
      </c>
      <c r="D119" s="26"/>
      <c r="E119" s="26"/>
      <c r="F119" s="26"/>
      <c r="G119" s="26"/>
      <c r="H119" s="26"/>
      <c r="I119" s="26"/>
      <c r="J119" s="26"/>
      <c r="K119" s="26"/>
    </row>
    <row r="120" spans="1:11" ht="14.15" customHeight="1" x14ac:dyDescent="0.35">
      <c r="A120" s="24"/>
      <c r="B120" s="24"/>
      <c r="C120" s="25" t="s">
        <v>169</v>
      </c>
      <c r="D120" s="26"/>
      <c r="E120" s="26"/>
      <c r="F120" s="26"/>
      <c r="G120" s="26"/>
      <c r="H120" s="26"/>
      <c r="I120" s="26"/>
      <c r="J120" s="26"/>
      <c r="K120" s="26"/>
    </row>
    <row r="121" spans="1:11" s="3" customFormat="1" ht="14.15" customHeight="1" x14ac:dyDescent="0.35">
      <c r="A121" s="7" t="s">
        <v>170</v>
      </c>
      <c r="B121" s="7" t="s">
        <v>171</v>
      </c>
      <c r="C121" s="8" t="s">
        <v>172</v>
      </c>
      <c r="D121" s="9">
        <f>F121+H121+J121</f>
        <v>0</v>
      </c>
      <c r="E121" s="9">
        <f>G121+I121+K121</f>
        <v>0</v>
      </c>
      <c r="F121" s="10">
        <f t="shared" ref="F121:K121" si="27">SUM(F122:F125)</f>
        <v>0</v>
      </c>
      <c r="G121" s="10">
        <f t="shared" si="27"/>
        <v>0</v>
      </c>
      <c r="H121" s="10">
        <f t="shared" si="27"/>
        <v>0</v>
      </c>
      <c r="I121" s="10">
        <f t="shared" si="27"/>
        <v>0</v>
      </c>
      <c r="J121" s="10">
        <f t="shared" si="27"/>
        <v>0</v>
      </c>
      <c r="K121" s="10">
        <f t="shared" si="27"/>
        <v>0</v>
      </c>
    </row>
    <row r="122" spans="1:11" ht="14.15" customHeight="1" x14ac:dyDescent="0.35">
      <c r="A122" s="24"/>
      <c r="B122" s="24"/>
      <c r="C122" s="25" t="s">
        <v>173</v>
      </c>
      <c r="D122" s="26"/>
      <c r="E122" s="26"/>
      <c r="F122" s="26"/>
      <c r="G122" s="26"/>
      <c r="H122" s="26"/>
      <c r="I122" s="26"/>
      <c r="J122" s="26"/>
      <c r="K122" s="26"/>
    </row>
    <row r="123" spans="1:11" ht="14.15" customHeight="1" x14ac:dyDescent="0.35">
      <c r="A123" s="24"/>
      <c r="B123" s="24"/>
      <c r="C123" s="25" t="s">
        <v>174</v>
      </c>
      <c r="D123" s="26"/>
      <c r="E123" s="26"/>
      <c r="F123" s="26"/>
      <c r="G123" s="26"/>
      <c r="H123" s="26"/>
      <c r="I123" s="26"/>
      <c r="J123" s="26"/>
      <c r="K123" s="26"/>
    </row>
    <row r="124" spans="1:11" ht="14.15" customHeight="1" x14ac:dyDescent="0.35">
      <c r="A124" s="24"/>
      <c r="B124" s="24"/>
      <c r="C124" s="25" t="s">
        <v>175</v>
      </c>
      <c r="D124" s="26"/>
      <c r="E124" s="26"/>
      <c r="F124" s="26"/>
      <c r="G124" s="26"/>
      <c r="H124" s="26"/>
      <c r="I124" s="26"/>
      <c r="J124" s="26"/>
      <c r="K124" s="26"/>
    </row>
    <row r="125" spans="1:11" ht="14.15" customHeight="1" x14ac:dyDescent="0.35">
      <c r="A125" s="24"/>
      <c r="B125" s="24"/>
      <c r="C125" s="25" t="s">
        <v>176</v>
      </c>
      <c r="D125" s="26"/>
      <c r="E125" s="26"/>
      <c r="F125" s="26"/>
      <c r="G125" s="26"/>
      <c r="H125" s="26"/>
      <c r="I125" s="26"/>
      <c r="J125" s="26"/>
      <c r="K125" s="26"/>
    </row>
    <row r="126" spans="1:11" s="3" customFormat="1" ht="14.15" customHeight="1" x14ac:dyDescent="0.35">
      <c r="A126" s="7" t="s">
        <v>177</v>
      </c>
      <c r="B126" s="7" t="s">
        <v>178</v>
      </c>
      <c r="C126" s="8" t="s">
        <v>179</v>
      </c>
      <c r="D126" s="9">
        <f>F126+H126+J126</f>
        <v>0</v>
      </c>
      <c r="E126" s="9">
        <f>G126+I126+K126</f>
        <v>0</v>
      </c>
      <c r="F126" s="10">
        <f t="shared" ref="F126:K126" si="28">SUM(F127:F128)</f>
        <v>0</v>
      </c>
      <c r="G126" s="10">
        <f t="shared" si="28"/>
        <v>0</v>
      </c>
      <c r="H126" s="10">
        <f t="shared" si="28"/>
        <v>0</v>
      </c>
      <c r="I126" s="10">
        <f t="shared" si="28"/>
        <v>0</v>
      </c>
      <c r="J126" s="10">
        <f t="shared" si="28"/>
        <v>0</v>
      </c>
      <c r="K126" s="10">
        <f t="shared" si="28"/>
        <v>0</v>
      </c>
    </row>
    <row r="127" spans="1:11" ht="14.15" customHeight="1" x14ac:dyDescent="0.35">
      <c r="A127" s="24"/>
      <c r="B127" s="24"/>
      <c r="C127" s="25" t="s">
        <v>180</v>
      </c>
      <c r="D127" s="26"/>
      <c r="E127" s="26"/>
      <c r="F127" s="26"/>
      <c r="G127" s="26"/>
      <c r="H127" s="26"/>
      <c r="I127" s="26"/>
      <c r="J127" s="26"/>
      <c r="K127" s="26"/>
    </row>
    <row r="128" spans="1:11" ht="14.15" customHeight="1" x14ac:dyDescent="0.35">
      <c r="A128" s="24"/>
      <c r="B128" s="24"/>
      <c r="C128" s="25" t="s">
        <v>181</v>
      </c>
      <c r="D128" s="26"/>
      <c r="E128" s="26"/>
      <c r="F128" s="26"/>
      <c r="G128" s="26"/>
      <c r="H128" s="26"/>
      <c r="I128" s="26"/>
      <c r="J128" s="26"/>
      <c r="K128" s="26"/>
    </row>
    <row r="129" spans="1:254" s="3" customFormat="1" ht="14.15" customHeight="1" x14ac:dyDescent="0.35">
      <c r="A129" s="7" t="s">
        <v>182</v>
      </c>
      <c r="B129" s="7" t="s">
        <v>183</v>
      </c>
      <c r="C129" s="8" t="s">
        <v>184</v>
      </c>
      <c r="D129" s="9">
        <f>F129+H129+J129</f>
        <v>20</v>
      </c>
      <c r="E129" s="9">
        <f>G129+I129+K129</f>
        <v>100</v>
      </c>
      <c r="F129" s="10">
        <f t="shared" ref="F129:K129" si="29">SUM(F130:F133)</f>
        <v>15</v>
      </c>
      <c r="G129" s="10">
        <f t="shared" si="29"/>
        <v>100</v>
      </c>
      <c r="H129" s="10">
        <f t="shared" si="29"/>
        <v>0</v>
      </c>
      <c r="I129" s="10">
        <f t="shared" si="29"/>
        <v>0</v>
      </c>
      <c r="J129" s="10">
        <f t="shared" si="29"/>
        <v>5</v>
      </c>
      <c r="K129" s="10">
        <f t="shared" si="29"/>
        <v>0</v>
      </c>
    </row>
    <row r="130" spans="1:254" ht="14.15" customHeight="1" x14ac:dyDescent="0.35">
      <c r="A130" s="24"/>
      <c r="B130" s="24"/>
      <c r="C130" s="25" t="s">
        <v>185</v>
      </c>
      <c r="D130" s="26"/>
      <c r="E130" s="26"/>
      <c r="F130" s="26"/>
      <c r="G130" s="26"/>
      <c r="H130" s="26"/>
      <c r="I130" s="26"/>
      <c r="J130" s="26"/>
      <c r="K130" s="26"/>
    </row>
    <row r="131" spans="1:254" ht="14.15" customHeight="1" x14ac:dyDescent="0.35">
      <c r="A131" s="24"/>
      <c r="B131" s="24"/>
      <c r="C131" s="25" t="s">
        <v>186</v>
      </c>
      <c r="D131" s="26"/>
      <c r="E131" s="26"/>
      <c r="F131" s="26"/>
      <c r="G131" s="26"/>
      <c r="H131" s="26"/>
      <c r="I131" s="26"/>
      <c r="J131" s="26"/>
      <c r="K131" s="26"/>
    </row>
    <row r="132" spans="1:254" ht="14.15" customHeight="1" x14ac:dyDescent="0.35">
      <c r="A132" s="24"/>
      <c r="B132" s="24"/>
      <c r="C132" s="25" t="s">
        <v>187</v>
      </c>
      <c r="D132" s="26"/>
      <c r="E132" s="26"/>
      <c r="F132" s="26"/>
      <c r="G132" s="26"/>
      <c r="H132" s="26"/>
      <c r="I132" s="26"/>
      <c r="J132" s="26"/>
      <c r="K132" s="26"/>
    </row>
    <row r="133" spans="1:254" ht="14.15" customHeight="1" x14ac:dyDescent="0.35">
      <c r="A133" s="24"/>
      <c r="B133" s="24"/>
      <c r="C133" s="25" t="s">
        <v>188</v>
      </c>
      <c r="D133" s="26"/>
      <c r="E133" s="26"/>
      <c r="F133" s="26">
        <v>15</v>
      </c>
      <c r="G133" s="26">
        <v>100</v>
      </c>
      <c r="H133" s="26"/>
      <c r="I133" s="26"/>
      <c r="J133" s="26">
        <v>5</v>
      </c>
      <c r="K133" s="26"/>
    </row>
    <row r="134" spans="1:254" s="3" customFormat="1" ht="14.15" customHeight="1" x14ac:dyDescent="0.35">
      <c r="A134" s="16" t="s">
        <v>189</v>
      </c>
      <c r="B134" s="16" t="s">
        <v>190</v>
      </c>
      <c r="C134" s="17" t="s">
        <v>191</v>
      </c>
      <c r="D134" s="19">
        <f>D114+D117+D121+D126+D129</f>
        <v>1944</v>
      </c>
      <c r="E134" s="19">
        <f t="shared" ref="E134:K134" si="30">E114+E117+E121+E126+E129</f>
        <v>2625</v>
      </c>
      <c r="F134" s="19">
        <f t="shared" si="30"/>
        <v>1788</v>
      </c>
      <c r="G134" s="19">
        <f t="shared" si="30"/>
        <v>2463</v>
      </c>
      <c r="H134" s="19">
        <f t="shared" si="30"/>
        <v>151</v>
      </c>
      <c r="I134" s="19">
        <f t="shared" si="30"/>
        <v>162</v>
      </c>
      <c r="J134" s="19">
        <f t="shared" si="30"/>
        <v>5</v>
      </c>
      <c r="K134" s="19">
        <f t="shared" si="30"/>
        <v>0</v>
      </c>
    </row>
    <row r="135" spans="1:254" s="3" customFormat="1" ht="14.15" customHeight="1" x14ac:dyDescent="0.35">
      <c r="A135" s="20" t="s">
        <v>192</v>
      </c>
      <c r="B135" s="20" t="s">
        <v>193</v>
      </c>
      <c r="C135" s="21" t="s">
        <v>292</v>
      </c>
      <c r="D135" s="23">
        <f>D74+D85+D108+D113+D134</f>
        <v>13167</v>
      </c>
      <c r="E135" s="23">
        <f t="shared" ref="E135:K135" si="31">E74+E85+E108+E113+E134</f>
        <v>14606</v>
      </c>
      <c r="F135" s="23">
        <f t="shared" si="31"/>
        <v>8406</v>
      </c>
      <c r="G135" s="23">
        <f t="shared" si="31"/>
        <v>11264</v>
      </c>
      <c r="H135" s="23">
        <f t="shared" si="31"/>
        <v>2151</v>
      </c>
      <c r="I135" s="23">
        <f t="shared" si="31"/>
        <v>762</v>
      </c>
      <c r="J135" s="23">
        <f t="shared" si="31"/>
        <v>2610</v>
      </c>
      <c r="K135" s="23">
        <f t="shared" si="31"/>
        <v>2580</v>
      </c>
    </row>
    <row r="136" spans="1:254" ht="14.15" customHeight="1" x14ac:dyDescent="0.25">
      <c r="A136" s="1104" t="s">
        <v>291</v>
      </c>
      <c r="B136" s="1105"/>
      <c r="C136" s="1106"/>
      <c r="D136" s="28">
        <f>D51+D135</f>
        <v>27915</v>
      </c>
      <c r="E136" s="28">
        <f t="shared" ref="E136:K136" si="32">E51+E135</f>
        <v>27157</v>
      </c>
      <c r="F136" s="28">
        <f t="shared" si="32"/>
        <v>19820</v>
      </c>
      <c r="G136" s="28">
        <f t="shared" si="32"/>
        <v>22988</v>
      </c>
      <c r="H136" s="28">
        <f t="shared" si="32"/>
        <v>2151</v>
      </c>
      <c r="I136" s="28">
        <f t="shared" si="32"/>
        <v>762</v>
      </c>
      <c r="J136" s="28">
        <f t="shared" si="32"/>
        <v>5944</v>
      </c>
      <c r="K136" s="28">
        <f t="shared" si="32"/>
        <v>3407</v>
      </c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</row>
    <row r="137" spans="1:254" ht="12.75" customHeight="1" x14ac:dyDescent="0.2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</row>
    <row r="138" spans="1:254" ht="14.15" customHeight="1" x14ac:dyDescent="0.2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</row>
    <row r="140" spans="1:254" s="1" customFormat="1" ht="12.75" customHeight="1" x14ac:dyDescent="0.35">
      <c r="A140" s="1120" t="s">
        <v>574</v>
      </c>
      <c r="B140" s="1121"/>
      <c r="C140" s="1121"/>
      <c r="D140" s="1121"/>
      <c r="E140" s="1121"/>
      <c r="F140" s="1121"/>
      <c r="G140" s="1121"/>
      <c r="H140" s="1121"/>
      <c r="I140" s="1121"/>
      <c r="J140" s="1121"/>
      <c r="K140" s="1122"/>
    </row>
    <row r="141" spans="1:254" s="1" customFormat="1" ht="14.15" customHeight="1" x14ac:dyDescent="0.35">
      <c r="A141" s="1101" t="s">
        <v>0</v>
      </c>
      <c r="B141" s="1102" t="s">
        <v>1</v>
      </c>
      <c r="C141" s="1101" t="s">
        <v>2</v>
      </c>
      <c r="D141" s="1103" t="s">
        <v>260</v>
      </c>
      <c r="E141" s="1096" t="s">
        <v>259</v>
      </c>
      <c r="F141" s="1098" t="s">
        <v>360</v>
      </c>
      <c r="G141" s="1099"/>
      <c r="H141" s="1098" t="s">
        <v>575</v>
      </c>
      <c r="I141" s="1099"/>
      <c r="J141" s="1098" t="s">
        <v>361</v>
      </c>
      <c r="K141" s="1099"/>
    </row>
    <row r="142" spans="1:254" s="3" customFormat="1" ht="27" customHeight="1" x14ac:dyDescent="0.35">
      <c r="A142" s="1101"/>
      <c r="B142" s="1102"/>
      <c r="C142" s="1101"/>
      <c r="D142" s="1103"/>
      <c r="E142" s="1097"/>
      <c r="F142" s="2" t="s">
        <v>260</v>
      </c>
      <c r="G142" s="2" t="s">
        <v>259</v>
      </c>
      <c r="H142" s="2" t="s">
        <v>260</v>
      </c>
      <c r="I142" s="2" t="s">
        <v>259</v>
      </c>
      <c r="J142" s="2" t="s">
        <v>260</v>
      </c>
      <c r="K142" s="2" t="s">
        <v>259</v>
      </c>
    </row>
    <row r="143" spans="1:254" ht="5.65" customHeight="1" x14ac:dyDescent="0.35"/>
    <row r="144" spans="1:254" ht="14.15" customHeight="1" x14ac:dyDescent="0.35">
      <c r="A144" s="1100" t="s">
        <v>194</v>
      </c>
      <c r="B144" s="1100"/>
      <c r="C144" s="1100"/>
      <c r="D144" s="1100"/>
      <c r="E144" s="1100"/>
      <c r="F144" s="1100"/>
      <c r="G144" s="1100"/>
      <c r="H144" s="1100"/>
      <c r="I144" s="1100"/>
      <c r="J144" s="96"/>
      <c r="K144" s="96"/>
    </row>
    <row r="145" spans="1:11" ht="14.15" customHeight="1" x14ac:dyDescent="0.35">
      <c r="A145" s="24" t="s">
        <v>195</v>
      </c>
      <c r="B145" s="24" t="s">
        <v>196</v>
      </c>
      <c r="C145" s="25" t="s">
        <v>197</v>
      </c>
      <c r="D145" s="26">
        <f>F145+H145+J145</f>
        <v>0</v>
      </c>
      <c r="E145" s="26">
        <f>G145+I145+K145</f>
        <v>0</v>
      </c>
      <c r="F145" s="26"/>
      <c r="G145" s="26"/>
      <c r="H145" s="26"/>
      <c r="I145" s="26"/>
      <c r="J145" s="26"/>
      <c r="K145" s="26"/>
    </row>
    <row r="146" spans="1:11" ht="14.15" customHeight="1" x14ac:dyDescent="0.35">
      <c r="A146" s="24" t="s">
        <v>198</v>
      </c>
      <c r="B146" s="24" t="s">
        <v>199</v>
      </c>
      <c r="C146" s="25" t="s">
        <v>200</v>
      </c>
      <c r="D146" s="26">
        <f t="shared" ref="D146:E158" si="33">F146+H146+J146</f>
        <v>0</v>
      </c>
      <c r="E146" s="26">
        <f t="shared" si="33"/>
        <v>0</v>
      </c>
      <c r="F146" s="26"/>
      <c r="G146" s="26"/>
      <c r="H146" s="26"/>
      <c r="I146" s="26"/>
      <c r="J146" s="26"/>
      <c r="K146" s="26"/>
    </row>
    <row r="147" spans="1:11" ht="14.15" customHeight="1" x14ac:dyDescent="0.35">
      <c r="A147" s="24" t="s">
        <v>201</v>
      </c>
      <c r="B147" s="24" t="s">
        <v>202</v>
      </c>
      <c r="C147" s="25" t="s">
        <v>203</v>
      </c>
      <c r="D147" s="26">
        <f t="shared" si="33"/>
        <v>520</v>
      </c>
      <c r="E147" s="26">
        <f t="shared" si="33"/>
        <v>200</v>
      </c>
      <c r="F147" s="26">
        <v>520</v>
      </c>
      <c r="G147" s="26">
        <v>200</v>
      </c>
      <c r="H147" s="26"/>
      <c r="I147" s="26"/>
      <c r="J147" s="26"/>
      <c r="K147" s="26"/>
    </row>
    <row r="148" spans="1:11" ht="14.15" customHeight="1" x14ac:dyDescent="0.35">
      <c r="A148" s="24" t="s">
        <v>204</v>
      </c>
      <c r="B148" s="24" t="s">
        <v>205</v>
      </c>
      <c r="C148" s="25" t="s">
        <v>206</v>
      </c>
      <c r="D148" s="26">
        <f t="shared" si="33"/>
        <v>40</v>
      </c>
      <c r="E148" s="26">
        <f t="shared" si="33"/>
        <v>3460</v>
      </c>
      <c r="F148" s="26">
        <v>30</v>
      </c>
      <c r="G148" s="26">
        <v>460</v>
      </c>
      <c r="H148" s="26"/>
      <c r="I148" s="26">
        <f>1700+1300</f>
        <v>3000</v>
      </c>
      <c r="J148" s="26">
        <v>10</v>
      </c>
      <c r="K148" s="26"/>
    </row>
    <row r="149" spans="1:11" ht="14.15" customHeight="1" x14ac:dyDescent="0.35">
      <c r="A149" s="24"/>
      <c r="B149" s="24" t="s">
        <v>207</v>
      </c>
      <c r="C149" s="25" t="s">
        <v>208</v>
      </c>
      <c r="D149" s="26">
        <f t="shared" si="33"/>
        <v>0</v>
      </c>
      <c r="E149" s="26">
        <f t="shared" si="33"/>
        <v>0</v>
      </c>
      <c r="F149" s="26"/>
      <c r="G149" s="26"/>
      <c r="H149" s="26"/>
      <c r="I149" s="26"/>
      <c r="J149" s="26"/>
      <c r="K149" s="26"/>
    </row>
    <row r="150" spans="1:11" ht="14.15" customHeight="1" x14ac:dyDescent="0.35">
      <c r="A150" s="24" t="s">
        <v>209</v>
      </c>
      <c r="B150" s="24" t="s">
        <v>210</v>
      </c>
      <c r="C150" s="25" t="s">
        <v>211</v>
      </c>
      <c r="D150" s="26">
        <f t="shared" si="33"/>
        <v>0</v>
      </c>
      <c r="E150" s="26">
        <f t="shared" si="33"/>
        <v>0</v>
      </c>
      <c r="F150" s="26"/>
      <c r="G150" s="26"/>
      <c r="H150" s="26"/>
      <c r="I150" s="26"/>
      <c r="J150" s="26"/>
      <c r="K150" s="26"/>
    </row>
    <row r="151" spans="1:11" ht="14.15" customHeight="1" x14ac:dyDescent="0.35">
      <c r="A151" s="24" t="s">
        <v>212</v>
      </c>
      <c r="B151" s="24" t="s">
        <v>213</v>
      </c>
      <c r="C151" s="25" t="s">
        <v>214</v>
      </c>
      <c r="D151" s="26">
        <f t="shared" si="33"/>
        <v>0</v>
      </c>
      <c r="E151" s="26">
        <f t="shared" si="33"/>
        <v>0</v>
      </c>
      <c r="F151" s="26"/>
      <c r="G151" s="26"/>
      <c r="H151" s="26"/>
      <c r="I151" s="26"/>
      <c r="J151" s="26"/>
      <c r="K151" s="26"/>
    </row>
    <row r="152" spans="1:11" ht="14.15" customHeight="1" x14ac:dyDescent="0.35">
      <c r="A152" s="24" t="s">
        <v>215</v>
      </c>
      <c r="B152" s="24" t="s">
        <v>216</v>
      </c>
      <c r="C152" s="25" t="s">
        <v>217</v>
      </c>
      <c r="D152" s="26">
        <f t="shared" si="33"/>
        <v>152</v>
      </c>
      <c r="E152" s="26">
        <f t="shared" si="33"/>
        <v>538</v>
      </c>
      <c r="F152" s="26">
        <v>149</v>
      </c>
      <c r="G152" s="26">
        <f>ROUND((G145+G146+G147+G148+G149)*0.27,0)</f>
        <v>178</v>
      </c>
      <c r="H152" s="26">
        <v>0</v>
      </c>
      <c r="I152" s="26">
        <f>ROUND((I145+I146+I147+I148+I149)*0.12,0)</f>
        <v>360</v>
      </c>
      <c r="J152" s="26">
        <v>3</v>
      </c>
      <c r="K152" s="26"/>
    </row>
    <row r="153" spans="1:11" s="3" customFormat="1" ht="14.15" customHeight="1" x14ac:dyDescent="0.35">
      <c r="A153" s="16" t="s">
        <v>218</v>
      </c>
      <c r="B153" s="20" t="s">
        <v>219</v>
      </c>
      <c r="C153" s="21" t="s">
        <v>220</v>
      </c>
      <c r="D153" s="22">
        <f>SUM(D145:D152)</f>
        <v>712</v>
      </c>
      <c r="E153" s="22">
        <f t="shared" ref="E153:K153" si="34">SUM(E145:E152)</f>
        <v>4198</v>
      </c>
      <c r="F153" s="22">
        <f t="shared" si="34"/>
        <v>699</v>
      </c>
      <c r="G153" s="22">
        <f t="shared" si="34"/>
        <v>838</v>
      </c>
      <c r="H153" s="22">
        <f t="shared" si="34"/>
        <v>0</v>
      </c>
      <c r="I153" s="22">
        <f t="shared" si="34"/>
        <v>3360</v>
      </c>
      <c r="J153" s="22">
        <f t="shared" si="34"/>
        <v>13</v>
      </c>
      <c r="K153" s="22">
        <f t="shared" si="34"/>
        <v>0</v>
      </c>
    </row>
    <row r="154" spans="1:11" ht="14.15" customHeight="1" x14ac:dyDescent="0.35">
      <c r="A154" s="24" t="s">
        <v>221</v>
      </c>
      <c r="B154" s="24" t="s">
        <v>222</v>
      </c>
      <c r="C154" s="25" t="s">
        <v>223</v>
      </c>
      <c r="D154" s="26">
        <f t="shared" si="33"/>
        <v>0</v>
      </c>
      <c r="E154" s="26">
        <f t="shared" si="33"/>
        <v>0</v>
      </c>
      <c r="F154" s="26"/>
      <c r="G154" s="26"/>
      <c r="H154" s="26"/>
      <c r="I154" s="26"/>
      <c r="J154" s="26"/>
      <c r="K154" s="26"/>
    </row>
    <row r="155" spans="1:11" ht="14.15" customHeight="1" x14ac:dyDescent="0.35">
      <c r="A155" s="24" t="s">
        <v>224</v>
      </c>
      <c r="B155" s="24" t="s">
        <v>225</v>
      </c>
      <c r="C155" s="25" t="s">
        <v>226</v>
      </c>
      <c r="D155" s="26">
        <f t="shared" si="33"/>
        <v>0</v>
      </c>
      <c r="E155" s="26">
        <f t="shared" si="33"/>
        <v>0</v>
      </c>
      <c r="F155" s="26"/>
      <c r="G155" s="26"/>
      <c r="H155" s="26"/>
      <c r="I155" s="26"/>
      <c r="J155" s="26"/>
      <c r="K155" s="26"/>
    </row>
    <row r="156" spans="1:11" ht="14.15" customHeight="1" x14ac:dyDescent="0.35">
      <c r="A156" s="24" t="s">
        <v>227</v>
      </c>
      <c r="B156" s="24" t="s">
        <v>228</v>
      </c>
      <c r="C156" s="25" t="s">
        <v>229</v>
      </c>
      <c r="D156" s="26">
        <f t="shared" si="33"/>
        <v>0</v>
      </c>
      <c r="E156" s="26">
        <f t="shared" si="33"/>
        <v>0</v>
      </c>
      <c r="F156" s="26"/>
      <c r="G156" s="26"/>
      <c r="H156" s="26"/>
      <c r="I156" s="26"/>
      <c r="J156" s="26"/>
      <c r="K156" s="26"/>
    </row>
    <row r="157" spans="1:11" ht="14.15" customHeight="1" x14ac:dyDescent="0.35">
      <c r="A157" s="24"/>
      <c r="B157" s="24" t="s">
        <v>230</v>
      </c>
      <c r="C157" s="25" t="s">
        <v>231</v>
      </c>
      <c r="D157" s="26">
        <f t="shared" si="33"/>
        <v>0</v>
      </c>
      <c r="E157" s="26">
        <f t="shared" si="33"/>
        <v>0</v>
      </c>
      <c r="F157" s="26"/>
      <c r="G157" s="26"/>
      <c r="H157" s="26"/>
      <c r="I157" s="26"/>
      <c r="J157" s="26"/>
      <c r="K157" s="26"/>
    </row>
    <row r="158" spans="1:11" ht="14.15" customHeight="1" x14ac:dyDescent="0.35">
      <c r="A158" s="24" t="s">
        <v>232</v>
      </c>
      <c r="B158" s="24" t="s">
        <v>233</v>
      </c>
      <c r="C158" s="25" t="s">
        <v>234</v>
      </c>
      <c r="D158" s="26">
        <f t="shared" si="33"/>
        <v>0</v>
      </c>
      <c r="E158" s="26">
        <f t="shared" si="33"/>
        <v>0</v>
      </c>
      <c r="F158" s="26">
        <v>0</v>
      </c>
      <c r="G158" s="26">
        <f>ROUND((G154+G155+G156+G157)*0.27,0)</f>
        <v>0</v>
      </c>
      <c r="H158" s="26">
        <v>0</v>
      </c>
      <c r="I158" s="26">
        <f>ROUND((I154+I155+I156+I157)*0.27,0)</f>
        <v>0</v>
      </c>
      <c r="J158" s="26"/>
      <c r="K158" s="26"/>
    </row>
    <row r="159" spans="1:11" s="3" customFormat="1" ht="14.15" customHeight="1" x14ac:dyDescent="0.35">
      <c r="A159" s="16" t="s">
        <v>235</v>
      </c>
      <c r="B159" s="20" t="s">
        <v>236</v>
      </c>
      <c r="C159" s="21" t="s">
        <v>237</v>
      </c>
      <c r="D159" s="22">
        <f>SUM(D154:D158)</f>
        <v>0</v>
      </c>
      <c r="E159" s="22">
        <f t="shared" ref="E159:K159" si="35">SUM(E154:E158)</f>
        <v>0</v>
      </c>
      <c r="F159" s="22">
        <f t="shared" si="35"/>
        <v>0</v>
      </c>
      <c r="G159" s="22">
        <f t="shared" si="35"/>
        <v>0</v>
      </c>
      <c r="H159" s="22">
        <f t="shared" si="35"/>
        <v>0</v>
      </c>
      <c r="I159" s="22">
        <f t="shared" si="35"/>
        <v>0</v>
      </c>
      <c r="J159" s="22">
        <f t="shared" si="35"/>
        <v>0</v>
      </c>
      <c r="K159" s="22">
        <f t="shared" si="35"/>
        <v>0</v>
      </c>
    </row>
    <row r="160" spans="1:11" s="3" customFormat="1" ht="14.15" customHeight="1" x14ac:dyDescent="0.35">
      <c r="A160" s="1104" t="s">
        <v>293</v>
      </c>
      <c r="B160" s="1105"/>
      <c r="C160" s="1106" t="s">
        <v>238</v>
      </c>
      <c r="D160" s="28">
        <f>D153+D159</f>
        <v>712</v>
      </c>
      <c r="E160" s="28">
        <f t="shared" ref="E160:K160" si="36">E153+E159</f>
        <v>4198</v>
      </c>
      <c r="F160" s="28">
        <f t="shared" si="36"/>
        <v>699</v>
      </c>
      <c r="G160" s="28">
        <f t="shared" si="36"/>
        <v>838</v>
      </c>
      <c r="H160" s="28">
        <f t="shared" si="36"/>
        <v>0</v>
      </c>
      <c r="I160" s="28">
        <f t="shared" si="36"/>
        <v>3360</v>
      </c>
      <c r="J160" s="28">
        <f t="shared" si="36"/>
        <v>13</v>
      </c>
      <c r="K160" s="28">
        <f t="shared" si="36"/>
        <v>0</v>
      </c>
    </row>
    <row r="161" spans="1:11" ht="6.75" customHeight="1" x14ac:dyDescent="0.35"/>
    <row r="162" spans="1:11" ht="14.15" customHeight="1" x14ac:dyDescent="0.35">
      <c r="A162" s="1093" t="s">
        <v>294</v>
      </c>
      <c r="B162" s="1094"/>
      <c r="C162" s="1095"/>
      <c r="D162" s="29">
        <f>D160+D136</f>
        <v>28627</v>
      </c>
      <c r="E162" s="29">
        <f t="shared" ref="E162:K162" si="37">E160+E136</f>
        <v>31355</v>
      </c>
      <c r="F162" s="29">
        <f t="shared" si="37"/>
        <v>20519</v>
      </c>
      <c r="G162" s="29">
        <f t="shared" si="37"/>
        <v>23826</v>
      </c>
      <c r="H162" s="29">
        <f t="shared" si="37"/>
        <v>2151</v>
      </c>
      <c r="I162" s="29">
        <f t="shared" si="37"/>
        <v>4122</v>
      </c>
      <c r="J162" s="29">
        <f t="shared" si="37"/>
        <v>5957</v>
      </c>
      <c r="K162" s="29">
        <f t="shared" si="37"/>
        <v>3407</v>
      </c>
    </row>
    <row r="167" spans="1:11" s="1" customFormat="1" ht="12.75" customHeight="1" x14ac:dyDescent="0.35">
      <c r="A167" s="1120" t="s">
        <v>573</v>
      </c>
      <c r="B167" s="1121"/>
      <c r="C167" s="1121"/>
      <c r="D167" s="1121"/>
      <c r="E167" s="1121"/>
      <c r="F167" s="1121"/>
      <c r="G167" s="1121"/>
      <c r="H167" s="1121"/>
      <c r="I167" s="1121"/>
      <c r="J167" s="1121"/>
      <c r="K167" s="1122"/>
    </row>
    <row r="168" spans="1:11" s="1" customFormat="1" ht="14.15" customHeight="1" x14ac:dyDescent="0.35">
      <c r="A168" s="1101" t="s">
        <v>0</v>
      </c>
      <c r="B168" s="1102" t="s">
        <v>1</v>
      </c>
      <c r="C168" s="1101" t="s">
        <v>2</v>
      </c>
      <c r="D168" s="1103" t="s">
        <v>260</v>
      </c>
      <c r="E168" s="1096" t="s">
        <v>259</v>
      </c>
      <c r="F168" s="1098" t="s">
        <v>360</v>
      </c>
      <c r="G168" s="1099"/>
      <c r="H168" s="1098" t="s">
        <v>575</v>
      </c>
      <c r="I168" s="1099"/>
      <c r="J168" s="1098" t="s">
        <v>361</v>
      </c>
      <c r="K168" s="1099"/>
    </row>
    <row r="169" spans="1:11" s="3" customFormat="1" ht="23.25" customHeight="1" x14ac:dyDescent="0.35">
      <c r="A169" s="1101"/>
      <c r="B169" s="1102"/>
      <c r="C169" s="1101"/>
      <c r="D169" s="1103"/>
      <c r="E169" s="1097"/>
      <c r="F169" s="2" t="s">
        <v>260</v>
      </c>
      <c r="G169" s="2" t="s">
        <v>259</v>
      </c>
      <c r="H169" s="2" t="s">
        <v>260</v>
      </c>
      <c r="I169" s="2" t="s">
        <v>259</v>
      </c>
      <c r="J169" s="2" t="s">
        <v>260</v>
      </c>
      <c r="K169" s="2" t="s">
        <v>259</v>
      </c>
    </row>
    <row r="170" spans="1:11" ht="5.65" customHeight="1" x14ac:dyDescent="0.35"/>
    <row r="171" spans="1:11" ht="14.15" customHeight="1" x14ac:dyDescent="0.35">
      <c r="A171" s="1100" t="s">
        <v>239</v>
      </c>
      <c r="B171" s="1100"/>
      <c r="C171" s="1100"/>
      <c r="D171" s="1100"/>
      <c r="E171" s="1100"/>
      <c r="F171" s="1100"/>
      <c r="G171" s="1100"/>
      <c r="H171" s="1100"/>
      <c r="I171" s="1100"/>
      <c r="J171" s="96"/>
      <c r="K171" s="96"/>
    </row>
    <row r="172" spans="1:11" s="3" customFormat="1" ht="14.15" customHeight="1" x14ac:dyDescent="0.35">
      <c r="A172" s="20" t="s">
        <v>240</v>
      </c>
      <c r="B172" s="20"/>
      <c r="C172" s="21" t="s">
        <v>241</v>
      </c>
      <c r="D172" s="23">
        <f>SUM(D173:D182)</f>
        <v>294</v>
      </c>
      <c r="E172" s="23">
        <f t="shared" ref="E172:K172" si="38">SUM(E173:E182)</f>
        <v>254</v>
      </c>
      <c r="F172" s="23">
        <f t="shared" si="38"/>
        <v>294</v>
      </c>
      <c r="G172" s="23">
        <f t="shared" si="38"/>
        <v>254</v>
      </c>
      <c r="H172" s="23">
        <f t="shared" si="38"/>
        <v>0</v>
      </c>
      <c r="I172" s="23">
        <f t="shared" si="38"/>
        <v>0</v>
      </c>
      <c r="J172" s="23">
        <f t="shared" si="38"/>
        <v>0</v>
      </c>
      <c r="K172" s="23">
        <f t="shared" si="38"/>
        <v>0</v>
      </c>
    </row>
    <row r="173" spans="1:11" ht="14.15" customHeight="1" x14ac:dyDescent="0.35">
      <c r="A173" s="24" t="s">
        <v>242</v>
      </c>
      <c r="B173" s="24"/>
      <c r="C173" s="25" t="s">
        <v>243</v>
      </c>
      <c r="D173" s="26">
        <f t="shared" ref="D173:E182" si="39">F173+H173+J173</f>
        <v>0</v>
      </c>
      <c r="E173" s="26">
        <f t="shared" si="39"/>
        <v>0</v>
      </c>
      <c r="F173" s="26"/>
      <c r="G173" s="26"/>
      <c r="H173" s="26"/>
      <c r="I173" s="26"/>
      <c r="J173" s="26"/>
      <c r="K173" s="26"/>
    </row>
    <row r="174" spans="1:11" ht="14.15" customHeight="1" x14ac:dyDescent="0.35">
      <c r="A174" s="24" t="s">
        <v>244</v>
      </c>
      <c r="B174" s="24"/>
      <c r="C174" s="25" t="s">
        <v>245</v>
      </c>
      <c r="D174" s="26">
        <f t="shared" si="39"/>
        <v>230</v>
      </c>
      <c r="E174" s="26">
        <f t="shared" si="39"/>
        <v>200</v>
      </c>
      <c r="F174" s="26">
        <v>230</v>
      </c>
      <c r="G174" s="26">
        <v>200</v>
      </c>
      <c r="H174" s="26"/>
      <c r="I174" s="26"/>
      <c r="J174" s="26"/>
      <c r="K174" s="26"/>
    </row>
    <row r="175" spans="1:11" ht="14.15" customHeight="1" x14ac:dyDescent="0.35">
      <c r="A175" s="24" t="s">
        <v>246</v>
      </c>
      <c r="B175" s="24"/>
      <c r="C175" s="25" t="s">
        <v>247</v>
      </c>
      <c r="D175" s="26">
        <f t="shared" si="39"/>
        <v>0</v>
      </c>
      <c r="E175" s="26">
        <f t="shared" si="39"/>
        <v>0</v>
      </c>
      <c r="F175" s="26"/>
      <c r="G175" s="26"/>
      <c r="H175" s="26"/>
      <c r="I175" s="26"/>
      <c r="J175" s="26"/>
      <c r="K175" s="26"/>
    </row>
    <row r="176" spans="1:11" ht="14.15" customHeight="1" x14ac:dyDescent="0.35">
      <c r="A176" s="24" t="s">
        <v>248</v>
      </c>
      <c r="B176" s="24"/>
      <c r="C176" s="25" t="s">
        <v>249</v>
      </c>
      <c r="D176" s="26">
        <f t="shared" si="39"/>
        <v>0</v>
      </c>
      <c r="E176" s="26">
        <f t="shared" si="39"/>
        <v>0</v>
      </c>
      <c r="F176" s="26"/>
      <c r="G176" s="26"/>
      <c r="H176" s="26"/>
      <c r="I176" s="26"/>
      <c r="J176" s="26"/>
      <c r="K176" s="26"/>
    </row>
    <row r="177" spans="1:11" ht="14.15" customHeight="1" x14ac:dyDescent="0.35">
      <c r="A177" s="24" t="s">
        <v>296</v>
      </c>
      <c r="B177" s="24"/>
      <c r="C177" s="25" t="s">
        <v>297</v>
      </c>
      <c r="D177" s="26">
        <f t="shared" si="39"/>
        <v>0</v>
      </c>
      <c r="E177" s="26">
        <f t="shared" si="39"/>
        <v>0</v>
      </c>
      <c r="F177" s="26"/>
      <c r="G177" s="26"/>
      <c r="H177" s="26"/>
      <c r="I177" s="26"/>
      <c r="J177" s="26"/>
      <c r="K177" s="26"/>
    </row>
    <row r="178" spans="1:11" ht="14.15" customHeight="1" x14ac:dyDescent="0.35">
      <c r="A178" s="24" t="s">
        <v>250</v>
      </c>
      <c r="B178" s="24"/>
      <c r="C178" s="25" t="s">
        <v>251</v>
      </c>
      <c r="D178" s="26">
        <f t="shared" si="39"/>
        <v>54</v>
      </c>
      <c r="E178" s="26">
        <f t="shared" si="39"/>
        <v>54</v>
      </c>
      <c r="F178" s="26">
        <v>54</v>
      </c>
      <c r="G178" s="26">
        <f>ROUND((G173+G174+G175+G176+G177)*0.27,0)</f>
        <v>54</v>
      </c>
      <c r="H178" s="26"/>
      <c r="I178" s="26">
        <f>ROUND((I173+I174+I175+I176+I177)*0.27,0)</f>
        <v>0</v>
      </c>
      <c r="J178" s="26"/>
      <c r="K178" s="26"/>
    </row>
    <row r="179" spans="1:11" ht="14.15" customHeight="1" x14ac:dyDescent="0.35">
      <c r="A179" s="24" t="s">
        <v>298</v>
      </c>
      <c r="B179" s="24"/>
      <c r="C179" s="25" t="s">
        <v>299</v>
      </c>
      <c r="D179" s="26">
        <f t="shared" si="39"/>
        <v>0</v>
      </c>
      <c r="E179" s="26">
        <f t="shared" si="39"/>
        <v>0</v>
      </c>
      <c r="F179" s="26"/>
      <c r="G179" s="26"/>
      <c r="H179" s="26"/>
      <c r="I179" s="26"/>
      <c r="J179" s="26"/>
      <c r="K179" s="26"/>
    </row>
    <row r="180" spans="1:11" ht="14.15" customHeight="1" x14ac:dyDescent="0.35">
      <c r="A180" s="24" t="s">
        <v>252</v>
      </c>
      <c r="B180" s="24"/>
      <c r="C180" s="25" t="s">
        <v>253</v>
      </c>
      <c r="D180" s="26">
        <f t="shared" si="39"/>
        <v>0</v>
      </c>
      <c r="E180" s="26">
        <f t="shared" si="39"/>
        <v>0</v>
      </c>
      <c r="F180" s="26"/>
      <c r="G180" s="26"/>
      <c r="H180" s="26"/>
      <c r="I180" s="26"/>
      <c r="J180" s="26"/>
      <c r="K180" s="26"/>
    </row>
    <row r="181" spans="1:11" ht="14.15" customHeight="1" x14ac:dyDescent="0.35">
      <c r="A181" s="24" t="s">
        <v>300</v>
      </c>
      <c r="B181" s="24"/>
      <c r="C181" s="25" t="s">
        <v>301</v>
      </c>
      <c r="D181" s="26">
        <f t="shared" si="39"/>
        <v>0</v>
      </c>
      <c r="E181" s="26">
        <f t="shared" si="39"/>
        <v>0</v>
      </c>
      <c r="F181" s="26"/>
      <c r="G181" s="26"/>
      <c r="H181" s="26"/>
      <c r="I181" s="26"/>
      <c r="J181" s="26"/>
      <c r="K181" s="26"/>
    </row>
    <row r="182" spans="1:11" ht="14.15" customHeight="1" x14ac:dyDescent="0.35">
      <c r="A182" s="24" t="s">
        <v>254</v>
      </c>
      <c r="B182" s="24"/>
      <c r="C182" s="25" t="s">
        <v>255</v>
      </c>
      <c r="D182" s="26">
        <f t="shared" si="39"/>
        <v>10</v>
      </c>
      <c r="E182" s="26">
        <f t="shared" si="39"/>
        <v>0</v>
      </c>
      <c r="F182" s="26">
        <v>10</v>
      </c>
      <c r="G182" s="26"/>
      <c r="H182" s="26"/>
      <c r="I182" s="26"/>
      <c r="J182" s="26"/>
      <c r="K182" s="26"/>
    </row>
    <row r="183" spans="1:11" s="3" customFormat="1" ht="14.15" customHeight="1" x14ac:dyDescent="0.35">
      <c r="A183" s="20" t="s">
        <v>256</v>
      </c>
      <c r="B183" s="20"/>
      <c r="C183" s="21" t="s">
        <v>257</v>
      </c>
      <c r="D183" s="23">
        <f>F183+H183</f>
        <v>0</v>
      </c>
      <c r="E183" s="23">
        <f>G183+I183</f>
        <v>0</v>
      </c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23">
        <v>0</v>
      </c>
    </row>
    <row r="184" spans="1:11" s="3" customFormat="1" ht="14.15" customHeight="1" x14ac:dyDescent="0.35">
      <c r="A184" s="1093" t="s">
        <v>295</v>
      </c>
      <c r="B184" s="1094"/>
      <c r="C184" s="1095"/>
      <c r="D184" s="29">
        <f>D172+D183</f>
        <v>294</v>
      </c>
      <c r="E184" s="29">
        <f t="shared" ref="E184:K184" si="40">E172+E183</f>
        <v>254</v>
      </c>
      <c r="F184" s="29">
        <f t="shared" si="40"/>
        <v>294</v>
      </c>
      <c r="G184" s="29">
        <f t="shared" si="40"/>
        <v>254</v>
      </c>
      <c r="H184" s="29">
        <f t="shared" si="40"/>
        <v>0</v>
      </c>
      <c r="I184" s="29">
        <f t="shared" si="40"/>
        <v>0</v>
      </c>
      <c r="J184" s="29">
        <f t="shared" si="40"/>
        <v>0</v>
      </c>
      <c r="K184" s="29">
        <f t="shared" si="40"/>
        <v>0</v>
      </c>
    </row>
  </sheetData>
  <sheetProtection selectLockedCells="1" selectUnlockedCells="1"/>
  <mergeCells count="45">
    <mergeCell ref="A171:I171"/>
    <mergeCell ref="A184:C184"/>
    <mergeCell ref="J2:K2"/>
    <mergeCell ref="J53:K53"/>
    <mergeCell ref="J141:K141"/>
    <mergeCell ref="J168:K168"/>
    <mergeCell ref="A52:K52"/>
    <mergeCell ref="A140:K140"/>
    <mergeCell ref="A167:K167"/>
    <mergeCell ref="A144:I144"/>
    <mergeCell ref="A162:C162"/>
    <mergeCell ref="A168:A169"/>
    <mergeCell ref="B168:B169"/>
    <mergeCell ref="C168:C169"/>
    <mergeCell ref="D168:D169"/>
    <mergeCell ref="C141:C142"/>
    <mergeCell ref="D141:D142"/>
    <mergeCell ref="E141:E142"/>
    <mergeCell ref="F141:G141"/>
    <mergeCell ref="A160:C160"/>
    <mergeCell ref="H141:I141"/>
    <mergeCell ref="H168:I168"/>
    <mergeCell ref="A5:I5"/>
    <mergeCell ref="A51:C51"/>
    <mergeCell ref="A53:A54"/>
    <mergeCell ref="B53:B54"/>
    <mergeCell ref="C53:C54"/>
    <mergeCell ref="D53:D54"/>
    <mergeCell ref="E53:E54"/>
    <mergeCell ref="F53:G53"/>
    <mergeCell ref="E168:E169"/>
    <mergeCell ref="F168:G168"/>
    <mergeCell ref="A56:I56"/>
    <mergeCell ref="A136:C136"/>
    <mergeCell ref="A141:A142"/>
    <mergeCell ref="B141:B142"/>
    <mergeCell ref="H53:I53"/>
    <mergeCell ref="F2:G2"/>
    <mergeCell ref="H2:I2"/>
    <mergeCell ref="A1:K1"/>
    <mergeCell ref="A2:A3"/>
    <mergeCell ref="B2:B3"/>
    <mergeCell ref="C2:C3"/>
    <mergeCell ref="D2:D3"/>
    <mergeCell ref="E2:E3"/>
  </mergeCells>
  <printOptions horizontalCentered="1"/>
  <pageMargins left="0.15748031496062992" right="0.15748031496062992" top="0.19685039370078741" bottom="0.15748031496062992" header="0.31496062992125984" footer="0.31496062992125984"/>
  <pageSetup paperSize="8" fitToHeight="0" orientation="portrait" useFirstPageNumber="1" copies="2" r:id="rId1"/>
  <headerFooter alignWithMargins="0"/>
  <rowBreaks count="1" manualBreakCount="1">
    <brk id="102" max="10" man="1"/>
  </rowBreak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S120"/>
  <sheetViews>
    <sheetView showZeros="0" view="pageBreakPreview" zoomScale="75" zoomScaleNormal="100" zoomScaleSheetLayoutView="75" workbookViewId="0">
      <selection activeCell="A30" sqref="A30"/>
    </sheetView>
  </sheetViews>
  <sheetFormatPr defaultColWidth="9.1796875" defaultRowHeight="15.5" x14ac:dyDescent="0.35"/>
  <cols>
    <col min="1" max="1" width="5.7265625" style="435" bestFit="1" customWidth="1"/>
    <col min="2" max="2" width="57.81640625" style="436" customWidth="1"/>
    <col min="3" max="7" width="15" style="436" customWidth="1"/>
    <col min="8" max="11" width="15.7265625" style="436" hidden="1" customWidth="1"/>
    <col min="12" max="12" width="12.26953125" style="436" hidden="1" customWidth="1"/>
    <col min="13" max="13" width="9.7265625" style="449" customWidth="1"/>
    <col min="14" max="14" width="13.26953125" style="625" customWidth="1"/>
    <col min="15" max="15" width="18.1796875" style="439" customWidth="1"/>
    <col min="16" max="16" width="10.7265625" style="436" customWidth="1"/>
    <col min="17" max="17" width="12" style="436" customWidth="1"/>
    <col min="18" max="18" width="9.1796875" style="436" customWidth="1"/>
    <col min="19" max="19" width="9.81640625" style="436" customWidth="1"/>
    <col min="20" max="16384" width="9.1796875" style="436"/>
  </cols>
  <sheetData>
    <row r="1" spans="1:19" s="434" customFormat="1" ht="21" x14ac:dyDescent="0.5">
      <c r="A1" s="1123" t="s">
        <v>970</v>
      </c>
      <c r="B1" s="1123"/>
      <c r="C1" s="1123"/>
      <c r="D1" s="452"/>
      <c r="E1" s="475"/>
      <c r="F1" s="566"/>
      <c r="G1" s="543"/>
      <c r="H1" s="567"/>
      <c r="I1" s="601"/>
      <c r="J1" s="623"/>
      <c r="K1" s="645"/>
      <c r="L1" s="623"/>
      <c r="M1" s="432"/>
      <c r="N1" s="624"/>
      <c r="O1" s="433"/>
      <c r="S1" s="459"/>
    </row>
    <row r="3" spans="1:19" x14ac:dyDescent="0.35">
      <c r="D3" s="437"/>
      <c r="E3" s="437"/>
      <c r="F3" s="437"/>
      <c r="G3" s="437" t="s">
        <v>302</v>
      </c>
      <c r="H3" s="437"/>
      <c r="I3" s="437"/>
      <c r="K3" s="437"/>
      <c r="L3" s="437" t="s">
        <v>302</v>
      </c>
      <c r="M3" s="438"/>
      <c r="N3" s="626"/>
    </row>
    <row r="4" spans="1:19" s="441" customFormat="1" ht="50.25" customHeight="1" x14ac:dyDescent="0.35">
      <c r="A4" s="569" t="s">
        <v>971</v>
      </c>
      <c r="B4" s="570" t="s">
        <v>306</v>
      </c>
      <c r="C4" s="571" t="s">
        <v>1422</v>
      </c>
      <c r="D4" s="571" t="s">
        <v>1446</v>
      </c>
      <c r="E4" s="571" t="s">
        <v>1467</v>
      </c>
      <c r="F4" s="571" t="s">
        <v>1452</v>
      </c>
      <c r="G4" s="571" t="s">
        <v>1453</v>
      </c>
      <c r="H4" s="571" t="s">
        <v>1454</v>
      </c>
      <c r="I4" s="571" t="s">
        <v>1457</v>
      </c>
      <c r="J4" s="571" t="s">
        <v>1458</v>
      </c>
      <c r="K4" s="571" t="s">
        <v>1459</v>
      </c>
      <c r="L4" s="571" t="s">
        <v>1431</v>
      </c>
      <c r="M4" s="363" t="s">
        <v>1242</v>
      </c>
      <c r="N4" s="627" t="s">
        <v>975</v>
      </c>
      <c r="O4" s="440" t="s">
        <v>972</v>
      </c>
      <c r="P4" s="441" t="s">
        <v>973</v>
      </c>
      <c r="Q4" s="441" t="s">
        <v>974</v>
      </c>
    </row>
    <row r="5" spans="1:19" s="441" customFormat="1" x14ac:dyDescent="0.35">
      <c r="A5" s="572" t="s">
        <v>309</v>
      </c>
      <c r="B5" s="573" t="s">
        <v>976</v>
      </c>
      <c r="C5" s="574" t="e">
        <f>C6+C23+C33+C38+C42+C60+C63+C80+C77+C62+C78+C92+1</f>
        <v>#REF!</v>
      </c>
      <c r="D5" s="574">
        <f t="shared" ref="D5:L5" si="0">D6+D23+D33+D38+D42+D60+D63+D80+D77+D62+D78+D92</f>
        <v>1707200.5</v>
      </c>
      <c r="E5" s="574">
        <f t="shared" si="0"/>
        <v>1707200.5</v>
      </c>
      <c r="F5" s="574">
        <f t="shared" si="0"/>
        <v>0</v>
      </c>
      <c r="G5" s="574" t="e">
        <f t="shared" si="0"/>
        <v>#REF!</v>
      </c>
      <c r="H5" s="574" t="e">
        <f t="shared" si="0"/>
        <v>#REF!</v>
      </c>
      <c r="I5" s="574">
        <f t="shared" si="0"/>
        <v>0</v>
      </c>
      <c r="J5" s="574">
        <f t="shared" si="0"/>
        <v>0</v>
      </c>
      <c r="K5" s="574">
        <f t="shared" si="0"/>
        <v>0</v>
      </c>
      <c r="L5" s="574">
        <f t="shared" si="0"/>
        <v>0</v>
      </c>
      <c r="M5" s="363"/>
      <c r="N5" s="627"/>
      <c r="O5" s="635" t="s">
        <v>1432</v>
      </c>
      <c r="P5" s="644"/>
      <c r="R5" s="644"/>
    </row>
    <row r="6" spans="1:19" s="441" customFormat="1" x14ac:dyDescent="0.35">
      <c r="A6" s="575" t="s">
        <v>311</v>
      </c>
      <c r="B6" s="576" t="s">
        <v>1129</v>
      </c>
      <c r="C6" s="577">
        <f>SUM(C7:C21)</f>
        <v>238245</v>
      </c>
      <c r="D6" s="577">
        <f>SUM(D7:D22)</f>
        <v>175688</v>
      </c>
      <c r="E6" s="577">
        <f>SUM(E7:E22)</f>
        <v>175688</v>
      </c>
      <c r="F6" s="577">
        <f t="shared" ref="F6:L6" si="1">SUM(F7:F21)</f>
        <v>0</v>
      </c>
      <c r="G6" s="577">
        <f t="shared" si="1"/>
        <v>0</v>
      </c>
      <c r="H6" s="577">
        <f t="shared" si="1"/>
        <v>0</v>
      </c>
      <c r="I6" s="577">
        <f t="shared" si="1"/>
        <v>0</v>
      </c>
      <c r="J6" s="577">
        <f>SUM(J7:J22)</f>
        <v>0</v>
      </c>
      <c r="K6" s="577">
        <f>SUM(K7:K22)</f>
        <v>0</v>
      </c>
      <c r="L6" s="577">
        <f t="shared" si="1"/>
        <v>0</v>
      </c>
      <c r="M6" s="364"/>
      <c r="N6" s="628"/>
      <c r="O6" s="635"/>
      <c r="P6" s="611"/>
      <c r="Q6" s="190"/>
    </row>
    <row r="7" spans="1:19" s="441" customFormat="1" x14ac:dyDescent="0.35">
      <c r="A7" s="578"/>
      <c r="B7" s="579" t="s">
        <v>1300</v>
      </c>
      <c r="C7" s="581">
        <f>92384+4978+8974+406+921+249+3000+1016+15000</f>
        <v>126928</v>
      </c>
      <c r="D7" s="580">
        <f>88809-10279</f>
        <v>78530</v>
      </c>
      <c r="E7" s="580">
        <f>88809-10279</f>
        <v>78530</v>
      </c>
      <c r="F7" s="581"/>
      <c r="G7" s="581"/>
      <c r="H7" s="580">
        <f t="shared" ref="H7:H15" si="2">+G7</f>
        <v>0</v>
      </c>
      <c r="I7" s="580"/>
      <c r="J7" s="580"/>
      <c r="K7" s="580"/>
      <c r="L7" s="580"/>
      <c r="M7" s="365" t="s">
        <v>1265</v>
      </c>
      <c r="N7" s="629" t="s">
        <v>1275</v>
      </c>
      <c r="O7" s="635">
        <v>18595</v>
      </c>
      <c r="P7" s="383"/>
      <c r="Q7" s="383"/>
    </row>
    <row r="8" spans="1:19" s="441" customFormat="1" ht="28" x14ac:dyDescent="0.35">
      <c r="A8" s="578"/>
      <c r="B8" s="579" t="s">
        <v>1337</v>
      </c>
      <c r="C8" s="581">
        <v>8828</v>
      </c>
      <c r="D8" s="580">
        <v>8828</v>
      </c>
      <c r="E8" s="580">
        <v>8828</v>
      </c>
      <c r="F8" s="581"/>
      <c r="G8" s="581"/>
      <c r="H8" s="580">
        <f t="shared" si="2"/>
        <v>0</v>
      </c>
      <c r="I8" s="580"/>
      <c r="J8" s="580"/>
      <c r="K8" s="580"/>
      <c r="L8" s="580"/>
      <c r="M8" s="365" t="s">
        <v>1265</v>
      </c>
      <c r="N8" s="629" t="s">
        <v>1318</v>
      </c>
      <c r="O8" s="635"/>
      <c r="P8" s="383"/>
      <c r="Q8" s="383"/>
    </row>
    <row r="9" spans="1:19" s="441" customFormat="1" x14ac:dyDescent="0.35">
      <c r="A9" s="578"/>
      <c r="B9" s="579" t="s">
        <v>1338</v>
      </c>
      <c r="C9" s="581">
        <v>6985</v>
      </c>
      <c r="D9" s="580">
        <f>6985+635</f>
        <v>7620</v>
      </c>
      <c r="E9" s="580">
        <f>6985+635</f>
        <v>7620</v>
      </c>
      <c r="F9" s="581"/>
      <c r="G9" s="581"/>
      <c r="H9" s="580">
        <f t="shared" si="2"/>
        <v>0</v>
      </c>
      <c r="I9" s="580"/>
      <c r="J9" s="580"/>
      <c r="K9" s="580"/>
      <c r="L9" s="580"/>
      <c r="M9" s="365" t="s">
        <v>1265</v>
      </c>
      <c r="N9" s="629" t="s">
        <v>1363</v>
      </c>
      <c r="O9" s="635">
        <v>351</v>
      </c>
      <c r="P9" s="383"/>
      <c r="Q9" s="383"/>
    </row>
    <row r="10" spans="1:19" s="441" customFormat="1" x14ac:dyDescent="0.35">
      <c r="A10" s="578"/>
      <c r="B10" s="579" t="s">
        <v>1301</v>
      </c>
      <c r="C10" s="581">
        <v>2540</v>
      </c>
      <c r="D10" s="580">
        <v>2540</v>
      </c>
      <c r="E10" s="580">
        <v>2540</v>
      </c>
      <c r="F10" s="581"/>
      <c r="G10" s="581"/>
      <c r="H10" s="580">
        <f t="shared" si="2"/>
        <v>0</v>
      </c>
      <c r="I10" s="580"/>
      <c r="J10" s="580"/>
      <c r="K10" s="580"/>
      <c r="L10" s="580"/>
      <c r="M10" s="365" t="s">
        <v>1265</v>
      </c>
      <c r="N10" s="629" t="s">
        <v>1320</v>
      </c>
      <c r="O10" s="635"/>
      <c r="P10" s="383"/>
      <c r="Q10" s="383"/>
    </row>
    <row r="11" spans="1:19" s="441" customFormat="1" x14ac:dyDescent="0.35">
      <c r="A11" s="575"/>
      <c r="B11" s="583" t="s">
        <v>1302</v>
      </c>
      <c r="C11" s="581">
        <v>3000</v>
      </c>
      <c r="D11" s="580">
        <f>3000-3000</f>
        <v>0</v>
      </c>
      <c r="E11" s="580">
        <f>3000-3000</f>
        <v>0</v>
      </c>
      <c r="F11" s="581"/>
      <c r="G11" s="581"/>
      <c r="H11" s="580">
        <f t="shared" si="2"/>
        <v>0</v>
      </c>
      <c r="I11" s="580"/>
      <c r="J11" s="580"/>
      <c r="K11" s="580"/>
      <c r="L11" s="580"/>
      <c r="M11" s="365" t="s">
        <v>1327</v>
      </c>
      <c r="N11" s="629" t="s">
        <v>1266</v>
      </c>
      <c r="O11" s="635"/>
      <c r="P11" s="227"/>
      <c r="Q11" s="227"/>
    </row>
    <row r="12" spans="1:19" s="441" customFormat="1" x14ac:dyDescent="0.35">
      <c r="A12" s="575"/>
      <c r="B12" s="583" t="s">
        <v>1309</v>
      </c>
      <c r="C12" s="581">
        <f>4191</f>
        <v>4191</v>
      </c>
      <c r="D12" s="580">
        <v>4191</v>
      </c>
      <c r="E12" s="580">
        <v>4191</v>
      </c>
      <c r="F12" s="581"/>
      <c r="G12" s="581"/>
      <c r="H12" s="580">
        <f t="shared" si="2"/>
        <v>0</v>
      </c>
      <c r="I12" s="580"/>
      <c r="J12" s="580"/>
      <c r="K12" s="580"/>
      <c r="L12" s="580"/>
      <c r="M12" s="365" t="s">
        <v>1265</v>
      </c>
      <c r="N12" s="629" t="s">
        <v>1319</v>
      </c>
      <c r="O12" s="635"/>
      <c r="P12" s="227"/>
      <c r="Q12" s="227"/>
    </row>
    <row r="13" spans="1:19" s="441" customFormat="1" ht="28" x14ac:dyDescent="0.35">
      <c r="A13" s="575"/>
      <c r="B13" s="583" t="s">
        <v>1339</v>
      </c>
      <c r="C13" s="581">
        <v>28598</v>
      </c>
      <c r="D13" s="580">
        <v>28598</v>
      </c>
      <c r="E13" s="580">
        <v>28598</v>
      </c>
      <c r="F13" s="581"/>
      <c r="G13" s="581"/>
      <c r="H13" s="580">
        <f t="shared" si="2"/>
        <v>0</v>
      </c>
      <c r="I13" s="580"/>
      <c r="J13" s="580"/>
      <c r="K13" s="580"/>
      <c r="L13" s="580"/>
      <c r="M13" s="365" t="s">
        <v>1265</v>
      </c>
      <c r="N13" s="629" t="s">
        <v>1366</v>
      </c>
      <c r="O13" s="635"/>
      <c r="P13" s="227"/>
      <c r="Q13" s="227"/>
    </row>
    <row r="14" spans="1:19" s="550" customFormat="1" ht="28.5" customHeight="1" x14ac:dyDescent="0.35">
      <c r="A14" s="569"/>
      <c r="B14" s="584" t="s">
        <v>1451</v>
      </c>
      <c r="C14" s="581">
        <f>5000+20000</f>
        <v>25000</v>
      </c>
      <c r="D14" s="580">
        <f>25000+1983</f>
        <v>26983</v>
      </c>
      <c r="E14" s="580">
        <f>25000+1983</f>
        <v>26983</v>
      </c>
      <c r="F14" s="581"/>
      <c r="G14" s="581"/>
      <c r="H14" s="580">
        <f t="shared" si="2"/>
        <v>0</v>
      </c>
      <c r="I14" s="580"/>
      <c r="J14" s="580"/>
      <c r="K14" s="580"/>
      <c r="L14" s="580"/>
      <c r="M14" s="548" t="s">
        <v>1265</v>
      </c>
      <c r="N14" s="630" t="s">
        <v>1319</v>
      </c>
      <c r="O14" s="636"/>
      <c r="P14" s="549"/>
      <c r="Q14" s="549"/>
    </row>
    <row r="15" spans="1:19" s="441" customFormat="1" ht="28" x14ac:dyDescent="0.35">
      <c r="A15" s="575"/>
      <c r="B15" s="583" t="s">
        <v>1394</v>
      </c>
      <c r="C15" s="581">
        <v>175</v>
      </c>
      <c r="D15" s="580">
        <v>175</v>
      </c>
      <c r="E15" s="580">
        <v>175</v>
      </c>
      <c r="F15" s="581"/>
      <c r="G15" s="581"/>
      <c r="H15" s="580">
        <f t="shared" si="2"/>
        <v>0</v>
      </c>
      <c r="I15" s="580"/>
      <c r="J15" s="580"/>
      <c r="K15" s="580"/>
      <c r="L15" s="580"/>
      <c r="M15" s="365"/>
      <c r="N15" s="629" t="s">
        <v>1361</v>
      </c>
      <c r="O15" s="635"/>
      <c r="P15" s="227"/>
      <c r="Q15" s="227"/>
    </row>
    <row r="16" spans="1:19" s="441" customFormat="1" ht="18" customHeight="1" x14ac:dyDescent="0.35">
      <c r="A16" s="575"/>
      <c r="B16" s="583"/>
      <c r="C16" s="581"/>
      <c r="D16" s="580">
        <f>+C16</f>
        <v>0</v>
      </c>
      <c r="E16" s="580">
        <f>+D16</f>
        <v>0</v>
      </c>
      <c r="F16" s="581"/>
      <c r="G16" s="581"/>
      <c r="H16" s="580"/>
      <c r="I16" s="580"/>
      <c r="J16" s="580"/>
      <c r="K16" s="580"/>
      <c r="L16" s="580"/>
      <c r="M16" s="365"/>
      <c r="N16" s="629" t="s">
        <v>1360</v>
      </c>
      <c r="O16" s="635"/>
      <c r="P16" s="227"/>
      <c r="Q16" s="227"/>
    </row>
    <row r="17" spans="1:17" s="553" customFormat="1" x14ac:dyDescent="0.35">
      <c r="A17" s="585"/>
      <c r="B17" s="583" t="s">
        <v>1395</v>
      </c>
      <c r="C17" s="581">
        <v>6000</v>
      </c>
      <c r="D17" s="580">
        <f>6000+318+1905</f>
        <v>8223</v>
      </c>
      <c r="E17" s="580">
        <f>6000+318+1905</f>
        <v>8223</v>
      </c>
      <c r="F17" s="581"/>
      <c r="G17" s="581"/>
      <c r="H17" s="580"/>
      <c r="I17" s="580"/>
      <c r="J17" s="580"/>
      <c r="K17" s="580"/>
      <c r="L17" s="580"/>
      <c r="M17" s="551" t="s">
        <v>1265</v>
      </c>
      <c r="N17" s="631"/>
      <c r="O17" s="637"/>
      <c r="P17" s="552"/>
      <c r="Q17" s="552"/>
    </row>
    <row r="18" spans="1:17" s="553" customFormat="1" x14ac:dyDescent="0.35">
      <c r="A18" s="585">
        <v>1901</v>
      </c>
      <c r="B18" s="583" t="s">
        <v>1396</v>
      </c>
      <c r="C18" s="582">
        <v>26000</v>
      </c>
      <c r="D18" s="580">
        <f>26000-25000-1000</f>
        <v>0</v>
      </c>
      <c r="E18" s="580">
        <f>26000-25000-1000</f>
        <v>0</v>
      </c>
      <c r="F18" s="582"/>
      <c r="G18" s="582"/>
      <c r="H18" s="580"/>
      <c r="I18" s="580"/>
      <c r="J18" s="580"/>
      <c r="K18" s="580"/>
      <c r="L18" s="580"/>
      <c r="M18" s="551"/>
      <c r="N18" s="631"/>
      <c r="O18" s="637"/>
      <c r="P18" s="552"/>
      <c r="Q18" s="552"/>
    </row>
    <row r="19" spans="1:17" s="441" customFormat="1" x14ac:dyDescent="0.35">
      <c r="A19" s="575"/>
      <c r="B19" s="583"/>
      <c r="C19" s="581"/>
      <c r="D19" s="581"/>
      <c r="E19" s="581"/>
      <c r="F19" s="582"/>
      <c r="G19" s="581"/>
      <c r="H19" s="581"/>
      <c r="I19" s="581"/>
      <c r="J19" s="581"/>
      <c r="K19" s="581"/>
      <c r="L19" s="581"/>
      <c r="M19" s="564"/>
      <c r="N19" s="629"/>
      <c r="O19" s="635"/>
      <c r="P19" s="227"/>
      <c r="Q19" s="227"/>
    </row>
    <row r="20" spans="1:17" s="441" customFormat="1" x14ac:dyDescent="0.35">
      <c r="A20" s="575"/>
      <c r="B20" s="583"/>
      <c r="C20" s="582"/>
      <c r="D20" s="582"/>
      <c r="E20" s="582"/>
      <c r="F20" s="582"/>
      <c r="G20" s="582"/>
      <c r="H20" s="582"/>
      <c r="I20" s="582"/>
      <c r="J20" s="582"/>
      <c r="K20" s="582"/>
      <c r="L20" s="582"/>
      <c r="M20" s="365"/>
      <c r="N20" s="629"/>
      <c r="O20" s="635"/>
      <c r="P20" s="227"/>
      <c r="Q20" s="227"/>
    </row>
    <row r="21" spans="1:17" s="441" customFormat="1" x14ac:dyDescent="0.35">
      <c r="A21" s="575"/>
      <c r="B21" s="583"/>
      <c r="C21" s="582"/>
      <c r="D21" s="582"/>
      <c r="E21" s="582"/>
      <c r="F21" s="582"/>
      <c r="G21" s="582"/>
      <c r="H21" s="582"/>
      <c r="I21" s="582"/>
      <c r="J21" s="582"/>
      <c r="K21" s="582"/>
      <c r="L21" s="582"/>
      <c r="M21" s="365"/>
      <c r="N21" s="629"/>
      <c r="O21" s="635"/>
      <c r="P21" s="227"/>
      <c r="Q21" s="227"/>
    </row>
    <row r="22" spans="1:17" s="441" customFormat="1" x14ac:dyDescent="0.35">
      <c r="A22" s="575"/>
      <c r="B22" s="583" t="s">
        <v>1439</v>
      </c>
      <c r="C22" s="582"/>
      <c r="D22" s="582">
        <v>10000</v>
      </c>
      <c r="E22" s="582">
        <v>10000</v>
      </c>
      <c r="F22" s="582"/>
      <c r="G22" s="582"/>
      <c r="H22" s="582"/>
      <c r="I22" s="582"/>
      <c r="J22" s="582"/>
      <c r="K22" s="582"/>
      <c r="L22" s="582"/>
      <c r="M22" s="365" t="s">
        <v>1440</v>
      </c>
      <c r="N22" s="629" t="s">
        <v>1441</v>
      </c>
      <c r="O22" s="635"/>
      <c r="P22" s="227"/>
      <c r="Q22" s="227"/>
    </row>
    <row r="23" spans="1:17" s="441" customFormat="1" x14ac:dyDescent="0.35">
      <c r="A23" s="575" t="s">
        <v>322</v>
      </c>
      <c r="B23" s="576" t="s">
        <v>1130</v>
      </c>
      <c r="C23" s="587">
        <f>SUM(C24:C29)</f>
        <v>783316.74</v>
      </c>
      <c r="D23" s="587">
        <f>SUM(D24:D32)</f>
        <v>1045910</v>
      </c>
      <c r="E23" s="587">
        <f>SUM(E24:E32)</f>
        <v>1045910</v>
      </c>
      <c r="F23" s="587">
        <f>SUM(F24:F27)</f>
        <v>0</v>
      </c>
      <c r="G23" s="587">
        <f>SUM(G24:G29)</f>
        <v>0</v>
      </c>
      <c r="H23" s="587">
        <f>SUM(H24:H29)</f>
        <v>0</v>
      </c>
      <c r="I23" s="587">
        <f>SUM(I24:I30)</f>
        <v>0</v>
      </c>
      <c r="J23" s="587">
        <f>SUM(J24:J31)</f>
        <v>0</v>
      </c>
      <c r="K23" s="587">
        <f>SUM(K24:K32)</f>
        <v>0</v>
      </c>
      <c r="L23" s="587">
        <f>SUM(L24:L30)</f>
        <v>0</v>
      </c>
      <c r="M23" s="364"/>
      <c r="N23" s="628"/>
      <c r="O23" s="635"/>
      <c r="P23" s="227"/>
      <c r="Q23" s="227"/>
    </row>
    <row r="24" spans="1:17" s="441" customFormat="1" x14ac:dyDescent="0.35">
      <c r="A24" s="575"/>
      <c r="B24" s="583"/>
      <c r="C24" s="581"/>
      <c r="D24" s="581"/>
      <c r="E24" s="581"/>
      <c r="F24" s="581"/>
      <c r="G24" s="581"/>
      <c r="H24" s="581"/>
      <c r="I24" s="581"/>
      <c r="J24" s="581"/>
      <c r="K24" s="581"/>
      <c r="L24" s="581"/>
      <c r="M24" s="365" t="s">
        <v>1265</v>
      </c>
      <c r="N24" s="629" t="s">
        <v>1267</v>
      </c>
      <c r="O24" s="635"/>
      <c r="P24" s="227"/>
      <c r="Q24" s="227"/>
    </row>
    <row r="25" spans="1:17" s="441" customFormat="1" x14ac:dyDescent="0.35">
      <c r="A25" s="578"/>
      <c r="B25" s="579" t="s">
        <v>1397</v>
      </c>
      <c r="C25" s="581">
        <f>757058+7087+2286+2032+7815+1905+140</f>
        <v>778323</v>
      </c>
      <c r="D25" s="580">
        <f>935821-90506+81599+46228</f>
        <v>973142</v>
      </c>
      <c r="E25" s="580">
        <f>935821-90506+81599+46228</f>
        <v>973142</v>
      </c>
      <c r="F25" s="581"/>
      <c r="G25" s="581"/>
      <c r="H25" s="580"/>
      <c r="I25" s="580"/>
      <c r="J25" s="580"/>
      <c r="K25" s="580"/>
      <c r="L25" s="580"/>
      <c r="M25" s="365" t="s">
        <v>1327</v>
      </c>
      <c r="N25" s="629" t="s">
        <v>1268</v>
      </c>
      <c r="O25" s="635">
        <v>40496</v>
      </c>
      <c r="P25" s="383"/>
      <c r="Q25" s="383"/>
    </row>
    <row r="26" spans="1:17" s="441" customFormat="1" x14ac:dyDescent="0.35">
      <c r="A26" s="578"/>
      <c r="B26" s="579"/>
      <c r="C26" s="581"/>
      <c r="D26" s="580">
        <f>+C26</f>
        <v>0</v>
      </c>
      <c r="E26" s="580">
        <f>+D26</f>
        <v>0</v>
      </c>
      <c r="F26" s="581"/>
      <c r="G26" s="581"/>
      <c r="H26" s="580"/>
      <c r="I26" s="580"/>
      <c r="J26" s="580"/>
      <c r="K26" s="580"/>
      <c r="L26" s="580"/>
      <c r="M26" s="365" t="s">
        <v>1265</v>
      </c>
      <c r="N26" s="629" t="s">
        <v>1365</v>
      </c>
      <c r="O26" s="635"/>
      <c r="P26" s="383"/>
      <c r="Q26" s="383"/>
    </row>
    <row r="27" spans="1:17" s="441" customFormat="1" ht="28" x14ac:dyDescent="0.35">
      <c r="A27" s="578"/>
      <c r="B27" s="579" t="s">
        <v>1398</v>
      </c>
      <c r="C27" s="581">
        <f>3562*1.27</f>
        <v>4523.74</v>
      </c>
      <c r="D27" s="580">
        <f>3606-626</f>
        <v>2980</v>
      </c>
      <c r="E27" s="580">
        <f>3606-626</f>
        <v>2980</v>
      </c>
      <c r="F27" s="581"/>
      <c r="G27" s="581"/>
      <c r="H27" s="580"/>
      <c r="I27" s="580"/>
      <c r="J27" s="580"/>
      <c r="K27" s="580"/>
      <c r="L27" s="580"/>
      <c r="M27" s="365" t="s">
        <v>1327</v>
      </c>
      <c r="N27" s="629" t="s">
        <v>1269</v>
      </c>
      <c r="O27" s="635">
        <v>1027</v>
      </c>
      <c r="P27" s="383"/>
      <c r="Q27" s="383"/>
    </row>
    <row r="28" spans="1:17" s="550" customFormat="1" x14ac:dyDescent="0.35">
      <c r="A28" s="588"/>
      <c r="B28" s="589"/>
      <c r="C28" s="581"/>
      <c r="D28" s="580">
        <f>+C28</f>
        <v>0</v>
      </c>
      <c r="E28" s="580">
        <f>+D28</f>
        <v>0</v>
      </c>
      <c r="F28" s="581"/>
      <c r="G28" s="581"/>
      <c r="H28" s="580"/>
      <c r="I28" s="580"/>
      <c r="J28" s="580"/>
      <c r="K28" s="580"/>
      <c r="L28" s="580"/>
      <c r="M28" s="548"/>
      <c r="N28" s="630"/>
      <c r="O28" s="636"/>
      <c r="P28" s="554"/>
      <c r="Q28" s="554"/>
    </row>
    <row r="29" spans="1:17" s="441" customFormat="1" x14ac:dyDescent="0.35">
      <c r="A29" s="700">
        <v>1919</v>
      </c>
      <c r="B29" s="579" t="s">
        <v>1450</v>
      </c>
      <c r="C29" s="581">
        <v>470</v>
      </c>
      <c r="D29" s="580">
        <f>1423+5987</f>
        <v>7410</v>
      </c>
      <c r="E29" s="580">
        <f>1423+5987</f>
        <v>7410</v>
      </c>
      <c r="F29" s="581"/>
      <c r="G29" s="581"/>
      <c r="H29" s="580"/>
      <c r="I29" s="580"/>
      <c r="J29" s="580"/>
      <c r="K29" s="580"/>
      <c r="L29" s="580"/>
      <c r="M29" s="365"/>
      <c r="N29" s="629" t="s">
        <v>1382</v>
      </c>
      <c r="O29" s="635"/>
      <c r="P29" s="383"/>
      <c r="Q29" s="383"/>
    </row>
    <row r="30" spans="1:17" s="441" customFormat="1" ht="42" x14ac:dyDescent="0.35">
      <c r="A30" s="578"/>
      <c r="B30" s="609" t="s">
        <v>1429</v>
      </c>
      <c r="C30" s="581"/>
      <c r="D30" s="580">
        <f>49097-1197+4445</f>
        <v>52345</v>
      </c>
      <c r="E30" s="580">
        <f>49097-1197+4445</f>
        <v>52345</v>
      </c>
      <c r="F30" s="581"/>
      <c r="G30" s="581"/>
      <c r="H30" s="580"/>
      <c r="I30" s="580"/>
      <c r="J30" s="580"/>
      <c r="K30" s="580"/>
      <c r="L30" s="580"/>
      <c r="M30" s="365"/>
      <c r="N30" s="629"/>
      <c r="O30" s="635">
        <v>18647</v>
      </c>
      <c r="P30" s="383"/>
      <c r="Q30" s="383"/>
    </row>
    <row r="31" spans="1:17" s="441" customFormat="1" ht="28" x14ac:dyDescent="0.35">
      <c r="A31" s="578"/>
      <c r="B31" s="609" t="s">
        <v>1443</v>
      </c>
      <c r="C31" s="581"/>
      <c r="D31" s="580">
        <v>6223</v>
      </c>
      <c r="E31" s="580">
        <v>6223</v>
      </c>
      <c r="F31" s="581"/>
      <c r="G31" s="581"/>
      <c r="H31" s="580"/>
      <c r="I31" s="580"/>
      <c r="J31" s="580"/>
      <c r="K31" s="580"/>
      <c r="L31" s="580"/>
      <c r="M31" s="365"/>
      <c r="N31" s="629" t="s">
        <v>1444</v>
      </c>
      <c r="O31" s="635"/>
      <c r="P31" s="383"/>
      <c r="Q31" s="383"/>
    </row>
    <row r="32" spans="1:17" s="441" customFormat="1" x14ac:dyDescent="0.35">
      <c r="A32" s="578"/>
      <c r="B32" s="609" t="s">
        <v>1448</v>
      </c>
      <c r="C32" s="581"/>
      <c r="D32" s="580">
        <v>3810</v>
      </c>
      <c r="E32" s="580">
        <v>3810</v>
      </c>
      <c r="F32" s="581"/>
      <c r="G32" s="581"/>
      <c r="H32" s="580"/>
      <c r="I32" s="580"/>
      <c r="J32" s="580"/>
      <c r="K32" s="580"/>
      <c r="L32" s="580"/>
      <c r="M32" s="365"/>
      <c r="N32" s="629"/>
      <c r="O32" s="635"/>
      <c r="P32" s="383"/>
      <c r="Q32" s="383"/>
    </row>
    <row r="33" spans="1:17" s="441" customFormat="1" x14ac:dyDescent="0.35">
      <c r="A33" s="575" t="s">
        <v>315</v>
      </c>
      <c r="B33" s="576" t="s">
        <v>1131</v>
      </c>
      <c r="C33" s="586">
        <f>C34+C35+C36+C37</f>
        <v>9500</v>
      </c>
      <c r="D33" s="577">
        <f>+C33</f>
        <v>9500</v>
      </c>
      <c r="E33" s="577">
        <f>+D33</f>
        <v>9500</v>
      </c>
      <c r="F33" s="586">
        <f>F34+F35+F36+F37</f>
        <v>0</v>
      </c>
      <c r="G33" s="586">
        <f>G34+G35+G36+G37</f>
        <v>0</v>
      </c>
      <c r="H33" s="577">
        <f>+G33</f>
        <v>0</v>
      </c>
      <c r="I33" s="577">
        <f>+H33</f>
        <v>0</v>
      </c>
      <c r="J33" s="577">
        <f>+I33</f>
        <v>0</v>
      </c>
      <c r="K33" s="577">
        <f>+J33</f>
        <v>0</v>
      </c>
      <c r="L33" s="577">
        <f>+L37</f>
        <v>0</v>
      </c>
      <c r="M33" s="364"/>
      <c r="N33" s="628"/>
      <c r="O33" s="635"/>
      <c r="P33" s="227"/>
      <c r="Q33" s="227"/>
    </row>
    <row r="34" spans="1:17" s="441" customFormat="1" x14ac:dyDescent="0.35">
      <c r="A34" s="578"/>
      <c r="B34" s="583"/>
      <c r="C34" s="581"/>
      <c r="D34" s="581"/>
      <c r="E34" s="581"/>
      <c r="F34" s="581"/>
      <c r="G34" s="581"/>
      <c r="H34" s="581"/>
      <c r="I34" s="581"/>
      <c r="J34" s="581"/>
      <c r="K34" s="581"/>
      <c r="L34" s="581"/>
      <c r="M34" s="365" t="s">
        <v>1265</v>
      </c>
      <c r="N34" s="629" t="s">
        <v>1270</v>
      </c>
      <c r="O34" s="635"/>
      <c r="P34" s="383"/>
      <c r="Q34" s="383"/>
    </row>
    <row r="35" spans="1:17" s="441" customFormat="1" x14ac:dyDescent="0.35">
      <c r="A35" s="578"/>
      <c r="B35" s="590"/>
      <c r="C35" s="581"/>
      <c r="D35" s="581"/>
      <c r="E35" s="581"/>
      <c r="F35" s="581"/>
      <c r="G35" s="581"/>
      <c r="H35" s="581"/>
      <c r="I35" s="581"/>
      <c r="J35" s="581"/>
      <c r="K35" s="581"/>
      <c r="L35" s="581"/>
      <c r="M35" s="365" t="s">
        <v>1265</v>
      </c>
      <c r="N35" s="629" t="s">
        <v>1276</v>
      </c>
      <c r="O35" s="635"/>
      <c r="P35" s="383"/>
      <c r="Q35" s="383"/>
    </row>
    <row r="36" spans="1:17" s="441" customFormat="1" x14ac:dyDescent="0.35">
      <c r="A36" s="578"/>
      <c r="B36" s="590"/>
      <c r="C36" s="581"/>
      <c r="D36" s="581"/>
      <c r="E36" s="581"/>
      <c r="F36" s="581"/>
      <c r="G36" s="581"/>
      <c r="H36" s="581"/>
      <c r="I36" s="581"/>
      <c r="J36" s="581"/>
      <c r="K36" s="581"/>
      <c r="L36" s="581"/>
      <c r="M36" s="365" t="s">
        <v>1265</v>
      </c>
      <c r="N36" s="629" t="s">
        <v>1321</v>
      </c>
      <c r="O36" s="635"/>
      <c r="P36" s="383"/>
      <c r="Q36" s="383"/>
    </row>
    <row r="37" spans="1:17" s="441" customFormat="1" ht="28" x14ac:dyDescent="0.35">
      <c r="A37" s="578"/>
      <c r="B37" s="591" t="s">
        <v>1384</v>
      </c>
      <c r="C37" s="581">
        <v>9500</v>
      </c>
      <c r="D37" s="580">
        <v>9500</v>
      </c>
      <c r="E37" s="580">
        <v>9500</v>
      </c>
      <c r="F37" s="581"/>
      <c r="G37" s="581"/>
      <c r="H37" s="580"/>
      <c r="I37" s="580"/>
      <c r="J37" s="580"/>
      <c r="K37" s="580"/>
      <c r="L37" s="580"/>
      <c r="M37" s="365" t="s">
        <v>1265</v>
      </c>
      <c r="N37" s="629" t="s">
        <v>1322</v>
      </c>
      <c r="O37" s="635"/>
      <c r="P37" s="383"/>
      <c r="Q37" s="383"/>
    </row>
    <row r="38" spans="1:17" s="441" customFormat="1" x14ac:dyDescent="0.35">
      <c r="A38" s="575" t="s">
        <v>336</v>
      </c>
      <c r="B38" s="576" t="s">
        <v>1132</v>
      </c>
      <c r="C38" s="586">
        <f>C40+C41</f>
        <v>45764</v>
      </c>
      <c r="D38" s="577">
        <f>SUM(D40:D41)</f>
        <v>43799</v>
      </c>
      <c r="E38" s="577">
        <f>SUM(E40:E41)</f>
        <v>43799</v>
      </c>
      <c r="F38" s="586">
        <f>F40+F41</f>
        <v>0</v>
      </c>
      <c r="G38" s="586">
        <f>G40+G41</f>
        <v>0</v>
      </c>
      <c r="H38" s="577">
        <f>+G38</f>
        <v>0</v>
      </c>
      <c r="I38" s="577">
        <f>SUM(I40:I41)</f>
        <v>0</v>
      </c>
      <c r="J38" s="577">
        <f>SUM(J40:J41)</f>
        <v>0</v>
      </c>
      <c r="K38" s="577">
        <f>SUM(K40:K41)</f>
        <v>0</v>
      </c>
      <c r="L38" s="577">
        <f>SUM(L40:L41)</f>
        <v>0</v>
      </c>
      <c r="M38" s="364"/>
      <c r="N38" s="628"/>
      <c r="O38" s="638"/>
      <c r="P38" s="227"/>
      <c r="Q38" s="227"/>
    </row>
    <row r="39" spans="1:17" s="441" customFormat="1" x14ac:dyDescent="0.35">
      <c r="A39" s="578"/>
      <c r="B39" s="591"/>
      <c r="C39" s="581"/>
      <c r="D39" s="581"/>
      <c r="E39" s="581"/>
      <c r="F39" s="581">
        <v>0</v>
      </c>
      <c r="G39" s="581"/>
      <c r="H39" s="581"/>
      <c r="I39" s="581"/>
      <c r="J39" s="581"/>
      <c r="K39" s="581"/>
      <c r="L39" s="581"/>
      <c r="M39" s="365"/>
      <c r="N39" s="629"/>
      <c r="O39" s="440"/>
      <c r="P39" s="383"/>
      <c r="Q39" s="383"/>
    </row>
    <row r="40" spans="1:17" s="442" customFormat="1" x14ac:dyDescent="0.35">
      <c r="A40" s="578"/>
      <c r="B40" s="579" t="s">
        <v>1303</v>
      </c>
      <c r="C40" s="581">
        <v>25764</v>
      </c>
      <c r="D40" s="580">
        <f>25764+3009-5685</f>
        <v>23088</v>
      </c>
      <c r="E40" s="580">
        <f>25764+3009-5685</f>
        <v>23088</v>
      </c>
      <c r="F40" s="581"/>
      <c r="G40" s="581"/>
      <c r="H40" s="580"/>
      <c r="I40" s="580"/>
      <c r="J40" s="580"/>
      <c r="K40" s="580"/>
      <c r="L40" s="580"/>
      <c r="M40" s="365" t="s">
        <v>1327</v>
      </c>
      <c r="N40" s="629" t="s">
        <v>1323</v>
      </c>
      <c r="O40" s="635"/>
      <c r="P40" s="383"/>
      <c r="Q40" s="383"/>
    </row>
    <row r="41" spans="1:17" s="441" customFormat="1" x14ac:dyDescent="0.35">
      <c r="A41" s="575"/>
      <c r="B41" s="583" t="s">
        <v>1133</v>
      </c>
      <c r="C41" s="581">
        <v>20000</v>
      </c>
      <c r="D41" s="580">
        <f>20000+13+698</f>
        <v>20711</v>
      </c>
      <c r="E41" s="580">
        <f>20000+13+698</f>
        <v>20711</v>
      </c>
      <c r="F41" s="581"/>
      <c r="G41" s="581"/>
      <c r="H41" s="580"/>
      <c r="I41" s="580"/>
      <c r="J41" s="580"/>
      <c r="K41" s="580"/>
      <c r="L41" s="580"/>
      <c r="M41" s="365" t="s">
        <v>1327</v>
      </c>
      <c r="N41" s="629" t="s">
        <v>1369</v>
      </c>
      <c r="O41" s="635"/>
      <c r="P41" s="227"/>
      <c r="Q41" s="227"/>
    </row>
    <row r="42" spans="1:17" s="441" customFormat="1" x14ac:dyDescent="0.35">
      <c r="A42" s="575" t="s">
        <v>338</v>
      </c>
      <c r="B42" s="576" t="s">
        <v>1134</v>
      </c>
      <c r="C42" s="587">
        <f>SUM(C43:C58)</f>
        <v>328054.5</v>
      </c>
      <c r="D42" s="577">
        <f>SUM(D43:D51)+D59</f>
        <v>310119.5</v>
      </c>
      <c r="E42" s="577">
        <f>SUM(E43:E51)+E59</f>
        <v>310119.5</v>
      </c>
      <c r="F42" s="587">
        <f>SUM(F43:F58)</f>
        <v>0</v>
      </c>
      <c r="G42" s="587">
        <f>SUM(G43:G58)</f>
        <v>0</v>
      </c>
      <c r="H42" s="577">
        <f>+G42</f>
        <v>0</v>
      </c>
      <c r="I42" s="577">
        <f>SUM(I43:I51)</f>
        <v>0</v>
      </c>
      <c r="J42" s="577">
        <f>SUM(J43:J51)</f>
        <v>0</v>
      </c>
      <c r="K42" s="577">
        <f>SUM(K43:K51)+K59</f>
        <v>0</v>
      </c>
      <c r="L42" s="577">
        <f>SUM(L43:L51)</f>
        <v>0</v>
      </c>
      <c r="M42" s="364"/>
      <c r="N42" s="628"/>
      <c r="O42" s="635"/>
      <c r="P42" s="227"/>
      <c r="Q42" s="227"/>
    </row>
    <row r="43" spans="1:17" s="441" customFormat="1" x14ac:dyDescent="0.35">
      <c r="A43" s="578"/>
      <c r="B43" s="579" t="s">
        <v>1386</v>
      </c>
      <c r="C43" s="581">
        <f>290812+5000+11000+965</f>
        <v>307777</v>
      </c>
      <c r="D43" s="580">
        <f>271478+8893-4229</f>
        <v>276142</v>
      </c>
      <c r="E43" s="580">
        <f>271478+8893-4229</f>
        <v>276142</v>
      </c>
      <c r="F43" s="581"/>
      <c r="G43" s="581"/>
      <c r="H43" s="580"/>
      <c r="I43" s="580"/>
      <c r="J43" s="580"/>
      <c r="K43" s="580"/>
      <c r="L43" s="580"/>
      <c r="M43" s="365" t="s">
        <v>1327</v>
      </c>
      <c r="N43" s="629" t="s">
        <v>1372</v>
      </c>
      <c r="O43" s="635">
        <v>545</v>
      </c>
      <c r="P43" s="383"/>
      <c r="Q43" s="383"/>
    </row>
    <row r="44" spans="1:17" s="441" customFormat="1" ht="28" x14ac:dyDescent="0.35">
      <c r="A44" s="578"/>
      <c r="B44" s="579" t="s">
        <v>1421</v>
      </c>
      <c r="C44" s="581">
        <v>4000</v>
      </c>
      <c r="D44" s="580">
        <f>4000+128</f>
        <v>4128</v>
      </c>
      <c r="E44" s="580">
        <f>4000+128</f>
        <v>4128</v>
      </c>
      <c r="F44" s="581"/>
      <c r="G44" s="581"/>
      <c r="H44" s="580"/>
      <c r="I44" s="580"/>
      <c r="J44" s="580"/>
      <c r="K44" s="580"/>
      <c r="L44" s="580"/>
      <c r="M44" s="365" t="s">
        <v>1265</v>
      </c>
      <c r="N44" s="629" t="s">
        <v>1325</v>
      </c>
      <c r="O44" s="635"/>
      <c r="P44" s="383"/>
      <c r="Q44" s="383"/>
    </row>
    <row r="45" spans="1:17" s="441" customFormat="1" x14ac:dyDescent="0.35">
      <c r="A45" s="578"/>
      <c r="B45" s="583" t="s">
        <v>1225</v>
      </c>
      <c r="C45" s="581">
        <v>33</v>
      </c>
      <c r="D45" s="580">
        <f t="shared" ref="D45:D50" si="3">+C45</f>
        <v>33</v>
      </c>
      <c r="E45" s="580">
        <f t="shared" ref="E45:E50" si="4">+D45</f>
        <v>33</v>
      </c>
      <c r="F45" s="581"/>
      <c r="G45" s="581"/>
      <c r="H45" s="580"/>
      <c r="I45" s="580"/>
      <c r="J45" s="580"/>
      <c r="K45" s="580"/>
      <c r="L45" s="580"/>
      <c r="M45" s="365" t="s">
        <v>1265</v>
      </c>
      <c r="N45" s="629" t="s">
        <v>1319</v>
      </c>
      <c r="O45" s="635"/>
      <c r="P45" s="383"/>
      <c r="Q45" s="383"/>
    </row>
    <row r="46" spans="1:17" s="441" customFormat="1" ht="28" x14ac:dyDescent="0.35">
      <c r="A46" s="578"/>
      <c r="B46" s="579" t="s">
        <v>1340</v>
      </c>
      <c r="C46" s="581">
        <v>616</v>
      </c>
      <c r="D46" s="580">
        <f t="shared" si="3"/>
        <v>616</v>
      </c>
      <c r="E46" s="580">
        <f t="shared" si="4"/>
        <v>616</v>
      </c>
      <c r="F46" s="581"/>
      <c r="G46" s="581"/>
      <c r="H46" s="580"/>
      <c r="I46" s="580"/>
      <c r="J46" s="580"/>
      <c r="K46" s="580"/>
      <c r="L46" s="580"/>
      <c r="M46" s="365" t="s">
        <v>1327</v>
      </c>
      <c r="N46" s="629" t="s">
        <v>1324</v>
      </c>
      <c r="O46" s="635"/>
      <c r="P46" s="383"/>
      <c r="Q46" s="383"/>
    </row>
    <row r="47" spans="1:17" s="441" customFormat="1" x14ac:dyDescent="0.35">
      <c r="A47" s="578"/>
      <c r="B47" s="579"/>
      <c r="C47" s="581"/>
      <c r="D47" s="580">
        <f t="shared" si="3"/>
        <v>0</v>
      </c>
      <c r="E47" s="580">
        <f t="shared" si="4"/>
        <v>0</v>
      </c>
      <c r="F47" s="581"/>
      <c r="G47" s="581"/>
      <c r="H47" s="580"/>
      <c r="I47" s="580"/>
      <c r="J47" s="580"/>
      <c r="K47" s="580"/>
      <c r="L47" s="580"/>
      <c r="M47" s="365" t="s">
        <v>1265</v>
      </c>
      <c r="N47" s="629" t="s">
        <v>1271</v>
      </c>
      <c r="O47" s="635"/>
      <c r="P47" s="383"/>
      <c r="Q47" s="383"/>
    </row>
    <row r="48" spans="1:17" s="441" customFormat="1" x14ac:dyDescent="0.35">
      <c r="A48" s="700">
        <v>1920</v>
      </c>
      <c r="B48" s="583" t="s">
        <v>1404</v>
      </c>
      <c r="C48" s="581">
        <f>63.5+3147</f>
        <v>3210.5</v>
      </c>
      <c r="D48" s="580">
        <f t="shared" si="3"/>
        <v>3210.5</v>
      </c>
      <c r="E48" s="580">
        <f t="shared" si="4"/>
        <v>3210.5</v>
      </c>
      <c r="F48" s="581"/>
      <c r="G48" s="581"/>
      <c r="H48" s="580"/>
      <c r="I48" s="580"/>
      <c r="J48" s="580"/>
      <c r="K48" s="580"/>
      <c r="L48" s="580"/>
      <c r="M48" s="365" t="s">
        <v>1265</v>
      </c>
      <c r="N48" s="629" t="s">
        <v>1277</v>
      </c>
      <c r="O48" s="635"/>
      <c r="P48" s="383"/>
      <c r="Q48" s="383"/>
    </row>
    <row r="49" spans="1:17" s="441" customFormat="1" x14ac:dyDescent="0.35">
      <c r="A49" s="578"/>
      <c r="B49" s="589"/>
      <c r="C49" s="581"/>
      <c r="D49" s="580">
        <f t="shared" si="3"/>
        <v>0</v>
      </c>
      <c r="E49" s="580">
        <f t="shared" si="4"/>
        <v>0</v>
      </c>
      <c r="F49" s="581"/>
      <c r="G49" s="581"/>
      <c r="H49" s="580"/>
      <c r="I49" s="580"/>
      <c r="J49" s="580"/>
      <c r="K49" s="580"/>
      <c r="L49" s="580"/>
      <c r="M49" s="365"/>
      <c r="N49" s="629"/>
      <c r="O49" s="635"/>
      <c r="P49" s="383"/>
      <c r="Q49" s="383"/>
    </row>
    <row r="50" spans="1:17" s="441" customFormat="1" x14ac:dyDescent="0.35">
      <c r="A50" s="578"/>
      <c r="B50" s="584" t="s">
        <v>1315</v>
      </c>
      <c r="C50" s="581">
        <f>3401+1600</f>
        <v>5001</v>
      </c>
      <c r="D50" s="580">
        <f t="shared" si="3"/>
        <v>5001</v>
      </c>
      <c r="E50" s="580">
        <f t="shared" si="4"/>
        <v>5001</v>
      </c>
      <c r="F50" s="581"/>
      <c r="G50" s="581"/>
      <c r="H50" s="580"/>
      <c r="I50" s="580"/>
      <c r="J50" s="580"/>
      <c r="K50" s="580"/>
      <c r="L50" s="580"/>
      <c r="M50" s="365" t="s">
        <v>1327</v>
      </c>
      <c r="N50" s="629" t="s">
        <v>1324</v>
      </c>
      <c r="O50" s="635"/>
      <c r="P50" s="383"/>
      <c r="Q50" s="383"/>
    </row>
    <row r="51" spans="1:17" s="441" customFormat="1" x14ac:dyDescent="0.35">
      <c r="A51" s="578"/>
      <c r="B51" s="584" t="s">
        <v>1385</v>
      </c>
      <c r="C51" s="581">
        <v>7417</v>
      </c>
      <c r="D51" s="580">
        <f>7417+965</f>
        <v>8382</v>
      </c>
      <c r="E51" s="580">
        <f>7417+965</f>
        <v>8382</v>
      </c>
      <c r="F51" s="581"/>
      <c r="G51" s="581"/>
      <c r="H51" s="580"/>
      <c r="I51" s="580"/>
      <c r="J51" s="580"/>
      <c r="K51" s="580"/>
      <c r="L51" s="580"/>
      <c r="M51" s="365"/>
      <c r="N51" s="629"/>
      <c r="O51" s="635"/>
      <c r="P51" s="383"/>
      <c r="Q51" s="383"/>
    </row>
    <row r="52" spans="1:17" s="441" customFormat="1" x14ac:dyDescent="0.35">
      <c r="A52" s="578"/>
      <c r="B52" s="584"/>
      <c r="C52" s="581"/>
      <c r="D52" s="581"/>
      <c r="E52" s="581"/>
      <c r="F52" s="581"/>
      <c r="G52" s="581"/>
      <c r="H52" s="581"/>
      <c r="I52" s="581"/>
      <c r="J52" s="581"/>
      <c r="K52" s="581"/>
      <c r="L52" s="581"/>
      <c r="M52" s="365" t="s">
        <v>1327</v>
      </c>
      <c r="N52" s="629" t="s">
        <v>1373</v>
      </c>
      <c r="O52" s="635"/>
      <c r="P52" s="383"/>
      <c r="Q52" s="383"/>
    </row>
    <row r="53" spans="1:17" s="441" customFormat="1" x14ac:dyDescent="0.35">
      <c r="A53" s="578"/>
      <c r="B53" s="584"/>
      <c r="C53" s="581"/>
      <c r="D53" s="581"/>
      <c r="E53" s="581"/>
      <c r="F53" s="581"/>
      <c r="G53" s="581"/>
      <c r="H53" s="581"/>
      <c r="I53" s="581"/>
      <c r="J53" s="581"/>
      <c r="K53" s="581"/>
      <c r="L53" s="581"/>
      <c r="M53" s="365" t="s">
        <v>1327</v>
      </c>
      <c r="N53" s="629" t="s">
        <v>1347</v>
      </c>
      <c r="O53" s="635"/>
      <c r="P53" s="383"/>
      <c r="Q53" s="383"/>
    </row>
    <row r="54" spans="1:17" s="441" customFormat="1" x14ac:dyDescent="0.35">
      <c r="A54" s="578"/>
      <c r="B54" s="584"/>
      <c r="C54" s="581"/>
      <c r="D54" s="581"/>
      <c r="E54" s="581"/>
      <c r="F54" s="581"/>
      <c r="G54" s="581"/>
      <c r="H54" s="581"/>
      <c r="I54" s="581"/>
      <c r="J54" s="581"/>
      <c r="K54" s="581"/>
      <c r="L54" s="581"/>
      <c r="M54" s="365" t="s">
        <v>1265</v>
      </c>
      <c r="N54" s="629" t="s">
        <v>1374</v>
      </c>
      <c r="O54" s="635"/>
      <c r="P54" s="383"/>
      <c r="Q54" s="383"/>
    </row>
    <row r="55" spans="1:17" s="441" customFormat="1" x14ac:dyDescent="0.35">
      <c r="A55" s="578"/>
      <c r="B55" s="584"/>
      <c r="C55" s="581"/>
      <c r="D55" s="581"/>
      <c r="E55" s="581"/>
      <c r="F55" s="581"/>
      <c r="G55" s="581"/>
      <c r="H55" s="581"/>
      <c r="I55" s="581"/>
      <c r="J55" s="581"/>
      <c r="K55" s="581"/>
      <c r="L55" s="581"/>
      <c r="M55" s="365"/>
      <c r="N55" s="629"/>
      <c r="O55" s="635"/>
      <c r="P55" s="383"/>
      <c r="Q55" s="383"/>
    </row>
    <row r="56" spans="1:17" s="441" customFormat="1" x14ac:dyDescent="0.35">
      <c r="A56" s="578"/>
      <c r="B56" s="583"/>
      <c r="C56" s="581"/>
      <c r="D56" s="581"/>
      <c r="E56" s="581"/>
      <c r="F56" s="581"/>
      <c r="G56" s="581"/>
      <c r="H56" s="581"/>
      <c r="I56" s="581"/>
      <c r="J56" s="581"/>
      <c r="K56" s="581"/>
      <c r="L56" s="581"/>
      <c r="M56" s="365"/>
      <c r="N56" s="629" t="s">
        <v>1368</v>
      </c>
      <c r="O56" s="635"/>
      <c r="P56" s="383"/>
      <c r="Q56" s="383"/>
    </row>
    <row r="57" spans="1:17" s="441" customFormat="1" x14ac:dyDescent="0.35">
      <c r="A57" s="578"/>
      <c r="B57" s="583"/>
      <c r="C57" s="581"/>
      <c r="D57" s="581"/>
      <c r="E57" s="581"/>
      <c r="F57" s="581"/>
      <c r="G57" s="581"/>
      <c r="H57" s="581"/>
      <c r="I57" s="581"/>
      <c r="J57" s="581"/>
      <c r="K57" s="581"/>
      <c r="L57" s="581"/>
      <c r="M57" s="365"/>
      <c r="N57" s="629" t="s">
        <v>1353</v>
      </c>
      <c r="O57" s="635"/>
      <c r="P57" s="383"/>
      <c r="Q57" s="383"/>
    </row>
    <row r="58" spans="1:17" s="441" customFormat="1" x14ac:dyDescent="0.35">
      <c r="A58" s="578"/>
      <c r="B58" s="648"/>
      <c r="C58" s="581"/>
      <c r="D58" s="581"/>
      <c r="E58" s="581"/>
      <c r="F58" s="581"/>
      <c r="G58" s="581"/>
      <c r="H58" s="581"/>
      <c r="I58" s="581"/>
      <c r="J58" s="581"/>
      <c r="K58" s="581"/>
      <c r="L58" s="581"/>
      <c r="M58" s="365"/>
      <c r="N58" s="629" t="s">
        <v>1364</v>
      </c>
      <c r="O58" s="635"/>
      <c r="P58" s="383"/>
      <c r="Q58" s="383"/>
    </row>
    <row r="59" spans="1:17" s="441" customFormat="1" x14ac:dyDescent="0.35">
      <c r="A59" s="578"/>
      <c r="B59" s="648" t="s">
        <v>1449</v>
      </c>
      <c r="C59" s="581"/>
      <c r="D59" s="581">
        <v>12607</v>
      </c>
      <c r="E59" s="581">
        <v>12607</v>
      </c>
      <c r="F59" s="581"/>
      <c r="G59" s="581"/>
      <c r="H59" s="581"/>
      <c r="I59" s="581"/>
      <c r="J59" s="581"/>
      <c r="K59" s="581"/>
      <c r="L59" s="581"/>
      <c r="M59" s="365"/>
      <c r="N59" s="629"/>
      <c r="O59" s="635"/>
      <c r="P59" s="383"/>
      <c r="Q59" s="383"/>
    </row>
    <row r="60" spans="1:17" s="441" customFormat="1" x14ac:dyDescent="0.35">
      <c r="A60" s="575" t="s">
        <v>556</v>
      </c>
      <c r="B60" s="576" t="s">
        <v>1135</v>
      </c>
      <c r="C60" s="586">
        <f>SUM(C61:C61)</f>
        <v>2794</v>
      </c>
      <c r="D60" s="577">
        <f>D61</f>
        <v>2794</v>
      </c>
      <c r="E60" s="577">
        <f>E61</f>
        <v>2794</v>
      </c>
      <c r="F60" s="586">
        <f>SUM(F61:F61)</f>
        <v>0</v>
      </c>
      <c r="G60" s="586">
        <f>SUM(G61:G61)</f>
        <v>0</v>
      </c>
      <c r="H60" s="577">
        <f>+G60</f>
        <v>0</v>
      </c>
      <c r="I60" s="577">
        <f>I61</f>
        <v>0</v>
      </c>
      <c r="J60" s="577">
        <f>J61</f>
        <v>0</v>
      </c>
      <c r="K60" s="577">
        <f>K61</f>
        <v>0</v>
      </c>
      <c r="L60" s="577">
        <f>L61</f>
        <v>0</v>
      </c>
      <c r="M60" s="364"/>
      <c r="N60" s="628"/>
      <c r="O60" s="635"/>
      <c r="P60" s="227"/>
      <c r="Q60" s="227"/>
    </row>
    <row r="61" spans="1:17" s="441" customFormat="1" x14ac:dyDescent="0.35">
      <c r="A61" s="575"/>
      <c r="B61" s="583" t="s">
        <v>1136</v>
      </c>
      <c r="C61" s="581">
        <f>4445-4445+2200*1.27+700-700</f>
        <v>2794</v>
      </c>
      <c r="D61" s="580">
        <f>2794</f>
        <v>2794</v>
      </c>
      <c r="E61" s="580">
        <f>2794</f>
        <v>2794</v>
      </c>
      <c r="F61" s="581"/>
      <c r="G61" s="581"/>
      <c r="H61" s="580"/>
      <c r="I61" s="580"/>
      <c r="J61" s="580"/>
      <c r="K61" s="580"/>
      <c r="L61" s="580"/>
      <c r="M61" s="365" t="s">
        <v>1327</v>
      </c>
      <c r="N61" s="629" t="s">
        <v>1274</v>
      </c>
      <c r="O61" s="635"/>
      <c r="P61" s="227"/>
      <c r="Q61" s="227"/>
    </row>
    <row r="62" spans="1:17" s="441" customFormat="1" x14ac:dyDescent="0.35">
      <c r="A62" s="575" t="s">
        <v>558</v>
      </c>
      <c r="B62" s="576" t="s">
        <v>1140</v>
      </c>
      <c r="C62" s="586">
        <v>0</v>
      </c>
      <c r="D62" s="586">
        <f>13000+17500+1000</f>
        <v>31500</v>
      </c>
      <c r="E62" s="586">
        <f>13000+17500+1000</f>
        <v>31500</v>
      </c>
      <c r="F62" s="586">
        <v>0</v>
      </c>
      <c r="G62" s="586">
        <v>0</v>
      </c>
      <c r="H62" s="586"/>
      <c r="I62" s="586"/>
      <c r="J62" s="586"/>
      <c r="K62" s="586"/>
      <c r="L62" s="586"/>
      <c r="M62" s="364"/>
      <c r="N62" s="628"/>
      <c r="O62" s="635"/>
      <c r="P62" s="227"/>
      <c r="Q62" s="227"/>
    </row>
    <row r="63" spans="1:17" s="441" customFormat="1" x14ac:dyDescent="0.35">
      <c r="A63" s="575" t="s">
        <v>560</v>
      </c>
      <c r="B63" s="576" t="s">
        <v>1341</v>
      </c>
      <c r="C63" s="586">
        <f>C64+C70+C71+C72+C73+C74+C75</f>
        <v>58452</v>
      </c>
      <c r="D63" s="577">
        <f>D64+D71+D72+D74+D75+D76</f>
        <v>44049</v>
      </c>
      <c r="E63" s="577">
        <f>E64+E71+E72+E74+E75+E76</f>
        <v>44049</v>
      </c>
      <c r="F63" s="586">
        <f>F64+F70+F71+F72+F73</f>
        <v>0</v>
      </c>
      <c r="G63" s="586">
        <f>G64+G70+G71+G72+G73+G74+G75</f>
        <v>0</v>
      </c>
      <c r="H63" s="577">
        <f>+G63</f>
        <v>0</v>
      </c>
      <c r="I63" s="577">
        <f>I64+I71+I72+I74+I75</f>
        <v>0</v>
      </c>
      <c r="J63" s="577">
        <f>J64+J71+J72+J74+J75</f>
        <v>0</v>
      </c>
      <c r="K63" s="577">
        <f>K64+K71+K72+K74+K75+K76</f>
        <v>0</v>
      </c>
      <c r="L63" s="577">
        <f>L64+L71+L72+L74+L75</f>
        <v>0</v>
      </c>
      <c r="M63" s="364"/>
      <c r="N63" s="628"/>
      <c r="O63" s="638"/>
      <c r="P63" s="227"/>
      <c r="Q63" s="227"/>
    </row>
    <row r="64" spans="1:17" s="442" customFormat="1" x14ac:dyDescent="0.35">
      <c r="A64" s="575"/>
      <c r="B64" s="583" t="s">
        <v>1141</v>
      </c>
      <c r="C64" s="581">
        <f>SUM(C65:C69)</f>
        <v>17402</v>
      </c>
      <c r="D64" s="580">
        <f t="shared" ref="D64:D74" si="5">+C64</f>
        <v>17402</v>
      </c>
      <c r="E64" s="580">
        <f t="shared" ref="E64:E74" si="6">+D64</f>
        <v>17402</v>
      </c>
      <c r="F64" s="581"/>
      <c r="G64" s="581"/>
      <c r="H64" s="580"/>
      <c r="I64" s="580"/>
      <c r="J64" s="580"/>
      <c r="K64" s="580"/>
      <c r="L64" s="580"/>
      <c r="M64" s="365" t="s">
        <v>1327</v>
      </c>
      <c r="N64" s="629" t="s">
        <v>1272</v>
      </c>
      <c r="O64" s="635">
        <v>100</v>
      </c>
      <c r="P64" s="227"/>
      <c r="Q64" s="227"/>
    </row>
    <row r="65" spans="1:17" s="443" customFormat="1" ht="14" x14ac:dyDescent="0.35">
      <c r="A65" s="575"/>
      <c r="B65" s="583"/>
      <c r="C65" s="581"/>
      <c r="D65" s="580">
        <f t="shared" si="5"/>
        <v>0</v>
      </c>
      <c r="E65" s="580">
        <f t="shared" si="6"/>
        <v>0</v>
      </c>
      <c r="F65" s="581"/>
      <c r="G65" s="581"/>
      <c r="H65" s="580">
        <f t="shared" ref="H65:K66" si="7">+G65</f>
        <v>0</v>
      </c>
      <c r="I65" s="580">
        <f t="shared" si="7"/>
        <v>0</v>
      </c>
      <c r="J65" s="580">
        <f t="shared" si="7"/>
        <v>0</v>
      </c>
      <c r="K65" s="580">
        <f t="shared" si="7"/>
        <v>0</v>
      </c>
      <c r="L65" s="580">
        <f>+I65</f>
        <v>0</v>
      </c>
      <c r="M65" s="365"/>
      <c r="N65" s="629"/>
      <c r="O65" s="588"/>
      <c r="P65" s="227"/>
      <c r="Q65" s="227"/>
    </row>
    <row r="66" spans="1:17" s="443" customFormat="1" ht="14" x14ac:dyDescent="0.35">
      <c r="A66" s="575"/>
      <c r="B66" s="583"/>
      <c r="C66" s="581"/>
      <c r="D66" s="580">
        <f t="shared" si="5"/>
        <v>0</v>
      </c>
      <c r="E66" s="580">
        <f t="shared" si="6"/>
        <v>0</v>
      </c>
      <c r="F66" s="581"/>
      <c r="G66" s="581"/>
      <c r="H66" s="580">
        <f t="shared" si="7"/>
        <v>0</v>
      </c>
      <c r="I66" s="580">
        <f t="shared" si="7"/>
        <v>0</v>
      </c>
      <c r="J66" s="580">
        <f t="shared" si="7"/>
        <v>0</v>
      </c>
      <c r="K66" s="580">
        <f t="shared" si="7"/>
        <v>0</v>
      </c>
      <c r="L66" s="580">
        <f>+I66</f>
        <v>0</v>
      </c>
      <c r="M66" s="365"/>
      <c r="N66" s="629" t="s">
        <v>1370</v>
      </c>
      <c r="O66" s="588"/>
      <c r="P66" s="227"/>
      <c r="Q66" s="227"/>
    </row>
    <row r="67" spans="1:17" s="443" customFormat="1" ht="14.5" x14ac:dyDescent="0.35">
      <c r="A67" s="575"/>
      <c r="B67" s="648"/>
      <c r="C67" s="581"/>
      <c r="D67" s="580">
        <f t="shared" si="5"/>
        <v>0</v>
      </c>
      <c r="E67" s="580">
        <f t="shared" si="6"/>
        <v>0</v>
      </c>
      <c r="F67" s="581"/>
      <c r="G67" s="581"/>
      <c r="H67" s="580"/>
      <c r="I67" s="580"/>
      <c r="J67" s="580"/>
      <c r="K67" s="580"/>
      <c r="L67" s="580"/>
      <c r="M67" s="365"/>
      <c r="N67" s="629" t="s">
        <v>1370</v>
      </c>
      <c r="O67" s="588"/>
      <c r="P67" s="227"/>
      <c r="Q67" s="227"/>
    </row>
    <row r="68" spans="1:17" s="443" customFormat="1" ht="14" x14ac:dyDescent="0.35">
      <c r="A68" s="575"/>
      <c r="B68" s="583" t="s">
        <v>1405</v>
      </c>
      <c r="C68" s="581">
        <v>17402</v>
      </c>
      <c r="D68" s="580">
        <f t="shared" si="5"/>
        <v>17402</v>
      </c>
      <c r="E68" s="580">
        <f t="shared" si="6"/>
        <v>17402</v>
      </c>
      <c r="F68" s="581"/>
      <c r="G68" s="581"/>
      <c r="H68" s="580"/>
      <c r="I68" s="580"/>
      <c r="J68" s="580"/>
      <c r="K68" s="580"/>
      <c r="L68" s="580"/>
      <c r="M68" s="365"/>
      <c r="N68" s="629"/>
      <c r="O68" s="588"/>
      <c r="P68" s="227"/>
      <c r="Q68" s="227"/>
    </row>
    <row r="69" spans="1:17" s="443" customFormat="1" ht="14" x14ac:dyDescent="0.35">
      <c r="A69" s="575"/>
      <c r="B69" s="583"/>
      <c r="C69" s="581"/>
      <c r="D69" s="580">
        <f t="shared" si="5"/>
        <v>0</v>
      </c>
      <c r="E69" s="580">
        <f t="shared" si="6"/>
        <v>0</v>
      </c>
      <c r="F69" s="581"/>
      <c r="G69" s="581"/>
      <c r="H69" s="580"/>
      <c r="I69" s="580"/>
      <c r="J69" s="580"/>
      <c r="K69" s="580"/>
      <c r="L69" s="580"/>
      <c r="M69" s="365"/>
      <c r="N69" s="629" t="s">
        <v>1349</v>
      </c>
      <c r="O69" s="588"/>
      <c r="P69" s="227"/>
      <c r="Q69" s="227"/>
    </row>
    <row r="70" spans="1:17" s="443" customFormat="1" ht="14" x14ac:dyDescent="0.35">
      <c r="A70" s="575"/>
      <c r="B70" s="583"/>
      <c r="C70" s="581"/>
      <c r="D70" s="580">
        <f t="shared" si="5"/>
        <v>0</v>
      </c>
      <c r="E70" s="580">
        <f t="shared" si="6"/>
        <v>0</v>
      </c>
      <c r="F70" s="581"/>
      <c r="G70" s="581"/>
      <c r="H70" s="580"/>
      <c r="I70" s="580"/>
      <c r="J70" s="580"/>
      <c r="K70" s="580"/>
      <c r="L70" s="580"/>
      <c r="M70" s="365"/>
      <c r="N70" s="629" t="s">
        <v>1362</v>
      </c>
      <c r="O70" s="588"/>
      <c r="P70" s="227"/>
      <c r="Q70" s="227"/>
    </row>
    <row r="71" spans="1:17" s="441" customFormat="1" x14ac:dyDescent="0.35">
      <c r="A71" s="575"/>
      <c r="B71" s="583" t="s">
        <v>1310</v>
      </c>
      <c r="C71" s="581">
        <v>16800</v>
      </c>
      <c r="D71" s="580">
        <f t="shared" si="5"/>
        <v>16800</v>
      </c>
      <c r="E71" s="580">
        <f t="shared" si="6"/>
        <v>16800</v>
      </c>
      <c r="F71" s="581"/>
      <c r="G71" s="581"/>
      <c r="H71" s="580"/>
      <c r="I71" s="580"/>
      <c r="J71" s="580"/>
      <c r="K71" s="580"/>
      <c r="L71" s="580"/>
      <c r="M71" s="365" t="s">
        <v>1327</v>
      </c>
      <c r="N71" s="629" t="s">
        <v>1375</v>
      </c>
      <c r="O71" s="635"/>
      <c r="P71" s="227"/>
      <c r="Q71" s="227"/>
    </row>
    <row r="72" spans="1:17" s="441" customFormat="1" x14ac:dyDescent="0.35">
      <c r="A72" s="575"/>
      <c r="B72" s="583" t="s">
        <v>1311</v>
      </c>
      <c r="C72" s="581">
        <v>7040</v>
      </c>
      <c r="D72" s="580">
        <f t="shared" si="5"/>
        <v>7040</v>
      </c>
      <c r="E72" s="580">
        <f t="shared" si="6"/>
        <v>7040</v>
      </c>
      <c r="F72" s="581"/>
      <c r="G72" s="580"/>
      <c r="H72" s="580"/>
      <c r="I72" s="580"/>
      <c r="J72" s="580"/>
      <c r="K72" s="580"/>
      <c r="L72" s="580"/>
      <c r="M72" s="365" t="s">
        <v>1327</v>
      </c>
      <c r="N72" s="629" t="s">
        <v>1272</v>
      </c>
      <c r="O72" s="635"/>
      <c r="P72" s="227"/>
      <c r="Q72" s="227"/>
    </row>
    <row r="73" spans="1:17" s="441" customFormat="1" x14ac:dyDescent="0.35">
      <c r="A73" s="575"/>
      <c r="B73" s="583"/>
      <c r="C73" s="581"/>
      <c r="D73" s="580">
        <f t="shared" si="5"/>
        <v>0</v>
      </c>
      <c r="E73" s="580">
        <f t="shared" si="6"/>
        <v>0</v>
      </c>
      <c r="F73" s="581"/>
      <c r="G73" s="581"/>
      <c r="H73" s="580"/>
      <c r="I73" s="580"/>
      <c r="J73" s="580"/>
      <c r="K73" s="580"/>
      <c r="L73" s="580"/>
      <c r="M73" s="365"/>
      <c r="N73" s="629"/>
      <c r="O73" s="635"/>
      <c r="P73" s="227"/>
      <c r="Q73" s="227"/>
    </row>
    <row r="74" spans="1:17" s="441" customFormat="1" x14ac:dyDescent="0.35">
      <c r="A74" s="575"/>
      <c r="B74" s="583" t="s">
        <v>1406</v>
      </c>
      <c r="C74" s="581">
        <v>2210</v>
      </c>
      <c r="D74" s="580">
        <f t="shared" si="5"/>
        <v>2210</v>
      </c>
      <c r="E74" s="580">
        <f t="shared" si="6"/>
        <v>2210</v>
      </c>
      <c r="F74" s="581"/>
      <c r="G74" s="581"/>
      <c r="H74" s="580"/>
      <c r="I74" s="580"/>
      <c r="J74" s="580"/>
      <c r="K74" s="580"/>
      <c r="L74" s="580"/>
      <c r="M74" s="365"/>
      <c r="N74" s="629"/>
      <c r="O74" s="635"/>
      <c r="P74" s="227"/>
      <c r="Q74" s="227"/>
    </row>
    <row r="75" spans="1:17" s="441" customFormat="1" ht="28" x14ac:dyDescent="0.35">
      <c r="A75" s="575"/>
      <c r="B75" s="583" t="s">
        <v>1407</v>
      </c>
      <c r="C75" s="581">
        <v>15000</v>
      </c>
      <c r="D75" s="580">
        <f>15000-14403</f>
        <v>597</v>
      </c>
      <c r="E75" s="580">
        <f>15000-14403</f>
        <v>597</v>
      </c>
      <c r="F75" s="581"/>
      <c r="G75" s="581"/>
      <c r="H75" s="580"/>
      <c r="I75" s="580"/>
      <c r="J75" s="580"/>
      <c r="K75" s="580"/>
      <c r="L75" s="580"/>
      <c r="M75" s="365" t="s">
        <v>1265</v>
      </c>
      <c r="N75" s="629"/>
      <c r="O75" s="635"/>
      <c r="P75" s="227"/>
      <c r="Q75" s="227"/>
    </row>
    <row r="76" spans="1:17" s="441" customFormat="1" x14ac:dyDescent="0.35">
      <c r="A76" s="575"/>
      <c r="B76" s="583" t="s">
        <v>1447</v>
      </c>
      <c r="C76" s="581"/>
      <c r="D76" s="580"/>
      <c r="E76" s="580"/>
      <c r="F76" s="581"/>
      <c r="G76" s="581"/>
      <c r="H76" s="580"/>
      <c r="I76" s="580"/>
      <c r="J76" s="580"/>
      <c r="K76" s="580"/>
      <c r="L76" s="580"/>
      <c r="M76" s="365"/>
      <c r="N76" s="629"/>
      <c r="O76" s="635"/>
      <c r="P76" s="227"/>
      <c r="Q76" s="227"/>
    </row>
    <row r="77" spans="1:17" s="441" customFormat="1" x14ac:dyDescent="0.35">
      <c r="A77" s="575" t="s">
        <v>561</v>
      </c>
      <c r="B77" s="576" t="s">
        <v>1142</v>
      </c>
      <c r="C77" s="586"/>
      <c r="D77" s="580">
        <f>+C77</f>
        <v>0</v>
      </c>
      <c r="E77" s="580">
        <f>+D77</f>
        <v>0</v>
      </c>
      <c r="F77" s="586">
        <v>0</v>
      </c>
      <c r="G77" s="586"/>
      <c r="H77" s="580">
        <f t="shared" ref="H77:I80" si="8">+G77</f>
        <v>0</v>
      </c>
      <c r="I77" s="580">
        <f t="shared" si="8"/>
        <v>0</v>
      </c>
      <c r="J77" s="580">
        <f>+I77</f>
        <v>0</v>
      </c>
      <c r="K77" s="580">
        <f>+J77</f>
        <v>0</v>
      </c>
      <c r="L77" s="580">
        <f>+I77</f>
        <v>0</v>
      </c>
      <c r="M77" s="364"/>
      <c r="N77" s="628"/>
      <c r="O77" s="638"/>
      <c r="P77" s="227"/>
      <c r="Q77" s="227"/>
    </row>
    <row r="78" spans="1:17" s="442" customFormat="1" x14ac:dyDescent="0.35">
      <c r="A78" s="575" t="s">
        <v>563</v>
      </c>
      <c r="B78" s="576" t="s">
        <v>1146</v>
      </c>
      <c r="C78" s="586">
        <f>SUM(C79:C79)</f>
        <v>1500</v>
      </c>
      <c r="D78" s="577">
        <f>D79</f>
        <v>0</v>
      </c>
      <c r="E78" s="577">
        <f>E79</f>
        <v>0</v>
      </c>
      <c r="F78" s="586">
        <f>SUM(F79:F79)</f>
        <v>0</v>
      </c>
      <c r="G78" s="586">
        <f>SUM(G79:G79)</f>
        <v>0</v>
      </c>
      <c r="H78" s="577">
        <f t="shared" si="8"/>
        <v>0</v>
      </c>
      <c r="I78" s="577">
        <f>I79</f>
        <v>0</v>
      </c>
      <c r="J78" s="577">
        <f>J79</f>
        <v>0</v>
      </c>
      <c r="K78" s="577">
        <f>K79</f>
        <v>0</v>
      </c>
      <c r="L78" s="577">
        <f>L79</f>
        <v>0</v>
      </c>
      <c r="M78" s="364"/>
      <c r="N78" s="628"/>
      <c r="O78" s="635"/>
      <c r="P78" s="227"/>
      <c r="Q78" s="227"/>
    </row>
    <row r="79" spans="1:17" s="441" customFormat="1" x14ac:dyDescent="0.35">
      <c r="A79" s="575"/>
      <c r="B79" s="592" t="s">
        <v>1304</v>
      </c>
      <c r="C79" s="581">
        <v>1500</v>
      </c>
      <c r="D79" s="580">
        <f>1500-1500</f>
        <v>0</v>
      </c>
      <c r="E79" s="580">
        <f>1500-1500</f>
        <v>0</v>
      </c>
      <c r="F79" s="581">
        <v>0</v>
      </c>
      <c r="G79" s="581"/>
      <c r="H79" s="580"/>
      <c r="I79" s="580">
        <f>1500-1500</f>
        <v>0</v>
      </c>
      <c r="J79" s="580">
        <f>1500-1500</f>
        <v>0</v>
      </c>
      <c r="K79" s="580">
        <f>1500-1500</f>
        <v>0</v>
      </c>
      <c r="L79" s="580">
        <f>1500-1500</f>
        <v>0</v>
      </c>
      <c r="M79" s="365" t="s">
        <v>1327</v>
      </c>
      <c r="N79" s="629" t="s">
        <v>1278</v>
      </c>
      <c r="O79" s="635"/>
      <c r="P79" s="227"/>
      <c r="Q79" s="227"/>
    </row>
    <row r="80" spans="1:17" s="441" customFormat="1" x14ac:dyDescent="0.35">
      <c r="A80" s="575" t="s">
        <v>565</v>
      </c>
      <c r="B80" s="576" t="s">
        <v>1137</v>
      </c>
      <c r="C80" s="586" t="e">
        <f>SUM(C81:C89)</f>
        <v>#REF!</v>
      </c>
      <c r="D80" s="577">
        <f>SUM(D89:D91)</f>
        <v>30253</v>
      </c>
      <c r="E80" s="577">
        <f>SUM(E89:E91)</f>
        <v>30253</v>
      </c>
      <c r="F80" s="586">
        <f>SUM(F81:F89)</f>
        <v>0</v>
      </c>
      <c r="G80" s="586" t="e">
        <f>SUM(G81:G89)</f>
        <v>#REF!</v>
      </c>
      <c r="H80" s="577" t="e">
        <f t="shared" si="8"/>
        <v>#REF!</v>
      </c>
      <c r="I80" s="577">
        <f>SUM(I89:I91)</f>
        <v>0</v>
      </c>
      <c r="J80" s="577">
        <f>SUM(J89:J91)</f>
        <v>0</v>
      </c>
      <c r="K80" s="577">
        <f>SUM(K89:K91)</f>
        <v>0</v>
      </c>
      <c r="L80" s="577">
        <f>SUM(L89:L91)</f>
        <v>0</v>
      </c>
      <c r="M80" s="364"/>
      <c r="N80" s="628"/>
      <c r="O80" s="638"/>
      <c r="P80" s="227"/>
      <c r="Q80" s="227">
        <f>126930-106742</f>
        <v>20188</v>
      </c>
    </row>
    <row r="81" spans="1:17" s="442" customFormat="1" x14ac:dyDescent="0.35">
      <c r="A81" s="575"/>
      <c r="B81" s="583" t="s">
        <v>1153</v>
      </c>
      <c r="C81" s="581" t="e">
        <f>+'2.3 melléklet'!#REF!+'2.3 melléklet'!#REF!</f>
        <v>#REF!</v>
      </c>
      <c r="D81" s="581"/>
      <c r="E81" s="581"/>
      <c r="F81" s="581"/>
      <c r="G81" s="581" t="e">
        <f>+'2.3 melléklet'!#REF!+'2.3 melléklet'!E112</f>
        <v>#REF!</v>
      </c>
      <c r="H81" s="581"/>
      <c r="I81" s="581"/>
      <c r="J81" s="581"/>
      <c r="K81" s="581"/>
      <c r="L81" s="581"/>
      <c r="M81" s="365" t="s">
        <v>1327</v>
      </c>
      <c r="N81" s="629" t="s">
        <v>1273</v>
      </c>
      <c r="O81" s="635"/>
      <c r="P81" s="227"/>
      <c r="Q81" s="227">
        <f>306812-292445</f>
        <v>14367</v>
      </c>
    </row>
    <row r="82" spans="1:17" s="441" customFormat="1" x14ac:dyDescent="0.35">
      <c r="A82" s="575"/>
      <c r="B82" s="593" t="s">
        <v>1305</v>
      </c>
      <c r="C82" s="581"/>
      <c r="D82" s="581"/>
      <c r="E82" s="581"/>
      <c r="F82" s="581"/>
      <c r="G82" s="581"/>
      <c r="H82" s="581"/>
      <c r="I82" s="581"/>
      <c r="J82" s="581"/>
      <c r="K82" s="581"/>
      <c r="L82" s="581"/>
      <c r="M82" s="365" t="s">
        <v>1265</v>
      </c>
      <c r="N82" s="629" t="s">
        <v>1279</v>
      </c>
      <c r="O82" s="639"/>
      <c r="P82" s="227"/>
      <c r="Q82" s="227">
        <v>9500</v>
      </c>
    </row>
    <row r="83" spans="1:17" s="435" customFormat="1" x14ac:dyDescent="0.35">
      <c r="A83" s="575"/>
      <c r="B83" s="579"/>
      <c r="C83" s="581"/>
      <c r="D83" s="581"/>
      <c r="E83" s="581"/>
      <c r="F83" s="581"/>
      <c r="G83" s="581"/>
      <c r="H83" s="581"/>
      <c r="I83" s="581"/>
      <c r="J83" s="581"/>
      <c r="K83" s="581"/>
      <c r="L83" s="581"/>
      <c r="M83" s="365" t="s">
        <v>1265</v>
      </c>
      <c r="N83" s="629" t="s">
        <v>1367</v>
      </c>
      <c r="O83" s="639"/>
      <c r="P83" s="227"/>
      <c r="Q83" s="227">
        <f>5001-3401</f>
        <v>1600</v>
      </c>
    </row>
    <row r="84" spans="1:17" s="435" customFormat="1" x14ac:dyDescent="0.35">
      <c r="A84" s="575"/>
      <c r="B84" s="593"/>
      <c r="C84" s="581"/>
      <c r="D84" s="581"/>
      <c r="E84" s="581"/>
      <c r="F84" s="581"/>
      <c r="G84" s="581"/>
      <c r="H84" s="581"/>
      <c r="I84" s="581"/>
      <c r="J84" s="581"/>
      <c r="K84" s="581"/>
      <c r="L84" s="581"/>
      <c r="M84" s="365" t="s">
        <v>1265</v>
      </c>
      <c r="N84" s="629" t="s">
        <v>1319</v>
      </c>
      <c r="O84" s="639"/>
      <c r="P84" s="227"/>
      <c r="Q84" s="227">
        <v>3210</v>
      </c>
    </row>
    <row r="85" spans="1:17" s="435" customFormat="1" x14ac:dyDescent="0.35">
      <c r="A85" s="575"/>
      <c r="B85" s="593"/>
      <c r="C85" s="581"/>
      <c r="D85" s="581"/>
      <c r="E85" s="581"/>
      <c r="F85" s="581"/>
      <c r="G85" s="581"/>
      <c r="H85" s="581"/>
      <c r="I85" s="581"/>
      <c r="J85" s="581"/>
      <c r="K85" s="581"/>
      <c r="L85" s="581"/>
      <c r="M85" s="365" t="s">
        <v>1265</v>
      </c>
      <c r="N85" s="629" t="s">
        <v>1326</v>
      </c>
      <c r="O85" s="639"/>
      <c r="P85" s="227"/>
      <c r="Q85" s="227">
        <v>15000</v>
      </c>
    </row>
    <row r="86" spans="1:17" s="435" customFormat="1" x14ac:dyDescent="0.35">
      <c r="A86" s="575"/>
      <c r="B86" s="593"/>
      <c r="C86" s="581"/>
      <c r="D86" s="581"/>
      <c r="E86" s="581"/>
      <c r="F86" s="581"/>
      <c r="G86" s="581"/>
      <c r="H86" s="581"/>
      <c r="I86" s="581"/>
      <c r="J86" s="581"/>
      <c r="K86" s="581"/>
      <c r="L86" s="581"/>
      <c r="M86" s="365" t="s">
        <v>1265</v>
      </c>
      <c r="N86" s="629" t="s">
        <v>1319</v>
      </c>
      <c r="O86" s="639"/>
      <c r="P86" s="227"/>
      <c r="Q86" s="227">
        <v>17402</v>
      </c>
    </row>
    <row r="87" spans="1:17" s="435" customFormat="1" x14ac:dyDescent="0.35">
      <c r="A87" s="575"/>
      <c r="B87" s="583"/>
      <c r="C87" s="581"/>
      <c r="D87" s="581"/>
      <c r="E87" s="581"/>
      <c r="F87" s="581"/>
      <c r="G87" s="581"/>
      <c r="H87" s="581"/>
      <c r="I87" s="581"/>
      <c r="J87" s="581"/>
      <c r="K87" s="581"/>
      <c r="L87" s="581"/>
      <c r="M87" s="365"/>
      <c r="N87" s="629" t="s">
        <v>1348</v>
      </c>
      <c r="O87" s="639">
        <v>122526</v>
      </c>
      <c r="P87" s="227"/>
      <c r="Q87" s="227">
        <f>SUM(Q80:Q86)</f>
        <v>81267</v>
      </c>
    </row>
    <row r="88" spans="1:17" s="435" customFormat="1" x14ac:dyDescent="0.35">
      <c r="A88" s="575"/>
      <c r="B88" s="593"/>
      <c r="C88" s="581"/>
      <c r="D88" s="581"/>
      <c r="E88" s="581"/>
      <c r="F88" s="581"/>
      <c r="G88" s="581"/>
      <c r="H88" s="581"/>
      <c r="I88" s="581"/>
      <c r="J88" s="581"/>
      <c r="K88" s="581"/>
      <c r="L88" s="581"/>
      <c r="M88" s="365"/>
      <c r="N88" s="629" t="s">
        <v>1371</v>
      </c>
      <c r="O88" s="639"/>
      <c r="P88" s="227"/>
      <c r="Q88" s="227"/>
    </row>
    <row r="89" spans="1:17" s="435" customFormat="1" x14ac:dyDescent="0.35">
      <c r="A89" s="575"/>
      <c r="B89" s="593" t="s">
        <v>1408</v>
      </c>
      <c r="C89" s="581">
        <f>3850+1905</f>
        <v>5755</v>
      </c>
      <c r="D89" s="580">
        <f>+C89</f>
        <v>5755</v>
      </c>
      <c r="E89" s="580">
        <f>+D89</f>
        <v>5755</v>
      </c>
      <c r="F89" s="581"/>
      <c r="G89" s="581"/>
      <c r="H89" s="580"/>
      <c r="I89" s="580"/>
      <c r="J89" s="580"/>
      <c r="K89" s="580"/>
      <c r="L89" s="580"/>
      <c r="M89" s="365"/>
      <c r="N89" s="629" t="s">
        <v>1377</v>
      </c>
      <c r="O89" s="639"/>
      <c r="P89" s="227"/>
      <c r="Q89" s="227"/>
    </row>
    <row r="90" spans="1:17" s="435" customFormat="1" x14ac:dyDescent="0.35">
      <c r="A90" s="575"/>
      <c r="B90" s="593" t="s">
        <v>1423</v>
      </c>
      <c r="C90" s="581"/>
      <c r="D90" s="580">
        <f>4101+97+14200</f>
        <v>18398</v>
      </c>
      <c r="E90" s="580">
        <f>4101+97+14200</f>
        <v>18398</v>
      </c>
      <c r="F90" s="581"/>
      <c r="G90" s="581"/>
      <c r="H90" s="580"/>
      <c r="I90" s="580"/>
      <c r="J90" s="580"/>
      <c r="K90" s="580"/>
      <c r="L90" s="580"/>
      <c r="M90" s="365"/>
      <c r="N90" s="629"/>
      <c r="O90" s="639"/>
      <c r="P90" s="227"/>
      <c r="Q90" s="227"/>
    </row>
    <row r="91" spans="1:17" s="435" customFormat="1" x14ac:dyDescent="0.35">
      <c r="A91" s="575"/>
      <c r="B91" s="593" t="s">
        <v>1424</v>
      </c>
      <c r="C91" s="581"/>
      <c r="D91" s="580">
        <v>6100</v>
      </c>
      <c r="E91" s="580">
        <v>6100</v>
      </c>
      <c r="F91" s="581"/>
      <c r="G91" s="581"/>
      <c r="H91" s="580"/>
      <c r="I91" s="580"/>
      <c r="J91" s="580"/>
      <c r="K91" s="580"/>
      <c r="L91" s="580"/>
      <c r="M91" s="365"/>
      <c r="N91" s="629"/>
      <c r="O91" s="639"/>
      <c r="P91" s="227"/>
      <c r="Q91" s="227"/>
    </row>
    <row r="92" spans="1:17" s="435" customFormat="1" x14ac:dyDescent="0.35">
      <c r="A92" s="575" t="s">
        <v>566</v>
      </c>
      <c r="B92" s="576" t="s">
        <v>1387</v>
      </c>
      <c r="C92" s="586">
        <f>23853+2850</f>
        <v>26703</v>
      </c>
      <c r="D92" s="577">
        <f>22148-2804-5756</f>
        <v>13588</v>
      </c>
      <c r="E92" s="577">
        <f>22148-2804-5756</f>
        <v>13588</v>
      </c>
      <c r="F92" s="581"/>
      <c r="G92" s="586"/>
      <c r="H92" s="577"/>
      <c r="I92" s="577"/>
      <c r="J92" s="577"/>
      <c r="K92" s="577"/>
      <c r="L92" s="577"/>
      <c r="M92" s="365"/>
      <c r="N92" s="629"/>
      <c r="O92" s="639">
        <v>3661</v>
      </c>
      <c r="P92" s="227"/>
      <c r="Q92" s="227"/>
    </row>
    <row r="93" spans="1:17" s="435" customFormat="1" x14ac:dyDescent="0.35">
      <c r="A93" s="572" t="s">
        <v>318</v>
      </c>
      <c r="B93" s="573" t="s">
        <v>341</v>
      </c>
      <c r="C93" s="574">
        <f t="shared" ref="C93:L93" si="9">C94+C99+C103+C105+C107+C109+C111+C114+C116+C117</f>
        <v>38884</v>
      </c>
      <c r="D93" s="574">
        <f t="shared" si="9"/>
        <v>55489</v>
      </c>
      <c r="E93" s="574">
        <f t="shared" si="9"/>
        <v>55489</v>
      </c>
      <c r="F93" s="574">
        <f t="shared" si="9"/>
        <v>0</v>
      </c>
      <c r="G93" s="574">
        <f t="shared" si="9"/>
        <v>17838420</v>
      </c>
      <c r="H93" s="574">
        <f t="shared" si="9"/>
        <v>17838420</v>
      </c>
      <c r="I93" s="574">
        <f t="shared" si="9"/>
        <v>10929620</v>
      </c>
      <c r="J93" s="574">
        <f t="shared" si="9"/>
        <v>5303520</v>
      </c>
      <c r="K93" s="574">
        <f t="shared" si="9"/>
        <v>2001520</v>
      </c>
      <c r="L93" s="574">
        <f t="shared" si="9"/>
        <v>0</v>
      </c>
      <c r="M93" s="365"/>
      <c r="N93" s="629"/>
      <c r="O93" s="639"/>
      <c r="P93" s="227"/>
      <c r="Q93" s="227"/>
    </row>
    <row r="94" spans="1:17" s="435" customFormat="1" x14ac:dyDescent="0.35">
      <c r="A94" s="569" t="s">
        <v>311</v>
      </c>
      <c r="B94" s="594" t="s">
        <v>978</v>
      </c>
      <c r="C94" s="587">
        <f>SUM(C95:C98)</f>
        <v>12750</v>
      </c>
      <c r="D94" s="587">
        <f>SUM(D95:D98)</f>
        <v>27985</v>
      </c>
      <c r="E94" s="587">
        <f>SUM(E95:E98)</f>
        <v>27985</v>
      </c>
      <c r="F94" s="587">
        <f>SUM(F95:F98)</f>
        <v>0</v>
      </c>
      <c r="G94" s="587">
        <f>SUM(G95:G98)</f>
        <v>0</v>
      </c>
      <c r="H94" s="577">
        <f>+G94</f>
        <v>0</v>
      </c>
      <c r="I94" s="577">
        <f>+H94</f>
        <v>0</v>
      </c>
      <c r="J94" s="577">
        <f>+I94</f>
        <v>0</v>
      </c>
      <c r="K94" s="577">
        <f>+J94</f>
        <v>0</v>
      </c>
      <c r="L94" s="577">
        <f>SUM(L95:L98)</f>
        <v>0</v>
      </c>
      <c r="M94" s="366"/>
      <c r="N94" s="632"/>
      <c r="O94" s="639"/>
    </row>
    <row r="95" spans="1:17" s="435" customFormat="1" x14ac:dyDescent="0.35">
      <c r="A95" s="595"/>
      <c r="B95" s="596" t="s">
        <v>1298</v>
      </c>
      <c r="C95" s="582">
        <v>2540</v>
      </c>
      <c r="D95" s="582">
        <f>4000*1.27</f>
        <v>5080</v>
      </c>
      <c r="E95" s="582">
        <f>4000*1.27</f>
        <v>5080</v>
      </c>
      <c r="F95" s="582"/>
      <c r="G95" s="582"/>
      <c r="H95" s="580"/>
      <c r="I95" s="580"/>
      <c r="J95" s="580"/>
      <c r="K95" s="580"/>
      <c r="L95" s="580"/>
      <c r="M95" s="365"/>
      <c r="N95" s="629"/>
      <c r="O95" s="639"/>
    </row>
    <row r="96" spans="1:17" s="435" customFormat="1" x14ac:dyDescent="0.35">
      <c r="A96" s="595"/>
      <c r="B96" s="596" t="s">
        <v>979</v>
      </c>
      <c r="C96" s="582">
        <v>4445</v>
      </c>
      <c r="D96" s="582">
        <f>3500*1.27</f>
        <v>4445</v>
      </c>
      <c r="E96" s="582">
        <f>3500*1.27</f>
        <v>4445</v>
      </c>
      <c r="F96" s="582"/>
      <c r="G96" s="582"/>
      <c r="H96" s="580"/>
      <c r="I96" s="580"/>
      <c r="J96" s="580"/>
      <c r="K96" s="580"/>
      <c r="L96" s="580"/>
      <c r="M96" s="365"/>
      <c r="N96" s="629"/>
      <c r="O96" s="639"/>
    </row>
    <row r="97" spans="1:17" s="435" customFormat="1" x14ac:dyDescent="0.35">
      <c r="A97" s="595"/>
      <c r="B97" s="596" t="s">
        <v>1299</v>
      </c>
      <c r="C97" s="582">
        <v>4445</v>
      </c>
      <c r="D97" s="582">
        <f>3500*1.27</f>
        <v>4445</v>
      </c>
      <c r="E97" s="582">
        <f>3500*1.27</f>
        <v>4445</v>
      </c>
      <c r="F97" s="582"/>
      <c r="G97" s="582"/>
      <c r="H97" s="580"/>
      <c r="I97" s="580"/>
      <c r="J97" s="580"/>
      <c r="K97" s="580"/>
      <c r="L97" s="580"/>
      <c r="M97" s="365"/>
      <c r="N97" s="629"/>
      <c r="O97" s="639"/>
    </row>
    <row r="98" spans="1:17" s="435" customFormat="1" x14ac:dyDescent="0.35">
      <c r="A98" s="595"/>
      <c r="B98" s="596" t="s">
        <v>980</v>
      </c>
      <c r="C98" s="582">
        <v>1320</v>
      </c>
      <c r="D98" s="582">
        <f>45+11000*1.27</f>
        <v>14015</v>
      </c>
      <c r="E98" s="582">
        <f>45+11000*1.27</f>
        <v>14015</v>
      </c>
      <c r="F98" s="582"/>
      <c r="G98" s="582"/>
      <c r="H98" s="580"/>
      <c r="I98" s="580"/>
      <c r="J98" s="580"/>
      <c r="K98" s="580"/>
      <c r="L98" s="580"/>
      <c r="M98" s="365"/>
      <c r="N98" s="629"/>
      <c r="O98" s="639"/>
    </row>
    <row r="99" spans="1:17" s="435" customFormat="1" x14ac:dyDescent="0.35">
      <c r="A99" s="569" t="s">
        <v>322</v>
      </c>
      <c r="B99" s="594" t="s">
        <v>981</v>
      </c>
      <c r="C99" s="586">
        <f>SUM(C101)</f>
        <v>16875</v>
      </c>
      <c r="D99" s="586">
        <f>SUM(D100:D101)</f>
        <v>14550</v>
      </c>
      <c r="E99" s="586">
        <f>SUM(E100:E102)</f>
        <v>14550</v>
      </c>
      <c r="F99" s="586">
        <f>SUM(F100:F102)</f>
        <v>0</v>
      </c>
      <c r="G99" s="586">
        <f>SUM(G100:G102)</f>
        <v>0</v>
      </c>
      <c r="H99" s="577">
        <f>SUM(H101)</f>
        <v>0</v>
      </c>
      <c r="I99" s="577">
        <f>SUM(I101)</f>
        <v>0</v>
      </c>
      <c r="J99" s="577">
        <f>SUM(J101)</f>
        <v>0</v>
      </c>
      <c r="K99" s="577">
        <f>SUM(K101)</f>
        <v>0</v>
      </c>
      <c r="L99" s="577">
        <f>SUM(L101)</f>
        <v>0</v>
      </c>
      <c r="M99" s="366"/>
      <c r="N99" s="632"/>
      <c r="O99" s="639"/>
    </row>
    <row r="100" spans="1:17" s="435" customFormat="1" x14ac:dyDescent="0.35">
      <c r="A100" s="588"/>
      <c r="B100" s="596"/>
      <c r="C100" s="581"/>
      <c r="D100" s="581"/>
      <c r="E100" s="581"/>
      <c r="F100" s="581"/>
      <c r="G100" s="581"/>
      <c r="H100" s="581"/>
      <c r="I100" s="581"/>
      <c r="J100" s="581"/>
      <c r="K100" s="581"/>
      <c r="L100" s="581"/>
      <c r="M100" s="472"/>
      <c r="N100" s="633"/>
      <c r="O100" s="639"/>
    </row>
    <row r="101" spans="1:17" s="435" customFormat="1" x14ac:dyDescent="0.35">
      <c r="A101" s="595"/>
      <c r="B101" s="596" t="s">
        <v>980</v>
      </c>
      <c r="C101" s="580">
        <f>18527-1016-635-1</f>
        <v>16875</v>
      </c>
      <c r="D101" s="580">
        <f>4572+3121+6857</f>
        <v>14550</v>
      </c>
      <c r="E101" s="580">
        <f>4572+3121+6857</f>
        <v>14550</v>
      </c>
      <c r="F101" s="580"/>
      <c r="G101" s="580"/>
      <c r="H101" s="580"/>
      <c r="I101" s="580"/>
      <c r="J101" s="580"/>
      <c r="K101" s="580"/>
      <c r="L101" s="580"/>
      <c r="M101" s="365"/>
      <c r="N101" s="629"/>
      <c r="O101" s="639"/>
    </row>
    <row r="102" spans="1:17" s="435" customFormat="1" x14ac:dyDescent="0.35">
      <c r="A102" s="595"/>
      <c r="B102" s="596"/>
      <c r="C102" s="580"/>
      <c r="D102" s="580"/>
      <c r="E102" s="580"/>
      <c r="F102" s="580"/>
      <c r="G102" s="580"/>
      <c r="H102" s="580"/>
      <c r="I102" s="580"/>
      <c r="J102" s="580"/>
      <c r="K102" s="580"/>
      <c r="L102" s="580"/>
      <c r="M102" s="365"/>
      <c r="N102" s="629"/>
      <c r="O102" s="639"/>
    </row>
    <row r="103" spans="1:17" s="435" customFormat="1" x14ac:dyDescent="0.35">
      <c r="A103" s="569" t="s">
        <v>315</v>
      </c>
      <c r="B103" s="594" t="s">
        <v>347</v>
      </c>
      <c r="C103" s="586">
        <f>SUM(C104)</f>
        <v>845</v>
      </c>
      <c r="D103" s="586">
        <f>SUM(D104)</f>
        <v>0</v>
      </c>
      <c r="E103" s="586">
        <f>SUM(E104)</f>
        <v>0</v>
      </c>
      <c r="F103" s="586">
        <f>SUM(F104)</f>
        <v>0</v>
      </c>
      <c r="G103" s="586">
        <f>SUM(G104)</f>
        <v>1430020</v>
      </c>
      <c r="H103" s="577">
        <f t="shared" ref="H103:I115" si="10">+G103</f>
        <v>1430020</v>
      </c>
      <c r="I103" s="577">
        <f t="shared" si="10"/>
        <v>1430020</v>
      </c>
      <c r="J103" s="577">
        <f>+I103</f>
        <v>1430020</v>
      </c>
      <c r="K103" s="577">
        <f>+J103</f>
        <v>1430020</v>
      </c>
      <c r="L103" s="577">
        <f>+L104</f>
        <v>0</v>
      </c>
      <c r="M103" s="366"/>
      <c r="N103" s="632"/>
      <c r="O103" s="639"/>
    </row>
    <row r="104" spans="1:17" s="435" customFormat="1" x14ac:dyDescent="0.35">
      <c r="A104" s="595"/>
      <c r="B104" s="596" t="s">
        <v>1154</v>
      </c>
      <c r="C104" s="580">
        <v>845</v>
      </c>
      <c r="D104" s="580"/>
      <c r="E104" s="580"/>
      <c r="F104" s="580"/>
      <c r="G104" s="580">
        <f>+'5. melléklet'!E13+'5. melléklet'!E19</f>
        <v>1430020</v>
      </c>
      <c r="H104" s="580">
        <f t="shared" si="10"/>
        <v>1430020</v>
      </c>
      <c r="I104" s="580">
        <f t="shared" si="10"/>
        <v>1430020</v>
      </c>
      <c r="J104" s="580">
        <f>+I104</f>
        <v>1430020</v>
      </c>
      <c r="K104" s="580">
        <f>+J104</f>
        <v>1430020</v>
      </c>
      <c r="L104" s="580"/>
      <c r="M104" s="365"/>
      <c r="N104" s="629"/>
      <c r="O104" s="639"/>
    </row>
    <row r="105" spans="1:17" s="435" customFormat="1" x14ac:dyDescent="0.35">
      <c r="A105" s="597" t="s">
        <v>336</v>
      </c>
      <c r="B105" s="594" t="s">
        <v>982</v>
      </c>
      <c r="C105" s="586">
        <f>SUM(C106)</f>
        <v>762</v>
      </c>
      <c r="D105" s="586">
        <f>SUM(D106)</f>
        <v>1103</v>
      </c>
      <c r="E105" s="586">
        <f>SUM(E106)</f>
        <v>1103</v>
      </c>
      <c r="F105" s="586">
        <f>SUM(F106)</f>
        <v>0</v>
      </c>
      <c r="G105" s="586">
        <f>SUM(G106)</f>
        <v>4127500</v>
      </c>
      <c r="H105" s="577">
        <f t="shared" si="10"/>
        <v>4127500</v>
      </c>
      <c r="I105" s="577">
        <f t="shared" si="10"/>
        <v>4127500</v>
      </c>
      <c r="J105" s="577">
        <f>J106</f>
        <v>0</v>
      </c>
      <c r="K105" s="577">
        <f>K106</f>
        <v>0</v>
      </c>
      <c r="L105" s="577">
        <f>+L106</f>
        <v>0</v>
      </c>
      <c r="M105" s="364"/>
      <c r="N105" s="628"/>
      <c r="O105" s="640"/>
      <c r="P105" s="445"/>
      <c r="Q105" s="445"/>
    </row>
    <row r="106" spans="1:17" s="435" customFormat="1" x14ac:dyDescent="0.35">
      <c r="A106" s="595"/>
      <c r="B106" s="596" t="s">
        <v>1154</v>
      </c>
      <c r="C106" s="580">
        <v>762</v>
      </c>
      <c r="D106" s="580">
        <f>635+368+100</f>
        <v>1103</v>
      </c>
      <c r="E106" s="580">
        <f>635+368+100</f>
        <v>1103</v>
      </c>
      <c r="F106" s="580"/>
      <c r="G106" s="580">
        <f>+'5. melléklet'!E30+'5. melléklet'!E35</f>
        <v>4127500</v>
      </c>
      <c r="H106" s="580">
        <f t="shared" si="10"/>
        <v>4127500</v>
      </c>
      <c r="I106" s="580">
        <f t="shared" si="10"/>
        <v>4127500</v>
      </c>
      <c r="J106" s="580"/>
      <c r="K106" s="580"/>
      <c r="L106" s="580"/>
      <c r="M106" s="365"/>
      <c r="N106" s="629"/>
      <c r="O106" s="639"/>
    </row>
    <row r="107" spans="1:17" s="445" customFormat="1" x14ac:dyDescent="0.35">
      <c r="A107" s="597" t="s">
        <v>338</v>
      </c>
      <c r="B107" s="594" t="s">
        <v>983</v>
      </c>
      <c r="C107" s="586">
        <f>SUM(C108)</f>
        <v>635</v>
      </c>
      <c r="D107" s="586">
        <f>SUM(D108)</f>
        <v>0</v>
      </c>
      <c r="E107" s="586">
        <f>SUM(E108)</f>
        <v>0</v>
      </c>
      <c r="F107" s="586">
        <f>SUM(F108)</f>
        <v>0</v>
      </c>
      <c r="G107" s="586">
        <f>SUM(G108)</f>
        <v>571500</v>
      </c>
      <c r="H107" s="577">
        <f t="shared" si="10"/>
        <v>571500</v>
      </c>
      <c r="I107" s="577">
        <f t="shared" si="10"/>
        <v>571500</v>
      </c>
      <c r="J107" s="577">
        <f>+I107</f>
        <v>571500</v>
      </c>
      <c r="K107" s="577">
        <f>+J107</f>
        <v>571500</v>
      </c>
      <c r="L107" s="577">
        <f>+L108</f>
        <v>0</v>
      </c>
      <c r="M107" s="364"/>
      <c r="N107" s="628"/>
      <c r="O107" s="640"/>
    </row>
    <row r="108" spans="1:17" s="435" customFormat="1" x14ac:dyDescent="0.35">
      <c r="A108" s="595"/>
      <c r="B108" s="596" t="s">
        <v>1154</v>
      </c>
      <c r="C108" s="580">
        <v>635</v>
      </c>
      <c r="D108" s="580"/>
      <c r="E108" s="580"/>
      <c r="F108" s="580"/>
      <c r="G108" s="580">
        <f>+'5. melléklet'!E46+'5. melléklet'!E51</f>
        <v>571500</v>
      </c>
      <c r="H108" s="580">
        <f t="shared" si="10"/>
        <v>571500</v>
      </c>
      <c r="I108" s="580">
        <f t="shared" si="10"/>
        <v>571500</v>
      </c>
      <c r="J108" s="580">
        <f>+I108</f>
        <v>571500</v>
      </c>
      <c r="K108" s="580">
        <f>+J108</f>
        <v>571500</v>
      </c>
      <c r="L108" s="580"/>
      <c r="M108" s="365"/>
      <c r="N108" s="629"/>
      <c r="O108" s="639"/>
    </row>
    <row r="109" spans="1:17" s="445" customFormat="1" x14ac:dyDescent="0.35">
      <c r="A109" s="597" t="s">
        <v>556</v>
      </c>
      <c r="B109" s="594" t="s">
        <v>356</v>
      </c>
      <c r="C109" s="586">
        <f>SUM(C110)</f>
        <v>2464</v>
      </c>
      <c r="D109" s="586">
        <f>SUM(D110)</f>
        <v>5216</v>
      </c>
      <c r="E109" s="586">
        <f>SUM(E110)</f>
        <v>5216</v>
      </c>
      <c r="F109" s="586">
        <f>SUM(F110)</f>
        <v>0</v>
      </c>
      <c r="G109" s="586">
        <f>SUM(G110)</f>
        <v>1498600</v>
      </c>
      <c r="H109" s="577">
        <f t="shared" si="10"/>
        <v>1498600</v>
      </c>
      <c r="I109" s="577">
        <f t="shared" si="10"/>
        <v>1498600</v>
      </c>
      <c r="J109" s="577">
        <f>J110</f>
        <v>0</v>
      </c>
      <c r="K109" s="577">
        <f>K110</f>
        <v>0</v>
      </c>
      <c r="L109" s="577">
        <f>+L110</f>
        <v>0</v>
      </c>
      <c r="M109" s="364"/>
      <c r="N109" s="628"/>
      <c r="O109" s="640"/>
    </row>
    <row r="110" spans="1:17" s="435" customFormat="1" x14ac:dyDescent="0.35">
      <c r="A110" s="595"/>
      <c r="B110" s="596" t="s">
        <v>1154</v>
      </c>
      <c r="C110" s="580">
        <v>2464</v>
      </c>
      <c r="D110" s="580">
        <f>5525-243-66</f>
        <v>5216</v>
      </c>
      <c r="E110" s="580">
        <f>5525-243-66</f>
        <v>5216</v>
      </c>
      <c r="F110" s="580"/>
      <c r="G110" s="580">
        <f>+'5. melléklet'!E63+'5. melléklet'!E70+'5. melléklet'!E76</f>
        <v>1498600</v>
      </c>
      <c r="H110" s="580">
        <f t="shared" si="10"/>
        <v>1498600</v>
      </c>
      <c r="I110" s="580">
        <f t="shared" si="10"/>
        <v>1498600</v>
      </c>
      <c r="J110" s="580"/>
      <c r="K110" s="580"/>
      <c r="L110" s="580"/>
      <c r="M110" s="365"/>
      <c r="N110" s="629"/>
      <c r="O110" s="639"/>
    </row>
    <row r="111" spans="1:17" s="445" customFormat="1" x14ac:dyDescent="0.35">
      <c r="A111" s="597" t="s">
        <v>558</v>
      </c>
      <c r="B111" s="594" t="s">
        <v>359</v>
      </c>
      <c r="C111" s="586">
        <f>SUM(C112:C113)</f>
        <v>2711</v>
      </c>
      <c r="D111" s="586">
        <f>SUM(D112:D113)</f>
        <v>3760</v>
      </c>
      <c r="E111" s="586">
        <f>SUM(E112:E113)</f>
        <v>3760</v>
      </c>
      <c r="F111" s="586">
        <f>SUM(F112:F113)</f>
        <v>0</v>
      </c>
      <c r="G111" s="586">
        <f>SUM(G112:G113)</f>
        <v>6235700</v>
      </c>
      <c r="H111" s="577">
        <f t="shared" si="10"/>
        <v>6235700</v>
      </c>
      <c r="I111" s="577">
        <f>I112+I113</f>
        <v>0</v>
      </c>
      <c r="J111" s="577">
        <f>J112+J113</f>
        <v>0</v>
      </c>
      <c r="K111" s="577">
        <f>K112+K113</f>
        <v>0</v>
      </c>
      <c r="L111" s="577">
        <f>L112+L113</f>
        <v>0</v>
      </c>
      <c r="M111" s="364"/>
      <c r="N111" s="628"/>
      <c r="O111" s="640"/>
    </row>
    <row r="112" spans="1:17" s="435" customFormat="1" x14ac:dyDescent="0.35">
      <c r="A112" s="595"/>
      <c r="B112" s="596" t="s">
        <v>1057</v>
      </c>
      <c r="C112" s="580">
        <v>2000</v>
      </c>
      <c r="D112" s="580">
        <f>2000+100</f>
        <v>2100</v>
      </c>
      <c r="E112" s="580">
        <f>2000+100</f>
        <v>2100</v>
      </c>
      <c r="F112" s="580"/>
      <c r="G112" s="580">
        <f>+'5. melléklet'!E99</f>
        <v>2667000</v>
      </c>
      <c r="H112" s="580">
        <f t="shared" si="10"/>
        <v>2667000</v>
      </c>
      <c r="I112" s="580"/>
      <c r="J112" s="580"/>
      <c r="K112" s="580"/>
      <c r="L112" s="580"/>
      <c r="M112" s="365"/>
      <c r="N112" s="629"/>
      <c r="O112" s="639"/>
    </row>
    <row r="113" spans="1:17" s="445" customFormat="1" x14ac:dyDescent="0.35">
      <c r="A113" s="595"/>
      <c r="B113" s="596" t="s">
        <v>1154</v>
      </c>
      <c r="C113" s="580">
        <v>711</v>
      </c>
      <c r="D113" s="580">
        <f>1661-1</f>
        <v>1660</v>
      </c>
      <c r="E113" s="580">
        <f>1661-1</f>
        <v>1660</v>
      </c>
      <c r="F113" s="580"/>
      <c r="G113" s="580">
        <f>+'5. melléklet'!E93+'5. melléklet'!E99+'5. melléklet'!E107</f>
        <v>3568700</v>
      </c>
      <c r="H113" s="580">
        <f t="shared" si="10"/>
        <v>3568700</v>
      </c>
      <c r="I113" s="580"/>
      <c r="J113" s="580"/>
      <c r="K113" s="580"/>
      <c r="L113" s="580"/>
      <c r="M113" s="365"/>
      <c r="N113" s="629"/>
      <c r="O113" s="639"/>
      <c r="P113" s="435"/>
      <c r="Q113" s="435"/>
    </row>
    <row r="114" spans="1:17" s="435" customFormat="1" x14ac:dyDescent="0.35">
      <c r="A114" s="569" t="s">
        <v>560</v>
      </c>
      <c r="B114" s="594" t="s">
        <v>362</v>
      </c>
      <c r="C114" s="586">
        <f>SUM(C115)</f>
        <v>1385</v>
      </c>
      <c r="D114" s="586">
        <f>SUM(D115)</f>
        <v>1095</v>
      </c>
      <c r="E114" s="586">
        <f>SUM(E115)</f>
        <v>1095</v>
      </c>
      <c r="F114" s="586">
        <f>SUM(F115)</f>
        <v>0</v>
      </c>
      <c r="G114" s="586">
        <f>SUM(G115)</f>
        <v>673100</v>
      </c>
      <c r="H114" s="577">
        <f t="shared" si="10"/>
        <v>673100</v>
      </c>
      <c r="I114" s="577">
        <f>I115</f>
        <v>0</v>
      </c>
      <c r="J114" s="577">
        <f>J115</f>
        <v>0</v>
      </c>
      <c r="K114" s="577">
        <f>K115</f>
        <v>0</v>
      </c>
      <c r="L114" s="577">
        <f>L115</f>
        <v>0</v>
      </c>
      <c r="M114" s="366"/>
      <c r="N114" s="632"/>
      <c r="O114" s="444"/>
    </row>
    <row r="115" spans="1:17" s="435" customFormat="1" x14ac:dyDescent="0.35">
      <c r="A115" s="595"/>
      <c r="B115" s="596" t="s">
        <v>1154</v>
      </c>
      <c r="C115" s="580">
        <v>1385</v>
      </c>
      <c r="D115" s="580">
        <f>1345+250-200-300</f>
        <v>1095</v>
      </c>
      <c r="E115" s="580">
        <f>1345+250-200-300</f>
        <v>1095</v>
      </c>
      <c r="F115" s="580"/>
      <c r="G115" s="580">
        <f>+'5. melléklet'!E115+'5. melléklet'!E120+'5. melléklet'!E125</f>
        <v>673100</v>
      </c>
      <c r="H115" s="580">
        <f t="shared" si="10"/>
        <v>673100</v>
      </c>
      <c r="I115" s="580"/>
      <c r="J115" s="580"/>
      <c r="K115" s="580"/>
      <c r="L115" s="580"/>
      <c r="M115" s="365"/>
      <c r="N115" s="629"/>
      <c r="O115" s="444"/>
    </row>
    <row r="116" spans="1:17" s="435" customFormat="1" hidden="1" x14ac:dyDescent="0.35">
      <c r="A116" s="595"/>
      <c r="B116" s="596"/>
      <c r="C116" s="580"/>
      <c r="D116" s="580"/>
      <c r="E116" s="580"/>
      <c r="F116" s="580"/>
      <c r="G116" s="580"/>
      <c r="H116" s="580"/>
      <c r="I116" s="580"/>
      <c r="J116" s="580"/>
      <c r="K116" s="580"/>
      <c r="L116" s="580"/>
      <c r="M116" s="365"/>
      <c r="N116" s="629"/>
      <c r="O116" s="444"/>
    </row>
    <row r="117" spans="1:17" s="435" customFormat="1" x14ac:dyDescent="0.35">
      <c r="A117" s="595" t="s">
        <v>1297</v>
      </c>
      <c r="B117" s="594" t="s">
        <v>1281</v>
      </c>
      <c r="C117" s="586">
        <f>SUM(C118)</f>
        <v>457</v>
      </c>
      <c r="D117" s="586">
        <f>SUM(D118)</f>
        <v>1780</v>
      </c>
      <c r="E117" s="586">
        <f>SUM(E118)</f>
        <v>1780</v>
      </c>
      <c r="F117" s="586">
        <f>SUM(F118)</f>
        <v>0</v>
      </c>
      <c r="G117" s="586">
        <f>SUM(G118)</f>
        <v>3302000</v>
      </c>
      <c r="H117" s="577">
        <f t="shared" ref="H117:J118" si="11">+G117</f>
        <v>3302000</v>
      </c>
      <c r="I117" s="577">
        <f t="shared" si="11"/>
        <v>3302000</v>
      </c>
      <c r="J117" s="577">
        <f t="shared" si="11"/>
        <v>3302000</v>
      </c>
      <c r="K117" s="577">
        <f>K118</f>
        <v>0</v>
      </c>
      <c r="L117" s="577">
        <f>+L118</f>
        <v>0</v>
      </c>
      <c r="M117" s="365"/>
      <c r="N117" s="629"/>
      <c r="O117" s="444"/>
    </row>
    <row r="118" spans="1:17" s="435" customFormat="1" x14ac:dyDescent="0.35">
      <c r="A118" s="595"/>
      <c r="B118" s="596" t="s">
        <v>1154</v>
      </c>
      <c r="C118" s="580">
        <v>457</v>
      </c>
      <c r="D118" s="580">
        <f>1612+79+39+50</f>
        <v>1780</v>
      </c>
      <c r="E118" s="580">
        <f>1612+79+39+50</f>
        <v>1780</v>
      </c>
      <c r="F118" s="580"/>
      <c r="G118" s="580">
        <f>+'5. melléklet'!E141+'5. melléklet'!E146</f>
        <v>3302000</v>
      </c>
      <c r="H118" s="580">
        <f t="shared" si="11"/>
        <v>3302000</v>
      </c>
      <c r="I118" s="580">
        <f t="shared" si="11"/>
        <v>3302000</v>
      </c>
      <c r="J118" s="580">
        <f t="shared" si="11"/>
        <v>3302000</v>
      </c>
      <c r="K118" s="580"/>
      <c r="L118" s="580"/>
      <c r="M118" s="365"/>
      <c r="N118" s="629"/>
      <c r="O118" s="444"/>
    </row>
    <row r="119" spans="1:17" s="448" customFormat="1" x14ac:dyDescent="0.35">
      <c r="A119" s="598"/>
      <c r="B119" s="599" t="s">
        <v>549</v>
      </c>
      <c r="C119" s="600" t="e">
        <f t="shared" ref="C119:L119" si="12">C5+C93</f>
        <v>#REF!</v>
      </c>
      <c r="D119" s="600">
        <f t="shared" si="12"/>
        <v>1762689.5</v>
      </c>
      <c r="E119" s="600">
        <f t="shared" si="12"/>
        <v>1762689.5</v>
      </c>
      <c r="F119" s="600">
        <f t="shared" si="12"/>
        <v>0</v>
      </c>
      <c r="G119" s="600" t="e">
        <f t="shared" si="12"/>
        <v>#REF!</v>
      </c>
      <c r="H119" s="600" t="e">
        <f t="shared" si="12"/>
        <v>#REF!</v>
      </c>
      <c r="I119" s="600">
        <f t="shared" si="12"/>
        <v>10929620</v>
      </c>
      <c r="J119" s="600">
        <f t="shared" si="12"/>
        <v>5303520</v>
      </c>
      <c r="K119" s="600">
        <f>K5+K93</f>
        <v>2001520</v>
      </c>
      <c r="L119" s="600">
        <f t="shared" si="12"/>
        <v>0</v>
      </c>
      <c r="M119" s="446"/>
      <c r="N119" s="634"/>
      <c r="O119" s="447"/>
    </row>
    <row r="120" spans="1:17" x14ac:dyDescent="0.35">
      <c r="D120" s="458"/>
      <c r="E120" s="458"/>
      <c r="F120" s="458"/>
      <c r="G120" s="458"/>
      <c r="H120" s="458"/>
      <c r="I120" s="458"/>
      <c r="J120" s="458"/>
      <c r="K120" s="458"/>
      <c r="L120" s="458"/>
    </row>
  </sheetData>
  <mergeCells count="1">
    <mergeCell ref="A1:C1"/>
  </mergeCells>
  <printOptions horizontalCentered="1"/>
  <pageMargins left="0.23622047244094491" right="0.15748031496062992" top="0.39370078740157483" bottom="0.35433070866141736" header="0.15748031496062992" footer="0.23622047244094491"/>
  <pageSetup paperSize="8" scale="80" fitToHeight="2" orientation="portrait" r:id="rId1"/>
  <headerFooter>
    <oddHeader>&amp;L 7.  melléklet a ...../2019. (.......) önkormányzati rendelethez</oddHeader>
    <oddFooter>&amp;C&amp;10&amp;P&amp;R&amp;10&amp;D  &amp;T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O56"/>
  <sheetViews>
    <sheetView showZeros="0" view="pageBreakPreview" zoomScale="75" zoomScaleNormal="100" zoomScaleSheetLayoutView="75" workbookViewId="0">
      <selection activeCell="A29" sqref="A29"/>
    </sheetView>
  </sheetViews>
  <sheetFormatPr defaultColWidth="9.1796875" defaultRowHeight="15.5" x14ac:dyDescent="0.35"/>
  <cols>
    <col min="1" max="1" width="5.7265625" style="187" bestFit="1" customWidth="1"/>
    <col min="2" max="2" width="91.7265625" style="187" customWidth="1"/>
    <col min="3" max="3" width="14" style="387" customWidth="1"/>
    <col min="4" max="4" width="14.7265625" style="387" customWidth="1"/>
    <col min="5" max="5" width="14.1796875" style="187" customWidth="1"/>
    <col min="6" max="6" width="14.1796875" style="435" customWidth="1"/>
    <col min="7" max="7" width="14.1796875" style="187" customWidth="1"/>
    <col min="8" max="11" width="14.1796875" style="187" hidden="1" customWidth="1"/>
    <col min="12" max="12" width="9.7265625" style="187" hidden="1" customWidth="1"/>
    <col min="13" max="13" width="12.81640625" style="187" customWidth="1"/>
    <col min="14" max="17" width="9.1796875" style="187" customWidth="1"/>
    <col min="18" max="16384" width="9.1796875" style="187"/>
  </cols>
  <sheetData>
    <row r="2" spans="1:15" s="192" customFormat="1" ht="21" x14ac:dyDescent="0.35">
      <c r="A2" s="1124" t="s">
        <v>984</v>
      </c>
      <c r="B2" s="1124"/>
      <c r="C2" s="1124"/>
      <c r="D2" s="367"/>
      <c r="F2" s="445"/>
    </row>
    <row r="3" spans="1:15" x14ac:dyDescent="0.25">
      <c r="D3" s="384"/>
      <c r="E3" s="384"/>
      <c r="F3" s="384"/>
      <c r="G3" s="384" t="s">
        <v>302</v>
      </c>
      <c r="I3" s="437"/>
      <c r="J3" s="437"/>
      <c r="K3" s="437" t="s">
        <v>302</v>
      </c>
      <c r="L3" s="437" t="s">
        <v>302</v>
      </c>
    </row>
    <row r="4" spans="1:15" s="188" customFormat="1" ht="56.25" customHeight="1" x14ac:dyDescent="0.35">
      <c r="A4" s="612" t="s">
        <v>971</v>
      </c>
      <c r="B4" s="612" t="s">
        <v>306</v>
      </c>
      <c r="C4" s="571" t="s">
        <v>1422</v>
      </c>
      <c r="D4" s="571" t="s">
        <v>1446</v>
      </c>
      <c r="E4" s="571" t="s">
        <v>1467</v>
      </c>
      <c r="F4" s="571" t="s">
        <v>1452</v>
      </c>
      <c r="G4" s="571" t="s">
        <v>1453</v>
      </c>
      <c r="H4" s="571" t="s">
        <v>1454</v>
      </c>
      <c r="I4" s="571" t="s">
        <v>1457</v>
      </c>
      <c r="J4" s="571" t="s">
        <v>1458</v>
      </c>
      <c r="K4" s="571" t="s">
        <v>1459</v>
      </c>
      <c r="L4" s="571" t="s">
        <v>1431</v>
      </c>
      <c r="N4" s="189"/>
    </row>
    <row r="5" spans="1:15" s="188" customFormat="1" ht="49.9" customHeight="1" x14ac:dyDescent="0.35">
      <c r="A5" s="572" t="s">
        <v>309</v>
      </c>
      <c r="B5" s="573" t="s">
        <v>985</v>
      </c>
      <c r="C5" s="613">
        <f t="shared" ref="C5:J5" si="0">SUM(C6,C7,C8,C21,C39,C43,C44)</f>
        <v>294748</v>
      </c>
      <c r="D5" s="613">
        <f t="shared" si="0"/>
        <v>247922</v>
      </c>
      <c r="E5" s="613">
        <f t="shared" si="0"/>
        <v>247922</v>
      </c>
      <c r="F5" s="613">
        <f t="shared" si="0"/>
        <v>0</v>
      </c>
      <c r="G5" s="613">
        <f t="shared" si="0"/>
        <v>0</v>
      </c>
      <c r="H5" s="613">
        <f t="shared" si="0"/>
        <v>0</v>
      </c>
      <c r="I5" s="613">
        <f t="shared" si="0"/>
        <v>0</v>
      </c>
      <c r="J5" s="613">
        <f t="shared" si="0"/>
        <v>0</v>
      </c>
      <c r="K5" s="613">
        <f>SUM(K6,K7,K8,K21,K39,K43,K44)</f>
        <v>0</v>
      </c>
      <c r="L5" s="613">
        <f>+L6+L7+L8+L21+L39</f>
        <v>0</v>
      </c>
      <c r="M5" s="611"/>
      <c r="N5" s="189"/>
      <c r="O5" s="641" t="s">
        <v>1433</v>
      </c>
    </row>
    <row r="6" spans="1:15" x14ac:dyDescent="0.35">
      <c r="A6" s="597" t="s">
        <v>311</v>
      </c>
      <c r="B6" s="594" t="s">
        <v>986</v>
      </c>
      <c r="C6" s="614">
        <v>48890</v>
      </c>
      <c r="D6" s="614">
        <f>+C6</f>
        <v>48890</v>
      </c>
      <c r="E6" s="614">
        <f>+D6</f>
        <v>48890</v>
      </c>
      <c r="F6" s="614"/>
      <c r="G6" s="614"/>
      <c r="H6" s="614"/>
      <c r="I6" s="614"/>
      <c r="J6" s="614"/>
      <c r="K6" s="614"/>
      <c r="L6" s="614"/>
      <c r="M6" s="187">
        <v>121011701</v>
      </c>
      <c r="N6" s="191"/>
      <c r="O6" s="642"/>
    </row>
    <row r="7" spans="1:15" x14ac:dyDescent="0.35">
      <c r="A7" s="597" t="s">
        <v>322</v>
      </c>
      <c r="B7" s="594" t="s">
        <v>1155</v>
      </c>
      <c r="C7" s="614">
        <v>25033</v>
      </c>
      <c r="D7" s="614">
        <f>+C7</f>
        <v>25033</v>
      </c>
      <c r="E7" s="614">
        <f>+D7</f>
        <v>25033</v>
      </c>
      <c r="F7" s="614"/>
      <c r="G7" s="614"/>
      <c r="H7" s="614"/>
      <c r="I7" s="614"/>
      <c r="J7" s="614"/>
      <c r="K7" s="614"/>
      <c r="L7" s="614"/>
      <c r="N7" s="191"/>
      <c r="O7" s="642"/>
    </row>
    <row r="8" spans="1:15" x14ac:dyDescent="0.35">
      <c r="A8" s="597" t="s">
        <v>315</v>
      </c>
      <c r="B8" s="594" t="s">
        <v>1143</v>
      </c>
      <c r="C8" s="614">
        <f>SUM(C9:C19)</f>
        <v>14000</v>
      </c>
      <c r="D8" s="614">
        <f>SUM(D18:D20)</f>
        <v>27087</v>
      </c>
      <c r="E8" s="614">
        <f>SUM(E18:E20)</f>
        <v>27087</v>
      </c>
      <c r="F8" s="614">
        <f>SUM(F9:F17)</f>
        <v>0</v>
      </c>
      <c r="G8" s="614">
        <f>SUM(G9:G19)</f>
        <v>0</v>
      </c>
      <c r="H8" s="614">
        <f>+G8</f>
        <v>0</v>
      </c>
      <c r="I8" s="614">
        <f>+H8</f>
        <v>0</v>
      </c>
      <c r="J8" s="614">
        <f>SUM(J18:J20)</f>
        <v>0</v>
      </c>
      <c r="K8" s="614">
        <f>SUM(K18:K20)</f>
        <v>0</v>
      </c>
      <c r="L8" s="614">
        <f>+L18+L19</f>
        <v>0</v>
      </c>
      <c r="N8" s="191"/>
      <c r="O8" s="642"/>
    </row>
    <row r="9" spans="1:15" x14ac:dyDescent="0.35">
      <c r="A9" s="615"/>
      <c r="B9" s="596" t="s">
        <v>1342</v>
      </c>
      <c r="C9" s="616"/>
      <c r="D9" s="616"/>
      <c r="E9" s="616"/>
      <c r="F9" s="616"/>
      <c r="G9" s="616"/>
      <c r="H9" s="616"/>
      <c r="I9" s="616"/>
      <c r="J9" s="616"/>
      <c r="K9" s="616"/>
      <c r="L9" s="616"/>
      <c r="M9" s="187">
        <v>1227151</v>
      </c>
      <c r="N9" s="191"/>
      <c r="O9" s="642"/>
    </row>
    <row r="10" spans="1:15" x14ac:dyDescent="0.3">
      <c r="A10" s="615"/>
      <c r="B10" s="617" t="s">
        <v>1343</v>
      </c>
      <c r="C10" s="616"/>
      <c r="D10" s="616"/>
      <c r="E10" s="616"/>
      <c r="F10" s="616"/>
      <c r="G10" s="616"/>
      <c r="H10" s="616"/>
      <c r="I10" s="616"/>
      <c r="J10" s="616"/>
      <c r="K10" s="616"/>
      <c r="L10" s="616"/>
      <c r="M10" s="187">
        <v>1227152</v>
      </c>
      <c r="N10" s="191"/>
      <c r="O10" s="642"/>
    </row>
    <row r="11" spans="1:15" x14ac:dyDescent="0.3">
      <c r="A11" s="615"/>
      <c r="B11" s="617" t="s">
        <v>1316</v>
      </c>
      <c r="C11" s="616"/>
      <c r="D11" s="616"/>
      <c r="E11" s="616"/>
      <c r="F11" s="616"/>
      <c r="G11" s="616"/>
      <c r="H11" s="616"/>
      <c r="I11" s="616"/>
      <c r="J11" s="616"/>
      <c r="K11" s="616"/>
      <c r="L11" s="616"/>
      <c r="M11" s="187">
        <v>1227153</v>
      </c>
      <c r="N11" s="191"/>
      <c r="O11" s="642"/>
    </row>
    <row r="12" spans="1:15" ht="28" x14ac:dyDescent="0.3">
      <c r="A12" s="615"/>
      <c r="B12" s="617" t="s">
        <v>1317</v>
      </c>
      <c r="C12" s="616"/>
      <c r="D12" s="616"/>
      <c r="E12" s="616"/>
      <c r="F12" s="616"/>
      <c r="G12" s="616"/>
      <c r="H12" s="616"/>
      <c r="I12" s="616"/>
      <c r="J12" s="616"/>
      <c r="K12" s="616"/>
      <c r="L12" s="616"/>
      <c r="M12" s="187">
        <v>1227154</v>
      </c>
      <c r="N12" s="191"/>
      <c r="O12" s="642"/>
    </row>
    <row r="13" spans="1:15" x14ac:dyDescent="0.3">
      <c r="A13" s="615"/>
      <c r="B13" s="617" t="s">
        <v>1391</v>
      </c>
      <c r="C13" s="616"/>
      <c r="D13" s="616"/>
      <c r="E13" s="616"/>
      <c r="F13" s="616"/>
      <c r="G13" s="616"/>
      <c r="H13" s="616"/>
      <c r="I13" s="616"/>
      <c r="J13" s="616"/>
      <c r="K13" s="616"/>
      <c r="L13" s="616"/>
      <c r="N13" s="191"/>
      <c r="O13" s="642"/>
    </row>
    <row r="14" spans="1:15" x14ac:dyDescent="0.3">
      <c r="A14" s="615"/>
      <c r="B14" s="617" t="s">
        <v>1355</v>
      </c>
      <c r="C14" s="616"/>
      <c r="D14" s="616"/>
      <c r="E14" s="616"/>
      <c r="F14" s="616"/>
      <c r="G14" s="616"/>
      <c r="H14" s="616"/>
      <c r="I14" s="616"/>
      <c r="J14" s="616"/>
      <c r="K14" s="616"/>
      <c r="L14" s="616"/>
      <c r="M14" s="187">
        <v>1227156</v>
      </c>
      <c r="N14" s="191"/>
      <c r="O14" s="642"/>
    </row>
    <row r="15" spans="1:15" x14ac:dyDescent="0.3">
      <c r="A15" s="615"/>
      <c r="B15" s="617" t="s">
        <v>1390</v>
      </c>
      <c r="C15" s="616"/>
      <c r="D15" s="616"/>
      <c r="E15" s="616"/>
      <c r="F15" s="616"/>
      <c r="G15" s="616"/>
      <c r="H15" s="616"/>
      <c r="I15" s="616"/>
      <c r="J15" s="616"/>
      <c r="K15" s="616"/>
      <c r="L15" s="616"/>
      <c r="M15" s="187">
        <v>1227155</v>
      </c>
      <c r="N15" s="191"/>
      <c r="O15" s="642"/>
    </row>
    <row r="16" spans="1:15" x14ac:dyDescent="0.3">
      <c r="A16" s="615"/>
      <c r="B16" s="617" t="s">
        <v>1392</v>
      </c>
      <c r="C16" s="616"/>
      <c r="D16" s="616"/>
      <c r="E16" s="616"/>
      <c r="F16" s="616"/>
      <c r="G16" s="616"/>
      <c r="H16" s="616"/>
      <c r="I16" s="616"/>
      <c r="J16" s="616"/>
      <c r="K16" s="616"/>
      <c r="L16" s="616"/>
      <c r="M16" s="187">
        <v>121011715</v>
      </c>
      <c r="N16" s="191"/>
      <c r="O16" s="642"/>
    </row>
    <row r="17" spans="1:15" x14ac:dyDescent="0.3">
      <c r="A17" s="615"/>
      <c r="B17" s="617" t="s">
        <v>1393</v>
      </c>
      <c r="C17" s="616"/>
      <c r="D17" s="616"/>
      <c r="E17" s="616"/>
      <c r="F17" s="616"/>
      <c r="G17" s="616"/>
      <c r="H17" s="616"/>
      <c r="I17" s="616"/>
      <c r="J17" s="616"/>
      <c r="K17" s="616"/>
      <c r="L17" s="616"/>
      <c r="M17" s="187">
        <v>121011715</v>
      </c>
      <c r="N17" s="191"/>
      <c r="O17" s="642"/>
    </row>
    <row r="18" spans="1:15" x14ac:dyDescent="0.3">
      <c r="A18" s="615"/>
      <c r="B18" s="617" t="s">
        <v>1399</v>
      </c>
      <c r="C18" s="616">
        <v>5000</v>
      </c>
      <c r="D18" s="616">
        <f>5000+350</f>
        <v>5350</v>
      </c>
      <c r="E18" s="616">
        <f>5000+350</f>
        <v>5350</v>
      </c>
      <c r="F18" s="616"/>
      <c r="G18" s="616"/>
      <c r="H18" s="616"/>
      <c r="I18" s="616"/>
      <c r="J18" s="616"/>
      <c r="K18" s="616"/>
      <c r="L18" s="616"/>
      <c r="M18" s="187" t="s">
        <v>1388</v>
      </c>
      <c r="N18" s="191"/>
      <c r="O18" s="642"/>
    </row>
    <row r="19" spans="1:15" x14ac:dyDescent="0.3">
      <c r="A19" s="615"/>
      <c r="B19" s="617" t="s">
        <v>1400</v>
      </c>
      <c r="C19" s="616">
        <v>9000</v>
      </c>
      <c r="D19" s="616">
        <f>9000-906-350</f>
        <v>7744</v>
      </c>
      <c r="E19" s="616">
        <f>9000-906-350</f>
        <v>7744</v>
      </c>
      <c r="F19" s="616"/>
      <c r="G19" s="616"/>
      <c r="H19" s="616"/>
      <c r="I19" s="616"/>
      <c r="J19" s="616"/>
      <c r="K19" s="616"/>
      <c r="L19" s="616"/>
      <c r="M19" s="187" t="s">
        <v>1388</v>
      </c>
      <c r="N19" s="191"/>
      <c r="O19" s="642"/>
    </row>
    <row r="20" spans="1:15" x14ac:dyDescent="0.3">
      <c r="A20" s="615"/>
      <c r="B20" s="617" t="s">
        <v>1442</v>
      </c>
      <c r="C20" s="616"/>
      <c r="D20" s="616">
        <v>13993</v>
      </c>
      <c r="E20" s="616">
        <v>13993</v>
      </c>
      <c r="F20" s="616"/>
      <c r="G20" s="616"/>
      <c r="H20" s="616"/>
      <c r="I20" s="616"/>
      <c r="J20" s="616"/>
      <c r="K20" s="616"/>
      <c r="L20" s="616"/>
      <c r="M20" s="187">
        <v>121011710</v>
      </c>
      <c r="N20" s="191"/>
      <c r="O20" s="642"/>
    </row>
    <row r="21" spans="1:15" x14ac:dyDescent="0.35">
      <c r="A21" s="597" t="s">
        <v>336</v>
      </c>
      <c r="B21" s="594" t="s">
        <v>995</v>
      </c>
      <c r="C21" s="614">
        <f>SUM(C22:C37)</f>
        <v>113083</v>
      </c>
      <c r="D21" s="614">
        <f>SUM(D22:D38)</f>
        <v>92690</v>
      </c>
      <c r="E21" s="614">
        <f>SUM(E22:E38)</f>
        <v>92690</v>
      </c>
      <c r="F21" s="614">
        <f>SUM(F22:F37)</f>
        <v>0</v>
      </c>
      <c r="G21" s="614">
        <f>SUM(G22:G37)</f>
        <v>0</v>
      </c>
      <c r="H21" s="614">
        <f>+G21</f>
        <v>0</v>
      </c>
      <c r="I21" s="614">
        <f>I22</f>
        <v>0</v>
      </c>
      <c r="J21" s="614">
        <f>SUM(J22:J38)</f>
        <v>0</v>
      </c>
      <c r="K21" s="614">
        <f>SUM(K22:K38)</f>
        <v>0</v>
      </c>
      <c r="L21" s="614">
        <f>+L22</f>
        <v>0</v>
      </c>
      <c r="N21" s="191"/>
      <c r="O21" s="642"/>
    </row>
    <row r="22" spans="1:15" x14ac:dyDescent="0.35">
      <c r="A22" s="597"/>
      <c r="B22" s="596" t="s">
        <v>1306</v>
      </c>
      <c r="C22" s="616">
        <f>90628+22455</f>
        <v>113083</v>
      </c>
      <c r="D22" s="616">
        <f>113083+795-113083+88804</f>
        <v>89599</v>
      </c>
      <c r="E22" s="616">
        <f>113083+795-113083+88804</f>
        <v>89599</v>
      </c>
      <c r="F22" s="616"/>
      <c r="G22" s="616"/>
      <c r="H22" s="616"/>
      <c r="I22" s="616"/>
      <c r="J22" s="616"/>
      <c r="K22" s="616"/>
      <c r="L22" s="616"/>
      <c r="M22" s="187">
        <v>121011714</v>
      </c>
      <c r="N22" s="191"/>
      <c r="O22" s="642">
        <f>2286+798</f>
        <v>3084</v>
      </c>
    </row>
    <row r="23" spans="1:15" x14ac:dyDescent="0.35">
      <c r="A23" s="597"/>
      <c r="B23" s="579"/>
      <c r="C23" s="616"/>
      <c r="D23" s="616"/>
      <c r="E23" s="616"/>
      <c r="F23" s="616"/>
      <c r="G23" s="616"/>
      <c r="H23" s="616"/>
      <c r="I23" s="616"/>
      <c r="J23" s="616"/>
      <c r="K23" s="616"/>
      <c r="L23" s="616"/>
      <c r="N23" s="191"/>
      <c r="O23" s="642"/>
    </row>
    <row r="24" spans="1:15" x14ac:dyDescent="0.35">
      <c r="A24" s="597" t="s">
        <v>315</v>
      </c>
      <c r="B24" s="596" t="s">
        <v>987</v>
      </c>
      <c r="C24" s="616"/>
      <c r="D24" s="616"/>
      <c r="E24" s="616"/>
      <c r="F24" s="616"/>
      <c r="G24" s="616"/>
      <c r="H24" s="616"/>
      <c r="I24" s="616"/>
      <c r="J24" s="616"/>
      <c r="K24" s="616"/>
      <c r="L24" s="616"/>
      <c r="O24" s="642"/>
    </row>
    <row r="25" spans="1:15" x14ac:dyDescent="0.35">
      <c r="A25" s="597" t="s">
        <v>336</v>
      </c>
      <c r="B25" s="618"/>
      <c r="C25" s="616"/>
      <c r="D25" s="616"/>
      <c r="E25" s="616"/>
      <c r="F25" s="616"/>
      <c r="G25" s="616"/>
      <c r="H25" s="616"/>
      <c r="I25" s="616"/>
      <c r="J25" s="616"/>
      <c r="K25" s="616"/>
      <c r="L25" s="616"/>
      <c r="O25" s="642"/>
    </row>
    <row r="26" spans="1:15" x14ac:dyDescent="0.35">
      <c r="A26" s="597" t="s">
        <v>338</v>
      </c>
      <c r="B26" s="618"/>
      <c r="C26" s="616"/>
      <c r="D26" s="616"/>
      <c r="E26" s="616"/>
      <c r="F26" s="616"/>
      <c r="G26" s="616"/>
      <c r="H26" s="616"/>
      <c r="I26" s="616"/>
      <c r="J26" s="616"/>
      <c r="K26" s="616"/>
      <c r="L26" s="616"/>
      <c r="O26" s="642"/>
    </row>
    <row r="27" spans="1:15" x14ac:dyDescent="0.35">
      <c r="A27" s="597" t="s">
        <v>556</v>
      </c>
      <c r="B27" s="618"/>
      <c r="C27" s="616"/>
      <c r="D27" s="616"/>
      <c r="E27" s="616"/>
      <c r="F27" s="616"/>
      <c r="G27" s="616"/>
      <c r="H27" s="616"/>
      <c r="I27" s="616"/>
      <c r="J27" s="616"/>
      <c r="K27" s="616"/>
      <c r="L27" s="616"/>
      <c r="O27" s="642"/>
    </row>
    <row r="28" spans="1:15" x14ac:dyDescent="0.35">
      <c r="A28" s="597" t="s">
        <v>336</v>
      </c>
      <c r="B28" s="618" t="s">
        <v>988</v>
      </c>
      <c r="C28" s="616"/>
      <c r="D28" s="616"/>
      <c r="E28" s="616"/>
      <c r="F28" s="616"/>
      <c r="G28" s="616"/>
      <c r="H28" s="616"/>
      <c r="I28" s="616"/>
      <c r="J28" s="616"/>
      <c r="K28" s="616"/>
      <c r="L28" s="616"/>
      <c r="O28" s="642"/>
    </row>
    <row r="29" spans="1:15" x14ac:dyDescent="0.35">
      <c r="A29" s="597" t="s">
        <v>338</v>
      </c>
      <c r="B29" s="618" t="s">
        <v>989</v>
      </c>
      <c r="C29" s="616"/>
      <c r="D29" s="616"/>
      <c r="E29" s="616"/>
      <c r="F29" s="616"/>
      <c r="G29" s="616"/>
      <c r="H29" s="616"/>
      <c r="I29" s="616"/>
      <c r="J29" s="616"/>
      <c r="K29" s="616"/>
      <c r="L29" s="616"/>
      <c r="O29" s="642"/>
    </row>
    <row r="30" spans="1:15" x14ac:dyDescent="0.35">
      <c r="A30" s="597" t="s">
        <v>556</v>
      </c>
      <c r="B30" s="618" t="s">
        <v>990</v>
      </c>
      <c r="C30" s="616"/>
      <c r="D30" s="616"/>
      <c r="E30" s="616"/>
      <c r="F30" s="616"/>
      <c r="G30" s="616"/>
      <c r="H30" s="616"/>
      <c r="I30" s="616"/>
      <c r="J30" s="616"/>
      <c r="K30" s="616"/>
      <c r="L30" s="616"/>
      <c r="O30" s="642"/>
    </row>
    <row r="31" spans="1:15" x14ac:dyDescent="0.35">
      <c r="A31" s="597" t="s">
        <v>558</v>
      </c>
      <c r="B31" s="618" t="s">
        <v>991</v>
      </c>
      <c r="C31" s="616"/>
      <c r="D31" s="616"/>
      <c r="E31" s="616"/>
      <c r="F31" s="616"/>
      <c r="G31" s="616"/>
      <c r="H31" s="616"/>
      <c r="I31" s="616"/>
      <c r="J31" s="616"/>
      <c r="K31" s="616"/>
      <c r="L31" s="616"/>
      <c r="O31" s="642"/>
    </row>
    <row r="32" spans="1:15" x14ac:dyDescent="0.35">
      <c r="A32" s="597" t="s">
        <v>560</v>
      </c>
      <c r="B32" s="618" t="s">
        <v>992</v>
      </c>
      <c r="C32" s="616"/>
      <c r="D32" s="616"/>
      <c r="E32" s="616"/>
      <c r="F32" s="616"/>
      <c r="G32" s="616"/>
      <c r="H32" s="616"/>
      <c r="I32" s="616"/>
      <c r="J32" s="616"/>
      <c r="K32" s="616"/>
      <c r="L32" s="616"/>
      <c r="O32" s="642"/>
    </row>
    <row r="33" spans="1:15" x14ac:dyDescent="0.35">
      <c r="A33" s="597" t="s">
        <v>561</v>
      </c>
      <c r="B33" s="618" t="s">
        <v>993</v>
      </c>
      <c r="C33" s="616"/>
      <c r="D33" s="616"/>
      <c r="E33" s="616"/>
      <c r="F33" s="616"/>
      <c r="G33" s="616"/>
      <c r="H33" s="616"/>
      <c r="I33" s="616"/>
      <c r="J33" s="616"/>
      <c r="K33" s="616"/>
      <c r="L33" s="616"/>
      <c r="O33" s="642"/>
    </row>
    <row r="34" spans="1:15" x14ac:dyDescent="0.35">
      <c r="A34" s="597">
        <v>10</v>
      </c>
      <c r="B34" s="618" t="s">
        <v>994</v>
      </c>
      <c r="C34" s="616"/>
      <c r="D34" s="616"/>
      <c r="E34" s="616"/>
      <c r="F34" s="616"/>
      <c r="G34" s="616"/>
      <c r="H34" s="616"/>
      <c r="I34" s="616"/>
      <c r="J34" s="616"/>
      <c r="K34" s="616"/>
      <c r="L34" s="616"/>
      <c r="O34" s="642"/>
    </row>
    <row r="35" spans="1:15" x14ac:dyDescent="0.35">
      <c r="A35" s="597"/>
      <c r="B35" s="618" t="s">
        <v>1307</v>
      </c>
      <c r="C35" s="616"/>
      <c r="D35" s="616"/>
      <c r="E35" s="616"/>
      <c r="F35" s="616"/>
      <c r="G35" s="616"/>
      <c r="H35" s="616"/>
      <c r="I35" s="616"/>
      <c r="J35" s="616"/>
      <c r="K35" s="616"/>
      <c r="L35" s="616"/>
      <c r="O35" s="642"/>
    </row>
    <row r="36" spans="1:15" x14ac:dyDescent="0.35">
      <c r="A36" s="597"/>
      <c r="B36" s="579" t="s">
        <v>1346</v>
      </c>
      <c r="C36" s="616"/>
      <c r="D36" s="616"/>
      <c r="E36" s="616"/>
      <c r="F36" s="616"/>
      <c r="G36" s="616"/>
      <c r="H36" s="616"/>
      <c r="I36" s="616"/>
      <c r="J36" s="616"/>
      <c r="K36" s="616"/>
      <c r="L36" s="616"/>
      <c r="O36" s="642"/>
    </row>
    <row r="37" spans="1:15" x14ac:dyDescent="0.35">
      <c r="A37" s="597"/>
      <c r="B37" s="579" t="s">
        <v>1354</v>
      </c>
      <c r="C37" s="616"/>
      <c r="D37" s="616"/>
      <c r="E37" s="616"/>
      <c r="F37" s="616"/>
      <c r="G37" s="616"/>
      <c r="H37" s="616"/>
      <c r="I37" s="616"/>
      <c r="J37" s="616"/>
      <c r="K37" s="616"/>
      <c r="L37" s="616"/>
      <c r="M37" s="187" t="s">
        <v>1376</v>
      </c>
      <c r="O37" s="642"/>
    </row>
    <row r="38" spans="1:15" x14ac:dyDescent="0.35">
      <c r="A38" s="597"/>
      <c r="B38" s="596" t="s">
        <v>1438</v>
      </c>
      <c r="C38" s="616">
        <v>0</v>
      </c>
      <c r="D38" s="616">
        <v>3091</v>
      </c>
      <c r="E38" s="616">
        <v>3091</v>
      </c>
      <c r="F38" s="616"/>
      <c r="G38" s="616">
        <v>0</v>
      </c>
      <c r="H38" s="616">
        <v>0</v>
      </c>
      <c r="I38" s="616">
        <v>0</v>
      </c>
      <c r="J38" s="616"/>
      <c r="K38" s="616"/>
      <c r="L38" s="616"/>
      <c r="O38" s="642"/>
    </row>
    <row r="39" spans="1:15" x14ac:dyDescent="0.35">
      <c r="A39" s="597" t="s">
        <v>338</v>
      </c>
      <c r="B39" s="594" t="s">
        <v>1314</v>
      </c>
      <c r="C39" s="614">
        <f>SUM(C40:C42)</f>
        <v>93742</v>
      </c>
      <c r="D39" s="614">
        <f>SUM(D40:D42)</f>
        <v>54222</v>
      </c>
      <c r="E39" s="614">
        <f>SUM(E40:E42)</f>
        <v>54222</v>
      </c>
      <c r="F39" s="614">
        <f>SUM(F40:F41)</f>
        <v>0</v>
      </c>
      <c r="G39" s="614">
        <f>SUM(G40:G42)</f>
        <v>0</v>
      </c>
      <c r="H39" s="614">
        <f>SUM(H40:H42)</f>
        <v>0</v>
      </c>
      <c r="I39" s="614">
        <f>SUM(I40:I42)</f>
        <v>0</v>
      </c>
      <c r="J39" s="614">
        <f>SUM(J40:J42)</f>
        <v>0</v>
      </c>
      <c r="K39" s="614">
        <f>SUM(K40:K42)</f>
        <v>0</v>
      </c>
      <c r="L39" s="614">
        <f>+L40+L41+L42</f>
        <v>0</v>
      </c>
      <c r="O39" s="642"/>
    </row>
    <row r="40" spans="1:15" x14ac:dyDescent="0.35">
      <c r="A40" s="615"/>
      <c r="B40" s="596" t="s">
        <v>1401</v>
      </c>
      <c r="C40" s="616">
        <f>15854</f>
        <v>15854</v>
      </c>
      <c r="D40" s="616">
        <f>15854-7920</f>
        <v>7934</v>
      </c>
      <c r="E40" s="616">
        <f>15854-7920</f>
        <v>7934</v>
      </c>
      <c r="F40" s="616"/>
      <c r="G40" s="616"/>
      <c r="H40" s="616"/>
      <c r="I40" s="616"/>
      <c r="J40" s="616"/>
      <c r="K40" s="616"/>
      <c r="L40" s="616"/>
      <c r="M40" s="187">
        <v>121011712</v>
      </c>
      <c r="O40" s="642"/>
    </row>
    <row r="41" spans="1:15" x14ac:dyDescent="0.35">
      <c r="A41" s="699">
        <v>1902</v>
      </c>
      <c r="B41" s="596" t="s">
        <v>1402</v>
      </c>
      <c r="C41" s="616">
        <f>22888+35000</f>
        <v>57888</v>
      </c>
      <c r="D41" s="616">
        <f>52888-25000-3248</f>
        <v>24640</v>
      </c>
      <c r="E41" s="616">
        <f>52888-25000-3248</f>
        <v>24640</v>
      </c>
      <c r="F41" s="616"/>
      <c r="G41" s="616"/>
      <c r="H41" s="616"/>
      <c r="I41" s="616"/>
      <c r="J41" s="616"/>
      <c r="K41" s="616"/>
      <c r="L41" s="616"/>
      <c r="M41" s="187">
        <v>121011713</v>
      </c>
      <c r="O41" s="642"/>
    </row>
    <row r="42" spans="1:15" x14ac:dyDescent="0.35">
      <c r="A42" s="615"/>
      <c r="B42" s="596" t="s">
        <v>1403</v>
      </c>
      <c r="C42" s="616">
        <v>20000</v>
      </c>
      <c r="D42" s="616">
        <f>20000+1648</f>
        <v>21648</v>
      </c>
      <c r="E42" s="616">
        <f>20000+1648</f>
        <v>21648</v>
      </c>
      <c r="F42" s="616"/>
      <c r="G42" s="616"/>
      <c r="H42" s="616"/>
      <c r="I42" s="616"/>
      <c r="J42" s="616"/>
      <c r="K42" s="616"/>
      <c r="L42" s="616"/>
      <c r="O42" s="642"/>
    </row>
    <row r="43" spans="1:15" x14ac:dyDescent="0.35">
      <c r="A43" s="597" t="s">
        <v>558</v>
      </c>
      <c r="B43" s="594" t="s">
        <v>1312</v>
      </c>
      <c r="C43" s="614"/>
      <c r="D43" s="614"/>
      <c r="E43" s="614"/>
      <c r="F43" s="614"/>
      <c r="G43" s="614"/>
      <c r="H43" s="614"/>
      <c r="I43" s="614"/>
      <c r="J43" s="614"/>
      <c r="K43" s="614"/>
      <c r="L43" s="614"/>
      <c r="M43" s="187">
        <v>122717</v>
      </c>
      <c r="O43" s="642"/>
    </row>
    <row r="44" spans="1:15" x14ac:dyDescent="0.35">
      <c r="A44" s="597" t="s">
        <v>560</v>
      </c>
      <c r="B44" s="594" t="s">
        <v>1345</v>
      </c>
      <c r="C44" s="614"/>
      <c r="D44" s="614"/>
      <c r="E44" s="614"/>
      <c r="F44" s="614"/>
      <c r="G44" s="614"/>
      <c r="H44" s="614"/>
      <c r="I44" s="614"/>
      <c r="J44" s="614"/>
      <c r="K44" s="614"/>
      <c r="L44" s="614"/>
      <c r="O44" s="642"/>
    </row>
    <row r="45" spans="1:15" x14ac:dyDescent="0.35">
      <c r="A45" s="572" t="s">
        <v>318</v>
      </c>
      <c r="B45" s="573" t="s">
        <v>995</v>
      </c>
      <c r="C45" s="619">
        <v>0</v>
      </c>
      <c r="D45" s="619">
        <v>0</v>
      </c>
      <c r="E45" s="619">
        <v>0</v>
      </c>
      <c r="F45" s="619">
        <v>0</v>
      </c>
      <c r="G45" s="619">
        <v>0</v>
      </c>
      <c r="H45" s="619"/>
      <c r="I45" s="619"/>
      <c r="J45" s="619"/>
      <c r="K45" s="619"/>
      <c r="L45" s="619"/>
      <c r="O45" s="642"/>
    </row>
    <row r="46" spans="1:15" x14ac:dyDescent="0.35">
      <c r="A46" s="597" t="s">
        <v>311</v>
      </c>
      <c r="B46" s="594" t="s">
        <v>996</v>
      </c>
      <c r="C46" s="614"/>
      <c r="D46" s="614"/>
      <c r="E46" s="614"/>
      <c r="F46" s="614"/>
      <c r="G46" s="614"/>
      <c r="H46" s="614"/>
      <c r="I46" s="614"/>
      <c r="J46" s="614"/>
      <c r="K46" s="614"/>
      <c r="L46" s="614"/>
      <c r="O46" s="642"/>
    </row>
    <row r="47" spans="1:15" x14ac:dyDescent="0.35">
      <c r="A47" s="597" t="s">
        <v>322</v>
      </c>
      <c r="B47" s="594" t="s">
        <v>993</v>
      </c>
      <c r="C47" s="614"/>
      <c r="D47" s="614"/>
      <c r="E47" s="614"/>
      <c r="F47" s="614"/>
      <c r="G47" s="614"/>
      <c r="H47" s="614"/>
      <c r="I47" s="614"/>
      <c r="J47" s="614"/>
      <c r="K47" s="614"/>
      <c r="L47" s="614"/>
      <c r="O47" s="642"/>
    </row>
    <row r="48" spans="1:15" x14ac:dyDescent="0.35">
      <c r="A48" s="597" t="s">
        <v>315</v>
      </c>
      <c r="B48" s="594" t="s">
        <v>977</v>
      </c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O48" s="642"/>
    </row>
    <row r="49" spans="1:15" s="193" customFormat="1" x14ac:dyDescent="0.35">
      <c r="A49" s="620"/>
      <c r="B49" s="621" t="s">
        <v>549</v>
      </c>
      <c r="C49" s="622">
        <f t="shared" ref="C49:L49" si="1">C5+C45</f>
        <v>294748</v>
      </c>
      <c r="D49" s="622">
        <f t="shared" si="1"/>
        <v>247922</v>
      </c>
      <c r="E49" s="622">
        <f t="shared" si="1"/>
        <v>247922</v>
      </c>
      <c r="F49" s="622">
        <f t="shared" si="1"/>
        <v>0</v>
      </c>
      <c r="G49" s="622">
        <f t="shared" si="1"/>
        <v>0</v>
      </c>
      <c r="H49" s="622">
        <f t="shared" si="1"/>
        <v>0</v>
      </c>
      <c r="I49" s="622">
        <f t="shared" si="1"/>
        <v>0</v>
      </c>
      <c r="J49" s="622">
        <f t="shared" si="1"/>
        <v>0</v>
      </c>
      <c r="K49" s="622">
        <f>K5+K45</f>
        <v>0</v>
      </c>
      <c r="L49" s="622">
        <f t="shared" si="1"/>
        <v>0</v>
      </c>
      <c r="O49" s="643"/>
    </row>
    <row r="50" spans="1:15" x14ac:dyDescent="0.35">
      <c r="C50" s="385"/>
      <c r="D50" s="385"/>
    </row>
    <row r="51" spans="1:15" x14ac:dyDescent="0.35">
      <c r="C51" s="385"/>
      <c r="D51" s="385"/>
    </row>
    <row r="52" spans="1:15" x14ac:dyDescent="0.35">
      <c r="C52" s="386"/>
      <c r="D52" s="386"/>
    </row>
    <row r="56" spans="1:15" x14ac:dyDescent="0.35">
      <c r="N56" s="194"/>
    </row>
  </sheetData>
  <mergeCells count="1">
    <mergeCell ref="A2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headerFooter>
    <oddHeader>&amp;L 8.  melléklet a ...../2019. (.......) önkormányzati rendelethez</oddHeader>
    <oddFooter>&amp;C&amp;10&amp;P&amp;R&amp;10&amp;D  &amp;T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/>
  </sheetPr>
  <dimension ref="A1:H123"/>
  <sheetViews>
    <sheetView view="pageBreakPreview" zoomScale="90" zoomScaleNormal="80" zoomScaleSheetLayoutView="90" workbookViewId="0">
      <pane ySplit="3" topLeftCell="A4" activePane="bottomLeft" state="frozen"/>
      <selection pane="bottomLeft" activeCell="C31" sqref="C31"/>
    </sheetView>
  </sheetViews>
  <sheetFormatPr defaultColWidth="9.1796875" defaultRowHeight="15.5" x14ac:dyDescent="0.35"/>
  <cols>
    <col min="1" max="1" width="9.1796875" style="688"/>
    <col min="2" max="2" width="9.1796875" style="688" customWidth="1"/>
    <col min="3" max="3" width="55.26953125" style="678" customWidth="1"/>
    <col min="4" max="4" width="15.7265625" style="679" customWidth="1"/>
    <col min="5" max="5" width="60.81640625" style="672" hidden="1" customWidth="1"/>
    <col min="6" max="6" width="14.7265625" style="703" customWidth="1"/>
    <col min="7" max="7" width="14.81640625" style="677" customWidth="1"/>
    <col min="8" max="8" width="14.7265625" style="677" customWidth="1"/>
    <col min="9" max="16384" width="9.1796875" style="673"/>
  </cols>
  <sheetData>
    <row r="1" spans="1:8" s="657" customFormat="1" ht="21" x14ac:dyDescent="0.35">
      <c r="A1" s="1125" t="s">
        <v>1623</v>
      </c>
      <c r="B1" s="1125"/>
      <c r="C1" s="1125"/>
      <c r="D1" s="1125"/>
      <c r="E1" s="1126"/>
      <c r="F1" s="710"/>
      <c r="G1" s="711"/>
      <c r="H1" s="711"/>
    </row>
    <row r="2" spans="1:8" s="661" customFormat="1" x14ac:dyDescent="0.35">
      <c r="A2" s="658"/>
      <c r="B2" s="658"/>
      <c r="C2" s="659"/>
      <c r="D2" s="660" t="e">
        <f>+D4+D25+D51+D65+D76+D92+D95+D111</f>
        <v>#REF!</v>
      </c>
      <c r="E2" s="659"/>
      <c r="F2" s="712">
        <f>+F4+F25+F51+F65+F76+F92+F95+F111</f>
        <v>26400</v>
      </c>
      <c r="G2" s="712">
        <f>+G4+G25+G51+G65+G76+G92+G95+G111</f>
        <v>904481</v>
      </c>
      <c r="H2" s="712">
        <f>+H4+H25+H51+H65+H76+H92+H95+H111</f>
        <v>433382</v>
      </c>
    </row>
    <row r="3" spans="1:8" s="658" customFormat="1" ht="31" x14ac:dyDescent="0.35">
      <c r="A3" s="662" t="s">
        <v>1472</v>
      </c>
      <c r="B3" s="1127" t="s">
        <v>1473</v>
      </c>
      <c r="C3" s="663" t="s">
        <v>306</v>
      </c>
      <c r="D3" s="704" t="s">
        <v>1474</v>
      </c>
      <c r="E3" s="663" t="s">
        <v>1475</v>
      </c>
      <c r="F3" s="708" t="s">
        <v>1626</v>
      </c>
      <c r="G3" s="708" t="s">
        <v>1627</v>
      </c>
      <c r="H3" s="708" t="s">
        <v>1628</v>
      </c>
    </row>
    <row r="4" spans="1:8" s="661" customFormat="1" collapsed="1" x14ac:dyDescent="0.35">
      <c r="A4" s="664" t="s">
        <v>309</v>
      </c>
      <c r="B4" s="1128"/>
      <c r="C4" s="665" t="s">
        <v>1129</v>
      </c>
      <c r="D4" s="666">
        <f>SUM(D5,D8,D11,D14,D16,D18,D19,D21,D22)</f>
        <v>176407.5</v>
      </c>
      <c r="E4" s="667"/>
      <c r="F4" s="709">
        <f>SUM(F5,F8,F11,F14,F16,F18,F19,F21,F22)</f>
        <v>0</v>
      </c>
      <c r="G4" s="709">
        <f>SUM(G5,G8,G11,G14,G16,G18,G19,G21,G22)</f>
        <v>107508</v>
      </c>
      <c r="H4" s="709">
        <f>SUM(H5,H8,H11,H14,H16,H18,H19,H21,H22)</f>
        <v>68900</v>
      </c>
    </row>
    <row r="5" spans="1:8" s="661" customFormat="1" ht="18" customHeight="1" x14ac:dyDescent="0.35">
      <c r="A5" s="668">
        <v>1</v>
      </c>
      <c r="B5" s="668">
        <v>1901</v>
      </c>
      <c r="C5" s="669" t="s">
        <v>1476</v>
      </c>
      <c r="D5" s="670">
        <f>SUM(D6:D7)/1000</f>
        <v>51508</v>
      </c>
      <c r="E5" s="671"/>
      <c r="F5" s="713"/>
      <c r="G5" s="714">
        <v>51508</v>
      </c>
      <c r="H5" s="714"/>
    </row>
    <row r="6" spans="1:8" ht="18" hidden="1" customHeight="1" x14ac:dyDescent="0.35">
      <c r="A6" s="668"/>
      <c r="B6" s="668"/>
      <c r="C6" s="669" t="s">
        <v>1477</v>
      </c>
      <c r="D6" s="670">
        <v>51000000</v>
      </c>
      <c r="E6" s="672" t="s">
        <v>1478</v>
      </c>
      <c r="G6" s="714"/>
      <c r="H6" s="714"/>
    </row>
    <row r="7" spans="1:8" ht="18" hidden="1" customHeight="1" x14ac:dyDescent="0.35">
      <c r="A7" s="668"/>
      <c r="B7" s="668"/>
      <c r="C7" s="669" t="s">
        <v>1479</v>
      </c>
      <c r="D7" s="670">
        <v>508000</v>
      </c>
      <c r="G7" s="714"/>
      <c r="H7" s="714"/>
    </row>
    <row r="8" spans="1:8" s="661" customFormat="1" ht="18" customHeight="1" x14ac:dyDescent="0.35">
      <c r="A8" s="668">
        <v>2</v>
      </c>
      <c r="B8" s="668">
        <v>1902</v>
      </c>
      <c r="C8" s="669" t="s">
        <v>1480</v>
      </c>
      <c r="D8" s="670">
        <f>SUM(D9:D10)/1000-23445</f>
        <v>11999.5</v>
      </c>
      <c r="E8" s="671"/>
      <c r="F8" s="713"/>
      <c r="G8" s="714"/>
      <c r="H8" s="714">
        <v>12000</v>
      </c>
    </row>
    <row r="9" spans="1:8" ht="18" hidden="1" customHeight="1" x14ac:dyDescent="0.35">
      <c r="A9" s="668"/>
      <c r="B9" s="668"/>
      <c r="C9" s="669" t="s">
        <v>1481</v>
      </c>
      <c r="D9" s="670">
        <v>35000000</v>
      </c>
      <c r="G9" s="714"/>
      <c r="H9" s="714"/>
    </row>
    <row r="10" spans="1:8" ht="18" hidden="1" customHeight="1" x14ac:dyDescent="0.35">
      <c r="A10" s="668"/>
      <c r="B10" s="668"/>
      <c r="C10" s="669" t="s">
        <v>1479</v>
      </c>
      <c r="D10" s="670">
        <v>444500</v>
      </c>
      <c r="G10" s="714"/>
      <c r="H10" s="714"/>
    </row>
    <row r="11" spans="1:8" s="661" customFormat="1" ht="18" customHeight="1" x14ac:dyDescent="0.35">
      <c r="A11" s="668">
        <v>3</v>
      </c>
      <c r="B11" s="668">
        <v>1903</v>
      </c>
      <c r="C11" s="669" t="s">
        <v>1482</v>
      </c>
      <c r="D11" s="670">
        <f>SUM(D12:D13)/1000</f>
        <v>6000</v>
      </c>
      <c r="E11" s="671"/>
      <c r="F11" s="713"/>
      <c r="G11" s="714">
        <v>6000</v>
      </c>
      <c r="H11" s="714"/>
    </row>
    <row r="12" spans="1:8" ht="18" hidden="1" customHeight="1" x14ac:dyDescent="0.35">
      <c r="A12" s="668"/>
      <c r="B12" s="668"/>
      <c r="C12" s="669" t="s">
        <v>1483</v>
      </c>
      <c r="D12" s="670">
        <v>4000000</v>
      </c>
      <c r="E12" s="672" t="s">
        <v>1484</v>
      </c>
      <c r="G12" s="714"/>
      <c r="H12" s="714"/>
    </row>
    <row r="13" spans="1:8" ht="18" hidden="1" customHeight="1" x14ac:dyDescent="0.35">
      <c r="A13" s="668"/>
      <c r="B13" s="668"/>
      <c r="C13" s="669" t="s">
        <v>1485</v>
      </c>
      <c r="D13" s="670">
        <v>2000000</v>
      </c>
      <c r="E13" s="672" t="s">
        <v>1486</v>
      </c>
      <c r="G13" s="714"/>
      <c r="H13" s="714"/>
    </row>
    <row r="14" spans="1:8" s="661" customFormat="1" ht="18" customHeight="1" x14ac:dyDescent="0.35">
      <c r="A14" s="668">
        <v>4</v>
      </c>
      <c r="B14" s="668">
        <v>1904</v>
      </c>
      <c r="C14" s="669" t="s">
        <v>1487</v>
      </c>
      <c r="D14" s="670">
        <f>SUM(D15)/1000</f>
        <v>1900</v>
      </c>
      <c r="E14" s="671"/>
      <c r="F14" s="713"/>
      <c r="G14" s="714"/>
      <c r="H14" s="714">
        <v>1900</v>
      </c>
    </row>
    <row r="15" spans="1:8" ht="18" hidden="1" customHeight="1" x14ac:dyDescent="0.35">
      <c r="A15" s="668"/>
      <c r="B15" s="668"/>
      <c r="C15" s="669" t="s">
        <v>1488</v>
      </c>
      <c r="D15" s="670">
        <v>1900000</v>
      </c>
      <c r="E15" s="674" t="s">
        <v>1489</v>
      </c>
      <c r="G15" s="714"/>
      <c r="H15" s="714"/>
    </row>
    <row r="16" spans="1:8" s="661" customFormat="1" ht="18" hidden="1" customHeight="1" x14ac:dyDescent="0.35">
      <c r="A16" s="668">
        <v>5</v>
      </c>
      <c r="B16" s="668">
        <v>1905</v>
      </c>
      <c r="C16" s="669" t="s">
        <v>1490</v>
      </c>
      <c r="D16" s="670">
        <f>SUM(D17)/1000-40000</f>
        <v>0</v>
      </c>
      <c r="E16" s="675"/>
      <c r="F16" s="713"/>
      <c r="G16" s="714"/>
      <c r="H16" s="714"/>
    </row>
    <row r="17" spans="1:8" s="661" customFormat="1" ht="18" hidden="1" customHeight="1" x14ac:dyDescent="0.35">
      <c r="A17" s="668"/>
      <c r="B17" s="668"/>
      <c r="C17" s="669" t="s">
        <v>1488</v>
      </c>
      <c r="D17" s="670">
        <v>40000000</v>
      </c>
      <c r="E17" s="672" t="s">
        <v>1491</v>
      </c>
      <c r="F17" s="713"/>
      <c r="G17" s="714"/>
      <c r="H17" s="714"/>
    </row>
    <row r="18" spans="1:8" s="661" customFormat="1" ht="18" hidden="1" customHeight="1" x14ac:dyDescent="0.35">
      <c r="A18" s="668">
        <v>6</v>
      </c>
      <c r="B18" s="668">
        <v>1906</v>
      </c>
      <c r="C18" s="669" t="s">
        <v>1612</v>
      </c>
      <c r="D18" s="670">
        <f>25000-25000</f>
        <v>0</v>
      </c>
      <c r="E18" s="672"/>
      <c r="F18" s="713"/>
      <c r="G18" s="714"/>
      <c r="H18" s="714"/>
    </row>
    <row r="19" spans="1:8" s="677" customFormat="1" ht="38.15" customHeight="1" x14ac:dyDescent="0.35">
      <c r="A19" s="668">
        <v>5</v>
      </c>
      <c r="B19" s="668">
        <v>1907</v>
      </c>
      <c r="C19" s="669" t="s">
        <v>1492</v>
      </c>
      <c r="D19" s="670">
        <f>SUM(D20)/1000-35000</f>
        <v>45000</v>
      </c>
      <c r="E19" s="676" t="s">
        <v>1493</v>
      </c>
      <c r="F19" s="703"/>
      <c r="G19" s="714"/>
      <c r="H19" s="714">
        <v>45000</v>
      </c>
    </row>
    <row r="20" spans="1:8" ht="18" hidden="1" customHeight="1" x14ac:dyDescent="0.35">
      <c r="A20" s="668"/>
      <c r="B20" s="668"/>
      <c r="C20" s="669" t="s">
        <v>1488</v>
      </c>
      <c r="D20" s="670">
        <v>80000000</v>
      </c>
      <c r="E20" s="678" t="s">
        <v>1494</v>
      </c>
      <c r="G20" s="714"/>
      <c r="H20" s="714"/>
    </row>
    <row r="21" spans="1:8" s="677" customFormat="1" ht="31" x14ac:dyDescent="0.35">
      <c r="A21" s="668">
        <v>6</v>
      </c>
      <c r="B21" s="668">
        <v>1908</v>
      </c>
      <c r="C21" s="669" t="s">
        <v>1495</v>
      </c>
      <c r="D21" s="670">
        <f>50000000/1000</f>
        <v>50000</v>
      </c>
      <c r="E21" s="676" t="s">
        <v>1493</v>
      </c>
      <c r="F21" s="703"/>
      <c r="G21" s="714">
        <v>50000</v>
      </c>
      <c r="H21" s="714"/>
    </row>
    <row r="22" spans="1:8" s="677" customFormat="1" ht="33.4" customHeight="1" x14ac:dyDescent="0.35">
      <c r="A22" s="668">
        <v>7</v>
      </c>
      <c r="B22" s="668">
        <v>1909</v>
      </c>
      <c r="C22" s="669" t="s">
        <v>1496</v>
      </c>
      <c r="D22" s="670">
        <f>SUM(D23)/1000-15000</f>
        <v>10000</v>
      </c>
      <c r="E22" s="676" t="s">
        <v>1493</v>
      </c>
      <c r="F22" s="703"/>
      <c r="G22" s="714"/>
      <c r="H22" s="714">
        <v>10000</v>
      </c>
    </row>
    <row r="23" spans="1:8" s="661" customFormat="1" ht="22.5" hidden="1" customHeight="1" x14ac:dyDescent="0.35">
      <c r="A23" s="658"/>
      <c r="B23" s="658"/>
      <c r="C23" s="678"/>
      <c r="D23" s="679">
        <v>25000000</v>
      </c>
      <c r="E23" s="680" t="s">
        <v>1497</v>
      </c>
      <c r="F23" s="713"/>
      <c r="G23" s="715"/>
      <c r="H23" s="715"/>
    </row>
    <row r="24" spans="1:8" s="657" customFormat="1" hidden="1" x14ac:dyDescent="0.35">
      <c r="A24" s="681"/>
      <c r="B24" s="681"/>
      <c r="C24" s="682"/>
      <c r="D24" s="683"/>
      <c r="E24" s="684" t="s">
        <v>1498</v>
      </c>
      <c r="F24" s="710"/>
      <c r="G24" s="711"/>
      <c r="H24" s="711"/>
    </row>
    <row r="25" spans="1:8" s="661" customFormat="1" ht="26.65" customHeight="1" x14ac:dyDescent="0.35">
      <c r="A25" s="664" t="s">
        <v>318</v>
      </c>
      <c r="B25" s="664"/>
      <c r="C25" s="665" t="s">
        <v>1624</v>
      </c>
      <c r="D25" s="666">
        <f>SUM(D26,D31,D33,D35,D37,D39,D41,D43,D45,D46,D47,D48,D49,D50)</f>
        <v>432992</v>
      </c>
      <c r="E25" s="667"/>
      <c r="F25" s="709">
        <f>SUM(F26,F31,F33,F35,F37,F39,F41,F43,F45,F46,F47,F48,F49)</f>
        <v>0</v>
      </c>
      <c r="G25" s="709">
        <f>SUM(G26,G31,G33,G35,G37,G39,G41,G43,G45,G46,G47,G48,G49,G50)</f>
        <v>352845</v>
      </c>
      <c r="H25" s="709">
        <f>SUM(H26,H31,H33,H35,H37,H39,H41,H43,H45,H46,H47,H48,H49)</f>
        <v>80147</v>
      </c>
    </row>
    <row r="26" spans="1:8" s="661" customFormat="1" ht="26.65" customHeight="1" x14ac:dyDescent="0.35">
      <c r="A26" s="668">
        <v>1</v>
      </c>
      <c r="B26" s="668">
        <v>1910</v>
      </c>
      <c r="C26" s="669" t="s">
        <v>1499</v>
      </c>
      <c r="D26" s="670">
        <f>300000000/1000</f>
        <v>300000</v>
      </c>
      <c r="E26" s="671" t="s">
        <v>1500</v>
      </c>
      <c r="F26" s="714"/>
      <c r="G26" s="714">
        <v>300000</v>
      </c>
      <c r="H26" s="714"/>
    </row>
    <row r="27" spans="1:8" ht="26.65" hidden="1" customHeight="1" x14ac:dyDescent="0.35">
      <c r="A27" s="668"/>
      <c r="B27" s="668"/>
      <c r="C27" s="669" t="s">
        <v>1488</v>
      </c>
      <c r="D27" s="670"/>
      <c r="F27" s="714"/>
      <c r="G27" s="714"/>
      <c r="H27" s="714"/>
    </row>
    <row r="28" spans="1:8" ht="26.65" hidden="1" customHeight="1" x14ac:dyDescent="0.35">
      <c r="A28" s="668"/>
      <c r="B28" s="668"/>
      <c r="C28" s="669" t="s">
        <v>1501</v>
      </c>
      <c r="D28" s="670"/>
      <c r="F28" s="714"/>
      <c r="G28" s="714"/>
      <c r="H28" s="714"/>
    </row>
    <row r="29" spans="1:8" ht="26.65" hidden="1" customHeight="1" x14ac:dyDescent="0.35">
      <c r="A29" s="668"/>
      <c r="B29" s="668"/>
      <c r="C29" s="669" t="s">
        <v>1479</v>
      </c>
      <c r="D29" s="670"/>
      <c r="F29" s="714"/>
      <c r="G29" s="714"/>
      <c r="H29" s="714"/>
    </row>
    <row r="30" spans="1:8" ht="26.65" hidden="1" customHeight="1" x14ac:dyDescent="0.35">
      <c r="A30" s="668"/>
      <c r="B30" s="668"/>
      <c r="C30" s="669" t="s">
        <v>1502</v>
      </c>
      <c r="D30" s="670"/>
      <c r="F30" s="714">
        <v>12800000</v>
      </c>
      <c r="G30" s="714"/>
      <c r="H30" s="714"/>
    </row>
    <row r="31" spans="1:8" s="661" customFormat="1" ht="26.65" customHeight="1" x14ac:dyDescent="0.35">
      <c r="A31" s="668">
        <v>2</v>
      </c>
      <c r="B31" s="668">
        <v>1911</v>
      </c>
      <c r="C31" s="669" t="s">
        <v>1503</v>
      </c>
      <c r="D31" s="670">
        <f>SUM(D32)/1000</f>
        <v>20000</v>
      </c>
      <c r="E31" s="671"/>
      <c r="F31" s="714"/>
      <c r="G31" s="714">
        <v>20000</v>
      </c>
      <c r="H31" s="714"/>
    </row>
    <row r="32" spans="1:8" s="685" customFormat="1" ht="26.65" hidden="1" customHeight="1" x14ac:dyDescent="0.35">
      <c r="A32" s="668"/>
      <c r="B32" s="668"/>
      <c r="C32" s="669" t="s">
        <v>1504</v>
      </c>
      <c r="D32" s="670">
        <v>20000000</v>
      </c>
      <c r="E32" s="680"/>
      <c r="F32" s="714"/>
      <c r="G32" s="714"/>
      <c r="H32" s="714"/>
    </row>
    <row r="33" spans="1:8" s="661" customFormat="1" ht="26.65" customHeight="1" x14ac:dyDescent="0.35">
      <c r="A33" s="668">
        <v>3</v>
      </c>
      <c r="B33" s="668">
        <v>1912</v>
      </c>
      <c r="C33" s="669" t="s">
        <v>1505</v>
      </c>
      <c r="D33" s="670">
        <f>SUM(D34)/1000</f>
        <v>5000</v>
      </c>
      <c r="E33" s="671"/>
      <c r="F33" s="714"/>
      <c r="G33" s="714">
        <v>5000</v>
      </c>
      <c r="H33" s="714"/>
    </row>
    <row r="34" spans="1:8" s="685" customFormat="1" ht="26.65" hidden="1" customHeight="1" x14ac:dyDescent="0.35">
      <c r="A34" s="668"/>
      <c r="B34" s="668"/>
      <c r="C34" s="669" t="s">
        <v>1506</v>
      </c>
      <c r="D34" s="670">
        <v>5000000</v>
      </c>
      <c r="E34" s="680"/>
      <c r="F34" s="714"/>
      <c r="G34" s="714"/>
      <c r="H34" s="714"/>
    </row>
    <row r="35" spans="1:8" s="661" customFormat="1" ht="26.65" customHeight="1" x14ac:dyDescent="0.35">
      <c r="A35" s="668">
        <v>4</v>
      </c>
      <c r="B35" s="668">
        <v>1913</v>
      </c>
      <c r="C35" s="669" t="s">
        <v>1507</v>
      </c>
      <c r="D35" s="670">
        <f>SUM(D36)/1000</f>
        <v>5000</v>
      </c>
      <c r="E35" s="671"/>
      <c r="F35" s="714"/>
      <c r="G35" s="714">
        <v>5000</v>
      </c>
      <c r="H35" s="714"/>
    </row>
    <row r="36" spans="1:8" s="687" customFormat="1" ht="26.65" hidden="1" customHeight="1" x14ac:dyDescent="0.35">
      <c r="A36" s="668"/>
      <c r="B36" s="668"/>
      <c r="C36" s="669" t="s">
        <v>1506</v>
      </c>
      <c r="D36" s="670">
        <v>5000000</v>
      </c>
      <c r="E36" s="686"/>
      <c r="F36" s="714"/>
      <c r="G36" s="714"/>
      <c r="H36" s="714"/>
    </row>
    <row r="37" spans="1:8" s="661" customFormat="1" ht="26.65" customHeight="1" x14ac:dyDescent="0.35">
      <c r="A37" s="668">
        <v>5</v>
      </c>
      <c r="B37" s="668">
        <v>1914</v>
      </c>
      <c r="C37" s="669" t="s">
        <v>1508</v>
      </c>
      <c r="D37" s="670">
        <f>SUM(D38)/1000</f>
        <v>5000</v>
      </c>
      <c r="E37" s="671"/>
      <c r="F37" s="714"/>
      <c r="G37" s="714">
        <v>5000</v>
      </c>
      <c r="H37" s="714"/>
    </row>
    <row r="38" spans="1:8" s="687" customFormat="1" ht="26.65" hidden="1" customHeight="1" x14ac:dyDescent="0.35">
      <c r="A38" s="668"/>
      <c r="B38" s="668"/>
      <c r="C38" s="669" t="s">
        <v>1506</v>
      </c>
      <c r="D38" s="670">
        <v>5000000</v>
      </c>
      <c r="E38" s="686"/>
      <c r="F38" s="714"/>
      <c r="G38" s="714"/>
      <c r="H38" s="714"/>
    </row>
    <row r="39" spans="1:8" s="661" customFormat="1" ht="26.65" customHeight="1" x14ac:dyDescent="0.35">
      <c r="A39" s="668">
        <v>6</v>
      </c>
      <c r="B39" s="668">
        <v>1915</v>
      </c>
      <c r="C39" s="669" t="s">
        <v>1509</v>
      </c>
      <c r="D39" s="670">
        <f>SUM(D40)/1000</f>
        <v>5000</v>
      </c>
      <c r="E39" s="671"/>
      <c r="F39" s="714"/>
      <c r="G39" s="714">
        <v>5000</v>
      </c>
      <c r="H39" s="714"/>
    </row>
    <row r="40" spans="1:8" s="687" customFormat="1" ht="26.65" hidden="1" customHeight="1" x14ac:dyDescent="0.35">
      <c r="A40" s="668"/>
      <c r="B40" s="668"/>
      <c r="C40" s="669" t="s">
        <v>1506</v>
      </c>
      <c r="D40" s="670">
        <v>5000000</v>
      </c>
      <c r="E40" s="686"/>
      <c r="F40" s="714"/>
      <c r="G40" s="714"/>
      <c r="H40" s="714"/>
    </row>
    <row r="41" spans="1:8" ht="26.65" customHeight="1" x14ac:dyDescent="0.35">
      <c r="A41" s="668">
        <v>7</v>
      </c>
      <c r="B41" s="668">
        <v>1916</v>
      </c>
      <c r="C41" s="680" t="s">
        <v>1510</v>
      </c>
      <c r="D41" s="670">
        <f>SUM(D42:D42)/1000</f>
        <v>7200</v>
      </c>
      <c r="E41" s="671"/>
      <c r="F41" s="714"/>
      <c r="G41" s="714"/>
      <c r="H41" s="714">
        <v>7200</v>
      </c>
    </row>
    <row r="42" spans="1:8" ht="26.65" hidden="1" customHeight="1" x14ac:dyDescent="0.35">
      <c r="A42" s="668"/>
      <c r="B42" s="668"/>
      <c r="C42" s="680" t="s">
        <v>1511</v>
      </c>
      <c r="D42" s="670">
        <v>7200000</v>
      </c>
      <c r="E42" s="672" t="s">
        <v>1512</v>
      </c>
      <c r="F42" s="714"/>
      <c r="G42" s="714"/>
      <c r="H42" s="714"/>
    </row>
    <row r="43" spans="1:8" ht="26.65" customHeight="1" x14ac:dyDescent="0.35">
      <c r="A43" s="668">
        <v>8</v>
      </c>
      <c r="B43" s="668">
        <v>1917</v>
      </c>
      <c r="C43" s="680" t="s">
        <v>1513</v>
      </c>
      <c r="D43" s="670">
        <f>SUM(D44)/1000</f>
        <v>2000</v>
      </c>
      <c r="E43" s="671"/>
      <c r="F43" s="714"/>
      <c r="G43" s="714"/>
      <c r="H43" s="714">
        <v>2000</v>
      </c>
    </row>
    <row r="44" spans="1:8" ht="26.65" hidden="1" customHeight="1" x14ac:dyDescent="0.35">
      <c r="A44" s="668"/>
      <c r="B44" s="668"/>
      <c r="C44" s="680" t="s">
        <v>1514</v>
      </c>
      <c r="D44" s="670">
        <v>2000000</v>
      </c>
      <c r="E44" s="672" t="s">
        <v>1515</v>
      </c>
      <c r="F44" s="714"/>
      <c r="G44" s="714"/>
      <c r="H44" s="714"/>
    </row>
    <row r="45" spans="1:8" s="661" customFormat="1" ht="26.65" customHeight="1" x14ac:dyDescent="0.35">
      <c r="A45" s="668">
        <v>9</v>
      </c>
      <c r="B45" s="668">
        <v>1918</v>
      </c>
      <c r="C45" s="680" t="s">
        <v>1516</v>
      </c>
      <c r="D45" s="670">
        <v>12600</v>
      </c>
      <c r="E45" s="671"/>
      <c r="F45" s="714"/>
      <c r="G45" s="714"/>
      <c r="H45" s="714">
        <v>12600</v>
      </c>
    </row>
    <row r="46" spans="1:8" ht="26.65" customHeight="1" x14ac:dyDescent="0.35">
      <c r="A46" s="688">
        <v>10</v>
      </c>
      <c r="B46" s="688">
        <v>1919</v>
      </c>
      <c r="C46" s="672" t="s">
        <v>1613</v>
      </c>
      <c r="D46" s="679">
        <v>20000</v>
      </c>
      <c r="E46" s="689" t="s">
        <v>1517</v>
      </c>
      <c r="F46" s="714"/>
      <c r="G46" s="714"/>
      <c r="H46" s="714">
        <v>20000</v>
      </c>
    </row>
    <row r="47" spans="1:8" s="690" customFormat="1" ht="26.65" customHeight="1" x14ac:dyDescent="0.35">
      <c r="A47" s="688">
        <v>11</v>
      </c>
      <c r="B47" s="688">
        <v>1920</v>
      </c>
      <c r="C47" s="672" t="s">
        <v>1614</v>
      </c>
      <c r="D47" s="679">
        <f>18347</f>
        <v>18347</v>
      </c>
      <c r="E47" s="689"/>
      <c r="F47" s="714"/>
      <c r="G47" s="714"/>
      <c r="H47" s="714">
        <f>18347</f>
        <v>18347</v>
      </c>
    </row>
    <row r="48" spans="1:8" s="690" customFormat="1" ht="26.65" customHeight="1" x14ac:dyDescent="0.35">
      <c r="A48" s="688">
        <v>12</v>
      </c>
      <c r="B48" s="688">
        <v>1921</v>
      </c>
      <c r="C48" s="672" t="s">
        <v>1629</v>
      </c>
      <c r="D48" s="679">
        <v>10000</v>
      </c>
      <c r="E48" s="689" t="s">
        <v>1518</v>
      </c>
      <c r="F48" s="714"/>
      <c r="G48" s="714"/>
      <c r="H48" s="714">
        <v>10000</v>
      </c>
    </row>
    <row r="49" spans="1:8" s="690" customFormat="1" ht="26.65" customHeight="1" x14ac:dyDescent="0.35">
      <c r="A49" s="688">
        <v>13</v>
      </c>
      <c r="B49" s="688">
        <v>1922</v>
      </c>
      <c r="C49" s="672" t="s">
        <v>1615</v>
      </c>
      <c r="D49" s="679">
        <v>10000</v>
      </c>
      <c r="E49" s="689"/>
      <c r="F49" s="714"/>
      <c r="G49" s="714"/>
      <c r="H49" s="714">
        <v>10000</v>
      </c>
    </row>
    <row r="50" spans="1:8" s="690" customFormat="1" ht="26.65" customHeight="1" x14ac:dyDescent="0.35">
      <c r="A50" s="688">
        <v>14</v>
      </c>
      <c r="B50" s="688"/>
      <c r="C50" s="672" t="s">
        <v>1631</v>
      </c>
      <c r="D50" s="679">
        <f>3810+1500+7535</f>
        <v>12845</v>
      </c>
      <c r="E50" s="689"/>
      <c r="F50" s="716"/>
      <c r="G50" s="717">
        <f>1500+3810+7535</f>
        <v>12845</v>
      </c>
      <c r="H50" s="718"/>
    </row>
    <row r="51" spans="1:8" s="661" customFormat="1" ht="28.5" customHeight="1" x14ac:dyDescent="0.35">
      <c r="A51" s="664" t="s">
        <v>328</v>
      </c>
      <c r="B51" s="664"/>
      <c r="C51" s="665" t="s">
        <v>1519</v>
      </c>
      <c r="D51" s="666">
        <f>SUM(D52,D57,D60,D63,D64)</f>
        <v>304128</v>
      </c>
      <c r="E51" s="667"/>
      <c r="F51" s="709">
        <f>SUM(F52,F57,F60,F63,F64)</f>
        <v>0</v>
      </c>
      <c r="G51" s="709">
        <f>SUM(G52,G57,G60,G63,G64)</f>
        <v>254128</v>
      </c>
      <c r="H51" s="709">
        <f>SUM(H52,H57,H60,H63,H64)</f>
        <v>50000</v>
      </c>
    </row>
    <row r="52" spans="1:8" s="661" customFormat="1" ht="18" customHeight="1" x14ac:dyDescent="0.35">
      <c r="A52" s="668">
        <v>1</v>
      </c>
      <c r="B52" s="668">
        <v>1923</v>
      </c>
      <c r="C52" s="669" t="s">
        <v>1520</v>
      </c>
      <c r="D52" s="670">
        <f>SUM(D53:D56)/1000</f>
        <v>199000</v>
      </c>
      <c r="E52" s="691"/>
      <c r="F52" s="714"/>
      <c r="G52" s="714">
        <v>199000</v>
      </c>
      <c r="H52" s="714"/>
    </row>
    <row r="53" spans="1:8" ht="18" hidden="1" customHeight="1" x14ac:dyDescent="0.35">
      <c r="A53" s="668"/>
      <c r="B53" s="668"/>
      <c r="C53" s="669" t="s">
        <v>1488</v>
      </c>
      <c r="D53" s="670">
        <v>150000000</v>
      </c>
      <c r="F53" s="714"/>
      <c r="G53" s="714"/>
      <c r="H53" s="714"/>
    </row>
    <row r="54" spans="1:8" ht="18" hidden="1" customHeight="1" x14ac:dyDescent="0.35">
      <c r="A54" s="668"/>
      <c r="B54" s="668"/>
      <c r="C54" s="669" t="s">
        <v>1501</v>
      </c>
      <c r="D54" s="670">
        <v>1500000</v>
      </c>
      <c r="F54" s="714"/>
      <c r="G54" s="714"/>
      <c r="H54" s="714"/>
    </row>
    <row r="55" spans="1:8" ht="18" hidden="1" customHeight="1" x14ac:dyDescent="0.35">
      <c r="A55" s="668"/>
      <c r="B55" s="668"/>
      <c r="C55" s="669" t="s">
        <v>1521</v>
      </c>
      <c r="D55" s="670">
        <v>1500000</v>
      </c>
      <c r="F55" s="714"/>
      <c r="G55" s="714"/>
      <c r="H55" s="714"/>
    </row>
    <row r="56" spans="1:8" ht="18" hidden="1" customHeight="1" x14ac:dyDescent="0.35">
      <c r="A56" s="668"/>
      <c r="B56" s="668"/>
      <c r="C56" s="669" t="s">
        <v>1522</v>
      </c>
      <c r="D56" s="670">
        <v>46000000</v>
      </c>
      <c r="E56" s="672" t="s">
        <v>1523</v>
      </c>
      <c r="F56" s="714"/>
      <c r="G56" s="714"/>
      <c r="H56" s="714"/>
    </row>
    <row r="57" spans="1:8" ht="18" customHeight="1" x14ac:dyDescent="0.35">
      <c r="A57" s="668">
        <v>2</v>
      </c>
      <c r="B57" s="668">
        <v>1924</v>
      </c>
      <c r="C57" s="669" t="s">
        <v>1524</v>
      </c>
      <c r="D57" s="670">
        <f>SUM(D58:D59)/1000</f>
        <v>15000</v>
      </c>
      <c r="E57" s="692"/>
      <c r="F57" s="714"/>
      <c r="G57" s="714">
        <v>15000</v>
      </c>
      <c r="H57" s="714"/>
    </row>
    <row r="58" spans="1:8" ht="18" hidden="1" customHeight="1" x14ac:dyDescent="0.35">
      <c r="A58" s="668"/>
      <c r="B58" s="668"/>
      <c r="C58" s="669" t="s">
        <v>1525</v>
      </c>
      <c r="D58" s="670">
        <v>7742000</v>
      </c>
      <c r="E58" s="672" t="s">
        <v>1526</v>
      </c>
      <c r="F58" s="714"/>
      <c r="G58" s="714"/>
      <c r="H58" s="714"/>
    </row>
    <row r="59" spans="1:8" ht="18" hidden="1" customHeight="1" x14ac:dyDescent="0.35">
      <c r="A59" s="668"/>
      <c r="B59" s="668"/>
      <c r="C59" s="669" t="s">
        <v>1527</v>
      </c>
      <c r="D59" s="670">
        <v>7258000</v>
      </c>
      <c r="E59" s="672" t="s">
        <v>1528</v>
      </c>
      <c r="F59" s="714"/>
      <c r="G59" s="714"/>
      <c r="H59" s="714"/>
    </row>
    <row r="60" spans="1:8" s="661" customFormat="1" ht="18" customHeight="1" x14ac:dyDescent="0.35">
      <c r="A60" s="668">
        <v>3</v>
      </c>
      <c r="B60" s="668">
        <v>1925</v>
      </c>
      <c r="C60" s="669" t="s">
        <v>1529</v>
      </c>
      <c r="D60" s="670">
        <f>SUM(D61:D62)/1000</f>
        <v>6600</v>
      </c>
      <c r="E60" s="671"/>
      <c r="F60" s="714"/>
      <c r="G60" s="714">
        <v>6600</v>
      </c>
      <c r="H60" s="714"/>
    </row>
    <row r="61" spans="1:8" ht="18" hidden="1" customHeight="1" x14ac:dyDescent="0.35">
      <c r="A61" s="668"/>
      <c r="B61" s="668"/>
      <c r="C61" s="669" t="s">
        <v>1530</v>
      </c>
      <c r="D61" s="670">
        <v>1600000</v>
      </c>
      <c r="F61" s="714"/>
      <c r="G61" s="714"/>
      <c r="H61" s="714"/>
    </row>
    <row r="62" spans="1:8" ht="18" hidden="1" customHeight="1" x14ac:dyDescent="0.35">
      <c r="A62" s="668"/>
      <c r="B62" s="668"/>
      <c r="C62" s="669" t="s">
        <v>1531</v>
      </c>
      <c r="D62" s="670">
        <v>5000000</v>
      </c>
      <c r="F62" s="714"/>
      <c r="G62" s="714"/>
      <c r="H62" s="714"/>
    </row>
    <row r="63" spans="1:8" s="661" customFormat="1" ht="18" customHeight="1" x14ac:dyDescent="0.35">
      <c r="A63" s="668">
        <v>4</v>
      </c>
      <c r="B63" s="668">
        <v>1926</v>
      </c>
      <c r="C63" s="669" t="s">
        <v>1532</v>
      </c>
      <c r="D63" s="670">
        <v>33528</v>
      </c>
      <c r="E63" s="671"/>
      <c r="F63" s="714"/>
      <c r="G63" s="714">
        <v>33528</v>
      </c>
      <c r="H63" s="714"/>
    </row>
    <row r="64" spans="1:8" x14ac:dyDescent="0.35">
      <c r="A64" s="688">
        <v>5</v>
      </c>
      <c r="B64" s="688">
        <v>1927</v>
      </c>
      <c r="C64" s="673" t="s">
        <v>1616</v>
      </c>
      <c r="D64" s="679">
        <v>50000</v>
      </c>
      <c r="E64" s="678" t="s">
        <v>1533</v>
      </c>
      <c r="F64" s="714"/>
      <c r="G64" s="714"/>
      <c r="H64" s="714">
        <v>50000</v>
      </c>
    </row>
    <row r="65" spans="1:8" s="661" customFormat="1" x14ac:dyDescent="0.35">
      <c r="A65" s="664" t="s">
        <v>1121</v>
      </c>
      <c r="B65" s="664"/>
      <c r="C65" s="665" t="s">
        <v>1131</v>
      </c>
      <c r="D65" s="666">
        <f>SUM(D66,D68,D70,D72,D74)</f>
        <v>69745</v>
      </c>
      <c r="E65" s="667"/>
      <c r="F65" s="709">
        <f>SUM(F66,F68,F70,F72,F74)</f>
        <v>0</v>
      </c>
      <c r="G65" s="709">
        <f>SUM(G66,G68,G70,G72,G74)</f>
        <v>3500</v>
      </c>
      <c r="H65" s="709">
        <f>SUM(H66,H68,H70,H72,H74)</f>
        <v>66245</v>
      </c>
    </row>
    <row r="66" spans="1:8" s="661" customFormat="1" ht="18" customHeight="1" x14ac:dyDescent="0.35">
      <c r="A66" s="668">
        <v>1</v>
      </c>
      <c r="B66" s="668">
        <v>1928</v>
      </c>
      <c r="C66" s="669" t="s">
        <v>1534</v>
      </c>
      <c r="D66" s="670">
        <f>6500000/1000</f>
        <v>6500</v>
      </c>
      <c r="E66" s="671"/>
      <c r="F66" s="714"/>
      <c r="G66" s="714"/>
      <c r="H66" s="714">
        <v>6500</v>
      </c>
    </row>
    <row r="67" spans="1:8" ht="18" hidden="1" customHeight="1" x14ac:dyDescent="0.35">
      <c r="A67" s="668"/>
      <c r="B67" s="668"/>
      <c r="C67" s="669" t="s">
        <v>1488</v>
      </c>
      <c r="D67" s="670"/>
      <c r="E67" s="672" t="s">
        <v>1535</v>
      </c>
      <c r="F67" s="714"/>
      <c r="G67" s="714"/>
      <c r="H67" s="714"/>
    </row>
    <row r="68" spans="1:8" s="661" customFormat="1" ht="18" customHeight="1" x14ac:dyDescent="0.35">
      <c r="A68" s="668">
        <v>2</v>
      </c>
      <c r="B68" s="668">
        <v>1929</v>
      </c>
      <c r="C68" s="669" t="s">
        <v>1536</v>
      </c>
      <c r="D68" s="670">
        <f>SUM(D69)/1000</f>
        <v>3500</v>
      </c>
      <c r="E68" s="671"/>
      <c r="F68" s="714"/>
      <c r="G68" s="714">
        <v>3500</v>
      </c>
      <c r="H68" s="714"/>
    </row>
    <row r="69" spans="1:8" ht="18" hidden="1" customHeight="1" x14ac:dyDescent="0.35">
      <c r="A69" s="668"/>
      <c r="B69" s="668"/>
      <c r="C69" s="669" t="s">
        <v>1488</v>
      </c>
      <c r="D69" s="670">
        <v>3500000</v>
      </c>
      <c r="E69" s="680" t="s">
        <v>1484</v>
      </c>
      <c r="F69" s="714"/>
      <c r="G69" s="714"/>
      <c r="H69" s="714"/>
    </row>
    <row r="70" spans="1:8" ht="18" customHeight="1" x14ac:dyDescent="0.35">
      <c r="A70" s="668">
        <v>3</v>
      </c>
      <c r="B70" s="668">
        <v>1930</v>
      </c>
      <c r="C70" s="669" t="s">
        <v>1537</v>
      </c>
      <c r="D70" s="670">
        <f>SUM(D71)/1000</f>
        <v>13000</v>
      </c>
      <c r="E70" s="671"/>
      <c r="F70" s="714"/>
      <c r="G70" s="714"/>
      <c r="H70" s="714">
        <v>13000</v>
      </c>
    </row>
    <row r="71" spans="1:8" ht="18" hidden="1" customHeight="1" x14ac:dyDescent="0.35">
      <c r="A71" s="668"/>
      <c r="B71" s="668"/>
      <c r="C71" s="669" t="s">
        <v>1488</v>
      </c>
      <c r="D71" s="670">
        <v>13000000</v>
      </c>
      <c r="E71" s="680" t="s">
        <v>1538</v>
      </c>
      <c r="F71" s="714"/>
      <c r="G71" s="714"/>
      <c r="H71" s="714"/>
    </row>
    <row r="72" spans="1:8" ht="18" customHeight="1" x14ac:dyDescent="0.35">
      <c r="A72" s="668">
        <v>4</v>
      </c>
      <c r="B72" s="668">
        <v>1931</v>
      </c>
      <c r="C72" s="669" t="s">
        <v>1539</v>
      </c>
      <c r="D72" s="670">
        <v>18300</v>
      </c>
      <c r="E72" s="693" t="s">
        <v>1540</v>
      </c>
      <c r="F72" s="714"/>
      <c r="G72" s="714"/>
      <c r="H72" s="714">
        <v>18300</v>
      </c>
    </row>
    <row r="73" spans="1:8" ht="18" hidden="1" customHeight="1" x14ac:dyDescent="0.35">
      <c r="A73" s="668"/>
      <c r="B73" s="668"/>
      <c r="C73" s="669" t="s">
        <v>1488</v>
      </c>
      <c r="D73" s="670">
        <v>8000000</v>
      </c>
      <c r="E73" s="680" t="s">
        <v>1541</v>
      </c>
      <c r="F73" s="714"/>
      <c r="G73" s="714"/>
      <c r="H73" s="714"/>
    </row>
    <row r="74" spans="1:8" ht="18" customHeight="1" x14ac:dyDescent="0.35">
      <c r="A74" s="668">
        <v>5</v>
      </c>
      <c r="B74" s="668">
        <v>1932</v>
      </c>
      <c r="C74" s="669" t="s">
        <v>1617</v>
      </c>
      <c r="D74" s="670">
        <v>28445</v>
      </c>
      <c r="E74" s="671"/>
      <c r="F74" s="714"/>
      <c r="G74" s="714"/>
      <c r="H74" s="714">
        <v>28445</v>
      </c>
    </row>
    <row r="75" spans="1:8" hidden="1" x14ac:dyDescent="0.35">
      <c r="D75" s="679">
        <v>9500000</v>
      </c>
      <c r="E75" s="680" t="s">
        <v>1542</v>
      </c>
    </row>
    <row r="76" spans="1:8" s="661" customFormat="1" x14ac:dyDescent="0.35">
      <c r="A76" s="664" t="s">
        <v>1168</v>
      </c>
      <c r="B76" s="664"/>
      <c r="C76" s="665" t="s">
        <v>1543</v>
      </c>
      <c r="D76" s="666">
        <f>SUM(D77,D79,D81,D82,D84,D86,D88,D89,D90)</f>
        <v>155900</v>
      </c>
      <c r="E76" s="667"/>
      <c r="F76" s="709">
        <f>SUM(F77,F79,F81,F82,F84,F86,F88,F89,F90)</f>
        <v>900</v>
      </c>
      <c r="G76" s="709">
        <f>SUM(G77,G79,G81,G82,G84,G86,G88,G89,G90)</f>
        <v>100000</v>
      </c>
      <c r="H76" s="709">
        <f>SUM(H77,H79,H81,H82,H84,H86,H88,H89,H90)</f>
        <v>55000</v>
      </c>
    </row>
    <row r="77" spans="1:8" s="661" customFormat="1" ht="31.9" customHeight="1" x14ac:dyDescent="0.35">
      <c r="A77" s="668">
        <v>1</v>
      </c>
      <c r="B77" s="668">
        <v>1933</v>
      </c>
      <c r="C77" s="669" t="s">
        <v>1544</v>
      </c>
      <c r="D77" s="670">
        <f>SUM(D78)/1000</f>
        <v>9000</v>
      </c>
      <c r="E77" s="671"/>
      <c r="F77" s="714"/>
      <c r="G77" s="714"/>
      <c r="H77" s="714">
        <v>9000</v>
      </c>
    </row>
    <row r="78" spans="1:8" s="685" customFormat="1" hidden="1" x14ac:dyDescent="0.35">
      <c r="A78" s="668"/>
      <c r="B78" s="668"/>
      <c r="C78" s="669" t="s">
        <v>1545</v>
      </c>
      <c r="D78" s="670">
        <v>9000000</v>
      </c>
      <c r="E78" s="680"/>
      <c r="F78" s="714"/>
      <c r="G78" s="714"/>
      <c r="H78" s="714"/>
    </row>
    <row r="79" spans="1:8" s="685" customFormat="1" ht="18" customHeight="1" x14ac:dyDescent="0.35">
      <c r="A79" s="668">
        <v>2</v>
      </c>
      <c r="B79" s="668">
        <v>1934</v>
      </c>
      <c r="C79" s="669" t="s">
        <v>1546</v>
      </c>
      <c r="D79" s="670">
        <f>SUM(D80)/1000</f>
        <v>12000</v>
      </c>
      <c r="E79" s="671"/>
      <c r="F79" s="714"/>
      <c r="G79" s="714"/>
      <c r="H79" s="714">
        <v>12000</v>
      </c>
    </row>
    <row r="80" spans="1:8" s="685" customFormat="1" hidden="1" x14ac:dyDescent="0.35">
      <c r="A80" s="668"/>
      <c r="B80" s="668"/>
      <c r="C80" s="669" t="s">
        <v>1488</v>
      </c>
      <c r="D80" s="670">
        <v>12000000</v>
      </c>
      <c r="E80" s="680" t="s">
        <v>1547</v>
      </c>
      <c r="F80" s="714"/>
      <c r="G80" s="714"/>
      <c r="H80" s="714"/>
    </row>
    <row r="81" spans="1:8" s="687" customFormat="1" ht="18" customHeight="1" x14ac:dyDescent="0.35">
      <c r="A81" s="668">
        <v>3</v>
      </c>
      <c r="B81" s="668">
        <v>1935</v>
      </c>
      <c r="C81" s="669" t="s">
        <v>1548</v>
      </c>
      <c r="D81" s="670">
        <v>2500</v>
      </c>
      <c r="E81" s="671"/>
      <c r="F81" s="714"/>
      <c r="G81" s="714"/>
      <c r="H81" s="714">
        <v>2500</v>
      </c>
    </row>
    <row r="82" spans="1:8" s="687" customFormat="1" ht="18" customHeight="1" x14ac:dyDescent="0.35">
      <c r="A82" s="668">
        <v>4</v>
      </c>
      <c r="B82" s="668">
        <v>1936</v>
      </c>
      <c r="C82" s="669" t="s">
        <v>1549</v>
      </c>
      <c r="D82" s="670">
        <v>3500</v>
      </c>
      <c r="E82" s="671"/>
      <c r="F82" s="714"/>
      <c r="G82" s="714"/>
      <c r="H82" s="714">
        <v>3500</v>
      </c>
    </row>
    <row r="83" spans="1:8" s="685" customFormat="1" hidden="1" x14ac:dyDescent="0.35">
      <c r="A83" s="668"/>
      <c r="B83" s="668"/>
      <c r="C83" s="669" t="s">
        <v>1477</v>
      </c>
      <c r="D83" s="670"/>
      <c r="E83" s="672"/>
      <c r="F83" s="714"/>
      <c r="G83" s="714"/>
      <c r="H83" s="714"/>
    </row>
    <row r="84" spans="1:8" s="687" customFormat="1" ht="27.25" customHeight="1" x14ac:dyDescent="0.35">
      <c r="A84" s="668">
        <v>5</v>
      </c>
      <c r="B84" s="668">
        <v>1937</v>
      </c>
      <c r="C84" s="669" t="s">
        <v>1630</v>
      </c>
      <c r="D84" s="670">
        <f>SUM(D85)/1000</f>
        <v>900</v>
      </c>
      <c r="E84" s="671"/>
      <c r="F84" s="714">
        <v>900</v>
      </c>
      <c r="G84" s="714"/>
      <c r="H84" s="714"/>
    </row>
    <row r="85" spans="1:8" s="685" customFormat="1" hidden="1" x14ac:dyDescent="0.35">
      <c r="A85" s="668"/>
      <c r="B85" s="668"/>
      <c r="C85" s="669" t="s">
        <v>1488</v>
      </c>
      <c r="D85" s="670">
        <v>900000</v>
      </c>
      <c r="E85" s="672" t="s">
        <v>1550</v>
      </c>
      <c r="F85" s="714"/>
      <c r="G85" s="714"/>
      <c r="H85" s="714"/>
    </row>
    <row r="86" spans="1:8" s="687" customFormat="1" ht="18" customHeight="1" x14ac:dyDescent="0.35">
      <c r="A86" s="668">
        <v>6</v>
      </c>
      <c r="B86" s="668">
        <v>1938</v>
      </c>
      <c r="C86" s="669" t="s">
        <v>1551</v>
      </c>
      <c r="D86" s="670">
        <v>14000</v>
      </c>
      <c r="E86" s="671"/>
      <c r="F86" s="714"/>
      <c r="G86" s="714"/>
      <c r="H86" s="714">
        <v>14000</v>
      </c>
    </row>
    <row r="87" spans="1:8" s="685" customFormat="1" ht="31" hidden="1" x14ac:dyDescent="0.35">
      <c r="A87" s="668"/>
      <c r="B87" s="668"/>
      <c r="C87" s="669" t="s">
        <v>1488</v>
      </c>
      <c r="D87" s="670"/>
      <c r="E87" s="672" t="s">
        <v>1552</v>
      </c>
      <c r="F87" s="714"/>
      <c r="G87" s="714"/>
      <c r="H87" s="714"/>
    </row>
    <row r="88" spans="1:8" s="685" customFormat="1" ht="19.75" customHeight="1" x14ac:dyDescent="0.35">
      <c r="A88" s="668">
        <v>7</v>
      </c>
      <c r="B88" s="668">
        <v>1939</v>
      </c>
      <c r="C88" s="669" t="s">
        <v>1553</v>
      </c>
      <c r="D88" s="670">
        <v>9000</v>
      </c>
      <c r="E88" s="671"/>
      <c r="F88" s="714"/>
      <c r="G88" s="714"/>
      <c r="H88" s="714">
        <v>9000</v>
      </c>
    </row>
    <row r="89" spans="1:8" s="685" customFormat="1" ht="28" customHeight="1" x14ac:dyDescent="0.35">
      <c r="A89" s="668">
        <v>8</v>
      </c>
      <c r="B89" s="668">
        <v>1940</v>
      </c>
      <c r="C89" s="669" t="s">
        <v>1618</v>
      </c>
      <c r="D89" s="670">
        <v>100000</v>
      </c>
      <c r="E89" s="671"/>
      <c r="F89" s="714"/>
      <c r="G89" s="714">
        <v>100000</v>
      </c>
      <c r="H89" s="714"/>
    </row>
    <row r="90" spans="1:8" s="685" customFormat="1" ht="18" customHeight="1" x14ac:dyDescent="0.35">
      <c r="A90" s="668">
        <v>9</v>
      </c>
      <c r="B90" s="668">
        <v>1941</v>
      </c>
      <c r="C90" s="669" t="s">
        <v>1619</v>
      </c>
      <c r="D90" s="670">
        <v>5000</v>
      </c>
      <c r="E90" s="671"/>
      <c r="F90" s="714"/>
      <c r="G90" s="714"/>
      <c r="H90" s="714">
        <v>5000</v>
      </c>
    </row>
    <row r="91" spans="1:8" s="685" customFormat="1" hidden="1" x14ac:dyDescent="0.35">
      <c r="A91" s="668"/>
      <c r="B91" s="668"/>
      <c r="C91" s="669"/>
      <c r="D91" s="670"/>
      <c r="E91" s="672"/>
      <c r="F91" s="703"/>
      <c r="G91" s="703"/>
      <c r="H91" s="703"/>
    </row>
    <row r="92" spans="1:8" s="661" customFormat="1" x14ac:dyDescent="0.35">
      <c r="A92" s="664" t="s">
        <v>1169</v>
      </c>
      <c r="B92" s="664"/>
      <c r="C92" s="665" t="s">
        <v>1554</v>
      </c>
      <c r="D92" s="666" t="e">
        <f>SUM(D93:D94)</f>
        <v>#REF!</v>
      </c>
      <c r="E92" s="667"/>
      <c r="F92" s="709">
        <f>SUM(F93:F94)</f>
        <v>0</v>
      </c>
      <c r="G92" s="709">
        <f>SUM(G93:G94)</f>
        <v>0</v>
      </c>
      <c r="H92" s="709">
        <f>SUM(H93:H94)</f>
        <v>113090</v>
      </c>
    </row>
    <row r="93" spans="1:8" s="661" customFormat="1" x14ac:dyDescent="0.35">
      <c r="A93" s="694"/>
      <c r="B93" s="694"/>
      <c r="C93" s="669" t="s">
        <v>986</v>
      </c>
      <c r="D93" s="670" t="e">
        <f>+'2.5 melléklet'!#REF!</f>
        <v>#REF!</v>
      </c>
      <c r="E93" s="667"/>
      <c r="F93" s="714"/>
      <c r="G93" s="714"/>
      <c r="H93" s="714">
        <v>88980</v>
      </c>
    </row>
    <row r="94" spans="1:8" s="687" customFormat="1" x14ac:dyDescent="0.35">
      <c r="A94" s="694"/>
      <c r="B94" s="694"/>
      <c r="C94" s="669" t="s">
        <v>1637</v>
      </c>
      <c r="D94" s="670">
        <v>24110</v>
      </c>
      <c r="E94" s="686"/>
      <c r="F94" s="714"/>
      <c r="G94" s="714"/>
      <c r="H94" s="714">
        <v>24110</v>
      </c>
    </row>
    <row r="95" spans="1:8" ht="25.15" customHeight="1" x14ac:dyDescent="0.35">
      <c r="A95" s="664" t="s">
        <v>1555</v>
      </c>
      <c r="B95" s="664"/>
      <c r="C95" s="665" t="s">
        <v>1556</v>
      </c>
      <c r="D95" s="666">
        <f>SUM(D96,D99,D101,D107,D109)</f>
        <v>35000</v>
      </c>
      <c r="E95" s="667"/>
      <c r="F95" s="709">
        <f>SUM(F96,F99,F101,F107,F109)</f>
        <v>25500</v>
      </c>
      <c r="G95" s="709">
        <f>SUM(G96,G99,G101,G107,G109)</f>
        <v>9500</v>
      </c>
      <c r="H95" s="709">
        <f>SUM(H96,H99,H101,H107,H109)</f>
        <v>0</v>
      </c>
    </row>
    <row r="96" spans="1:8" ht="18" customHeight="1" x14ac:dyDescent="0.35">
      <c r="A96" s="668">
        <v>1</v>
      </c>
      <c r="B96" s="668">
        <v>1942</v>
      </c>
      <c r="C96" s="669" t="s">
        <v>1557</v>
      </c>
      <c r="D96" s="670">
        <f>SUM(D97:D98)/1000</f>
        <v>4000</v>
      </c>
      <c r="E96" s="671"/>
      <c r="F96" s="714">
        <v>4000</v>
      </c>
      <c r="G96" s="714"/>
      <c r="H96" s="714"/>
    </row>
    <row r="97" spans="1:8" ht="108.5" hidden="1" x14ac:dyDescent="0.35">
      <c r="A97" s="668"/>
      <c r="B97" s="668"/>
      <c r="C97" s="669" t="s">
        <v>1558</v>
      </c>
      <c r="D97" s="670">
        <v>2000000</v>
      </c>
      <c r="E97" s="672" t="s">
        <v>1559</v>
      </c>
      <c r="F97" s="714"/>
      <c r="G97" s="714"/>
      <c r="H97" s="714"/>
    </row>
    <row r="98" spans="1:8" ht="124" hidden="1" x14ac:dyDescent="0.35">
      <c r="A98" s="668"/>
      <c r="B98" s="668"/>
      <c r="C98" s="669" t="s">
        <v>1560</v>
      </c>
      <c r="D98" s="670">
        <v>2000000</v>
      </c>
      <c r="E98" s="695" t="s">
        <v>1561</v>
      </c>
      <c r="F98" s="714"/>
      <c r="G98" s="714"/>
      <c r="H98" s="714"/>
    </row>
    <row r="99" spans="1:8" s="661" customFormat="1" ht="18" customHeight="1" x14ac:dyDescent="0.35">
      <c r="A99" s="668">
        <v>2</v>
      </c>
      <c r="B99" s="668">
        <v>1943</v>
      </c>
      <c r="C99" s="669" t="s">
        <v>1562</v>
      </c>
      <c r="D99" s="670">
        <f>SUM(D100)/1000</f>
        <v>1500</v>
      </c>
      <c r="E99" s="671"/>
      <c r="F99" s="714">
        <v>1500</v>
      </c>
      <c r="G99" s="714"/>
      <c r="H99" s="714"/>
    </row>
    <row r="100" spans="1:8" s="687" customFormat="1" ht="46.5" hidden="1" x14ac:dyDescent="0.35">
      <c r="A100" s="668"/>
      <c r="B100" s="668"/>
      <c r="C100" s="669" t="s">
        <v>1563</v>
      </c>
      <c r="D100" s="670">
        <v>1500000</v>
      </c>
      <c r="E100" s="672" t="s">
        <v>1564</v>
      </c>
      <c r="F100" s="714"/>
      <c r="G100" s="714"/>
      <c r="H100" s="714"/>
    </row>
    <row r="101" spans="1:8" s="687" customFormat="1" ht="18" customHeight="1" x14ac:dyDescent="0.35">
      <c r="A101" s="668">
        <v>3</v>
      </c>
      <c r="B101" s="668">
        <v>1944</v>
      </c>
      <c r="C101" s="696" t="s">
        <v>1565</v>
      </c>
      <c r="D101" s="670">
        <v>25000</v>
      </c>
      <c r="E101" s="692"/>
      <c r="F101" s="714">
        <v>20000</v>
      </c>
      <c r="G101" s="714">
        <v>5000</v>
      </c>
      <c r="H101" s="714"/>
    </row>
    <row r="102" spans="1:8" s="687" customFormat="1" ht="31" hidden="1" x14ac:dyDescent="0.35">
      <c r="A102" s="668"/>
      <c r="B102" s="668"/>
      <c r="C102" s="669" t="s">
        <v>1566</v>
      </c>
      <c r="D102" s="670">
        <v>3000000</v>
      </c>
      <c r="E102" s="672" t="s">
        <v>1567</v>
      </c>
      <c r="F102" s="714"/>
      <c r="G102" s="714"/>
      <c r="H102" s="714"/>
    </row>
    <row r="103" spans="1:8" s="687" customFormat="1" ht="46.5" hidden="1" x14ac:dyDescent="0.35">
      <c r="A103" s="668"/>
      <c r="B103" s="668"/>
      <c r="C103" s="669" t="s">
        <v>1568</v>
      </c>
      <c r="D103" s="670">
        <v>3000000</v>
      </c>
      <c r="E103" s="672" t="s">
        <v>1569</v>
      </c>
      <c r="F103" s="714"/>
      <c r="G103" s="714"/>
      <c r="H103" s="714"/>
    </row>
    <row r="104" spans="1:8" s="687" customFormat="1" ht="139.5" hidden="1" x14ac:dyDescent="0.35">
      <c r="A104" s="668"/>
      <c r="B104" s="668"/>
      <c r="C104" s="669" t="s">
        <v>1570</v>
      </c>
      <c r="D104" s="670">
        <v>5000000</v>
      </c>
      <c r="E104" s="672" t="s">
        <v>1571</v>
      </c>
      <c r="F104" s="714"/>
      <c r="G104" s="714"/>
      <c r="H104" s="714"/>
    </row>
    <row r="105" spans="1:8" s="687" customFormat="1" ht="31" hidden="1" x14ac:dyDescent="0.35">
      <c r="A105" s="668"/>
      <c r="B105" s="668"/>
      <c r="C105" s="669" t="s">
        <v>1572</v>
      </c>
      <c r="D105" s="670">
        <v>1000000</v>
      </c>
      <c r="E105" s="672" t="s">
        <v>1573</v>
      </c>
      <c r="F105" s="714"/>
      <c r="G105" s="714"/>
      <c r="H105" s="714"/>
    </row>
    <row r="106" spans="1:8" s="687" customFormat="1" ht="232.5" hidden="1" x14ac:dyDescent="0.35">
      <c r="A106" s="668"/>
      <c r="B106" s="668"/>
      <c r="C106" s="669" t="s">
        <v>1574</v>
      </c>
      <c r="D106" s="670">
        <v>3000000</v>
      </c>
      <c r="E106" s="697" t="s">
        <v>1575</v>
      </c>
      <c r="F106" s="714"/>
      <c r="G106" s="714"/>
      <c r="H106" s="714"/>
    </row>
    <row r="107" spans="1:8" s="687" customFormat="1" ht="18" customHeight="1" x14ac:dyDescent="0.35">
      <c r="A107" s="668">
        <v>4</v>
      </c>
      <c r="B107" s="668">
        <v>1945</v>
      </c>
      <c r="C107" s="696" t="s">
        <v>1576</v>
      </c>
      <c r="D107" s="670">
        <f>SUM(D108)/1000</f>
        <v>3500</v>
      </c>
      <c r="E107" s="698"/>
      <c r="F107" s="714"/>
      <c r="G107" s="714">
        <v>3500</v>
      </c>
      <c r="H107" s="714"/>
    </row>
    <row r="108" spans="1:8" s="687" customFormat="1" ht="46.5" hidden="1" x14ac:dyDescent="0.35">
      <c r="A108" s="668"/>
      <c r="B108" s="668"/>
      <c r="C108" s="669" t="s">
        <v>1577</v>
      </c>
      <c r="D108" s="670">
        <v>3500000</v>
      </c>
      <c r="E108" s="672" t="s">
        <v>1578</v>
      </c>
      <c r="F108" s="714"/>
      <c r="G108" s="714"/>
      <c r="H108" s="714"/>
    </row>
    <row r="109" spans="1:8" s="687" customFormat="1" ht="18" customHeight="1" x14ac:dyDescent="0.35">
      <c r="A109" s="668">
        <v>5</v>
      </c>
      <c r="B109" s="668">
        <v>1946</v>
      </c>
      <c r="C109" s="696" t="s">
        <v>1579</v>
      </c>
      <c r="D109" s="670">
        <v>1000</v>
      </c>
      <c r="E109" s="698"/>
      <c r="F109" s="714"/>
      <c r="G109" s="714">
        <v>1000</v>
      </c>
      <c r="H109" s="714"/>
    </row>
    <row r="110" spans="1:8" s="687" customFormat="1" x14ac:dyDescent="0.35">
      <c r="A110" s="668"/>
      <c r="B110" s="668"/>
      <c r="C110" s="678"/>
      <c r="D110" s="670"/>
      <c r="E110" s="672"/>
      <c r="F110" s="714"/>
      <c r="G110" s="714"/>
      <c r="H110" s="714"/>
    </row>
    <row r="111" spans="1:8" s="687" customFormat="1" x14ac:dyDescent="0.35">
      <c r="A111" s="664" t="s">
        <v>1580</v>
      </c>
      <c r="B111" s="664"/>
      <c r="C111" s="665" t="s">
        <v>1581</v>
      </c>
      <c r="D111" s="666">
        <f>SUM(D112:D117)</f>
        <v>77000</v>
      </c>
      <c r="E111" s="667"/>
      <c r="F111" s="709">
        <f>SUM(F112:F117)</f>
        <v>0</v>
      </c>
      <c r="G111" s="709">
        <f>SUM(G112:G117)</f>
        <v>77000</v>
      </c>
      <c r="H111" s="709">
        <f>SUM(H112:H117)</f>
        <v>0</v>
      </c>
    </row>
    <row r="112" spans="1:8" s="687" customFormat="1" ht="18" customHeight="1" x14ac:dyDescent="0.35">
      <c r="A112" s="694"/>
      <c r="B112" s="668">
        <v>1947</v>
      </c>
      <c r="C112" s="678" t="s">
        <v>1582</v>
      </c>
      <c r="D112" s="670">
        <f>40000000/1000</f>
        <v>40000</v>
      </c>
      <c r="E112" s="672" t="s">
        <v>1583</v>
      </c>
      <c r="F112" s="714"/>
      <c r="G112" s="714">
        <v>40000</v>
      </c>
      <c r="H112" s="714"/>
    </row>
    <row r="113" spans="1:8" s="687" customFormat="1" ht="18" customHeight="1" x14ac:dyDescent="0.35">
      <c r="A113" s="694"/>
      <c r="B113" s="668">
        <v>1948</v>
      </c>
      <c r="C113" s="678" t="s">
        <v>1584</v>
      </c>
      <c r="D113" s="670">
        <f>15000000/1000</f>
        <v>15000</v>
      </c>
      <c r="E113" s="697" t="s">
        <v>1585</v>
      </c>
      <c r="F113" s="714"/>
      <c r="G113" s="714">
        <v>15000</v>
      </c>
      <c r="H113" s="714"/>
    </row>
    <row r="114" spans="1:8" s="687" customFormat="1" ht="18" customHeight="1" x14ac:dyDescent="0.35">
      <c r="A114" s="694"/>
      <c r="B114" s="668">
        <v>1949</v>
      </c>
      <c r="C114" s="678" t="s">
        <v>1586</v>
      </c>
      <c r="D114" s="670">
        <f>5000000/1000</f>
        <v>5000</v>
      </c>
      <c r="E114" s="697" t="s">
        <v>1587</v>
      </c>
      <c r="F114" s="714"/>
      <c r="G114" s="714">
        <v>5000</v>
      </c>
      <c r="H114" s="714"/>
    </row>
    <row r="115" spans="1:8" s="687" customFormat="1" ht="18" customHeight="1" x14ac:dyDescent="0.35">
      <c r="A115" s="694"/>
      <c r="B115" s="668">
        <v>1950</v>
      </c>
      <c r="C115" s="678" t="s">
        <v>1588</v>
      </c>
      <c r="D115" s="670">
        <f>10000000/1000</f>
        <v>10000</v>
      </c>
      <c r="E115" s="672" t="s">
        <v>1589</v>
      </c>
      <c r="F115" s="714"/>
      <c r="G115" s="714">
        <v>10000</v>
      </c>
      <c r="H115" s="714"/>
    </row>
    <row r="116" spans="1:8" s="687" customFormat="1" ht="18" customHeight="1" x14ac:dyDescent="0.35">
      <c r="A116" s="694"/>
      <c r="B116" s="668">
        <v>1951</v>
      </c>
      <c r="C116" s="678" t="s">
        <v>1590</v>
      </c>
      <c r="D116" s="670">
        <f>5000000/1000</f>
        <v>5000</v>
      </c>
      <c r="E116" s="672" t="s">
        <v>1591</v>
      </c>
      <c r="F116" s="714"/>
      <c r="G116" s="714">
        <v>5000</v>
      </c>
      <c r="H116" s="714"/>
    </row>
    <row r="117" spans="1:8" s="687" customFormat="1" ht="18" customHeight="1" x14ac:dyDescent="0.35">
      <c r="A117" s="694"/>
      <c r="B117" s="668">
        <v>1952</v>
      </c>
      <c r="C117" s="678" t="s">
        <v>1592</v>
      </c>
      <c r="D117" s="670">
        <f>2000000/1000</f>
        <v>2000</v>
      </c>
      <c r="E117" s="672"/>
      <c r="F117" s="714"/>
      <c r="G117" s="714">
        <v>2000</v>
      </c>
      <c r="H117" s="714"/>
    </row>
    <row r="118" spans="1:8" x14ac:dyDescent="0.35">
      <c r="F118" s="714"/>
      <c r="G118" s="714"/>
      <c r="H118" s="714"/>
    </row>
    <row r="119" spans="1:8" x14ac:dyDescent="0.35">
      <c r="A119" s="1129" t="s">
        <v>1634</v>
      </c>
      <c r="B119" s="1130"/>
      <c r="C119" s="1131"/>
      <c r="D119" s="705" t="e">
        <f>+D4+D25+D51+D65+D76+D92+D95+D111</f>
        <v>#REF!</v>
      </c>
      <c r="E119" s="706"/>
      <c r="F119" s="707">
        <f>+F4+F25+F51+F65+F76+F92+F95+F111</f>
        <v>26400</v>
      </c>
      <c r="G119" s="707">
        <f>+G4+G25+G51+G65+G76+G92+G95+G111</f>
        <v>904481</v>
      </c>
      <c r="H119" s="707">
        <f>+H4+H25+H51+H65+H76+H92+H95+H111</f>
        <v>433382</v>
      </c>
    </row>
    <row r="120" spans="1:8" x14ac:dyDescent="0.35">
      <c r="F120" s="714"/>
      <c r="G120" s="714"/>
      <c r="H120" s="714"/>
    </row>
    <row r="121" spans="1:8" x14ac:dyDescent="0.35">
      <c r="A121" s="664" t="s">
        <v>1632</v>
      </c>
      <c r="B121" s="664"/>
      <c r="C121" s="665" t="s">
        <v>1633</v>
      </c>
      <c r="D121" s="666">
        <f>+'3.1 melléklet'!F45+'4.1 melléklet'!E42+'4.2 melléklet'!E42+'4.3 melléklet'!E42+'4.4 melléklet'!E42+'4.5 melléklet'!E42+'4.6 melléklet'!E42+'4.7 melléklet'!E42+'4.8 melléklet'!E42</f>
        <v>25076415</v>
      </c>
      <c r="E121" s="667"/>
      <c r="F121" s="709"/>
      <c r="G121" s="709">
        <f>+'3.1 melléklet'!F46+'5. melléklet'!E13+'5. melléklet'!E46+'5. melléklet'!E63+'5. melléklet'!E93+'5. melléklet'!E107+'5. melléklet'!E115+'5. melléklet'!E141+'5. melléklet'!E165+'5. melléklet'!E177+'5. melléklet'!E182+'5. melléklet'!E192</f>
        <v>10083720</v>
      </c>
      <c r="H121" s="709">
        <f>+'5. melléklet'!E64</f>
        <v>0</v>
      </c>
    </row>
    <row r="123" spans="1:8" x14ac:dyDescent="0.35">
      <c r="A123" s="1129" t="s">
        <v>1635</v>
      </c>
      <c r="B123" s="1130"/>
      <c r="C123" s="1131"/>
      <c r="D123" s="705" t="e">
        <f>+D119+D121</f>
        <v>#REF!</v>
      </c>
      <c r="F123" s="707">
        <f>+F119+F121</f>
        <v>26400</v>
      </c>
      <c r="G123" s="707">
        <f>+G119+G121</f>
        <v>10988201</v>
      </c>
      <c r="H123" s="707">
        <f>+H119+H121</f>
        <v>433382</v>
      </c>
    </row>
  </sheetData>
  <mergeCells count="4">
    <mergeCell ref="A1:E1"/>
    <mergeCell ref="B3:B4"/>
    <mergeCell ref="A119:C119"/>
    <mergeCell ref="A123:C123"/>
  </mergeCells>
  <printOptions horizontalCentered="1"/>
  <pageMargins left="0.70866141732283472" right="0.70866141732283472" top="0.38" bottom="0.26" header="0.17" footer="0.17"/>
  <pageSetup paperSize="8" scale="75" orientation="portrait" r:id="rId1"/>
  <headerFooter>
    <oddHeader>&amp;L7.  melléklet a ...../2019. (.......) önkormányzati rendelethez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8"/>
  <sheetViews>
    <sheetView view="pageBreakPreview" zoomScale="85" zoomScaleNormal="100" zoomScaleSheetLayoutView="85" workbookViewId="0">
      <selection activeCell="N1" sqref="N1:N1048576"/>
    </sheetView>
  </sheetViews>
  <sheetFormatPr defaultColWidth="9" defaultRowHeight="14" x14ac:dyDescent="0.3"/>
  <cols>
    <col min="1" max="1" width="6.26953125" style="748" customWidth="1"/>
    <col min="2" max="2" width="9" style="791" customWidth="1"/>
    <col min="3" max="3" width="61.26953125" style="748" customWidth="1"/>
    <col min="4" max="4" width="16.54296875" style="748" hidden="1" customWidth="1"/>
    <col min="5" max="5" width="16.453125" style="748" hidden="1" customWidth="1"/>
    <col min="6" max="6" width="20.81640625" style="748" bestFit="1" customWidth="1"/>
    <col min="7" max="7" width="15.26953125" style="748" hidden="1" customWidth="1"/>
    <col min="8" max="8" width="15.26953125" style="748" customWidth="1"/>
    <col min="9" max="9" width="20.1796875" style="748" customWidth="1"/>
    <col min="10" max="10" width="14.7265625" style="748" hidden="1" customWidth="1"/>
    <col min="11" max="11" width="14.54296875" style="748" hidden="1" customWidth="1"/>
    <col min="12" max="12" width="20.81640625" style="748" hidden="1" customWidth="1"/>
    <col min="13" max="13" width="16.7265625" style="758" customWidth="1"/>
    <col min="14" max="14" width="14.453125" style="748" bestFit="1" customWidth="1"/>
    <col min="15" max="16384" width="9" style="748"/>
  </cols>
  <sheetData>
    <row r="1" spans="1:14" ht="20" x14ac:dyDescent="0.3">
      <c r="A1" s="1140" t="s">
        <v>1783</v>
      </c>
      <c r="B1" s="1140"/>
      <c r="C1" s="1140"/>
      <c r="D1" s="1141"/>
      <c r="F1" s="784"/>
      <c r="G1" s="784"/>
      <c r="I1" s="784" t="s">
        <v>1638</v>
      </c>
      <c r="J1" s="784"/>
      <c r="L1" s="784" t="s">
        <v>1638</v>
      </c>
    </row>
    <row r="2" spans="1:14" ht="61" customHeight="1" x14ac:dyDescent="0.3">
      <c r="A2" s="1142" t="s">
        <v>1727</v>
      </c>
      <c r="B2" s="1143" t="s">
        <v>1722</v>
      </c>
      <c r="C2" s="1142" t="s">
        <v>306</v>
      </c>
      <c r="D2" s="1132" t="s">
        <v>1793</v>
      </c>
      <c r="E2" s="1133"/>
      <c r="F2" s="1134"/>
      <c r="G2" s="1132" t="s">
        <v>1795</v>
      </c>
      <c r="H2" s="1133"/>
      <c r="I2" s="1134"/>
      <c r="J2" s="1132" t="s">
        <v>1800</v>
      </c>
      <c r="K2" s="1133"/>
      <c r="L2" s="1134"/>
    </row>
    <row r="3" spans="1:14" ht="29.25" customHeight="1" x14ac:dyDescent="0.3">
      <c r="A3" s="1142"/>
      <c r="B3" s="1144"/>
      <c r="C3" s="1142"/>
      <c r="D3" s="728" t="s">
        <v>1647</v>
      </c>
      <c r="E3" s="728" t="s">
        <v>974</v>
      </c>
      <c r="F3" s="1046" t="s">
        <v>1803</v>
      </c>
      <c r="G3" s="1046" t="s">
        <v>1647</v>
      </c>
      <c r="H3" s="1048" t="s">
        <v>1802</v>
      </c>
      <c r="I3" s="1046" t="s">
        <v>1803</v>
      </c>
      <c r="J3" s="1046" t="s">
        <v>1647</v>
      </c>
      <c r="K3" s="1048" t="s">
        <v>1802</v>
      </c>
      <c r="L3" s="1046" t="s">
        <v>1803</v>
      </c>
    </row>
    <row r="4" spans="1:14" ht="18.399999999999999" customHeight="1" x14ac:dyDescent="0.3">
      <c r="A4" s="1145" t="s">
        <v>1701</v>
      </c>
      <c r="B4" s="1145"/>
      <c r="C4" s="1145"/>
      <c r="D4" s="1145"/>
      <c r="E4" s="1145"/>
      <c r="F4" s="1145"/>
      <c r="G4" s="939"/>
      <c r="H4" s="939"/>
      <c r="I4" s="939"/>
      <c r="J4" s="939"/>
      <c r="K4" s="939"/>
      <c r="L4" s="939"/>
    </row>
    <row r="5" spans="1:14" ht="18.399999999999999" customHeight="1" x14ac:dyDescent="0.3">
      <c r="A5" s="1135" t="s">
        <v>1784</v>
      </c>
      <c r="B5" s="1136"/>
      <c r="C5" s="1136"/>
      <c r="D5" s="1136"/>
      <c r="E5" s="1136"/>
      <c r="F5" s="1136"/>
      <c r="G5" s="1136"/>
      <c r="H5" s="1136"/>
      <c r="I5" s="1136"/>
      <c r="J5" s="1136"/>
      <c r="K5" s="1136"/>
      <c r="L5" s="1136"/>
    </row>
    <row r="6" spans="1:14" s="924" customFormat="1" ht="15.5" x14ac:dyDescent="0.35">
      <c r="A6" s="920"/>
      <c r="B6" s="921">
        <v>5112601</v>
      </c>
      <c r="C6" s="922" t="s">
        <v>1650</v>
      </c>
      <c r="D6" s="759">
        <v>574804000</v>
      </c>
      <c r="E6" s="759">
        <v>155196000</v>
      </c>
      <c r="F6" s="923">
        <v>730000000</v>
      </c>
      <c r="G6" s="759"/>
      <c r="H6" s="759">
        <v>11850020</v>
      </c>
      <c r="I6" s="923">
        <v>980000000</v>
      </c>
      <c r="J6" s="759"/>
      <c r="K6" s="759">
        <v>160000</v>
      </c>
      <c r="L6" s="923"/>
      <c r="M6" s="932"/>
      <c r="N6" s="1060"/>
    </row>
    <row r="7" spans="1:14" ht="15.5" x14ac:dyDescent="0.35">
      <c r="A7" s="749"/>
      <c r="B7" s="790">
        <v>5232602</v>
      </c>
      <c r="C7" s="750" t="s">
        <v>1651</v>
      </c>
      <c r="D7" s="751"/>
      <c r="E7" s="751"/>
      <c r="F7" s="786">
        <v>0</v>
      </c>
      <c r="G7" s="804"/>
      <c r="H7" s="804">
        <v>3352800</v>
      </c>
      <c r="I7" s="806">
        <v>39116000</v>
      </c>
      <c r="J7" s="804"/>
      <c r="K7" s="804"/>
      <c r="L7" s="806"/>
      <c r="M7" s="932"/>
      <c r="N7" s="1060"/>
    </row>
    <row r="8" spans="1:14" ht="15.5" x14ac:dyDescent="0.35">
      <c r="A8" s="749"/>
      <c r="B8" s="790">
        <v>5232603</v>
      </c>
      <c r="C8" s="750" t="s">
        <v>1652</v>
      </c>
      <c r="D8" s="751">
        <v>66930000</v>
      </c>
      <c r="E8" s="751">
        <v>18070000</v>
      </c>
      <c r="F8" s="786">
        <v>85000000</v>
      </c>
      <c r="G8" s="804"/>
      <c r="H8" s="804"/>
      <c r="I8" s="806"/>
      <c r="J8" s="759"/>
      <c r="K8" s="759"/>
      <c r="L8" s="806"/>
    </row>
    <row r="9" spans="1:14" ht="15.5" x14ac:dyDescent="0.35">
      <c r="A9" s="749"/>
      <c r="B9" s="790">
        <v>5232615</v>
      </c>
      <c r="C9" s="750" t="s">
        <v>1689</v>
      </c>
      <c r="D9" s="751">
        <v>78741000</v>
      </c>
      <c r="E9" s="751">
        <v>21259000</v>
      </c>
      <c r="F9" s="786">
        <v>100000000</v>
      </c>
      <c r="G9" s="804"/>
      <c r="H9" s="804"/>
      <c r="I9" s="806">
        <v>100000000</v>
      </c>
      <c r="J9" s="759"/>
      <c r="K9" s="759"/>
      <c r="L9" s="806"/>
      <c r="N9" s="1060"/>
    </row>
    <row r="10" spans="1:14" ht="15.5" x14ac:dyDescent="0.35">
      <c r="A10" s="749"/>
      <c r="B10" s="809">
        <v>5232640</v>
      </c>
      <c r="C10" s="750" t="s">
        <v>1785</v>
      </c>
      <c r="D10" s="804">
        <v>23623000</v>
      </c>
      <c r="E10" s="804">
        <v>6377000</v>
      </c>
      <c r="F10" s="806">
        <v>30000000</v>
      </c>
      <c r="G10" s="804"/>
      <c r="H10" s="804"/>
      <c r="I10" s="806">
        <v>30000000</v>
      </c>
      <c r="J10" s="759"/>
      <c r="K10" s="759"/>
      <c r="L10" s="806">
        <v>900000</v>
      </c>
      <c r="N10" s="1060"/>
    </row>
    <row r="11" spans="1:14" ht="15.5" x14ac:dyDescent="0.35">
      <c r="A11" s="749"/>
      <c r="B11" s="790">
        <v>5232613</v>
      </c>
      <c r="C11" s="754" t="s">
        <v>1656</v>
      </c>
      <c r="D11" s="751">
        <v>39371000</v>
      </c>
      <c r="E11" s="751">
        <v>10629000</v>
      </c>
      <c r="F11" s="786">
        <v>50000000</v>
      </c>
      <c r="G11" s="804"/>
      <c r="H11" s="804"/>
      <c r="I11" s="806">
        <v>64662150</v>
      </c>
      <c r="J11" s="759"/>
      <c r="K11" s="759"/>
      <c r="L11" s="1029"/>
      <c r="N11" s="1060"/>
    </row>
    <row r="12" spans="1:14" ht="15.5" x14ac:dyDescent="0.35">
      <c r="A12" s="749"/>
      <c r="B12" s="790">
        <v>5232610</v>
      </c>
      <c r="C12" s="750" t="s">
        <v>1660</v>
      </c>
      <c r="D12" s="751">
        <v>10315000</v>
      </c>
      <c r="E12" s="759">
        <v>2785000</v>
      </c>
      <c r="F12" s="786">
        <v>13100000</v>
      </c>
      <c r="G12" s="804"/>
      <c r="H12" s="759">
        <v>10541000</v>
      </c>
      <c r="I12" s="806">
        <v>3129000</v>
      </c>
      <c r="J12" s="759"/>
      <c r="K12" s="759"/>
      <c r="L12" s="806"/>
    </row>
    <row r="13" spans="1:14" ht="15.5" x14ac:dyDescent="0.35">
      <c r="A13" s="749"/>
      <c r="B13" s="790">
        <v>5232611</v>
      </c>
      <c r="C13" s="750" t="s">
        <v>1661</v>
      </c>
      <c r="D13" s="751">
        <v>9449000</v>
      </c>
      <c r="E13" s="759">
        <v>2551000</v>
      </c>
      <c r="F13" s="786">
        <v>12000000</v>
      </c>
      <c r="G13" s="804"/>
      <c r="H13" s="759">
        <v>12001500</v>
      </c>
      <c r="I13" s="806"/>
      <c r="J13" s="759"/>
      <c r="K13" s="759"/>
      <c r="L13" s="806"/>
    </row>
    <row r="14" spans="1:14" ht="15.5" x14ac:dyDescent="0.35">
      <c r="A14" s="749"/>
      <c r="B14" s="790">
        <v>5232612</v>
      </c>
      <c r="C14" s="750" t="s">
        <v>1715</v>
      </c>
      <c r="D14" s="751">
        <v>7875000</v>
      </c>
      <c r="E14" s="751">
        <v>2125000</v>
      </c>
      <c r="F14" s="786">
        <v>10000000</v>
      </c>
      <c r="G14" s="804"/>
      <c r="H14" s="804">
        <v>9334500</v>
      </c>
      <c r="I14" s="806">
        <v>665500</v>
      </c>
      <c r="J14" s="759"/>
      <c r="K14" s="759"/>
      <c r="L14" s="806"/>
    </row>
    <row r="15" spans="1:14" ht="15.5" hidden="1" x14ac:dyDescent="0.35">
      <c r="A15" s="749"/>
      <c r="B15" s="809"/>
      <c r="C15" s="750"/>
      <c r="D15" s="804"/>
      <c r="E15" s="804"/>
      <c r="F15" s="806"/>
      <c r="G15" s="804"/>
      <c r="H15" s="804"/>
      <c r="I15" s="806"/>
      <c r="J15" s="804"/>
      <c r="K15" s="804"/>
      <c r="L15" s="806"/>
    </row>
    <row r="16" spans="1:14" ht="15.5" hidden="1" x14ac:dyDescent="0.35">
      <c r="A16" s="749"/>
      <c r="B16" s="790">
        <v>5232604</v>
      </c>
      <c r="C16" s="750" t="s">
        <v>1653</v>
      </c>
      <c r="D16" s="751"/>
      <c r="E16" s="751"/>
      <c r="F16" s="786">
        <v>0</v>
      </c>
      <c r="G16" s="804"/>
      <c r="H16" s="804"/>
      <c r="I16" s="806"/>
      <c r="J16" s="804"/>
      <c r="K16" s="804"/>
      <c r="L16" s="806"/>
      <c r="M16" s="932"/>
    </row>
    <row r="17" spans="1:14" s="906" customFormat="1" ht="46.5" x14ac:dyDescent="0.35">
      <c r="A17" s="920"/>
      <c r="B17" s="921">
        <v>5112605</v>
      </c>
      <c r="C17" s="925" t="s">
        <v>1663</v>
      </c>
      <c r="D17" s="759"/>
      <c r="E17" s="759"/>
      <c r="F17" s="923">
        <v>0</v>
      </c>
      <c r="G17" s="759"/>
      <c r="H17" s="759"/>
      <c r="I17" s="923">
        <v>14995000</v>
      </c>
      <c r="J17" s="759"/>
      <c r="K17" s="759"/>
      <c r="L17" s="923"/>
      <c r="M17" s="942"/>
    </row>
    <row r="18" spans="1:14" ht="15.5" x14ac:dyDescent="0.35">
      <c r="A18" s="749"/>
      <c r="B18" s="790">
        <v>5232606</v>
      </c>
      <c r="C18" s="750" t="s">
        <v>1654</v>
      </c>
      <c r="D18" s="751">
        <v>4725000</v>
      </c>
      <c r="E18" s="751">
        <v>1275000</v>
      </c>
      <c r="F18" s="786">
        <v>6000000</v>
      </c>
      <c r="G18" s="804"/>
      <c r="H18" s="804"/>
      <c r="I18" s="806">
        <v>6000000</v>
      </c>
      <c r="J18" s="759"/>
      <c r="K18" s="759"/>
      <c r="L18" s="806"/>
    </row>
    <row r="19" spans="1:14" s="906" customFormat="1" ht="31" x14ac:dyDescent="0.35">
      <c r="A19" s="920"/>
      <c r="B19" s="921">
        <v>5101</v>
      </c>
      <c r="C19" s="925" t="s">
        <v>1648</v>
      </c>
      <c r="D19" s="759">
        <v>1575000</v>
      </c>
      <c r="E19" s="759">
        <v>425000</v>
      </c>
      <c r="F19" s="923">
        <v>2000000</v>
      </c>
      <c r="G19" s="759"/>
      <c r="H19" s="759"/>
      <c r="I19" s="923">
        <v>3193800</v>
      </c>
      <c r="J19" s="759"/>
      <c r="K19" s="759"/>
      <c r="L19" s="923"/>
      <c r="M19" s="942"/>
      <c r="N19" s="1060"/>
    </row>
    <row r="20" spans="1:14" s="906" customFormat="1" ht="31" hidden="1" x14ac:dyDescent="0.35">
      <c r="A20" s="920"/>
      <c r="B20" s="921">
        <v>5112608</v>
      </c>
      <c r="C20" s="925" t="s">
        <v>1724</v>
      </c>
      <c r="D20" s="759"/>
      <c r="E20" s="759"/>
      <c r="F20" s="923">
        <v>0</v>
      </c>
      <c r="G20" s="759"/>
      <c r="H20" s="759"/>
      <c r="I20" s="923"/>
      <c r="J20" s="759"/>
      <c r="K20" s="759"/>
      <c r="L20" s="923"/>
      <c r="M20" s="942"/>
    </row>
    <row r="21" spans="1:14" s="906" customFormat="1" ht="15.5" x14ac:dyDescent="0.35">
      <c r="A21" s="920"/>
      <c r="B21" s="921">
        <v>5112609</v>
      </c>
      <c r="C21" s="925" t="s">
        <v>1786</v>
      </c>
      <c r="D21" s="759"/>
      <c r="E21" s="759"/>
      <c r="F21" s="923">
        <v>0</v>
      </c>
      <c r="G21" s="759"/>
      <c r="H21" s="759"/>
      <c r="I21" s="923">
        <v>1244600</v>
      </c>
      <c r="J21" s="759"/>
      <c r="K21" s="759"/>
      <c r="L21" s="923"/>
      <c r="M21" s="942"/>
    </row>
    <row r="22" spans="1:14" ht="17.649999999999999" hidden="1" customHeight="1" x14ac:dyDescent="0.35">
      <c r="A22" s="749"/>
      <c r="B22" s="790">
        <v>5232614</v>
      </c>
      <c r="C22" s="754" t="s">
        <v>1725</v>
      </c>
      <c r="D22" s="751"/>
      <c r="E22" s="751"/>
      <c r="F22" s="786">
        <v>0</v>
      </c>
      <c r="G22" s="804"/>
      <c r="H22" s="804"/>
      <c r="I22" s="806"/>
      <c r="J22" s="804"/>
      <c r="K22" s="804"/>
      <c r="L22" s="806"/>
      <c r="M22" s="932"/>
    </row>
    <row r="23" spans="1:14" ht="17.649999999999999" hidden="1" customHeight="1" x14ac:dyDescent="0.35">
      <c r="A23" s="749"/>
      <c r="B23" s="748"/>
    </row>
    <row r="24" spans="1:14" ht="17.649999999999999" hidden="1" customHeight="1" x14ac:dyDescent="0.35">
      <c r="A24" s="749"/>
      <c r="B24" s="790">
        <v>5232616</v>
      </c>
      <c r="C24" s="750" t="s">
        <v>1659</v>
      </c>
      <c r="D24" s="751"/>
      <c r="E24" s="751"/>
      <c r="F24" s="786">
        <v>0</v>
      </c>
      <c r="G24" s="804"/>
      <c r="H24" s="804"/>
      <c r="I24" s="806"/>
      <c r="J24" s="804"/>
      <c r="K24" s="804"/>
      <c r="L24" s="923"/>
    </row>
    <row r="25" spans="1:14" s="906" customFormat="1" ht="15.5" hidden="1" x14ac:dyDescent="0.35">
      <c r="A25" s="920"/>
      <c r="B25" s="921">
        <v>5110</v>
      </c>
      <c r="C25" s="922" t="s">
        <v>1649</v>
      </c>
      <c r="D25" s="759"/>
      <c r="E25" s="759"/>
      <c r="F25" s="923">
        <v>0</v>
      </c>
      <c r="G25" s="759"/>
      <c r="H25" s="759"/>
      <c r="I25" s="923"/>
      <c r="J25" s="759"/>
      <c r="K25" s="759"/>
      <c r="L25" s="923"/>
      <c r="M25" s="942"/>
    </row>
    <row r="26" spans="1:14" s="906" customFormat="1" ht="15.5" x14ac:dyDescent="0.35">
      <c r="A26" s="920"/>
      <c r="B26" s="921">
        <v>5112618</v>
      </c>
      <c r="C26" s="922" t="s">
        <v>1716</v>
      </c>
      <c r="D26" s="759"/>
      <c r="E26" s="759"/>
      <c r="F26" s="923">
        <v>0</v>
      </c>
      <c r="G26" s="759"/>
      <c r="H26" s="759"/>
      <c r="I26" s="923">
        <v>702107</v>
      </c>
      <c r="J26" s="759"/>
      <c r="K26" s="759"/>
      <c r="L26" s="923"/>
      <c r="M26" s="942"/>
    </row>
    <row r="27" spans="1:14" s="906" customFormat="1" ht="15.5" x14ac:dyDescent="0.35">
      <c r="A27" s="920"/>
      <c r="B27" s="809">
        <v>5112708</v>
      </c>
      <c r="C27" s="805" t="s">
        <v>1681</v>
      </c>
      <c r="D27" s="759"/>
      <c r="E27" s="759"/>
      <c r="F27" s="923"/>
      <c r="G27" s="759"/>
      <c r="H27" s="759"/>
      <c r="I27" s="923">
        <v>591503</v>
      </c>
      <c r="J27" s="759"/>
      <c r="K27" s="759"/>
      <c r="L27" s="923">
        <v>591503</v>
      </c>
      <c r="M27" s="942"/>
    </row>
    <row r="28" spans="1:14" s="906" customFormat="1" ht="15.5" hidden="1" x14ac:dyDescent="0.35">
      <c r="A28" s="920"/>
      <c r="B28" s="921">
        <v>5112619</v>
      </c>
      <c r="C28" s="922" t="s">
        <v>1717</v>
      </c>
      <c r="D28" s="759"/>
      <c r="E28" s="759"/>
      <c r="F28" s="923">
        <v>0</v>
      </c>
      <c r="G28" s="759"/>
      <c r="H28" s="759"/>
      <c r="I28" s="923"/>
      <c r="J28" s="759"/>
      <c r="K28" s="759"/>
      <c r="L28" s="923"/>
      <c r="M28" s="942"/>
    </row>
    <row r="29" spans="1:14" s="906" customFormat="1" ht="15.5" hidden="1" x14ac:dyDescent="0.35">
      <c r="A29" s="920"/>
      <c r="B29" s="921">
        <v>5112620</v>
      </c>
      <c r="C29" s="922" t="s">
        <v>1718</v>
      </c>
      <c r="D29" s="759"/>
      <c r="E29" s="759"/>
      <c r="F29" s="923">
        <v>0</v>
      </c>
      <c r="G29" s="759"/>
      <c r="H29" s="759"/>
      <c r="I29" s="923"/>
      <c r="J29" s="759"/>
      <c r="K29" s="759"/>
      <c r="L29" s="923"/>
      <c r="M29" s="942"/>
    </row>
    <row r="30" spans="1:14" s="906" customFormat="1" ht="15.5" hidden="1" x14ac:dyDescent="0.35">
      <c r="A30" s="920"/>
      <c r="B30" s="921">
        <v>5112621</v>
      </c>
      <c r="C30" s="922" t="s">
        <v>1719</v>
      </c>
      <c r="D30" s="759"/>
      <c r="E30" s="759"/>
      <c r="F30" s="923">
        <v>0</v>
      </c>
      <c r="G30" s="759"/>
      <c r="H30" s="759"/>
      <c r="I30" s="923"/>
      <c r="J30" s="759"/>
      <c r="K30" s="759"/>
      <c r="L30" s="923"/>
      <c r="M30" s="942"/>
    </row>
    <row r="31" spans="1:14" s="906" customFormat="1" ht="15.5" hidden="1" x14ac:dyDescent="0.35">
      <c r="A31" s="920"/>
      <c r="B31" s="921">
        <v>5112622</v>
      </c>
      <c r="C31" s="922" t="s">
        <v>1720</v>
      </c>
      <c r="D31" s="759"/>
      <c r="E31" s="759"/>
      <c r="F31" s="923">
        <v>0</v>
      </c>
      <c r="G31" s="759"/>
      <c r="H31" s="759"/>
      <c r="I31" s="923"/>
      <c r="J31" s="759"/>
      <c r="K31" s="759"/>
      <c r="L31" s="923"/>
      <c r="M31" s="942"/>
    </row>
    <row r="32" spans="1:14" s="906" customFormat="1" ht="15.5" hidden="1" x14ac:dyDescent="0.35">
      <c r="A32" s="920"/>
      <c r="B32" s="921">
        <v>5112623</v>
      </c>
      <c r="C32" s="922" t="s">
        <v>1721</v>
      </c>
      <c r="D32" s="759"/>
      <c r="E32" s="759"/>
      <c r="F32" s="923">
        <v>0</v>
      </c>
      <c r="G32" s="759"/>
      <c r="H32" s="759"/>
      <c r="I32" s="923"/>
      <c r="J32" s="759"/>
      <c r="K32" s="759"/>
      <c r="L32" s="923"/>
      <c r="M32" s="942"/>
    </row>
    <row r="33" spans="1:14" ht="15.5" hidden="1" x14ac:dyDescent="0.35">
      <c r="A33" s="749"/>
      <c r="B33" s="790">
        <v>5232624</v>
      </c>
      <c r="C33" s="750" t="s">
        <v>1665</v>
      </c>
      <c r="D33" s="751"/>
      <c r="E33" s="751"/>
      <c r="F33" s="786">
        <v>0</v>
      </c>
      <c r="G33" s="804"/>
      <c r="H33" s="804"/>
      <c r="I33" s="806"/>
      <c r="J33" s="804"/>
      <c r="K33" s="804"/>
      <c r="L33" s="806"/>
      <c r="M33" s="932"/>
    </row>
    <row r="34" spans="1:14" ht="15.5" hidden="1" x14ac:dyDescent="0.35">
      <c r="A34" s="749"/>
      <c r="B34" s="790">
        <v>5232625</v>
      </c>
      <c r="C34" s="753" t="s">
        <v>1684</v>
      </c>
      <c r="D34" s="751"/>
      <c r="E34" s="751"/>
      <c r="F34" s="786">
        <v>0</v>
      </c>
      <c r="G34" s="804"/>
      <c r="H34" s="804"/>
      <c r="I34" s="806"/>
      <c r="J34" s="804"/>
      <c r="K34" s="804"/>
      <c r="L34" s="806"/>
      <c r="M34" s="932"/>
    </row>
    <row r="35" spans="1:14" s="906" customFormat="1" ht="31" x14ac:dyDescent="0.35">
      <c r="A35" s="920"/>
      <c r="B35" s="921">
        <v>5112628</v>
      </c>
      <c r="C35" s="925" t="s">
        <v>1735</v>
      </c>
      <c r="D35" s="759"/>
      <c r="E35" s="759"/>
      <c r="F35" s="923">
        <v>0</v>
      </c>
      <c r="G35" s="759"/>
      <c r="H35" s="759"/>
      <c r="I35" s="923">
        <v>533400</v>
      </c>
      <c r="J35" s="759"/>
      <c r="K35" s="759"/>
      <c r="L35" s="923"/>
      <c r="M35" s="942"/>
    </row>
    <row r="36" spans="1:14" s="906" customFormat="1" ht="15.5" hidden="1" x14ac:dyDescent="0.35">
      <c r="A36" s="920"/>
      <c r="B36" s="921">
        <v>5112629</v>
      </c>
      <c r="C36" s="925" t="s">
        <v>1736</v>
      </c>
      <c r="D36" s="759"/>
      <c r="E36" s="759"/>
      <c r="F36" s="923"/>
      <c r="G36" s="759"/>
      <c r="H36" s="759"/>
      <c r="I36" s="923"/>
      <c r="J36" s="759"/>
      <c r="K36" s="759"/>
      <c r="L36" s="923"/>
      <c r="M36" s="942"/>
    </row>
    <row r="37" spans="1:14" s="906" customFormat="1" ht="15.5" hidden="1" x14ac:dyDescent="0.35">
      <c r="A37" s="920"/>
      <c r="B37" s="921">
        <v>5112630</v>
      </c>
      <c r="C37" s="925" t="s">
        <v>1737</v>
      </c>
      <c r="D37" s="759"/>
      <c r="E37" s="759"/>
      <c r="F37" s="923"/>
      <c r="G37" s="759"/>
      <c r="H37" s="759"/>
      <c r="I37" s="923"/>
      <c r="J37" s="759"/>
      <c r="K37" s="759"/>
      <c r="L37" s="923"/>
      <c r="M37" s="942"/>
    </row>
    <row r="38" spans="1:14" s="906" customFormat="1" ht="15.5" hidden="1" x14ac:dyDescent="0.35">
      <c r="A38" s="920"/>
      <c r="B38" s="921">
        <v>5112631</v>
      </c>
      <c r="C38" s="925" t="s">
        <v>1738</v>
      </c>
      <c r="D38" s="759"/>
      <c r="E38" s="759"/>
      <c r="F38" s="923"/>
      <c r="G38" s="759"/>
      <c r="H38" s="759"/>
      <c r="I38" s="923"/>
      <c r="J38" s="759"/>
      <c r="K38" s="759"/>
      <c r="L38" s="923"/>
      <c r="M38" s="932"/>
      <c r="N38" s="924"/>
    </row>
    <row r="39" spans="1:14" s="906" customFormat="1" ht="15.5" x14ac:dyDescent="0.35">
      <c r="A39" s="920"/>
      <c r="B39" s="921">
        <v>5112632</v>
      </c>
      <c r="C39" s="925" t="s">
        <v>1739</v>
      </c>
      <c r="D39" s="759"/>
      <c r="E39" s="759"/>
      <c r="F39" s="923"/>
      <c r="G39" s="759"/>
      <c r="H39" s="759"/>
      <c r="I39" s="923">
        <v>43279822</v>
      </c>
      <c r="J39" s="759"/>
      <c r="K39" s="759"/>
      <c r="L39" s="923">
        <v>12128500</v>
      </c>
      <c r="M39" s="932"/>
      <c r="N39" s="1060"/>
    </row>
    <row r="40" spans="1:14" ht="15.5" hidden="1" x14ac:dyDescent="0.35">
      <c r="A40" s="749"/>
      <c r="B40" s="809">
        <v>5110</v>
      </c>
      <c r="C40" s="753" t="s">
        <v>1740</v>
      </c>
      <c r="D40" s="751"/>
      <c r="E40" s="751"/>
      <c r="F40" s="786"/>
      <c r="G40" s="804"/>
      <c r="H40" s="804"/>
      <c r="I40" s="806"/>
      <c r="J40" s="804"/>
      <c r="K40" s="804"/>
      <c r="L40" s="806"/>
    </row>
    <row r="41" spans="1:14" ht="15.5" hidden="1" x14ac:dyDescent="0.35">
      <c r="A41" s="749"/>
      <c r="B41" s="809">
        <v>5232633</v>
      </c>
      <c r="C41" s="753" t="s">
        <v>1741</v>
      </c>
      <c r="D41" s="751"/>
      <c r="E41" s="751"/>
      <c r="F41" s="786"/>
      <c r="G41" s="804"/>
      <c r="H41" s="804"/>
      <c r="I41" s="806"/>
      <c r="J41" s="804"/>
      <c r="K41" s="804"/>
      <c r="L41" s="806"/>
      <c r="M41" s="932"/>
    </row>
    <row r="42" spans="1:14" ht="15.5" hidden="1" x14ac:dyDescent="0.35">
      <c r="A42" s="749"/>
      <c r="B42" s="809">
        <v>5232634</v>
      </c>
      <c r="C42" s="753" t="s">
        <v>1742</v>
      </c>
      <c r="D42" s="751"/>
      <c r="E42" s="751"/>
      <c r="F42" s="786"/>
      <c r="G42" s="804"/>
      <c r="H42" s="804"/>
      <c r="I42" s="806"/>
      <c r="J42" s="804"/>
      <c r="K42" s="804"/>
      <c r="L42" s="806"/>
      <c r="M42" s="932"/>
    </row>
    <row r="43" spans="1:14" ht="15.5" x14ac:dyDescent="0.35">
      <c r="A43" s="749"/>
      <c r="B43" s="809">
        <v>5232626</v>
      </c>
      <c r="C43" s="753" t="s">
        <v>1806</v>
      </c>
      <c r="D43" s="751"/>
      <c r="E43" s="751"/>
      <c r="F43" s="786"/>
      <c r="G43" s="804"/>
      <c r="H43" s="804">
        <v>2222000</v>
      </c>
      <c r="I43" s="806">
        <v>11742100</v>
      </c>
      <c r="J43" s="804"/>
      <c r="K43" s="804"/>
      <c r="L43" s="806">
        <v>5354000</v>
      </c>
      <c r="N43" s="1060"/>
    </row>
    <row r="44" spans="1:14" ht="15.5" hidden="1" x14ac:dyDescent="0.35">
      <c r="A44" s="749"/>
      <c r="B44" s="790">
        <v>5232635</v>
      </c>
      <c r="C44" s="753" t="s">
        <v>1749</v>
      </c>
      <c r="D44" s="751"/>
      <c r="E44" s="751"/>
      <c r="F44" s="786"/>
      <c r="G44" s="804"/>
      <c r="H44" s="804"/>
      <c r="I44" s="806"/>
      <c r="J44" s="804"/>
      <c r="K44" s="804"/>
      <c r="L44" s="806"/>
    </row>
    <row r="45" spans="1:14" s="906" customFormat="1" ht="15.5" hidden="1" x14ac:dyDescent="0.35">
      <c r="A45" s="920"/>
      <c r="B45" s="921">
        <v>5112636</v>
      </c>
      <c r="C45" s="925" t="s">
        <v>1750</v>
      </c>
      <c r="D45" s="759"/>
      <c r="E45" s="759"/>
      <c r="F45" s="923"/>
      <c r="G45" s="759"/>
      <c r="H45" s="759"/>
      <c r="I45" s="923"/>
      <c r="J45" s="759"/>
      <c r="K45" s="759"/>
      <c r="L45" s="923"/>
      <c r="M45" s="932"/>
    </row>
    <row r="46" spans="1:14" s="906" customFormat="1" ht="15.5" x14ac:dyDescent="0.35">
      <c r="A46" s="920"/>
      <c r="B46" s="921">
        <v>5112637</v>
      </c>
      <c r="C46" s="925" t="s">
        <v>1753</v>
      </c>
      <c r="D46" s="759"/>
      <c r="E46" s="759"/>
      <c r="F46" s="923"/>
      <c r="G46" s="759"/>
      <c r="H46" s="759">
        <v>3291523</v>
      </c>
      <c r="I46" s="923">
        <v>1324677</v>
      </c>
      <c r="J46" s="759"/>
      <c r="K46" s="759">
        <v>1041400</v>
      </c>
      <c r="L46" s="923">
        <v>788548</v>
      </c>
      <c r="M46" s="932"/>
      <c r="N46" s="1060"/>
    </row>
    <row r="47" spans="1:14" s="915" customFormat="1" ht="31" hidden="1" x14ac:dyDescent="0.35">
      <c r="A47" s="920"/>
      <c r="B47" s="921">
        <v>5232626</v>
      </c>
      <c r="C47" s="925" t="s">
        <v>1755</v>
      </c>
      <c r="D47" s="759"/>
      <c r="E47" s="759"/>
      <c r="F47" s="923"/>
      <c r="G47" s="759"/>
      <c r="H47" s="759"/>
      <c r="I47" s="923"/>
      <c r="J47" s="759"/>
      <c r="K47" s="759"/>
      <c r="L47" s="923"/>
      <c r="M47" s="943"/>
      <c r="N47" s="929"/>
    </row>
    <row r="48" spans="1:14" ht="15.5" hidden="1" x14ac:dyDescent="0.35">
      <c r="A48" s="749"/>
      <c r="B48" s="790">
        <v>5232627</v>
      </c>
      <c r="C48" s="753" t="s">
        <v>1754</v>
      </c>
      <c r="D48" s="751"/>
      <c r="E48" s="751"/>
      <c r="F48" s="786"/>
      <c r="G48" s="804"/>
      <c r="H48" s="804"/>
      <c r="I48" s="806"/>
      <c r="J48" s="804"/>
      <c r="K48" s="804"/>
      <c r="L48" s="806"/>
      <c r="M48" s="932"/>
    </row>
    <row r="49" spans="1:14" s="906" customFormat="1" ht="15.5" x14ac:dyDescent="0.35">
      <c r="A49" s="920"/>
      <c r="B49" s="921">
        <v>5112638</v>
      </c>
      <c r="C49" s="925" t="s">
        <v>1757</v>
      </c>
      <c r="D49" s="759"/>
      <c r="E49" s="759"/>
      <c r="F49" s="923"/>
      <c r="G49" s="759"/>
      <c r="H49" s="759"/>
      <c r="I49" s="923">
        <v>843250</v>
      </c>
      <c r="J49" s="759"/>
      <c r="K49" s="759"/>
      <c r="L49" s="923">
        <v>603250</v>
      </c>
      <c r="M49" s="932"/>
    </row>
    <row r="50" spans="1:14" ht="15.5" x14ac:dyDescent="0.35">
      <c r="A50" s="749"/>
      <c r="B50" s="916">
        <v>5103</v>
      </c>
      <c r="C50" s="805" t="s">
        <v>1820</v>
      </c>
      <c r="D50" s="804"/>
      <c r="E50" s="804"/>
      <c r="F50" s="804"/>
      <c r="G50" s="804"/>
      <c r="H50" s="804"/>
      <c r="I50" s="806">
        <v>27927</v>
      </c>
      <c r="J50" s="804"/>
      <c r="K50" s="804"/>
      <c r="L50" s="806">
        <v>27927</v>
      </c>
    </row>
    <row r="51" spans="1:14" ht="15.5" x14ac:dyDescent="0.35">
      <c r="A51" s="749"/>
      <c r="B51" s="916">
        <v>5104</v>
      </c>
      <c r="C51" s="805" t="s">
        <v>648</v>
      </c>
      <c r="D51" s="804"/>
      <c r="E51" s="804"/>
      <c r="F51" s="804"/>
      <c r="G51" s="804"/>
      <c r="H51" s="804"/>
      <c r="I51" s="806">
        <v>29210</v>
      </c>
      <c r="J51" s="804"/>
      <c r="K51" s="804"/>
      <c r="L51" s="806">
        <v>29210</v>
      </c>
    </row>
    <row r="52" spans="1:14" ht="15.5" x14ac:dyDescent="0.35">
      <c r="A52" s="749"/>
      <c r="B52" s="916">
        <v>5111</v>
      </c>
      <c r="C52" s="805" t="s">
        <v>693</v>
      </c>
      <c r="D52" s="804"/>
      <c r="E52" s="804"/>
      <c r="F52" s="804"/>
      <c r="G52" s="804"/>
      <c r="H52" s="804"/>
      <c r="I52" s="806">
        <v>4257561</v>
      </c>
      <c r="J52" s="804"/>
      <c r="K52" s="804"/>
      <c r="L52" s="806">
        <v>1858779</v>
      </c>
    </row>
    <row r="53" spans="1:14" ht="15.5" x14ac:dyDescent="0.35">
      <c r="A53" s="749"/>
      <c r="B53" s="916">
        <v>5112626</v>
      </c>
      <c r="C53" s="805" t="s">
        <v>1137</v>
      </c>
      <c r="D53" s="804"/>
      <c r="E53" s="804"/>
      <c r="F53" s="804"/>
      <c r="G53" s="804"/>
      <c r="H53" s="804">
        <v>929894</v>
      </c>
      <c r="I53" s="806">
        <v>2164500</v>
      </c>
      <c r="J53" s="804"/>
      <c r="K53" s="804"/>
      <c r="L53" s="806"/>
    </row>
    <row r="54" spans="1:14" s="906" customFormat="1" ht="15.5" x14ac:dyDescent="0.35">
      <c r="A54" s="920"/>
      <c r="B54" s="921">
        <v>5112639</v>
      </c>
      <c r="C54" s="926" t="s">
        <v>1764</v>
      </c>
      <c r="D54" s="759"/>
      <c r="E54" s="759"/>
      <c r="F54" s="759"/>
      <c r="G54" s="759"/>
      <c r="H54" s="759"/>
      <c r="I54" s="923">
        <v>10655300</v>
      </c>
      <c r="J54" s="759"/>
      <c r="K54" s="759"/>
      <c r="L54" s="923"/>
      <c r="M54" s="932"/>
      <c r="N54" s="1060"/>
    </row>
    <row r="55" spans="1:14" s="906" customFormat="1" ht="15.5" x14ac:dyDescent="0.35">
      <c r="A55" s="920"/>
      <c r="B55" s="921">
        <v>5232639</v>
      </c>
      <c r="C55" s="926" t="s">
        <v>1768</v>
      </c>
      <c r="D55" s="759"/>
      <c r="E55" s="759"/>
      <c r="F55" s="759"/>
      <c r="G55" s="759"/>
      <c r="H55" s="759"/>
      <c r="I55" s="923">
        <v>3988816</v>
      </c>
      <c r="J55" s="759"/>
      <c r="K55" s="759"/>
      <c r="L55" s="923"/>
      <c r="M55" s="932"/>
      <c r="N55" s="924"/>
    </row>
    <row r="56" spans="1:14" s="906" customFormat="1" ht="15.5" x14ac:dyDescent="0.35">
      <c r="A56" s="920"/>
      <c r="B56" s="921">
        <v>5112640</v>
      </c>
      <c r="C56" s="926" t="s">
        <v>1801</v>
      </c>
      <c r="D56" s="759"/>
      <c r="E56" s="759"/>
      <c r="F56" s="759"/>
      <c r="G56" s="759"/>
      <c r="H56" s="759"/>
      <c r="I56" s="923">
        <v>4343400</v>
      </c>
      <c r="J56" s="759"/>
      <c r="K56" s="759"/>
      <c r="L56" s="923"/>
      <c r="M56" s="932"/>
      <c r="N56" s="1060"/>
    </row>
    <row r="57" spans="1:14" s="906" customFormat="1" ht="15.5" x14ac:dyDescent="0.35">
      <c r="A57" s="920"/>
      <c r="B57" s="921">
        <v>5232641</v>
      </c>
      <c r="C57" s="926" t="s">
        <v>1808</v>
      </c>
      <c r="D57" s="759"/>
      <c r="E57" s="759"/>
      <c r="F57" s="759"/>
      <c r="G57" s="759"/>
      <c r="H57" s="759"/>
      <c r="I57" s="923">
        <v>6781800</v>
      </c>
      <c r="J57" s="759"/>
      <c r="K57" s="759"/>
      <c r="L57" s="923">
        <v>6781800</v>
      </c>
      <c r="M57" s="932"/>
      <c r="N57" s="1060"/>
    </row>
    <row r="58" spans="1:14" s="906" customFormat="1" ht="15.5" x14ac:dyDescent="0.35">
      <c r="A58" s="920"/>
      <c r="B58" s="921">
        <v>5232642</v>
      </c>
      <c r="C58" s="926" t="s">
        <v>1809</v>
      </c>
      <c r="D58" s="759"/>
      <c r="E58" s="759"/>
      <c r="F58" s="759"/>
      <c r="G58" s="759"/>
      <c r="H58" s="759"/>
      <c r="I58" s="923">
        <v>2000000</v>
      </c>
      <c r="J58" s="759"/>
      <c r="K58" s="759"/>
      <c r="L58" s="923"/>
      <c r="M58" s="932"/>
      <c r="N58" s="924"/>
    </row>
    <row r="59" spans="1:14" s="906" customFormat="1" ht="15.5" x14ac:dyDescent="0.35">
      <c r="A59" s="920"/>
      <c r="B59" s="921">
        <v>5251</v>
      </c>
      <c r="C59" s="926" t="s">
        <v>1810</v>
      </c>
      <c r="D59" s="759"/>
      <c r="E59" s="759"/>
      <c r="F59" s="759"/>
      <c r="G59" s="759"/>
      <c r="H59" s="759"/>
      <c r="I59" s="923">
        <v>89000</v>
      </c>
      <c r="J59" s="759"/>
      <c r="K59" s="759"/>
      <c r="L59" s="923"/>
      <c r="M59" s="932"/>
      <c r="N59" s="924"/>
    </row>
    <row r="60" spans="1:14" s="906" customFormat="1" ht="15.5" x14ac:dyDescent="0.35">
      <c r="A60" s="920"/>
      <c r="B60" s="921">
        <v>52</v>
      </c>
      <c r="C60" s="926" t="s">
        <v>1817</v>
      </c>
      <c r="D60" s="759"/>
      <c r="E60" s="759"/>
      <c r="F60" s="759"/>
      <c r="G60" s="759"/>
      <c r="H60" s="759"/>
      <c r="I60" s="923">
        <v>7000000</v>
      </c>
      <c r="J60" s="759"/>
      <c r="K60" s="759"/>
      <c r="L60" s="923"/>
      <c r="M60" s="932"/>
      <c r="N60" s="1060"/>
    </row>
    <row r="61" spans="1:14" s="906" customFormat="1" ht="32.15" customHeight="1" x14ac:dyDescent="0.35">
      <c r="A61" s="920"/>
      <c r="B61" s="921">
        <v>51</v>
      </c>
      <c r="C61" s="926" t="s">
        <v>1818</v>
      </c>
      <c r="D61" s="759"/>
      <c r="E61" s="759"/>
      <c r="F61" s="759"/>
      <c r="G61" s="759"/>
      <c r="H61" s="759"/>
      <c r="I61" s="923">
        <v>40000000</v>
      </c>
      <c r="J61" s="759"/>
      <c r="K61" s="759"/>
      <c r="L61" s="923"/>
      <c r="M61" s="932"/>
      <c r="N61" s="1060"/>
    </row>
    <row r="62" spans="1:14" ht="15.5" x14ac:dyDescent="0.35">
      <c r="A62" s="755"/>
      <c r="C62" s="756" t="s">
        <v>1657</v>
      </c>
      <c r="D62" s="757">
        <f>SUM(D6:D54)</f>
        <v>817408000</v>
      </c>
      <c r="E62" s="757">
        <f>SUM(E6:E54)</f>
        <v>220692000</v>
      </c>
      <c r="F62" s="757">
        <v>1038100000</v>
      </c>
      <c r="G62" s="757">
        <v>0</v>
      </c>
      <c r="H62" s="758"/>
      <c r="I62" s="757">
        <f>SUM(I6:I61)</f>
        <v>1383360423</v>
      </c>
      <c r="J62" s="757">
        <f>SUM(J6:J54)</f>
        <v>0</v>
      </c>
      <c r="K62" s="758"/>
      <c r="L62" s="757">
        <f>SUM(L6:L61)</f>
        <v>29063517</v>
      </c>
      <c r="N62" s="752"/>
    </row>
    <row r="63" spans="1:14" ht="16.5" x14ac:dyDescent="0.35">
      <c r="A63" s="755"/>
      <c r="C63" s="755"/>
      <c r="D63" s="758"/>
      <c r="E63" s="758"/>
      <c r="F63" s="787"/>
      <c r="G63" s="758"/>
      <c r="H63" s="758"/>
      <c r="I63" s="787"/>
      <c r="J63" s="758"/>
      <c r="K63" s="758"/>
      <c r="L63" s="807"/>
    </row>
    <row r="64" spans="1:14" ht="35.15" customHeight="1" x14ac:dyDescent="0.3">
      <c r="A64" s="1137" t="s">
        <v>1702</v>
      </c>
      <c r="B64" s="1138"/>
      <c r="C64" s="1139"/>
      <c r="D64" s="1047"/>
      <c r="E64" s="1047"/>
      <c r="F64" s="1046" t="s">
        <v>1804</v>
      </c>
      <c r="G64" s="1046" t="s">
        <v>1647</v>
      </c>
      <c r="H64" s="1048" t="s">
        <v>1802</v>
      </c>
      <c r="I64" s="1046" t="s">
        <v>1804</v>
      </c>
      <c r="J64" s="1046" t="s">
        <v>1647</v>
      </c>
      <c r="K64" s="1048" t="s">
        <v>1802</v>
      </c>
      <c r="L64" s="1046" t="s">
        <v>1804</v>
      </c>
    </row>
    <row r="65" spans="1:14" ht="15.5" x14ac:dyDescent="0.35">
      <c r="A65" s="749" t="s">
        <v>311</v>
      </c>
      <c r="B65" s="790">
        <v>5120</v>
      </c>
      <c r="C65" s="750" t="s">
        <v>1662</v>
      </c>
      <c r="D65" s="751"/>
      <c r="E65" s="759"/>
      <c r="F65" s="786">
        <f t="shared" ref="F65" si="0">+D65+E65</f>
        <v>0</v>
      </c>
      <c r="G65" s="804">
        <v>0</v>
      </c>
      <c r="H65" s="759">
        <v>0</v>
      </c>
      <c r="I65" s="798">
        <v>0</v>
      </c>
      <c r="J65" s="804"/>
      <c r="K65" s="759"/>
      <c r="L65" s="798"/>
    </row>
    <row r="66" spans="1:14" ht="15.5" x14ac:dyDescent="0.35">
      <c r="A66" s="749" t="s">
        <v>322</v>
      </c>
      <c r="B66" s="790">
        <v>5112702</v>
      </c>
      <c r="C66" s="750" t="s">
        <v>1723</v>
      </c>
      <c r="D66" s="751"/>
      <c r="E66" s="759"/>
      <c r="F66" s="806">
        <v>51346659</v>
      </c>
      <c r="G66" s="804"/>
      <c r="H66" s="759">
        <v>584200</v>
      </c>
      <c r="I66" s="786">
        <v>51346659</v>
      </c>
      <c r="J66" s="804"/>
      <c r="K66" s="759">
        <v>584200</v>
      </c>
      <c r="L66" s="806">
        <v>23075680</v>
      </c>
    </row>
    <row r="67" spans="1:14" ht="15.5" x14ac:dyDescent="0.35">
      <c r="A67" s="749" t="s">
        <v>315</v>
      </c>
      <c r="B67" s="790">
        <v>5112703</v>
      </c>
      <c r="C67" s="750" t="s">
        <v>1685</v>
      </c>
      <c r="D67" s="751"/>
      <c r="E67" s="759"/>
      <c r="F67" s="786">
        <v>0</v>
      </c>
      <c r="G67" s="804"/>
      <c r="H67" s="759"/>
      <c r="I67" s="786"/>
      <c r="J67" s="804"/>
      <c r="K67" s="759"/>
      <c r="L67" s="806"/>
    </row>
    <row r="68" spans="1:14" ht="15.5" x14ac:dyDescent="0.35">
      <c r="A68" s="749" t="s">
        <v>336</v>
      </c>
      <c r="B68" s="790">
        <v>5112704</v>
      </c>
      <c r="C68" s="750" t="s">
        <v>1686</v>
      </c>
      <c r="D68" s="751"/>
      <c r="E68" s="759"/>
      <c r="F68" s="786">
        <v>56209659</v>
      </c>
      <c r="G68" s="804"/>
      <c r="H68" s="759"/>
      <c r="I68" s="786">
        <v>56209659</v>
      </c>
      <c r="J68" s="804"/>
      <c r="K68" s="759"/>
      <c r="L68" s="806"/>
    </row>
    <row r="69" spans="1:14" ht="15.5" x14ac:dyDescent="0.35">
      <c r="A69" s="749" t="s">
        <v>338</v>
      </c>
      <c r="B69" s="790">
        <v>5112705</v>
      </c>
      <c r="C69" s="754" t="s">
        <v>1503</v>
      </c>
      <c r="D69" s="751"/>
      <c r="E69" s="759"/>
      <c r="F69" s="786">
        <v>0</v>
      </c>
      <c r="G69" s="804"/>
      <c r="H69" s="759"/>
      <c r="I69" s="786">
        <v>6136650</v>
      </c>
      <c r="J69" s="804"/>
      <c r="K69" s="759"/>
      <c r="L69" s="806">
        <v>6136650</v>
      </c>
    </row>
    <row r="70" spans="1:14" ht="15.5" x14ac:dyDescent="0.35">
      <c r="A70" s="749" t="s">
        <v>556</v>
      </c>
      <c r="B70" s="790">
        <v>5112706</v>
      </c>
      <c r="C70" s="754" t="s">
        <v>1655</v>
      </c>
      <c r="D70" s="751"/>
      <c r="E70" s="759"/>
      <c r="F70" s="786">
        <v>0</v>
      </c>
      <c r="G70" s="804"/>
      <c r="H70" s="759"/>
      <c r="I70" s="786"/>
      <c r="J70" s="804"/>
      <c r="K70" s="759"/>
      <c r="L70" s="806"/>
    </row>
    <row r="71" spans="1:14" ht="15.5" x14ac:dyDescent="0.35">
      <c r="A71" s="749" t="s">
        <v>558</v>
      </c>
      <c r="B71" s="790">
        <v>5112707</v>
      </c>
      <c r="C71" s="754" t="s">
        <v>1679</v>
      </c>
      <c r="D71" s="751"/>
      <c r="E71" s="759"/>
      <c r="F71" s="786">
        <v>0</v>
      </c>
      <c r="G71" s="804"/>
      <c r="H71" s="759"/>
      <c r="I71" s="786"/>
      <c r="J71" s="804"/>
      <c r="K71" s="759"/>
      <c r="L71" s="806"/>
    </row>
    <row r="72" spans="1:14" ht="15.5" x14ac:dyDescent="0.35">
      <c r="A72" s="749" t="s">
        <v>560</v>
      </c>
      <c r="B72" s="790">
        <v>5112708</v>
      </c>
      <c r="C72" s="754" t="s">
        <v>1681</v>
      </c>
      <c r="D72" s="751"/>
      <c r="E72" s="759"/>
      <c r="F72" s="786">
        <v>0</v>
      </c>
      <c r="G72" s="804"/>
      <c r="H72" s="759">
        <v>955789</v>
      </c>
      <c r="I72" s="786"/>
      <c r="J72" s="804"/>
      <c r="K72" s="759">
        <v>955789</v>
      </c>
      <c r="L72" s="806"/>
    </row>
    <row r="73" spans="1:14" ht="15.5" x14ac:dyDescent="0.35">
      <c r="A73" s="749" t="s">
        <v>561</v>
      </c>
      <c r="B73" s="790">
        <v>5112709</v>
      </c>
      <c r="C73" s="754" t="s">
        <v>1680</v>
      </c>
      <c r="D73" s="751"/>
      <c r="E73" s="759"/>
      <c r="F73" s="786">
        <v>0</v>
      </c>
      <c r="G73" s="804"/>
      <c r="H73" s="759"/>
      <c r="I73" s="786"/>
      <c r="J73" s="804"/>
      <c r="K73" s="759"/>
      <c r="L73" s="806"/>
    </row>
    <row r="74" spans="1:14" ht="15.5" x14ac:dyDescent="0.35">
      <c r="A74" s="749" t="s">
        <v>563</v>
      </c>
      <c r="B74" s="809">
        <v>5112711</v>
      </c>
      <c r="C74" s="926" t="s">
        <v>1807</v>
      </c>
      <c r="D74" s="804"/>
      <c r="E74" s="759"/>
      <c r="F74" s="806"/>
      <c r="G74" s="804"/>
      <c r="H74" s="759"/>
      <c r="I74" s="806">
        <v>17780000</v>
      </c>
      <c r="J74" s="804"/>
      <c r="K74" s="759"/>
      <c r="L74" s="806">
        <v>7607300</v>
      </c>
      <c r="N74" s="1060"/>
    </row>
    <row r="75" spans="1:14" ht="15.5" x14ac:dyDescent="0.35">
      <c r="A75" s="749"/>
      <c r="B75" s="809">
        <v>5112713</v>
      </c>
      <c r="C75" s="805" t="s">
        <v>1752</v>
      </c>
      <c r="D75" s="804"/>
      <c r="E75" s="759"/>
      <c r="F75" s="806"/>
      <c r="G75" s="804"/>
      <c r="H75" s="759"/>
      <c r="I75" s="806">
        <v>16515969</v>
      </c>
      <c r="J75" s="804"/>
      <c r="K75" s="759"/>
      <c r="L75" s="806"/>
      <c r="N75" s="1060"/>
    </row>
    <row r="76" spans="1:14" ht="15.5" x14ac:dyDescent="0.35">
      <c r="A76" s="749" t="s">
        <v>565</v>
      </c>
      <c r="B76" s="790">
        <v>5112710</v>
      </c>
      <c r="C76" s="754" t="s">
        <v>1682</v>
      </c>
      <c r="D76" s="751"/>
      <c r="E76" s="751"/>
      <c r="F76" s="786">
        <v>0</v>
      </c>
      <c r="G76" s="804"/>
      <c r="H76" s="804"/>
      <c r="I76" s="786"/>
      <c r="J76" s="804"/>
      <c r="K76" s="804"/>
      <c r="L76" s="806"/>
    </row>
    <row r="77" spans="1:14" ht="15.5" x14ac:dyDescent="0.35">
      <c r="A77" s="749" t="s">
        <v>566</v>
      </c>
      <c r="B77" s="790">
        <v>5112626</v>
      </c>
      <c r="C77" s="754" t="s">
        <v>1744</v>
      </c>
      <c r="D77" s="751"/>
      <c r="E77" s="751"/>
      <c r="F77" s="786"/>
      <c r="G77" s="804"/>
      <c r="H77" s="804"/>
      <c r="I77" s="786"/>
      <c r="J77" s="804"/>
      <c r="K77" s="804"/>
      <c r="L77" s="806"/>
    </row>
    <row r="78" spans="1:14" s="906" customFormat="1" ht="31" x14ac:dyDescent="0.35">
      <c r="A78" s="920" t="s">
        <v>568</v>
      </c>
      <c r="B78" s="921">
        <v>5112628</v>
      </c>
      <c r="C78" s="925" t="s">
        <v>1735</v>
      </c>
      <c r="D78" s="759"/>
      <c r="E78" s="759"/>
      <c r="F78" s="923"/>
      <c r="G78" s="759"/>
      <c r="H78" s="759"/>
      <c r="I78" s="923">
        <v>1150937</v>
      </c>
      <c r="J78" s="759"/>
      <c r="K78" s="759"/>
      <c r="L78" s="923"/>
      <c r="M78" s="942"/>
    </row>
    <row r="79" spans="1:14" ht="15.5" x14ac:dyDescent="0.35">
      <c r="A79" s="749" t="s">
        <v>569</v>
      </c>
      <c r="B79" s="790"/>
      <c r="C79" s="754" t="s">
        <v>1816</v>
      </c>
      <c r="D79" s="751"/>
      <c r="E79" s="751"/>
      <c r="F79" s="786"/>
      <c r="G79" s="804"/>
      <c r="H79" s="804"/>
      <c r="I79" s="806"/>
      <c r="J79" s="804"/>
      <c r="K79" s="804"/>
      <c r="L79" s="806"/>
    </row>
    <row r="80" spans="1:14" ht="15.5" x14ac:dyDescent="0.35">
      <c r="A80" s="749" t="s">
        <v>570</v>
      </c>
      <c r="B80" s="790">
        <v>5232701</v>
      </c>
      <c r="C80" s="805" t="s">
        <v>1758</v>
      </c>
      <c r="D80" s="751"/>
      <c r="E80" s="751"/>
      <c r="F80" s="786"/>
      <c r="G80" s="804"/>
      <c r="H80" s="804"/>
      <c r="I80" s="786"/>
      <c r="J80" s="804"/>
      <c r="K80" s="804"/>
      <c r="L80" s="806"/>
    </row>
    <row r="81" spans="1:14" ht="15.5" x14ac:dyDescent="0.35">
      <c r="A81" s="749" t="s">
        <v>708</v>
      </c>
      <c r="B81" s="809">
        <v>5112714</v>
      </c>
      <c r="C81" s="805" t="s">
        <v>1767</v>
      </c>
      <c r="D81" s="804"/>
      <c r="E81" s="804"/>
      <c r="F81" s="806"/>
      <c r="G81" s="804"/>
      <c r="H81" s="804"/>
      <c r="I81" s="806"/>
      <c r="J81" s="804"/>
      <c r="K81" s="804"/>
      <c r="L81" s="806"/>
    </row>
    <row r="82" spans="1:14" ht="15.5" x14ac:dyDescent="0.35">
      <c r="A82" s="749"/>
      <c r="B82" s="809">
        <v>5112715</v>
      </c>
      <c r="C82" s="805" t="s">
        <v>1815</v>
      </c>
      <c r="D82" s="804"/>
      <c r="E82" s="804"/>
      <c r="F82" s="806"/>
      <c r="G82" s="804"/>
      <c r="H82" s="804"/>
      <c r="I82" s="806">
        <v>40000000</v>
      </c>
      <c r="J82" s="804"/>
      <c r="K82" s="804"/>
      <c r="L82" s="806"/>
      <c r="N82" s="1060"/>
    </row>
    <row r="83" spans="1:14" ht="15.5" x14ac:dyDescent="0.35">
      <c r="A83" s="749"/>
      <c r="B83" s="809">
        <v>5111</v>
      </c>
      <c r="C83" s="805" t="s">
        <v>693</v>
      </c>
      <c r="D83" s="804"/>
      <c r="E83" s="804"/>
      <c r="F83" s="806"/>
      <c r="G83" s="804"/>
      <c r="H83" s="804"/>
      <c r="I83" s="806">
        <v>2444545</v>
      </c>
      <c r="J83" s="804"/>
      <c r="K83" s="804"/>
      <c r="L83" s="806">
        <v>1944545</v>
      </c>
    </row>
    <row r="84" spans="1:14" ht="16.5" x14ac:dyDescent="0.35">
      <c r="A84" s="755"/>
      <c r="C84" s="760" t="s">
        <v>1658</v>
      </c>
      <c r="D84" s="757">
        <f>SUM(D65:D76)</f>
        <v>0</v>
      </c>
      <c r="E84" s="757">
        <f>SUM(E65:E76)</f>
        <v>0</v>
      </c>
      <c r="F84" s="787">
        <v>107556318</v>
      </c>
      <c r="G84" s="807">
        <v>0</v>
      </c>
      <c r="H84" s="1049"/>
      <c r="I84" s="807">
        <v>191584419</v>
      </c>
      <c r="J84" s="807">
        <f>SUM(J65:J77)</f>
        <v>0</v>
      </c>
      <c r="K84" s="1049"/>
      <c r="L84" s="807">
        <f>SUM(L65:L83)</f>
        <v>38764175</v>
      </c>
    </row>
    <row r="85" spans="1:14" ht="16.5" x14ac:dyDescent="0.35">
      <c r="A85" s="755"/>
      <c r="C85" s="785"/>
      <c r="D85" s="757"/>
      <c r="E85" s="757"/>
      <c r="F85" s="787"/>
      <c r="G85" s="757"/>
      <c r="H85" s="757"/>
      <c r="I85" s="787"/>
      <c r="J85" s="757"/>
      <c r="K85" s="757"/>
      <c r="L85" s="807"/>
    </row>
    <row r="86" spans="1:14" ht="16.5" x14ac:dyDescent="0.35">
      <c r="A86" s="1147" t="s">
        <v>1674</v>
      </c>
      <c r="B86" s="1147"/>
      <c r="C86" s="1147"/>
      <c r="D86" s="1147"/>
      <c r="E86" s="761"/>
      <c r="F86" s="761">
        <v>1145656318</v>
      </c>
      <c r="G86" s="761"/>
      <c r="H86" s="761"/>
      <c r="I86" s="761">
        <v>1574944842</v>
      </c>
      <c r="J86" s="807"/>
      <c r="K86" s="761"/>
      <c r="L86" s="807">
        <f>+L84+L62</f>
        <v>67827692</v>
      </c>
      <c r="N86" s="1060"/>
    </row>
    <row r="87" spans="1:14" ht="15" x14ac:dyDescent="0.3">
      <c r="A87" s="782"/>
      <c r="B87" s="792"/>
      <c r="C87" s="782"/>
      <c r="D87" s="782"/>
      <c r="E87" s="761"/>
      <c r="F87" s="757"/>
      <c r="G87" s="782"/>
      <c r="H87" s="761"/>
      <c r="I87" s="757"/>
      <c r="J87" s="881"/>
      <c r="K87" s="761"/>
      <c r="L87" s="757"/>
    </row>
    <row r="88" spans="1:14" ht="37.5" customHeight="1" x14ac:dyDescent="0.3">
      <c r="A88" s="1137" t="s">
        <v>1703</v>
      </c>
      <c r="B88" s="1138"/>
      <c r="C88" s="1139"/>
      <c r="D88" s="1047"/>
      <c r="E88" s="1047"/>
      <c r="F88" s="1046" t="s">
        <v>1803</v>
      </c>
      <c r="G88" s="1046" t="s">
        <v>1647</v>
      </c>
      <c r="H88" s="1048" t="s">
        <v>1802</v>
      </c>
      <c r="I88" s="1046" t="s">
        <v>1803</v>
      </c>
      <c r="J88" s="1046" t="s">
        <v>1647</v>
      </c>
      <c r="K88" s="1048" t="s">
        <v>1802</v>
      </c>
      <c r="L88" s="1046" t="s">
        <v>1803</v>
      </c>
    </row>
    <row r="89" spans="1:14" ht="15.5" x14ac:dyDescent="0.35">
      <c r="A89" s="749" t="s">
        <v>311</v>
      </c>
      <c r="B89" s="790"/>
      <c r="C89" s="750" t="s">
        <v>1704</v>
      </c>
      <c r="D89" s="751"/>
      <c r="E89" s="751"/>
      <c r="F89" s="751">
        <v>1905000</v>
      </c>
      <c r="G89" s="751"/>
      <c r="H89" s="751"/>
      <c r="I89" s="751">
        <v>3210373</v>
      </c>
      <c r="J89" s="804"/>
      <c r="K89" s="804"/>
      <c r="L89" s="804">
        <f>+'3.1 melléklet'!N46</f>
        <v>468671</v>
      </c>
    </row>
    <row r="90" spans="1:14" ht="34.15" customHeight="1" x14ac:dyDescent="0.35">
      <c r="A90" s="749" t="s">
        <v>322</v>
      </c>
      <c r="B90" s="790"/>
      <c r="C90" s="753" t="s">
        <v>1705</v>
      </c>
      <c r="D90" s="751"/>
      <c r="E90" s="751"/>
      <c r="F90" s="751">
        <v>1430020</v>
      </c>
      <c r="G90" s="751"/>
      <c r="H90" s="751"/>
      <c r="I90" s="751">
        <v>1430020</v>
      </c>
      <c r="J90" s="804"/>
      <c r="K90" s="804"/>
      <c r="L90" s="804">
        <f>+'4.1 melléklet'!K43</f>
        <v>212388</v>
      </c>
    </row>
    <row r="91" spans="1:14" ht="15.5" x14ac:dyDescent="0.35">
      <c r="A91" s="749" t="s">
        <v>315</v>
      </c>
      <c r="B91" s="790"/>
      <c r="C91" s="753" t="s">
        <v>1707</v>
      </c>
      <c r="D91" s="751"/>
      <c r="E91" s="751"/>
      <c r="F91" s="751">
        <v>4127500</v>
      </c>
      <c r="G91" s="751"/>
      <c r="H91" s="751"/>
      <c r="I91" s="751">
        <v>4127500</v>
      </c>
      <c r="J91" s="804"/>
      <c r="K91" s="804"/>
      <c r="L91" s="804">
        <f>+'4.2 melléklet'!K43</f>
        <v>91769</v>
      </c>
    </row>
    <row r="92" spans="1:14" ht="15.5" x14ac:dyDescent="0.35">
      <c r="A92" s="749" t="s">
        <v>336</v>
      </c>
      <c r="B92" s="790"/>
      <c r="C92" s="753" t="s">
        <v>1708</v>
      </c>
      <c r="D92" s="751"/>
      <c r="E92" s="751"/>
      <c r="F92" s="751">
        <v>571500</v>
      </c>
      <c r="G92" s="751"/>
      <c r="H92" s="751"/>
      <c r="I92" s="751">
        <v>571500</v>
      </c>
      <c r="J92" s="804"/>
      <c r="K92" s="804"/>
      <c r="L92" s="804">
        <f>+'4.3 melléklet'!K43</f>
        <v>0</v>
      </c>
    </row>
    <row r="93" spans="1:14" ht="15.5" x14ac:dyDescent="0.35">
      <c r="A93" s="749" t="s">
        <v>338</v>
      </c>
      <c r="B93" s="790"/>
      <c r="C93" s="753" t="s">
        <v>1709</v>
      </c>
      <c r="D93" s="751"/>
      <c r="E93" s="751"/>
      <c r="F93" s="751">
        <v>1498600</v>
      </c>
      <c r="G93" s="751"/>
      <c r="H93" s="751"/>
      <c r="I93" s="751">
        <v>3020060</v>
      </c>
      <c r="J93" s="804"/>
      <c r="K93" s="804"/>
      <c r="L93" s="804">
        <f>+'4.4 melléklet'!K43</f>
        <v>1596822</v>
      </c>
    </row>
    <row r="94" spans="1:14" ht="15.5" x14ac:dyDescent="0.35">
      <c r="A94" s="749" t="s">
        <v>556</v>
      </c>
      <c r="B94" s="790"/>
      <c r="C94" s="753" t="s">
        <v>1706</v>
      </c>
      <c r="D94" s="751"/>
      <c r="E94" s="751"/>
      <c r="F94" s="751">
        <v>3568700</v>
      </c>
      <c r="G94" s="751"/>
      <c r="H94" s="751"/>
      <c r="I94" s="751">
        <v>3568700</v>
      </c>
      <c r="J94" s="804"/>
      <c r="K94" s="804"/>
      <c r="L94" s="804">
        <f>+'4.5 melléklet'!K43</f>
        <v>449329</v>
      </c>
    </row>
    <row r="95" spans="1:14" ht="15.5" x14ac:dyDescent="0.35">
      <c r="A95" s="749" t="s">
        <v>1675</v>
      </c>
      <c r="B95" s="790"/>
      <c r="C95" s="753" t="s">
        <v>1710</v>
      </c>
      <c r="D95" s="751"/>
      <c r="E95" s="751"/>
      <c r="F95" s="751">
        <v>673100</v>
      </c>
      <c r="G95" s="751"/>
      <c r="H95" s="751"/>
      <c r="I95" s="751">
        <v>3173100</v>
      </c>
      <c r="J95" s="804"/>
      <c r="K95" s="804"/>
      <c r="L95" s="804">
        <f>+'4.6 melléklet'!K43</f>
        <v>185584</v>
      </c>
    </row>
    <row r="96" spans="1:14" ht="15.5" x14ac:dyDescent="0.35">
      <c r="A96" s="749" t="s">
        <v>560</v>
      </c>
      <c r="B96" s="790"/>
      <c r="C96" s="753" t="s">
        <v>1711</v>
      </c>
      <c r="D96" s="751"/>
      <c r="E96" s="751"/>
      <c r="F96" s="751">
        <v>3302000</v>
      </c>
      <c r="G96" s="751"/>
      <c r="H96" s="751"/>
      <c r="I96" s="751">
        <v>3302000</v>
      </c>
      <c r="J96" s="804"/>
      <c r="K96" s="804"/>
      <c r="L96" s="804">
        <f>+'4.7 melléklet'!K43</f>
        <v>395688</v>
      </c>
    </row>
    <row r="97" spans="1:12" ht="15.5" x14ac:dyDescent="0.35">
      <c r="A97" s="749" t="s">
        <v>561</v>
      </c>
      <c r="B97" s="790"/>
      <c r="C97" s="753" t="s">
        <v>1712</v>
      </c>
      <c r="D97" s="751"/>
      <c r="E97" s="751"/>
      <c r="F97" s="751">
        <v>4001400</v>
      </c>
      <c r="G97" s="751"/>
      <c r="H97" s="751"/>
      <c r="I97" s="751">
        <v>4001400</v>
      </c>
      <c r="J97" s="804"/>
      <c r="K97" s="804"/>
      <c r="L97" s="804">
        <f>+'4.8 melléklet'!K43</f>
        <v>0</v>
      </c>
    </row>
    <row r="98" spans="1:12" ht="16.5" x14ac:dyDescent="0.35">
      <c r="C98" s="756" t="s">
        <v>1683</v>
      </c>
      <c r="D98" s="757"/>
      <c r="E98" s="757"/>
      <c r="F98" s="788">
        <v>21077820</v>
      </c>
      <c r="G98" s="757"/>
      <c r="H98" s="757"/>
      <c r="I98" s="788">
        <v>26404653</v>
      </c>
      <c r="J98" s="757"/>
      <c r="K98" s="757"/>
      <c r="L98" s="808">
        <f>SUM(L89:L97)</f>
        <v>3400251</v>
      </c>
    </row>
    <row r="99" spans="1:12" ht="16.5" x14ac:dyDescent="0.35">
      <c r="C99" s="756"/>
      <c r="D99" s="757"/>
      <c r="E99" s="757"/>
      <c r="F99" s="788"/>
      <c r="G99" s="757"/>
      <c r="H99" s="757"/>
      <c r="I99" s="788"/>
      <c r="J99" s="757"/>
      <c r="K99" s="757"/>
      <c r="L99" s="808"/>
    </row>
    <row r="100" spans="1:12" ht="35.5" customHeight="1" x14ac:dyDescent="0.3">
      <c r="A100" s="1137" t="s">
        <v>1732</v>
      </c>
      <c r="B100" s="1138"/>
      <c r="C100" s="1139"/>
      <c r="D100" s="1047"/>
      <c r="E100" s="1047"/>
      <c r="F100" s="1046" t="s">
        <v>1804</v>
      </c>
      <c r="G100" s="1046" t="s">
        <v>1647</v>
      </c>
      <c r="H100" s="1048" t="s">
        <v>1802</v>
      </c>
      <c r="I100" s="1046" t="s">
        <v>1804</v>
      </c>
      <c r="J100" s="1046" t="s">
        <v>1647</v>
      </c>
      <c r="K100" s="1048" t="s">
        <v>1802</v>
      </c>
      <c r="L100" s="1046" t="s">
        <v>1804</v>
      </c>
    </row>
    <row r="101" spans="1:12" ht="15.5" x14ac:dyDescent="0.35">
      <c r="A101" s="749" t="s">
        <v>311</v>
      </c>
      <c r="B101" s="790"/>
      <c r="C101" s="750" t="s">
        <v>1787</v>
      </c>
      <c r="D101" s="751"/>
      <c r="E101" s="751"/>
      <c r="F101" s="804">
        <v>2499995</v>
      </c>
      <c r="G101" s="751"/>
      <c r="H101" s="751"/>
      <c r="I101" s="751">
        <v>2499995</v>
      </c>
      <c r="J101" s="804"/>
      <c r="K101" s="804"/>
      <c r="L101" s="804">
        <f>+'4.8 melléklet'!K44</f>
        <v>0</v>
      </c>
    </row>
    <row r="102" spans="1:12" ht="15.5" x14ac:dyDescent="0.35">
      <c r="A102" s="749" t="s">
        <v>322</v>
      </c>
      <c r="B102" s="790"/>
      <c r="C102" s="753" t="s">
        <v>1770</v>
      </c>
      <c r="D102" s="751"/>
      <c r="E102" s="751"/>
      <c r="F102" s="804">
        <v>1498600</v>
      </c>
      <c r="G102" s="751"/>
      <c r="H102" s="751"/>
      <c r="I102" s="751">
        <v>14382750</v>
      </c>
      <c r="J102" s="804"/>
      <c r="K102" s="804"/>
      <c r="L102" s="804">
        <f>+'4.4 melléklet'!K44</f>
        <v>14382750</v>
      </c>
    </row>
    <row r="103" spans="1:12" ht="16.5" x14ac:dyDescent="0.35">
      <c r="C103" s="756" t="s">
        <v>1733</v>
      </c>
      <c r="D103" s="757"/>
      <c r="E103" s="757"/>
      <c r="F103" s="808">
        <v>3998595</v>
      </c>
      <c r="G103" s="757"/>
      <c r="H103" s="757"/>
      <c r="I103" s="788">
        <v>16882745</v>
      </c>
      <c r="J103" s="757"/>
      <c r="K103" s="757"/>
      <c r="L103" s="808">
        <f>SUM(L101:L102)</f>
        <v>14382750</v>
      </c>
    </row>
    <row r="104" spans="1:12" ht="16.5" x14ac:dyDescent="0.35">
      <c r="A104" s="755"/>
      <c r="C104" s="760"/>
      <c r="D104" s="757"/>
      <c r="E104" s="757"/>
      <c r="F104" s="789"/>
      <c r="G104" s="757"/>
      <c r="H104" s="757"/>
      <c r="I104" s="789"/>
      <c r="J104" s="757"/>
      <c r="K104" s="757"/>
      <c r="L104" s="789"/>
    </row>
    <row r="105" spans="1:12" ht="16.5" x14ac:dyDescent="0.35">
      <c r="A105" s="1148" t="s">
        <v>1714</v>
      </c>
      <c r="B105" s="1148"/>
      <c r="C105" s="1148"/>
      <c r="D105" s="1148"/>
      <c r="E105" s="1148"/>
      <c r="F105" s="761">
        <f>+F98+F86+F103</f>
        <v>1170732733</v>
      </c>
      <c r="G105" s="761"/>
      <c r="H105" s="761"/>
      <c r="I105" s="761">
        <f>+I98+I86+I103</f>
        <v>1618232240</v>
      </c>
      <c r="J105" s="807"/>
      <c r="K105" s="807"/>
      <c r="L105" s="807">
        <f>+L98+L86+L103</f>
        <v>85610693</v>
      </c>
    </row>
    <row r="106" spans="1:12" ht="16.5" x14ac:dyDescent="0.35">
      <c r="A106" s="783"/>
      <c r="B106" s="792"/>
      <c r="C106" s="783"/>
      <c r="D106" s="784" t="s">
        <v>1713</v>
      </c>
      <c r="F106" s="757"/>
      <c r="G106" s="784" t="s">
        <v>1713</v>
      </c>
      <c r="I106" s="757"/>
      <c r="J106" s="784" t="s">
        <v>1713</v>
      </c>
      <c r="L106" s="757"/>
    </row>
    <row r="107" spans="1:12" x14ac:dyDescent="0.3">
      <c r="C107" s="1146" t="s">
        <v>1657</v>
      </c>
      <c r="D107" s="1146"/>
      <c r="E107" s="752"/>
      <c r="F107" s="752">
        <f>+F62+F98</f>
        <v>1059177820</v>
      </c>
      <c r="G107" s="752"/>
      <c r="H107" s="752"/>
      <c r="I107" s="752">
        <f>+I62+I98</f>
        <v>1409765076</v>
      </c>
      <c r="J107" s="752"/>
      <c r="K107" s="752"/>
      <c r="L107" s="752">
        <f>+L62+L98</f>
        <v>32463768</v>
      </c>
    </row>
    <row r="108" spans="1:12" x14ac:dyDescent="0.3">
      <c r="C108" s="1146" t="s">
        <v>1658</v>
      </c>
      <c r="D108" s="1146"/>
      <c r="E108" s="752"/>
      <c r="F108" s="752">
        <f>+F84+F103</f>
        <v>111554913</v>
      </c>
      <c r="G108" s="752"/>
      <c r="H108" s="752"/>
      <c r="I108" s="752">
        <f>+I84+I103</f>
        <v>208467164</v>
      </c>
      <c r="J108" s="752"/>
      <c r="K108" s="752"/>
      <c r="L108" s="752">
        <f>+L84+L103</f>
        <v>53146925</v>
      </c>
    </row>
  </sheetData>
  <mergeCells count="16">
    <mergeCell ref="C108:D108"/>
    <mergeCell ref="A86:D86"/>
    <mergeCell ref="C107:D107"/>
    <mergeCell ref="A105:E105"/>
    <mergeCell ref="A88:C88"/>
    <mergeCell ref="A100:C100"/>
    <mergeCell ref="G2:I2"/>
    <mergeCell ref="J2:L2"/>
    <mergeCell ref="A5:L5"/>
    <mergeCell ref="A64:C64"/>
    <mergeCell ref="A1:D1"/>
    <mergeCell ref="D2:F2"/>
    <mergeCell ref="A2:A3"/>
    <mergeCell ref="B2:B3"/>
    <mergeCell ref="A4:F4"/>
    <mergeCell ref="C2:C3"/>
  </mergeCells>
  <phoneticPr fontId="28" type="noConversion"/>
  <pageMargins left="0.47244094488188981" right="0.39370078740157483" top="0.55118110236220474" bottom="0.55118110236220474" header="0.35433070866141736" footer="0.31496062992125984"/>
  <pageSetup paperSize="9" scale="49" orientation="portrait" r:id="rId1"/>
  <headerFooter>
    <oddHeader xml:space="preserve">&amp;L7. melléklet 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32"/>
  <sheetViews>
    <sheetView view="pageBreakPreview" zoomScale="96" zoomScaleNormal="100" zoomScaleSheetLayoutView="96" workbookViewId="0">
      <selection activeCell="B7" sqref="B7"/>
    </sheetView>
  </sheetViews>
  <sheetFormatPr defaultRowHeight="14.5" x14ac:dyDescent="0.35"/>
  <cols>
    <col min="2" max="2" width="55.1796875" style="268" customWidth="1"/>
    <col min="3" max="3" width="18.26953125" customWidth="1"/>
    <col min="9" max="9" width="10" bestFit="1" customWidth="1"/>
    <col min="11" max="11" width="14.26953125" customWidth="1"/>
    <col min="12" max="12" width="14.7265625" bestFit="1" customWidth="1"/>
    <col min="13" max="13" width="14.7265625" customWidth="1"/>
    <col min="14" max="14" width="18.1796875" customWidth="1"/>
  </cols>
  <sheetData>
    <row r="1" spans="1:13" ht="75.75" customHeight="1" x14ac:dyDescent="0.35">
      <c r="A1" s="1149" t="s">
        <v>1687</v>
      </c>
      <c r="B1" s="1149"/>
      <c r="C1" s="1149"/>
    </row>
    <row r="2" spans="1:13" ht="18.75" customHeight="1" x14ac:dyDescent="0.35">
      <c r="A2" s="253"/>
      <c r="B2" s="253"/>
      <c r="C2" s="254" t="s">
        <v>1638</v>
      </c>
      <c r="K2" s="269"/>
      <c r="L2" s="269"/>
      <c r="M2" s="269"/>
    </row>
    <row r="3" spans="1:13" x14ac:dyDescent="0.35">
      <c r="A3" s="255" t="s">
        <v>1170</v>
      </c>
      <c r="B3" s="255" t="s">
        <v>306</v>
      </c>
      <c r="C3" s="255" t="s">
        <v>1792</v>
      </c>
    </row>
    <row r="4" spans="1:13" x14ac:dyDescent="0.35">
      <c r="A4" s="256" t="s">
        <v>1171</v>
      </c>
      <c r="B4" s="257" t="s">
        <v>1172</v>
      </c>
      <c r="C4" s="258">
        <f>+'1.1 melléklet'!R12+'1.1 melléklet'!R13+'1.1 melléklet'!R15+'1.1 melléklet'!R16-'2.1 melléklet'!R34</f>
        <v>0</v>
      </c>
      <c r="K4" s="545"/>
      <c r="L4" s="545"/>
      <c r="M4" s="545"/>
    </row>
    <row r="5" spans="1:13" x14ac:dyDescent="0.35">
      <c r="A5" s="256" t="s">
        <v>1173</v>
      </c>
      <c r="B5" s="257" t="s">
        <v>249</v>
      </c>
      <c r="C5" s="258">
        <f>+'1.1 melléklet'!R21</f>
        <v>0</v>
      </c>
      <c r="K5" s="269"/>
      <c r="L5" s="269"/>
      <c r="M5" s="269"/>
    </row>
    <row r="6" spans="1:13" x14ac:dyDescent="0.35">
      <c r="A6" s="256" t="s">
        <v>1174</v>
      </c>
      <c r="B6" s="257" t="s">
        <v>1594</v>
      </c>
      <c r="C6" s="258">
        <f>+'1.1 melléklet'!R17</f>
        <v>0</v>
      </c>
    </row>
    <row r="7" spans="1:13" ht="29" x14ac:dyDescent="0.35">
      <c r="A7" s="256" t="s">
        <v>1175</v>
      </c>
      <c r="B7" s="257" t="s">
        <v>1595</v>
      </c>
      <c r="C7" s="258">
        <f>+'1.1 melléklet'!R35</f>
        <v>0</v>
      </c>
      <c r="M7" s="269"/>
    </row>
    <row r="8" spans="1:13" ht="29" x14ac:dyDescent="0.35">
      <c r="A8" s="256" t="s">
        <v>1176</v>
      </c>
      <c r="B8" s="257" t="s">
        <v>1596</v>
      </c>
      <c r="C8" s="258"/>
    </row>
    <row r="9" spans="1:13" x14ac:dyDescent="0.35">
      <c r="A9" s="256" t="s">
        <v>1177</v>
      </c>
      <c r="B9" s="257" t="s">
        <v>1597</v>
      </c>
      <c r="C9" s="258"/>
      <c r="M9" s="545"/>
    </row>
    <row r="10" spans="1:13" x14ac:dyDescent="0.35">
      <c r="A10" s="256" t="s">
        <v>1178</v>
      </c>
      <c r="B10" s="257" t="s">
        <v>1598</v>
      </c>
      <c r="C10" s="258"/>
      <c r="M10" s="269"/>
    </row>
    <row r="11" spans="1:13" x14ac:dyDescent="0.35">
      <c r="A11" s="259" t="s">
        <v>1179</v>
      </c>
      <c r="B11" s="260" t="s">
        <v>1599</v>
      </c>
      <c r="C11" s="261">
        <f>SUM(C4:C10)</f>
        <v>0</v>
      </c>
    </row>
    <row r="12" spans="1:13" x14ac:dyDescent="0.35">
      <c r="A12" s="262" t="s">
        <v>1180</v>
      </c>
      <c r="B12" s="263" t="s">
        <v>1181</v>
      </c>
      <c r="C12" s="264">
        <f>C11*0.5</f>
        <v>0</v>
      </c>
      <c r="M12" s="269"/>
    </row>
    <row r="13" spans="1:13" x14ac:dyDescent="0.35">
      <c r="A13" s="259" t="s">
        <v>1182</v>
      </c>
      <c r="B13" s="260" t="s">
        <v>1608</v>
      </c>
      <c r="C13" s="261">
        <f>SUM(C14:C21)</f>
        <v>180645200</v>
      </c>
    </row>
    <row r="14" spans="1:13" x14ac:dyDescent="0.35">
      <c r="A14" s="256" t="s">
        <v>1183</v>
      </c>
      <c r="B14" s="602" t="s">
        <v>1600</v>
      </c>
      <c r="C14" s="404">
        <v>180645200</v>
      </c>
      <c r="M14" s="545"/>
    </row>
    <row r="15" spans="1:13" x14ac:dyDescent="0.35">
      <c r="A15" s="256" t="s">
        <v>1184</v>
      </c>
      <c r="B15" s="602" t="s">
        <v>1601</v>
      </c>
      <c r="C15" s="258"/>
      <c r="M15" s="269"/>
    </row>
    <row r="16" spans="1:13" ht="29" x14ac:dyDescent="0.35">
      <c r="A16" s="256" t="s">
        <v>1185</v>
      </c>
      <c r="B16" s="602" t="s">
        <v>1602</v>
      </c>
      <c r="C16" s="258"/>
    </row>
    <row r="17" spans="1:14" x14ac:dyDescent="0.35">
      <c r="A17" s="256" t="s">
        <v>1186</v>
      </c>
      <c r="B17" s="602" t="s">
        <v>1603</v>
      </c>
      <c r="C17" s="258"/>
      <c r="M17" s="269"/>
      <c r="N17" s="269"/>
    </row>
    <row r="18" spans="1:14" x14ac:dyDescent="0.35">
      <c r="A18" s="256" t="s">
        <v>1187</v>
      </c>
      <c r="B18" s="602" t="s">
        <v>1604</v>
      </c>
      <c r="C18" s="258"/>
    </row>
    <row r="19" spans="1:14" x14ac:dyDescent="0.35">
      <c r="A19" s="256" t="s">
        <v>1188</v>
      </c>
      <c r="B19" s="602" t="s">
        <v>1605</v>
      </c>
      <c r="C19" s="258"/>
    </row>
    <row r="20" spans="1:14" x14ac:dyDescent="0.35">
      <c r="A20" s="256" t="s">
        <v>1189</v>
      </c>
      <c r="B20" s="602" t="s">
        <v>1606</v>
      </c>
      <c r="C20" s="258"/>
      <c r="M20" s="545"/>
      <c r="N20" s="545"/>
    </row>
    <row r="21" spans="1:14" x14ac:dyDescent="0.35">
      <c r="A21" s="256" t="s">
        <v>1190</v>
      </c>
      <c r="B21" s="602" t="s">
        <v>1607</v>
      </c>
      <c r="C21" s="389"/>
      <c r="M21" s="269"/>
      <c r="N21" s="269"/>
    </row>
    <row r="22" spans="1:14" ht="26" x14ac:dyDescent="0.35">
      <c r="A22" s="259">
        <v>19</v>
      </c>
      <c r="B22" s="603" t="s">
        <v>1609</v>
      </c>
      <c r="C22" s="261">
        <f>SUM(C23:C30)</f>
        <v>0</v>
      </c>
      <c r="N22" s="546"/>
    </row>
    <row r="23" spans="1:14" x14ac:dyDescent="0.35">
      <c r="A23" s="256" t="s">
        <v>1191</v>
      </c>
      <c r="B23" s="602" t="s">
        <v>1600</v>
      </c>
      <c r="C23" s="258"/>
    </row>
    <row r="24" spans="1:14" x14ac:dyDescent="0.35">
      <c r="A24" s="256" t="s">
        <v>1192</v>
      </c>
      <c r="B24" s="602" t="s">
        <v>1601</v>
      </c>
      <c r="C24" s="258"/>
    </row>
    <row r="25" spans="1:14" ht="29" x14ac:dyDescent="0.35">
      <c r="A25" s="256" t="s">
        <v>1193</v>
      </c>
      <c r="B25" s="602" t="s">
        <v>1602</v>
      </c>
      <c r="C25" s="258"/>
    </row>
    <row r="26" spans="1:14" x14ac:dyDescent="0.35">
      <c r="A26" s="256" t="s">
        <v>1194</v>
      </c>
      <c r="B26" s="602" t="s">
        <v>1603</v>
      </c>
      <c r="C26" s="258"/>
    </row>
    <row r="27" spans="1:14" x14ac:dyDescent="0.35">
      <c r="A27" s="256" t="s">
        <v>1195</v>
      </c>
      <c r="B27" s="602" t="s">
        <v>1604</v>
      </c>
      <c r="C27" s="258"/>
    </row>
    <row r="28" spans="1:14" x14ac:dyDescent="0.35">
      <c r="A28" s="256" t="s">
        <v>1196</v>
      </c>
      <c r="B28" s="602" t="s">
        <v>1605</v>
      </c>
      <c r="C28" s="258"/>
    </row>
    <row r="29" spans="1:14" x14ac:dyDescent="0.35">
      <c r="A29" s="256" t="s">
        <v>1197</v>
      </c>
      <c r="B29" s="602" t="s">
        <v>1606</v>
      </c>
      <c r="C29" s="258"/>
    </row>
    <row r="30" spans="1:14" x14ac:dyDescent="0.35">
      <c r="A30" s="256" t="s">
        <v>1198</v>
      </c>
      <c r="B30" s="602" t="s">
        <v>1607</v>
      </c>
      <c r="C30" s="258"/>
    </row>
    <row r="31" spans="1:14" x14ac:dyDescent="0.35">
      <c r="A31" s="262">
        <v>28</v>
      </c>
      <c r="B31" s="263" t="s">
        <v>1610</v>
      </c>
      <c r="C31" s="264">
        <f>C13+C22</f>
        <v>180645200</v>
      </c>
    </row>
    <row r="32" spans="1:14" x14ac:dyDescent="0.35">
      <c r="A32" s="265">
        <v>29</v>
      </c>
      <c r="B32" s="266" t="s">
        <v>1611</v>
      </c>
      <c r="C32" s="267">
        <f>C12-C31</f>
        <v>-180645200</v>
      </c>
    </row>
  </sheetData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&amp;L8. melléklet </oddHeader>
    <oddFooter>&amp;C&amp;P</oddFooter>
  </headerFooter>
  <colBreaks count="1" manualBreakCount="1">
    <brk id="3" max="29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7"/>
  <sheetViews>
    <sheetView view="pageBreakPreview" zoomScale="80" zoomScaleNormal="100" zoomScaleSheetLayoutView="80" workbookViewId="0">
      <selection activeCell="C6" sqref="C6"/>
    </sheetView>
  </sheetViews>
  <sheetFormatPr defaultRowHeight="14.5" x14ac:dyDescent="0.35"/>
  <cols>
    <col min="1" max="1" width="20.26953125" customWidth="1"/>
    <col min="2" max="2" width="14.7265625" style="269" bestFit="1" customWidth="1"/>
    <col min="3" max="3" width="16.26953125" style="269" customWidth="1"/>
    <col min="4" max="4" width="14.7265625" style="269" bestFit="1" customWidth="1"/>
    <col min="5" max="5" width="15.7265625" style="269" customWidth="1"/>
    <col min="6" max="6" width="14.7265625" style="269" bestFit="1" customWidth="1"/>
    <col min="7" max="7" width="13.26953125" style="269" customWidth="1"/>
    <col min="8" max="8" width="15.7265625" style="269" bestFit="1" customWidth="1"/>
    <col min="9" max="9" width="17" style="270" bestFit="1" customWidth="1"/>
  </cols>
  <sheetData>
    <row r="1" spans="1:9" x14ac:dyDescent="0.35">
      <c r="I1" s="270" t="s">
        <v>1199</v>
      </c>
    </row>
    <row r="2" spans="1:9" ht="21.4" customHeight="1" x14ac:dyDescent="0.35">
      <c r="A2" s="1150" t="s">
        <v>1200</v>
      </c>
      <c r="B2" s="1151" t="s">
        <v>470</v>
      </c>
      <c r="C2" s="1151"/>
      <c r="D2" s="1151"/>
      <c r="E2" s="1151" t="s">
        <v>576</v>
      </c>
      <c r="F2" s="1151"/>
      <c r="G2" s="1151"/>
      <c r="H2" s="1151"/>
      <c r="I2" s="1151"/>
    </row>
    <row r="3" spans="1:9" ht="29" x14ac:dyDescent="0.35">
      <c r="A3" s="1150"/>
      <c r="B3" s="271" t="s">
        <v>1201</v>
      </c>
      <c r="C3" s="271" t="s">
        <v>1202</v>
      </c>
      <c r="D3" s="272" t="s">
        <v>1203</v>
      </c>
      <c r="E3" s="271" t="s">
        <v>1204</v>
      </c>
      <c r="F3" s="271" t="s">
        <v>1688</v>
      </c>
      <c r="G3" s="271" t="s">
        <v>1205</v>
      </c>
      <c r="H3" s="271" t="s">
        <v>1206</v>
      </c>
      <c r="I3" s="271" t="s">
        <v>1207</v>
      </c>
    </row>
    <row r="4" spans="1:9" ht="31.9" hidden="1" customHeight="1" x14ac:dyDescent="0.35">
      <c r="A4" s="273" t="s">
        <v>1208</v>
      </c>
      <c r="B4" s="274"/>
      <c r="C4" s="274"/>
      <c r="D4" s="275"/>
      <c r="E4" s="274"/>
      <c r="F4" s="275"/>
      <c r="G4" s="274"/>
      <c r="H4" s="274"/>
      <c r="I4" s="276">
        <f>SUM(E4:G4)</f>
        <v>0</v>
      </c>
    </row>
    <row r="5" spans="1:9" ht="30.4" customHeight="1" x14ac:dyDescent="0.35">
      <c r="A5" s="1152"/>
      <c r="B5" s="274"/>
      <c r="C5" s="274"/>
      <c r="D5" s="274"/>
      <c r="E5" s="274"/>
      <c r="F5" s="274"/>
      <c r="G5" s="274"/>
      <c r="H5" s="274"/>
      <c r="I5" s="276"/>
    </row>
    <row r="6" spans="1:9" x14ac:dyDescent="0.35">
      <c r="A6" s="1153"/>
      <c r="B6" s="274"/>
      <c r="C6" s="274"/>
      <c r="D6" s="274"/>
      <c r="E6" s="274"/>
      <c r="F6" s="274"/>
      <c r="G6" s="274"/>
      <c r="H6" s="274"/>
      <c r="I6" s="276"/>
    </row>
    <row r="7" spans="1:9" s="45" customFormat="1" x14ac:dyDescent="0.35">
      <c r="A7" s="277" t="s">
        <v>549</v>
      </c>
      <c r="B7" s="278">
        <f>SUM(B4:B6)</f>
        <v>0</v>
      </c>
      <c r="C7" s="278">
        <f t="shared" ref="C7:I7" si="0">SUM(C4:C6)</f>
        <v>0</v>
      </c>
      <c r="D7" s="278">
        <f t="shared" si="0"/>
        <v>0</v>
      </c>
      <c r="E7" s="278">
        <f t="shared" si="0"/>
        <v>0</v>
      </c>
      <c r="F7" s="278">
        <f t="shared" si="0"/>
        <v>0</v>
      </c>
      <c r="G7" s="278">
        <f t="shared" si="0"/>
        <v>0</v>
      </c>
      <c r="H7" s="278">
        <f t="shared" si="0"/>
        <v>0</v>
      </c>
      <c r="I7" s="279">
        <f t="shared" si="0"/>
        <v>0</v>
      </c>
    </row>
  </sheetData>
  <mergeCells count="4">
    <mergeCell ref="A2:A3"/>
    <mergeCell ref="B2:D2"/>
    <mergeCell ref="E2:I2"/>
    <mergeCell ref="A5:A6"/>
  </mergeCells>
  <pageMargins left="0.70866141732283472" right="0.70866141732283472" top="1.1417322834645669" bottom="0.74803149606299213" header="0.31496062992125984" footer="0.31496062992125984"/>
  <pageSetup paperSize="9" scale="90" orientation="landscape" r:id="rId1"/>
  <headerFooter>
    <oddHeader>&amp;L9. melléklet 
&amp;C&amp;"-,Félkövér"&amp;16
Törökbálint Város Önkormányzata 2021. évi európai uniós támogatási programjai</oddHeader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IV143"/>
  <sheetViews>
    <sheetView showZeros="0" view="pageBreakPreview" zoomScale="79" zoomScaleNormal="100" zoomScaleSheetLayoutView="79" workbookViewId="0">
      <selection activeCell="C7" sqref="C7"/>
    </sheetView>
  </sheetViews>
  <sheetFormatPr defaultColWidth="12.26953125" defaultRowHeight="15.5" x14ac:dyDescent="0.35"/>
  <cols>
    <col min="1" max="1" width="12.26953125" style="285"/>
    <col min="2" max="2" width="12.26953125" style="286"/>
    <col min="3" max="3" width="59.7265625" style="285" customWidth="1"/>
    <col min="4" max="16384" width="12.26953125" style="285"/>
  </cols>
  <sheetData>
    <row r="1" spans="1:256" s="280" customFormat="1" x14ac:dyDescent="0.35">
      <c r="A1" s="1154" t="s">
        <v>1791</v>
      </c>
      <c r="B1" s="1154"/>
      <c r="C1" s="1154"/>
      <c r="IV1" s="281"/>
    </row>
    <row r="2" spans="1:256" s="284" customFormat="1" ht="42.65" customHeight="1" x14ac:dyDescent="0.35">
      <c r="A2" s="282"/>
      <c r="B2" s="283"/>
      <c r="IV2" s="285"/>
    </row>
    <row r="3" spans="1:256" s="280" customFormat="1" ht="20.9" customHeight="1" x14ac:dyDescent="0.35">
      <c r="A3" s="454" t="s">
        <v>1209</v>
      </c>
      <c r="B3" s="453" t="s">
        <v>1210</v>
      </c>
      <c r="C3" s="454" t="s">
        <v>306</v>
      </c>
      <c r="IV3" s="281"/>
    </row>
    <row r="4" spans="1:256" s="284" customFormat="1" ht="22.9" customHeight="1" x14ac:dyDescent="0.35">
      <c r="A4" s="457">
        <v>1</v>
      </c>
      <c r="B4" s="455"/>
      <c r="C4" s="456" t="s">
        <v>1211</v>
      </c>
      <c r="IV4" s="285"/>
    </row>
    <row r="5" spans="1:256" s="284" customFormat="1" ht="22.9" customHeight="1" x14ac:dyDescent="0.35">
      <c r="A5" s="457"/>
      <c r="B5" s="455" t="s">
        <v>1213</v>
      </c>
      <c r="C5" s="456" t="s">
        <v>1223</v>
      </c>
      <c r="IV5" s="285"/>
    </row>
    <row r="6" spans="1:256" s="284" customFormat="1" ht="22.9" customHeight="1" x14ac:dyDescent="0.35">
      <c r="A6" s="457"/>
      <c r="B6" s="455" t="s">
        <v>1214</v>
      </c>
      <c r="C6" s="456" t="s">
        <v>1224</v>
      </c>
      <c r="IV6" s="285"/>
    </row>
    <row r="7" spans="1:256" s="284" customFormat="1" ht="22.9" customHeight="1" x14ac:dyDescent="0.35">
      <c r="A7" s="457">
        <v>2</v>
      </c>
      <c r="B7" s="455"/>
      <c r="C7" s="456" t="s">
        <v>978</v>
      </c>
      <c r="IV7" s="285"/>
    </row>
    <row r="8" spans="1:256" s="284" customFormat="1" ht="22.9" customHeight="1" x14ac:dyDescent="0.35">
      <c r="A8" s="457">
        <v>3</v>
      </c>
      <c r="B8" s="455"/>
      <c r="C8" s="456" t="s">
        <v>1212</v>
      </c>
      <c r="D8" s="456"/>
      <c r="IV8" s="285"/>
    </row>
    <row r="9" spans="1:256" s="284" customFormat="1" ht="22.9" customHeight="1" x14ac:dyDescent="0.35">
      <c r="A9" s="457"/>
      <c r="B9" s="455" t="s">
        <v>1213</v>
      </c>
      <c r="C9" s="456" t="s">
        <v>347</v>
      </c>
      <c r="IV9" s="285"/>
    </row>
    <row r="10" spans="1:256" s="284" customFormat="1" ht="22.9" customHeight="1" x14ac:dyDescent="0.35">
      <c r="A10" s="457"/>
      <c r="B10" s="455" t="s">
        <v>1214</v>
      </c>
      <c r="C10" s="456" t="s">
        <v>354</v>
      </c>
      <c r="IV10" s="285"/>
    </row>
    <row r="11" spans="1:256" s="284" customFormat="1" ht="22.9" customHeight="1" x14ac:dyDescent="0.35">
      <c r="A11" s="457"/>
      <c r="B11" s="455" t="s">
        <v>1215</v>
      </c>
      <c r="C11" s="456" t="s">
        <v>355</v>
      </c>
      <c r="IV11" s="285"/>
    </row>
    <row r="12" spans="1:256" s="284" customFormat="1" ht="22.9" customHeight="1" x14ac:dyDescent="0.35">
      <c r="A12" s="457"/>
      <c r="B12" s="455" t="s">
        <v>1216</v>
      </c>
      <c r="C12" s="456" t="s">
        <v>356</v>
      </c>
      <c r="IV12" s="285"/>
    </row>
    <row r="13" spans="1:256" s="284" customFormat="1" ht="22.9" customHeight="1" x14ac:dyDescent="0.35">
      <c r="A13" s="457"/>
      <c r="B13" s="455" t="s">
        <v>1217</v>
      </c>
      <c r="C13" s="456" t="s">
        <v>1218</v>
      </c>
      <c r="IV13" s="285"/>
    </row>
    <row r="14" spans="1:256" s="284" customFormat="1" ht="22.9" customHeight="1" x14ac:dyDescent="0.35">
      <c r="A14" s="457"/>
      <c r="B14" s="455" t="s">
        <v>1219</v>
      </c>
      <c r="C14" s="456" t="s">
        <v>362</v>
      </c>
      <c r="IV14" s="285"/>
    </row>
    <row r="15" spans="1:256" s="284" customFormat="1" ht="22.9" customHeight="1" x14ac:dyDescent="0.35">
      <c r="A15" s="457"/>
      <c r="B15" s="455" t="s">
        <v>1280</v>
      </c>
      <c r="C15" s="456" t="s">
        <v>1281</v>
      </c>
      <c r="IV15" s="285"/>
    </row>
    <row r="16" spans="1:256" s="284" customFormat="1" ht="22.9" customHeight="1" x14ac:dyDescent="0.35">
      <c r="A16" s="457"/>
      <c r="B16" s="455" t="s">
        <v>1409</v>
      </c>
      <c r="C16" s="456" t="s">
        <v>981</v>
      </c>
      <c r="IV16" s="285"/>
    </row>
    <row r="17" spans="1:256" s="284" customFormat="1" x14ac:dyDescent="0.35">
      <c r="A17" s="286"/>
      <c r="B17" s="283"/>
      <c r="IV17" s="285"/>
    </row>
    <row r="18" spans="1:256" s="284" customFormat="1" x14ac:dyDescent="0.35">
      <c r="A18" s="286"/>
      <c r="B18" s="283"/>
      <c r="IV18" s="285"/>
    </row>
    <row r="19" spans="1:256" s="284" customFormat="1" x14ac:dyDescent="0.35">
      <c r="A19" s="286"/>
      <c r="B19" s="283"/>
      <c r="IV19" s="285"/>
    </row>
    <row r="20" spans="1:256" s="284" customFormat="1" x14ac:dyDescent="0.35">
      <c r="A20" s="286"/>
      <c r="B20" s="283"/>
      <c r="IV20" s="285"/>
    </row>
    <row r="21" spans="1:256" s="284" customFormat="1" x14ac:dyDescent="0.35">
      <c r="A21" s="286"/>
      <c r="B21" s="283"/>
      <c r="IV21" s="285"/>
    </row>
    <row r="22" spans="1:256" s="284" customFormat="1" x14ac:dyDescent="0.35">
      <c r="A22" s="286"/>
      <c r="B22" s="283"/>
      <c r="IV22" s="285"/>
    </row>
    <row r="23" spans="1:256" s="284" customFormat="1" x14ac:dyDescent="0.35">
      <c r="A23" s="286"/>
      <c r="B23" s="283"/>
      <c r="IV23" s="285"/>
    </row>
    <row r="24" spans="1:256" s="284" customFormat="1" x14ac:dyDescent="0.35">
      <c r="A24" s="286"/>
      <c r="B24" s="283"/>
      <c r="IV24" s="285"/>
    </row>
    <row r="25" spans="1:256" s="284" customFormat="1" x14ac:dyDescent="0.35">
      <c r="A25" s="286"/>
      <c r="B25" s="283"/>
      <c r="IV25" s="285"/>
    </row>
    <row r="26" spans="1:256" s="284" customFormat="1" x14ac:dyDescent="0.35">
      <c r="A26" s="286"/>
      <c r="B26" s="283"/>
      <c r="IV26" s="285"/>
    </row>
    <row r="27" spans="1:256" s="284" customFormat="1" x14ac:dyDescent="0.35">
      <c r="A27" s="286"/>
      <c r="B27" s="283"/>
      <c r="IV27" s="285"/>
    </row>
    <row r="28" spans="1:256" s="284" customFormat="1" x14ac:dyDescent="0.35">
      <c r="A28" s="286"/>
      <c r="B28" s="283"/>
      <c r="IV28" s="285"/>
    </row>
    <row r="29" spans="1:256" s="284" customFormat="1" x14ac:dyDescent="0.35">
      <c r="A29" s="286"/>
      <c r="B29" s="283"/>
      <c r="IV29" s="285"/>
    </row>
    <row r="30" spans="1:256" s="284" customFormat="1" x14ac:dyDescent="0.35">
      <c r="A30" s="286"/>
      <c r="B30" s="283"/>
      <c r="IV30" s="285"/>
    </row>
    <row r="31" spans="1:256" s="284" customFormat="1" x14ac:dyDescent="0.35">
      <c r="A31" s="286"/>
      <c r="B31" s="283"/>
      <c r="IV31" s="285"/>
    </row>
    <row r="32" spans="1:256" s="284" customFormat="1" x14ac:dyDescent="0.35">
      <c r="A32" s="286"/>
      <c r="B32" s="283"/>
      <c r="IV32" s="285"/>
    </row>
    <row r="33" spans="1:256" s="284" customFormat="1" x14ac:dyDescent="0.35">
      <c r="A33" s="286"/>
      <c r="B33" s="283"/>
      <c r="IV33" s="285"/>
    </row>
    <row r="34" spans="1:256" s="284" customFormat="1" x14ac:dyDescent="0.35">
      <c r="A34" s="286"/>
      <c r="B34" s="283"/>
      <c r="IV34" s="285"/>
    </row>
    <row r="35" spans="1:256" s="284" customFormat="1" x14ac:dyDescent="0.35">
      <c r="A35" s="286"/>
      <c r="B35" s="283"/>
      <c r="IV35" s="285"/>
    </row>
    <row r="36" spans="1:256" s="284" customFormat="1" x14ac:dyDescent="0.35">
      <c r="A36" s="286"/>
      <c r="B36" s="283"/>
      <c r="IV36" s="285"/>
    </row>
    <row r="37" spans="1:256" s="284" customFormat="1" x14ac:dyDescent="0.35">
      <c r="A37" s="286"/>
      <c r="B37" s="283"/>
      <c r="IV37" s="285"/>
    </row>
    <row r="38" spans="1:256" s="284" customFormat="1" x14ac:dyDescent="0.35">
      <c r="A38" s="286"/>
      <c r="B38" s="283"/>
      <c r="IV38" s="285"/>
    </row>
    <row r="39" spans="1:256" s="284" customFormat="1" x14ac:dyDescent="0.35">
      <c r="A39" s="286"/>
      <c r="B39" s="283"/>
      <c r="IV39" s="285"/>
    </row>
    <row r="40" spans="1:256" s="284" customFormat="1" x14ac:dyDescent="0.35">
      <c r="A40" s="286"/>
      <c r="B40" s="283"/>
      <c r="IV40" s="285"/>
    </row>
    <row r="41" spans="1:256" s="284" customFormat="1" x14ac:dyDescent="0.35">
      <c r="A41" s="286"/>
      <c r="B41" s="283"/>
      <c r="IV41" s="285"/>
    </row>
    <row r="42" spans="1:256" s="284" customFormat="1" x14ac:dyDescent="0.35">
      <c r="A42" s="286"/>
      <c r="B42" s="283"/>
      <c r="IV42" s="285"/>
    </row>
    <row r="43" spans="1:256" s="284" customFormat="1" x14ac:dyDescent="0.35">
      <c r="A43" s="286"/>
      <c r="B43" s="283"/>
      <c r="IV43" s="285"/>
    </row>
    <row r="44" spans="1:256" s="284" customFormat="1" x14ac:dyDescent="0.35">
      <c r="A44" s="286"/>
      <c r="B44" s="283"/>
      <c r="IV44" s="285"/>
    </row>
    <row r="45" spans="1:256" s="284" customFormat="1" x14ac:dyDescent="0.35">
      <c r="A45" s="286"/>
      <c r="B45" s="283"/>
      <c r="IV45" s="285"/>
    </row>
    <row r="46" spans="1:256" s="284" customFormat="1" x14ac:dyDescent="0.35">
      <c r="A46" s="286"/>
      <c r="B46" s="283"/>
      <c r="IV46" s="285"/>
    </row>
    <row r="47" spans="1:256" s="284" customFormat="1" x14ac:dyDescent="0.35">
      <c r="A47" s="286"/>
      <c r="B47" s="283"/>
      <c r="IV47" s="285"/>
    </row>
    <row r="48" spans="1:256" s="284" customFormat="1" x14ac:dyDescent="0.35">
      <c r="A48" s="286"/>
      <c r="B48" s="283"/>
      <c r="IV48" s="285"/>
    </row>
    <row r="49" spans="1:256" s="284" customFormat="1" x14ac:dyDescent="0.35">
      <c r="A49" s="286"/>
      <c r="B49" s="283"/>
      <c r="IV49" s="285"/>
    </row>
    <row r="50" spans="1:256" s="284" customFormat="1" x14ac:dyDescent="0.35">
      <c r="A50" s="286"/>
      <c r="B50" s="283"/>
      <c r="IV50" s="285"/>
    </row>
    <row r="51" spans="1:256" s="284" customFormat="1" x14ac:dyDescent="0.35">
      <c r="A51" s="286"/>
      <c r="B51" s="283"/>
      <c r="IV51" s="285"/>
    </row>
    <row r="52" spans="1:256" s="284" customFormat="1" x14ac:dyDescent="0.35">
      <c r="A52" s="286"/>
      <c r="B52" s="283"/>
      <c r="IV52" s="285"/>
    </row>
    <row r="53" spans="1:256" s="284" customFormat="1" x14ac:dyDescent="0.35">
      <c r="A53" s="286"/>
      <c r="B53" s="283"/>
      <c r="IV53" s="285"/>
    </row>
    <row r="54" spans="1:256" s="284" customFormat="1" x14ac:dyDescent="0.35">
      <c r="A54" s="286"/>
      <c r="B54" s="283"/>
      <c r="IV54" s="285"/>
    </row>
    <row r="55" spans="1:256" s="284" customFormat="1" x14ac:dyDescent="0.35">
      <c r="A55" s="286"/>
      <c r="B55" s="283"/>
      <c r="IV55" s="285"/>
    </row>
    <row r="56" spans="1:256" s="284" customFormat="1" x14ac:dyDescent="0.35">
      <c r="A56" s="286"/>
      <c r="B56" s="283"/>
      <c r="IV56" s="285"/>
    </row>
    <row r="57" spans="1:256" s="284" customFormat="1" x14ac:dyDescent="0.35">
      <c r="A57" s="286"/>
      <c r="B57" s="283"/>
      <c r="IV57" s="285"/>
    </row>
    <row r="58" spans="1:256" s="284" customFormat="1" x14ac:dyDescent="0.35">
      <c r="A58" s="286"/>
      <c r="B58" s="283"/>
      <c r="IV58" s="285"/>
    </row>
    <row r="59" spans="1:256" s="284" customFormat="1" x14ac:dyDescent="0.35">
      <c r="A59" s="286"/>
      <c r="B59" s="283"/>
      <c r="IV59" s="285"/>
    </row>
    <row r="60" spans="1:256" s="284" customFormat="1" x14ac:dyDescent="0.35">
      <c r="A60" s="286"/>
      <c r="B60" s="283"/>
      <c r="IV60" s="285"/>
    </row>
    <row r="61" spans="1:256" s="284" customFormat="1" x14ac:dyDescent="0.35">
      <c r="A61" s="286"/>
      <c r="B61" s="283"/>
      <c r="IV61" s="285"/>
    </row>
    <row r="62" spans="1:256" s="284" customFormat="1" x14ac:dyDescent="0.35">
      <c r="A62" s="286"/>
      <c r="B62" s="283"/>
      <c r="IV62" s="285"/>
    </row>
    <row r="63" spans="1:256" s="284" customFormat="1" x14ac:dyDescent="0.35">
      <c r="A63" s="286"/>
      <c r="B63" s="283"/>
      <c r="IV63" s="285"/>
    </row>
    <row r="64" spans="1:256" s="284" customFormat="1" x14ac:dyDescent="0.35">
      <c r="A64" s="286"/>
      <c r="B64" s="283"/>
      <c r="IV64" s="285"/>
    </row>
    <row r="65" spans="1:256" s="284" customFormat="1" x14ac:dyDescent="0.35">
      <c r="A65" s="286"/>
      <c r="B65" s="283"/>
      <c r="IV65" s="285"/>
    </row>
    <row r="66" spans="1:256" s="284" customFormat="1" x14ac:dyDescent="0.35">
      <c r="A66" s="286"/>
      <c r="B66" s="283"/>
      <c r="IV66" s="285"/>
    </row>
    <row r="67" spans="1:256" s="284" customFormat="1" x14ac:dyDescent="0.35">
      <c r="A67" s="286"/>
      <c r="B67" s="283"/>
      <c r="IV67" s="285"/>
    </row>
    <row r="68" spans="1:256" s="284" customFormat="1" x14ac:dyDescent="0.35">
      <c r="A68" s="286"/>
      <c r="B68" s="283"/>
      <c r="IV68" s="285"/>
    </row>
    <row r="69" spans="1:256" s="284" customFormat="1" x14ac:dyDescent="0.35">
      <c r="A69" s="286"/>
      <c r="B69" s="283"/>
      <c r="IV69" s="285"/>
    </row>
    <row r="70" spans="1:256" s="284" customFormat="1" x14ac:dyDescent="0.35">
      <c r="A70" s="286"/>
      <c r="B70" s="283"/>
      <c r="IV70" s="285"/>
    </row>
    <row r="71" spans="1:256" s="284" customFormat="1" x14ac:dyDescent="0.35">
      <c r="A71" s="286"/>
      <c r="B71" s="283"/>
      <c r="IV71" s="285"/>
    </row>
    <row r="72" spans="1:256" s="284" customFormat="1" x14ac:dyDescent="0.35">
      <c r="A72" s="286"/>
      <c r="B72" s="283"/>
      <c r="IV72" s="285"/>
    </row>
    <row r="73" spans="1:256" s="284" customFormat="1" x14ac:dyDescent="0.35">
      <c r="A73" s="286"/>
      <c r="B73" s="283"/>
      <c r="IV73" s="285"/>
    </row>
    <row r="74" spans="1:256" s="284" customFormat="1" x14ac:dyDescent="0.35">
      <c r="A74" s="286"/>
      <c r="B74" s="283"/>
      <c r="IV74" s="285"/>
    </row>
    <row r="75" spans="1:256" s="284" customFormat="1" x14ac:dyDescent="0.35">
      <c r="A75" s="286"/>
      <c r="B75" s="283"/>
      <c r="IV75" s="285"/>
    </row>
    <row r="76" spans="1:256" s="284" customFormat="1" x14ac:dyDescent="0.35">
      <c r="A76" s="286"/>
      <c r="B76" s="283"/>
      <c r="IV76" s="285"/>
    </row>
    <row r="77" spans="1:256" s="284" customFormat="1" x14ac:dyDescent="0.35">
      <c r="A77" s="286"/>
      <c r="B77" s="283"/>
      <c r="IV77" s="285"/>
    </row>
    <row r="78" spans="1:256" s="284" customFormat="1" x14ac:dyDescent="0.35">
      <c r="A78" s="286"/>
      <c r="B78" s="283"/>
      <c r="IV78" s="285"/>
    </row>
    <row r="79" spans="1:256" s="284" customFormat="1" x14ac:dyDescent="0.35">
      <c r="A79" s="286"/>
      <c r="B79" s="283"/>
      <c r="IV79" s="285"/>
    </row>
    <row r="80" spans="1:256" s="284" customFormat="1" x14ac:dyDescent="0.35">
      <c r="A80" s="286"/>
      <c r="B80" s="283"/>
      <c r="IV80" s="285"/>
    </row>
    <row r="81" spans="1:256" s="284" customFormat="1" x14ac:dyDescent="0.35">
      <c r="A81" s="286"/>
      <c r="B81" s="283"/>
      <c r="IV81" s="285"/>
    </row>
    <row r="82" spans="1:256" s="284" customFormat="1" x14ac:dyDescent="0.35">
      <c r="A82" s="286"/>
      <c r="B82" s="283"/>
      <c r="IV82" s="285"/>
    </row>
    <row r="83" spans="1:256" s="284" customFormat="1" x14ac:dyDescent="0.35">
      <c r="A83" s="286"/>
      <c r="B83" s="283"/>
      <c r="IV83" s="285"/>
    </row>
    <row r="84" spans="1:256" s="284" customFormat="1" x14ac:dyDescent="0.35">
      <c r="A84" s="286"/>
      <c r="B84" s="283"/>
      <c r="IV84" s="285"/>
    </row>
    <row r="85" spans="1:256" s="284" customFormat="1" x14ac:dyDescent="0.35">
      <c r="A85" s="286"/>
      <c r="B85" s="283"/>
      <c r="IV85" s="285"/>
    </row>
    <row r="86" spans="1:256" s="284" customFormat="1" x14ac:dyDescent="0.35">
      <c r="A86" s="286"/>
      <c r="B86" s="283"/>
      <c r="IV86" s="285"/>
    </row>
    <row r="87" spans="1:256" s="284" customFormat="1" x14ac:dyDescent="0.35">
      <c r="A87" s="286"/>
      <c r="B87" s="283"/>
      <c r="IV87" s="285"/>
    </row>
    <row r="88" spans="1:256" s="284" customFormat="1" x14ac:dyDescent="0.35">
      <c r="A88" s="286"/>
      <c r="B88" s="283"/>
      <c r="IV88" s="285"/>
    </row>
    <row r="89" spans="1:256" s="284" customFormat="1" x14ac:dyDescent="0.35">
      <c r="A89" s="286"/>
      <c r="B89" s="283"/>
      <c r="IV89" s="285"/>
    </row>
    <row r="90" spans="1:256" s="284" customFormat="1" x14ac:dyDescent="0.35">
      <c r="A90" s="286"/>
      <c r="B90" s="283"/>
      <c r="IV90" s="285"/>
    </row>
    <row r="91" spans="1:256" s="284" customFormat="1" x14ac:dyDescent="0.35">
      <c r="A91" s="286"/>
      <c r="B91" s="283"/>
      <c r="IV91" s="285"/>
    </row>
    <row r="92" spans="1:256" s="284" customFormat="1" x14ac:dyDescent="0.35">
      <c r="A92" s="286"/>
      <c r="B92" s="283"/>
      <c r="IV92" s="285"/>
    </row>
    <row r="93" spans="1:256" s="284" customFormat="1" x14ac:dyDescent="0.35">
      <c r="A93" s="286"/>
      <c r="B93" s="283"/>
      <c r="IV93" s="285"/>
    </row>
    <row r="94" spans="1:256" s="284" customFormat="1" x14ac:dyDescent="0.35">
      <c r="A94" s="286"/>
      <c r="B94" s="283"/>
      <c r="IV94" s="285"/>
    </row>
    <row r="95" spans="1:256" s="284" customFormat="1" x14ac:dyDescent="0.35">
      <c r="A95" s="286"/>
      <c r="B95" s="283"/>
      <c r="IV95" s="285"/>
    </row>
    <row r="96" spans="1:256" s="284" customFormat="1" x14ac:dyDescent="0.35">
      <c r="A96" s="286"/>
      <c r="B96" s="283"/>
      <c r="IV96" s="285"/>
    </row>
    <row r="97" spans="1:256" s="284" customFormat="1" x14ac:dyDescent="0.35">
      <c r="A97" s="286"/>
      <c r="B97" s="283"/>
      <c r="IV97" s="285"/>
    </row>
    <row r="98" spans="1:256" s="284" customFormat="1" x14ac:dyDescent="0.35">
      <c r="A98" s="286"/>
      <c r="B98" s="283"/>
      <c r="IV98" s="285"/>
    </row>
    <row r="99" spans="1:256" s="284" customFormat="1" x14ac:dyDescent="0.35">
      <c r="A99" s="286"/>
      <c r="B99" s="283"/>
      <c r="IV99" s="285"/>
    </row>
    <row r="100" spans="1:256" s="284" customFormat="1" x14ac:dyDescent="0.35">
      <c r="A100" s="286"/>
      <c r="B100" s="283"/>
      <c r="IV100" s="285"/>
    </row>
    <row r="101" spans="1:256" s="284" customFormat="1" x14ac:dyDescent="0.35">
      <c r="A101" s="286"/>
      <c r="B101" s="283"/>
      <c r="IV101" s="285"/>
    </row>
    <row r="102" spans="1:256" s="284" customFormat="1" x14ac:dyDescent="0.35">
      <c r="A102" s="286"/>
      <c r="B102" s="283"/>
      <c r="IV102" s="285"/>
    </row>
    <row r="103" spans="1:256" s="284" customFormat="1" x14ac:dyDescent="0.35">
      <c r="A103" s="286"/>
      <c r="B103" s="283"/>
      <c r="IV103" s="285"/>
    </row>
    <row r="104" spans="1:256" s="284" customFormat="1" x14ac:dyDescent="0.35">
      <c r="A104" s="286"/>
      <c r="B104" s="283"/>
      <c r="IV104" s="285"/>
    </row>
    <row r="105" spans="1:256" s="284" customFormat="1" x14ac:dyDescent="0.35">
      <c r="A105" s="286"/>
      <c r="B105" s="283"/>
      <c r="IV105" s="285"/>
    </row>
    <row r="106" spans="1:256" s="284" customFormat="1" x14ac:dyDescent="0.35">
      <c r="A106" s="286"/>
      <c r="B106" s="283"/>
      <c r="IV106" s="285"/>
    </row>
    <row r="107" spans="1:256" s="284" customFormat="1" x14ac:dyDescent="0.35">
      <c r="A107" s="286"/>
      <c r="B107" s="283"/>
      <c r="IV107" s="285"/>
    </row>
    <row r="108" spans="1:256" s="284" customFormat="1" x14ac:dyDescent="0.35">
      <c r="A108" s="286"/>
      <c r="B108" s="283"/>
      <c r="IV108" s="285"/>
    </row>
    <row r="109" spans="1:256" s="284" customFormat="1" x14ac:dyDescent="0.35">
      <c r="A109" s="286"/>
      <c r="B109" s="283"/>
      <c r="IV109" s="285"/>
    </row>
    <row r="110" spans="1:256" s="284" customFormat="1" x14ac:dyDescent="0.35">
      <c r="A110" s="286"/>
      <c r="B110" s="283"/>
      <c r="IV110" s="285"/>
    </row>
    <row r="111" spans="1:256" s="284" customFormat="1" x14ac:dyDescent="0.35">
      <c r="A111" s="286"/>
      <c r="B111" s="283"/>
      <c r="IV111" s="285"/>
    </row>
    <row r="112" spans="1:256" s="284" customFormat="1" x14ac:dyDescent="0.35">
      <c r="A112" s="286"/>
      <c r="B112" s="283"/>
      <c r="IV112" s="285"/>
    </row>
    <row r="113" spans="1:256" s="284" customFormat="1" x14ac:dyDescent="0.35">
      <c r="A113" s="286"/>
      <c r="B113" s="283"/>
      <c r="IV113" s="285"/>
    </row>
    <row r="114" spans="1:256" s="284" customFormat="1" x14ac:dyDescent="0.35">
      <c r="A114" s="286"/>
      <c r="B114" s="283"/>
      <c r="IV114" s="285"/>
    </row>
    <row r="115" spans="1:256" s="284" customFormat="1" x14ac:dyDescent="0.35">
      <c r="A115" s="286"/>
      <c r="B115" s="283"/>
      <c r="IV115" s="285"/>
    </row>
    <row r="116" spans="1:256" s="284" customFormat="1" x14ac:dyDescent="0.35">
      <c r="A116" s="286"/>
      <c r="B116" s="283"/>
      <c r="IV116" s="285"/>
    </row>
    <row r="117" spans="1:256" s="284" customFormat="1" x14ac:dyDescent="0.35">
      <c r="A117" s="286"/>
      <c r="B117" s="283"/>
      <c r="IV117" s="285"/>
    </row>
    <row r="118" spans="1:256" s="284" customFormat="1" x14ac:dyDescent="0.35">
      <c r="A118" s="286"/>
      <c r="B118" s="283"/>
      <c r="IV118" s="285"/>
    </row>
    <row r="119" spans="1:256" s="284" customFormat="1" x14ac:dyDescent="0.35">
      <c r="A119" s="286"/>
      <c r="B119" s="283"/>
      <c r="IV119" s="285"/>
    </row>
    <row r="120" spans="1:256" s="284" customFormat="1" x14ac:dyDescent="0.35">
      <c r="A120" s="286"/>
      <c r="B120" s="283"/>
      <c r="IV120" s="285"/>
    </row>
    <row r="121" spans="1:256" s="284" customFormat="1" x14ac:dyDescent="0.35">
      <c r="A121" s="286"/>
      <c r="B121" s="283"/>
      <c r="IV121" s="285"/>
    </row>
    <row r="122" spans="1:256" s="284" customFormat="1" x14ac:dyDescent="0.35">
      <c r="A122" s="286"/>
      <c r="B122" s="283"/>
      <c r="IV122" s="285"/>
    </row>
    <row r="123" spans="1:256" s="284" customFormat="1" x14ac:dyDescent="0.35">
      <c r="A123" s="286"/>
      <c r="B123" s="283"/>
      <c r="IV123" s="285"/>
    </row>
    <row r="124" spans="1:256" s="284" customFormat="1" x14ac:dyDescent="0.35">
      <c r="A124" s="286"/>
      <c r="B124" s="283"/>
      <c r="IV124" s="285"/>
    </row>
    <row r="125" spans="1:256" s="284" customFormat="1" x14ac:dyDescent="0.35">
      <c r="A125" s="286"/>
      <c r="B125" s="283"/>
      <c r="IV125" s="285"/>
    </row>
    <row r="126" spans="1:256" s="284" customFormat="1" x14ac:dyDescent="0.35">
      <c r="A126" s="286"/>
      <c r="B126" s="283"/>
      <c r="IV126" s="285"/>
    </row>
    <row r="127" spans="1:256" s="284" customFormat="1" x14ac:dyDescent="0.35">
      <c r="A127" s="286"/>
      <c r="B127" s="283"/>
      <c r="IV127" s="285"/>
    </row>
    <row r="128" spans="1:256" s="284" customFormat="1" x14ac:dyDescent="0.35">
      <c r="A128" s="286"/>
      <c r="B128" s="283"/>
      <c r="IV128" s="285"/>
    </row>
    <row r="129" spans="1:256" s="284" customFormat="1" x14ac:dyDescent="0.35">
      <c r="A129" s="286"/>
      <c r="B129" s="283"/>
      <c r="IV129" s="285"/>
    </row>
    <row r="130" spans="1:256" s="284" customFormat="1" x14ac:dyDescent="0.35">
      <c r="A130" s="286"/>
      <c r="B130" s="283"/>
      <c r="IV130" s="285"/>
    </row>
    <row r="131" spans="1:256" s="284" customFormat="1" x14ac:dyDescent="0.35">
      <c r="A131" s="286"/>
      <c r="B131" s="283"/>
      <c r="IV131" s="285"/>
    </row>
    <row r="132" spans="1:256" s="284" customFormat="1" x14ac:dyDescent="0.35">
      <c r="A132" s="286"/>
      <c r="B132" s="283"/>
      <c r="IV132" s="285"/>
    </row>
    <row r="133" spans="1:256" s="284" customFormat="1" x14ac:dyDescent="0.35">
      <c r="A133" s="286"/>
      <c r="B133" s="283"/>
      <c r="IV133" s="285"/>
    </row>
    <row r="134" spans="1:256" s="284" customFormat="1" x14ac:dyDescent="0.35">
      <c r="A134" s="286"/>
      <c r="B134" s="283"/>
      <c r="IV134" s="285"/>
    </row>
    <row r="135" spans="1:256" s="284" customFormat="1" x14ac:dyDescent="0.35">
      <c r="A135" s="286"/>
      <c r="B135" s="283"/>
      <c r="IV135" s="285"/>
    </row>
    <row r="136" spans="1:256" s="284" customFormat="1" x14ac:dyDescent="0.35">
      <c r="A136" s="286"/>
      <c r="B136" s="283"/>
      <c r="IV136" s="285"/>
    </row>
    <row r="137" spans="1:256" s="284" customFormat="1" x14ac:dyDescent="0.35">
      <c r="A137" s="286"/>
      <c r="B137" s="283"/>
      <c r="IV137" s="285"/>
    </row>
    <row r="138" spans="1:256" s="284" customFormat="1" x14ac:dyDescent="0.35">
      <c r="A138" s="286"/>
      <c r="B138" s="283"/>
      <c r="IV138" s="285"/>
    </row>
    <row r="139" spans="1:256" s="284" customFormat="1" x14ac:dyDescent="0.35">
      <c r="A139" s="286"/>
      <c r="B139" s="283"/>
      <c r="IV139" s="285"/>
    </row>
    <row r="140" spans="1:256" s="284" customFormat="1" x14ac:dyDescent="0.35">
      <c r="A140" s="286"/>
      <c r="B140" s="283"/>
      <c r="IV140" s="285"/>
    </row>
    <row r="141" spans="1:256" s="284" customFormat="1" x14ac:dyDescent="0.35">
      <c r="A141" s="286"/>
      <c r="B141" s="283"/>
      <c r="IV141" s="285"/>
    </row>
    <row r="142" spans="1:256" s="284" customFormat="1" x14ac:dyDescent="0.35">
      <c r="A142" s="286"/>
      <c r="B142" s="283"/>
      <c r="IV142" s="285"/>
    </row>
    <row r="143" spans="1:256" s="284" customFormat="1" x14ac:dyDescent="0.35">
      <c r="A143" s="286"/>
      <c r="B143" s="283"/>
      <c r="IV143" s="285"/>
    </row>
  </sheetData>
  <mergeCells count="1">
    <mergeCell ref="A1:C1"/>
  </mergeCells>
  <pageMargins left="0.78740157480314965" right="0.78740157480314965" top="1.1417322834645669" bottom="1.0236220472440944" header="0.78740157480314965" footer="0.78740157480314965"/>
  <pageSetup paperSize="9" firstPageNumber="0" orientation="portrait" r:id="rId1"/>
  <headerFooter alignWithMargins="0">
    <oddHeader xml:space="preserve">&amp;L 10. melléklet  </oddHeader>
    <oddFooter>&amp;R&amp;10&amp;P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V107"/>
  <sheetViews>
    <sheetView workbookViewId="0">
      <pane xSplit="2" ySplit="1" topLeftCell="C74" activePane="bottomRight" state="frozen"/>
      <selection pane="topRight" activeCell="C1" sqref="C1"/>
      <selection pane="bottomLeft" activeCell="A2" sqref="A2"/>
      <selection pane="bottomRight" activeCell="F75" sqref="F75"/>
    </sheetView>
  </sheetViews>
  <sheetFormatPr defaultColWidth="11.7265625" defaultRowHeight="12.5" x14ac:dyDescent="0.25"/>
  <cols>
    <col min="1" max="1" width="11.7265625" style="170"/>
    <col min="2" max="2" width="54.81640625" style="170" customWidth="1"/>
    <col min="3" max="3" width="11.7265625" style="184"/>
    <col min="4" max="4" width="11.7265625" style="185"/>
    <col min="5" max="5" width="11.7265625" style="184" customWidth="1"/>
    <col min="6" max="6" width="11.7265625" style="185" customWidth="1"/>
    <col min="7" max="7" width="11.7265625" style="184" customWidth="1"/>
    <col min="8" max="8" width="11.7265625" style="185" customWidth="1"/>
    <col min="9" max="9" width="11.7265625" style="184"/>
    <col min="10" max="10" width="11.7265625" style="185"/>
    <col min="11" max="11" width="21.26953125" style="184" customWidth="1"/>
    <col min="12" max="12" width="21.26953125" style="185" customWidth="1"/>
    <col min="13" max="13" width="21.26953125" style="184" customWidth="1"/>
    <col min="14" max="14" width="21.26953125" style="185" customWidth="1"/>
    <col min="15" max="15" width="15" style="186" customWidth="1"/>
    <col min="16" max="16" width="15" style="170" customWidth="1"/>
    <col min="17" max="17" width="11.7265625" style="186"/>
    <col min="18" max="18" width="11.7265625" style="170"/>
    <col min="19" max="19" width="11.7265625" style="186"/>
    <col min="20" max="20" width="11.7265625" style="170"/>
    <col min="21" max="21" width="11.7265625" style="186"/>
    <col min="22" max="22" width="11.7265625" style="170"/>
    <col min="23" max="23" width="11.7265625" style="186"/>
    <col min="24" max="24" width="11.7265625" style="170"/>
    <col min="25" max="25" width="11.7265625" style="186"/>
    <col min="26" max="26" width="11.7265625" style="170"/>
    <col min="27" max="27" width="11.7265625" style="186"/>
    <col min="28" max="28" width="11.7265625" style="170"/>
    <col min="29" max="29" width="11.7265625" style="186"/>
    <col min="30" max="30" width="11.7265625" style="170"/>
    <col min="31" max="31" width="11.7265625" style="186"/>
    <col min="32" max="32" width="11.7265625" style="170"/>
    <col min="33" max="33" width="11.7265625" style="186"/>
    <col min="34" max="34" width="11.7265625" style="170"/>
    <col min="35" max="35" width="11.7265625" style="186"/>
    <col min="36" max="36" width="11.7265625" style="170"/>
    <col min="37" max="37" width="11.7265625" style="186"/>
    <col min="38" max="38" width="11.7265625" style="170"/>
    <col min="39" max="39" width="11.7265625" style="186"/>
    <col min="40" max="40" width="11.7265625" style="170"/>
    <col min="41" max="41" width="11.7265625" style="186"/>
    <col min="42" max="42" width="11.7265625" style="170"/>
    <col min="43" max="43" width="11.7265625" style="186"/>
    <col min="44" max="44" width="11.7265625" style="170"/>
    <col min="45" max="45" width="11.7265625" style="186"/>
    <col min="46" max="46" width="11.7265625" style="170"/>
    <col min="47" max="47" width="11.7265625" style="186"/>
    <col min="48" max="48" width="11.7265625" style="170"/>
    <col min="49" max="49" width="11.7265625" style="186"/>
    <col min="50" max="50" width="11.7265625" style="170"/>
    <col min="51" max="51" width="11.7265625" style="186"/>
    <col min="52" max="52" width="11.7265625" style="170"/>
    <col min="53" max="53" width="11.7265625" style="186"/>
    <col min="54" max="54" width="11.7265625" style="170"/>
    <col min="55" max="55" width="11.7265625" style="186"/>
    <col min="56" max="56" width="11.7265625" style="170"/>
    <col min="57" max="57" width="11.7265625" style="186"/>
    <col min="58" max="58" width="11.7265625" style="170"/>
    <col min="59" max="59" width="11.7265625" style="186"/>
    <col min="60" max="60" width="11.7265625" style="170"/>
    <col min="61" max="61" width="11.7265625" style="186"/>
    <col min="62" max="62" width="11.7265625" style="170"/>
    <col min="63" max="63" width="11.7265625" style="186"/>
    <col min="64" max="64" width="11.7265625" style="170"/>
    <col min="65" max="65" width="11.7265625" style="186"/>
    <col min="66" max="66" width="11.7265625" style="170"/>
    <col min="67" max="67" width="11.7265625" style="186"/>
    <col min="68" max="68" width="11.7265625" style="170"/>
    <col min="69" max="69" width="11.7265625" style="186"/>
    <col min="70" max="70" width="11.7265625" style="170"/>
    <col min="71" max="71" width="11.7265625" style="186"/>
    <col min="72" max="72" width="11.7265625" style="170"/>
    <col min="73" max="73" width="11.7265625" style="186"/>
    <col min="74" max="74" width="11.7265625" style="170"/>
    <col min="75" max="75" width="11.7265625" style="186"/>
    <col min="76" max="76" width="11.7265625" style="170"/>
    <col min="77" max="77" width="11.7265625" style="186"/>
    <col min="78" max="78" width="11.7265625" style="170"/>
    <col min="79" max="79" width="11.7265625" style="186"/>
    <col min="80" max="80" width="11.7265625" style="170"/>
    <col min="81" max="81" width="11.7265625" style="186"/>
    <col min="82" max="82" width="11.7265625" style="170"/>
    <col min="83" max="83" width="11.7265625" style="186"/>
    <col min="84" max="84" width="11.7265625" style="170"/>
    <col min="85" max="85" width="11.7265625" style="186"/>
    <col min="86" max="86" width="11.7265625" style="170"/>
    <col min="87" max="87" width="11.7265625" style="186"/>
    <col min="88" max="88" width="11.7265625" style="170"/>
    <col min="89" max="89" width="11.7265625" style="186"/>
    <col min="90" max="90" width="11.7265625" style="170"/>
    <col min="91" max="91" width="11.7265625" style="186"/>
    <col min="92" max="92" width="11.7265625" style="170"/>
    <col min="93" max="93" width="11.7265625" style="186"/>
    <col min="94" max="94" width="11.7265625" style="170"/>
    <col min="95" max="95" width="11.7265625" style="186"/>
    <col min="96" max="96" width="11.7265625" style="170"/>
    <col min="97" max="97" width="11.7265625" style="186"/>
    <col min="98" max="98" width="11.7265625" style="170"/>
    <col min="99" max="99" width="11.7265625" style="186"/>
    <col min="100" max="100" width="11.7265625" style="170"/>
    <col min="101" max="101" width="11.7265625" style="186"/>
    <col min="102" max="102" width="11.7265625" style="170"/>
    <col min="103" max="103" width="11.7265625" style="186"/>
    <col min="104" max="104" width="11.7265625" style="170"/>
    <col min="105" max="105" width="11.7265625" style="186"/>
    <col min="106" max="106" width="11.7265625" style="170"/>
    <col min="107" max="107" width="11.7265625" style="186"/>
    <col min="108" max="108" width="11.7265625" style="170"/>
    <col min="109" max="109" width="11.7265625" style="186"/>
    <col min="110" max="110" width="11.7265625" style="170"/>
    <col min="111" max="111" width="11.7265625" style="186"/>
    <col min="112" max="112" width="11.7265625" style="170"/>
    <col min="113" max="113" width="11.7265625" style="186"/>
    <col min="114" max="114" width="11.7265625" style="170"/>
    <col min="115" max="115" width="11.7265625" style="186"/>
    <col min="116" max="116" width="11.7265625" style="170"/>
    <col min="117" max="117" width="11.7265625" style="186"/>
    <col min="118" max="118" width="11.7265625" style="170"/>
    <col min="119" max="119" width="11.7265625" style="186"/>
    <col min="120" max="120" width="11.7265625" style="170"/>
    <col min="121" max="121" width="11.7265625" style="186"/>
    <col min="122" max="122" width="11.7265625" style="170"/>
    <col min="123" max="123" width="11.7265625" style="186"/>
    <col min="124" max="124" width="11.7265625" style="170"/>
    <col min="125" max="125" width="11.7265625" style="186"/>
    <col min="126" max="16384" width="11.7265625" style="170"/>
  </cols>
  <sheetData>
    <row r="1" spans="1:126" ht="65" x14ac:dyDescent="0.25">
      <c r="A1" s="159" t="s">
        <v>749</v>
      </c>
      <c r="B1" s="159" t="s">
        <v>306</v>
      </c>
      <c r="C1" s="160" t="s">
        <v>260</v>
      </c>
      <c r="D1" s="161" t="s">
        <v>259</v>
      </c>
      <c r="E1" s="160" t="s">
        <v>750</v>
      </c>
      <c r="F1" s="161" t="s">
        <v>751</v>
      </c>
      <c r="G1" s="160" t="s">
        <v>752</v>
      </c>
      <c r="H1" s="161" t="s">
        <v>753</v>
      </c>
      <c r="I1" s="160" t="s">
        <v>754</v>
      </c>
      <c r="J1" s="161" t="s">
        <v>755</v>
      </c>
      <c r="K1" s="160" t="s">
        <v>756</v>
      </c>
      <c r="L1" s="161" t="s">
        <v>757</v>
      </c>
      <c r="M1" s="162" t="s">
        <v>758</v>
      </c>
      <c r="N1" s="163" t="s">
        <v>759</v>
      </c>
      <c r="O1" s="164" t="s">
        <v>760</v>
      </c>
      <c r="P1" s="165" t="s">
        <v>761</v>
      </c>
      <c r="Q1" s="164" t="s">
        <v>762</v>
      </c>
      <c r="R1" s="165" t="s">
        <v>763</v>
      </c>
      <c r="S1" s="164" t="s">
        <v>764</v>
      </c>
      <c r="T1" s="165" t="s">
        <v>1253</v>
      </c>
      <c r="U1" s="164" t="s">
        <v>765</v>
      </c>
      <c r="V1" s="165" t="s">
        <v>766</v>
      </c>
      <c r="W1" s="164" t="s">
        <v>767</v>
      </c>
      <c r="X1" s="165" t="s">
        <v>768</v>
      </c>
      <c r="Y1" s="164" t="s">
        <v>769</v>
      </c>
      <c r="Z1" s="165" t="s">
        <v>770</v>
      </c>
      <c r="AA1" s="164" t="s">
        <v>771</v>
      </c>
      <c r="AB1" s="165" t="s">
        <v>772</v>
      </c>
      <c r="AC1" s="164" t="s">
        <v>773</v>
      </c>
      <c r="AD1" s="165" t="s">
        <v>774</v>
      </c>
      <c r="AE1" s="164" t="s">
        <v>775</v>
      </c>
      <c r="AF1" s="165" t="s">
        <v>776</v>
      </c>
      <c r="AG1" s="164" t="s">
        <v>1012</v>
      </c>
      <c r="AH1" s="165" t="s">
        <v>1013</v>
      </c>
      <c r="AI1" s="164" t="s">
        <v>777</v>
      </c>
      <c r="AJ1" s="165" t="s">
        <v>778</v>
      </c>
      <c r="AK1" s="166" t="s">
        <v>779</v>
      </c>
      <c r="AL1" s="167" t="s">
        <v>780</v>
      </c>
      <c r="AM1" s="166" t="s">
        <v>781</v>
      </c>
      <c r="AN1" s="167" t="s">
        <v>782</v>
      </c>
      <c r="AO1" s="166" t="s">
        <v>783</v>
      </c>
      <c r="AP1" s="167" t="s">
        <v>784</v>
      </c>
      <c r="AQ1" s="166" t="s">
        <v>785</v>
      </c>
      <c r="AR1" s="167" t="s">
        <v>786</v>
      </c>
      <c r="AS1" s="168" t="s">
        <v>787</v>
      </c>
      <c r="AT1" s="169" t="s">
        <v>1157</v>
      </c>
      <c r="AU1" s="168" t="s">
        <v>788</v>
      </c>
      <c r="AV1" s="169" t="s">
        <v>789</v>
      </c>
      <c r="AW1" s="168" t="s">
        <v>790</v>
      </c>
      <c r="AX1" s="169" t="s">
        <v>791</v>
      </c>
      <c r="AY1" s="168" t="s">
        <v>792</v>
      </c>
      <c r="AZ1" s="169" t="s">
        <v>793</v>
      </c>
      <c r="BA1" s="168" t="s">
        <v>794</v>
      </c>
      <c r="BB1" s="169" t="s">
        <v>795</v>
      </c>
      <c r="BC1" s="168" t="s">
        <v>796</v>
      </c>
      <c r="BD1" s="169" t="s">
        <v>797</v>
      </c>
      <c r="BE1" s="168" t="s">
        <v>798</v>
      </c>
      <c r="BF1" s="169" t="s">
        <v>799</v>
      </c>
      <c r="BG1" s="168" t="s">
        <v>800</v>
      </c>
      <c r="BH1" s="169" t="s">
        <v>801</v>
      </c>
      <c r="BI1" s="168" t="s">
        <v>802</v>
      </c>
      <c r="BJ1" s="169" t="s">
        <v>803</v>
      </c>
      <c r="BK1" s="168" t="s">
        <v>804</v>
      </c>
      <c r="BL1" s="169" t="s">
        <v>805</v>
      </c>
      <c r="BM1" s="168" t="s">
        <v>806</v>
      </c>
      <c r="BN1" s="169" t="s">
        <v>807</v>
      </c>
      <c r="BO1" s="168" t="s">
        <v>808</v>
      </c>
      <c r="BP1" s="169" t="s">
        <v>809</v>
      </c>
      <c r="BQ1" s="168" t="s">
        <v>810</v>
      </c>
      <c r="BR1" s="169" t="s">
        <v>811</v>
      </c>
      <c r="BS1" s="168" t="s">
        <v>812</v>
      </c>
      <c r="BT1" s="169" t="s">
        <v>813</v>
      </c>
      <c r="BU1" s="168" t="s">
        <v>814</v>
      </c>
      <c r="BV1" s="169" t="s">
        <v>815</v>
      </c>
      <c r="BW1" s="168" t="s">
        <v>816</v>
      </c>
      <c r="BX1" s="169" t="s">
        <v>817</v>
      </c>
      <c r="BY1" s="168" t="s">
        <v>818</v>
      </c>
      <c r="BZ1" s="169" t="s">
        <v>819</v>
      </c>
      <c r="CA1" s="168" t="s">
        <v>820</v>
      </c>
      <c r="CB1" s="169" t="s">
        <v>821</v>
      </c>
      <c r="CC1" s="168" t="s">
        <v>822</v>
      </c>
      <c r="CD1" s="169" t="s">
        <v>823</v>
      </c>
      <c r="CE1" s="168" t="s">
        <v>824</v>
      </c>
      <c r="CF1" s="169" t="s">
        <v>825</v>
      </c>
      <c r="CG1" s="168" t="s">
        <v>826</v>
      </c>
      <c r="CH1" s="169" t="s">
        <v>827</v>
      </c>
      <c r="CI1" s="168" t="s">
        <v>828</v>
      </c>
      <c r="CJ1" s="169" t="s">
        <v>829</v>
      </c>
      <c r="CK1" s="168" t="s">
        <v>830</v>
      </c>
      <c r="CL1" s="169" t="s">
        <v>831</v>
      </c>
      <c r="CM1" s="168" t="s">
        <v>832</v>
      </c>
      <c r="CN1" s="169" t="s">
        <v>833</v>
      </c>
      <c r="CO1" s="168" t="s">
        <v>834</v>
      </c>
      <c r="CP1" s="169" t="s">
        <v>835</v>
      </c>
      <c r="CQ1" s="168" t="s">
        <v>836</v>
      </c>
      <c r="CR1" s="169" t="s">
        <v>837</v>
      </c>
      <c r="CS1" s="168" t="s">
        <v>1126</v>
      </c>
      <c r="CT1" s="169" t="s">
        <v>1127</v>
      </c>
      <c r="CU1" s="168" t="s">
        <v>838</v>
      </c>
      <c r="CV1" s="169" t="s">
        <v>839</v>
      </c>
      <c r="CW1" s="168" t="s">
        <v>840</v>
      </c>
      <c r="CX1" s="169" t="s">
        <v>841</v>
      </c>
      <c r="CY1" s="168" t="s">
        <v>842</v>
      </c>
      <c r="CZ1" s="169" t="s">
        <v>843</v>
      </c>
      <c r="DA1" s="168" t="s">
        <v>844</v>
      </c>
      <c r="DB1" s="169" t="s">
        <v>845</v>
      </c>
      <c r="DC1" s="168" t="s">
        <v>846</v>
      </c>
      <c r="DD1" s="169" t="s">
        <v>847</v>
      </c>
      <c r="DE1" s="168" t="s">
        <v>848</v>
      </c>
      <c r="DF1" s="169" t="s">
        <v>849</v>
      </c>
      <c r="DG1" s="168" t="s">
        <v>850</v>
      </c>
      <c r="DH1" s="169" t="s">
        <v>851</v>
      </c>
      <c r="DI1" s="168" t="s">
        <v>852</v>
      </c>
      <c r="DJ1" s="169" t="s">
        <v>853</v>
      </c>
      <c r="DK1" s="168" t="s">
        <v>854</v>
      </c>
      <c r="DL1" s="169" t="s">
        <v>855</v>
      </c>
      <c r="DM1" s="168" t="s">
        <v>856</v>
      </c>
      <c r="DN1" s="169" t="s">
        <v>1144</v>
      </c>
      <c r="DO1" s="168" t="s">
        <v>857</v>
      </c>
      <c r="DP1" s="169" t="s">
        <v>858</v>
      </c>
      <c r="DQ1" s="168" t="s">
        <v>859</v>
      </c>
      <c r="DR1" s="169" t="s">
        <v>860</v>
      </c>
      <c r="DS1" s="168" t="s">
        <v>861</v>
      </c>
      <c r="DT1" s="169" t="s">
        <v>862</v>
      </c>
      <c r="DU1" s="168" t="s">
        <v>863</v>
      </c>
      <c r="DV1" s="169" t="s">
        <v>864</v>
      </c>
    </row>
    <row r="2" spans="1:126" x14ac:dyDescent="0.25">
      <c r="A2" s="171" t="s">
        <v>4</v>
      </c>
      <c r="B2" s="171" t="s">
        <v>865</v>
      </c>
      <c r="C2" s="172">
        <f t="shared" ref="C2:D17" si="0">E2+G2+I2</f>
        <v>20034</v>
      </c>
      <c r="D2" s="173">
        <f>F2+H2+J2</f>
        <v>40002</v>
      </c>
      <c r="E2" s="172">
        <f t="shared" ref="E2:E17" si="1">K2+M2+O1:O2+Q2+S2+U2+W2+Y2+AA2+AC2+AE2+AI2</f>
        <v>20034</v>
      </c>
      <c r="F2" s="173">
        <f>L2+N2+P1:P2+R2+T2+V2+X2+Z2+AB2+AD2+AF2+AJ2+AH2</f>
        <v>40002</v>
      </c>
      <c r="G2" s="172">
        <f>AK2+AM2+AO2+AQ2+AS2+AU2+AW2+AY2+BA2+BC2+BE2+BG2+BI2+BK2+BM2+BO2+BQ2+BS2+BU2+BW2+BY2+CA2+CC2+CE2+CG2+CI2+CK2+CM2+CO2+CQ2+CS2+CU2+CW2+DA2+CY2+DC2+DE2+DG2+DI2+DK2+DM2+DO2+DQ2+DS2+DU2</f>
        <v>0</v>
      </c>
      <c r="H2" s="173">
        <f>AL2+AN2+AP2+AR2+AT2+AV2+AX2+AZ2+BB2+BD2+BF2+BH2+BJ2+BL2+BN2+BP2+BR2+BT2+BV2+BX2+BZ2+CB2+CD2+CF2+CH2+CJ2+CL2+CN2+CP2+CR2+CT2+CV2+CX2+DB2+CZ2+DD2+DF2+DH2+DJ2+DL2+DN2+DP2+DR2+DT2+DV2</f>
        <v>0</v>
      </c>
      <c r="I2" s="172"/>
      <c r="J2" s="173"/>
      <c r="K2" s="172"/>
      <c r="L2" s="173"/>
      <c r="M2" s="172"/>
      <c r="N2" s="173"/>
      <c r="O2" s="172"/>
      <c r="P2" s="173"/>
      <c r="Q2" s="172">
        <v>20034</v>
      </c>
      <c r="R2" s="173">
        <f>19273+1000</f>
        <v>20273</v>
      </c>
      <c r="S2" s="172"/>
      <c r="T2" s="173"/>
      <c r="U2" s="172"/>
      <c r="V2" s="173"/>
      <c r="W2" s="172"/>
      <c r="X2" s="173"/>
      <c r="Y2" s="172"/>
      <c r="Z2" s="173"/>
      <c r="AA2" s="172"/>
      <c r="AB2" s="173"/>
      <c r="AC2" s="172"/>
      <c r="AD2" s="173"/>
      <c r="AE2" s="172"/>
      <c r="AF2" s="173">
        <v>11413</v>
      </c>
      <c r="AG2" s="172"/>
      <c r="AH2" s="173">
        <v>8316</v>
      </c>
      <c r="AI2" s="172"/>
      <c r="AJ2" s="173"/>
      <c r="AK2" s="172"/>
      <c r="AL2" s="173"/>
      <c r="AM2" s="172"/>
      <c r="AN2" s="173"/>
      <c r="AO2" s="172"/>
      <c r="AP2" s="173"/>
      <c r="AQ2" s="172"/>
      <c r="AR2" s="173"/>
      <c r="AS2" s="172"/>
      <c r="AT2" s="173"/>
      <c r="AU2" s="172"/>
      <c r="AV2" s="173"/>
      <c r="AW2" s="172"/>
      <c r="AX2" s="173"/>
      <c r="AY2" s="172"/>
      <c r="AZ2" s="173"/>
      <c r="BA2" s="172"/>
      <c r="BB2" s="173"/>
      <c r="BC2" s="172"/>
      <c r="BD2" s="173"/>
      <c r="BE2" s="172"/>
      <c r="BF2" s="173"/>
      <c r="BG2" s="172"/>
      <c r="BH2" s="173"/>
      <c r="BI2" s="172"/>
      <c r="BJ2" s="173"/>
      <c r="BK2" s="172"/>
      <c r="BL2" s="173"/>
      <c r="BM2" s="172"/>
      <c r="BN2" s="173"/>
      <c r="BO2" s="172"/>
      <c r="BP2" s="173"/>
      <c r="BQ2" s="172"/>
      <c r="BR2" s="173"/>
      <c r="BS2" s="172"/>
      <c r="BT2" s="173"/>
      <c r="BU2" s="172"/>
      <c r="BV2" s="173"/>
      <c r="BW2" s="172"/>
      <c r="BX2" s="173"/>
      <c r="BY2" s="172"/>
      <c r="BZ2" s="173"/>
      <c r="CA2" s="172"/>
      <c r="CB2" s="173"/>
      <c r="CC2" s="172"/>
      <c r="CD2" s="173"/>
      <c r="CE2" s="172"/>
      <c r="CF2" s="173"/>
      <c r="CG2" s="172"/>
      <c r="CH2" s="173"/>
      <c r="CI2" s="172"/>
      <c r="CJ2" s="173"/>
      <c r="CK2" s="172"/>
      <c r="CL2" s="173"/>
      <c r="CM2" s="172"/>
      <c r="CN2" s="173"/>
      <c r="CO2" s="172"/>
      <c r="CP2" s="173"/>
      <c r="CQ2" s="172"/>
      <c r="CR2" s="173"/>
      <c r="CS2" s="172"/>
      <c r="CT2" s="173"/>
      <c r="CU2" s="172"/>
      <c r="CV2" s="173"/>
      <c r="CW2" s="172"/>
      <c r="CX2" s="173"/>
      <c r="CY2" s="172"/>
      <c r="CZ2" s="173"/>
      <c r="DA2" s="172"/>
      <c r="DB2" s="173"/>
      <c r="DC2" s="172"/>
      <c r="DD2" s="173"/>
      <c r="DE2" s="172"/>
      <c r="DF2" s="173"/>
      <c r="DG2" s="172"/>
      <c r="DH2" s="173"/>
      <c r="DI2" s="172"/>
      <c r="DJ2" s="173"/>
      <c r="DK2" s="172"/>
      <c r="DL2" s="173"/>
      <c r="DM2" s="172"/>
      <c r="DN2" s="173"/>
      <c r="DO2" s="172"/>
      <c r="DP2" s="173"/>
      <c r="DQ2" s="172"/>
      <c r="DR2" s="173"/>
      <c r="DS2" s="172"/>
      <c r="DT2" s="173"/>
      <c r="DU2" s="172"/>
      <c r="DV2" s="173"/>
    </row>
    <row r="3" spans="1:126" x14ac:dyDescent="0.25">
      <c r="A3" s="171" t="s">
        <v>7</v>
      </c>
      <c r="B3" s="171" t="s">
        <v>9</v>
      </c>
      <c r="C3" s="172">
        <f t="shared" si="0"/>
        <v>0</v>
      </c>
      <c r="D3" s="173">
        <f t="shared" si="0"/>
        <v>0</v>
      </c>
      <c r="E3" s="172">
        <f t="shared" si="1"/>
        <v>0</v>
      </c>
      <c r="F3" s="173">
        <f t="shared" ref="F3:F17" si="2">L3+N3+P2:P3+R3+T3+V3+X3+Z3+AB3+AD3+AF3+AJ3+AH3</f>
        <v>0</v>
      </c>
      <c r="G3" s="172">
        <f t="shared" ref="G3:H42" si="3">AK3+AM3+AO3+AQ3+AS3+AU3+AW3+AY3+BA3+BC3+BE3+BG3+BI3+BK3+BM3+BO3+BQ3+BS3+BU3+BW3+BY3+CA3+CC3+CE3+CG3+CI3+CK3+CM3+CO3+CQ3+CS3+CU3+CW3+DA3+CY3+DC3+DE3+DG3+DI3+DK3+DM3+DO3+DQ3+DS3+DU3</f>
        <v>0</v>
      </c>
      <c r="H3" s="173">
        <f t="shared" si="3"/>
        <v>0</v>
      </c>
      <c r="I3" s="172"/>
      <c r="J3" s="173"/>
      <c r="K3" s="172"/>
      <c r="L3" s="173"/>
      <c r="M3" s="172"/>
      <c r="N3" s="173"/>
      <c r="O3" s="172"/>
      <c r="P3" s="173"/>
      <c r="Q3" s="172"/>
      <c r="R3" s="173"/>
      <c r="S3" s="172"/>
      <c r="T3" s="173"/>
      <c r="U3" s="172"/>
      <c r="V3" s="173"/>
      <c r="W3" s="172"/>
      <c r="X3" s="173"/>
      <c r="Y3" s="172"/>
      <c r="Z3" s="173"/>
      <c r="AA3" s="172"/>
      <c r="AB3" s="173"/>
      <c r="AC3" s="172"/>
      <c r="AD3" s="173"/>
      <c r="AE3" s="172"/>
      <c r="AF3" s="173"/>
      <c r="AG3" s="172"/>
      <c r="AH3" s="173"/>
      <c r="AI3" s="172"/>
      <c r="AJ3" s="173"/>
      <c r="AK3" s="172"/>
      <c r="AL3" s="173"/>
      <c r="AM3" s="172"/>
      <c r="AN3" s="173"/>
      <c r="AO3" s="172"/>
      <c r="AP3" s="173"/>
      <c r="AQ3" s="172"/>
      <c r="AR3" s="173"/>
      <c r="AS3" s="172"/>
      <c r="AT3" s="173"/>
      <c r="AU3" s="172"/>
      <c r="AV3" s="173"/>
      <c r="AW3" s="172"/>
      <c r="AX3" s="173"/>
      <c r="AY3" s="172"/>
      <c r="AZ3" s="173"/>
      <c r="BA3" s="172"/>
      <c r="BB3" s="173"/>
      <c r="BC3" s="172"/>
      <c r="BD3" s="173"/>
      <c r="BE3" s="172"/>
      <c r="BF3" s="173"/>
      <c r="BG3" s="172"/>
      <c r="BH3" s="173"/>
      <c r="BI3" s="172"/>
      <c r="BJ3" s="173"/>
      <c r="BK3" s="172"/>
      <c r="BL3" s="173"/>
      <c r="BM3" s="172"/>
      <c r="BN3" s="173"/>
      <c r="BO3" s="172"/>
      <c r="BP3" s="173"/>
      <c r="BQ3" s="172"/>
      <c r="BR3" s="173"/>
      <c r="BS3" s="172"/>
      <c r="BT3" s="173"/>
      <c r="BU3" s="172"/>
      <c r="BV3" s="173"/>
      <c r="BW3" s="172"/>
      <c r="BX3" s="173"/>
      <c r="BY3" s="172"/>
      <c r="BZ3" s="173"/>
      <c r="CA3" s="172"/>
      <c r="CB3" s="173"/>
      <c r="CC3" s="172"/>
      <c r="CD3" s="173"/>
      <c r="CE3" s="172"/>
      <c r="CF3" s="173"/>
      <c r="CG3" s="172"/>
      <c r="CH3" s="173"/>
      <c r="CI3" s="172"/>
      <c r="CJ3" s="173"/>
      <c r="CK3" s="172"/>
      <c r="CL3" s="173"/>
      <c r="CM3" s="172"/>
      <c r="CN3" s="173"/>
      <c r="CO3" s="172"/>
      <c r="CP3" s="173"/>
      <c r="CQ3" s="172"/>
      <c r="CR3" s="173"/>
      <c r="CS3" s="172"/>
      <c r="CT3" s="173"/>
      <c r="CU3" s="172"/>
      <c r="CV3" s="173"/>
      <c r="CW3" s="172"/>
      <c r="CX3" s="173"/>
      <c r="CY3" s="172"/>
      <c r="CZ3" s="173"/>
      <c r="DA3" s="172"/>
      <c r="DB3" s="173"/>
      <c r="DC3" s="172"/>
      <c r="DD3" s="173"/>
      <c r="DE3" s="172"/>
      <c r="DF3" s="173"/>
      <c r="DG3" s="172"/>
      <c r="DH3" s="173"/>
      <c r="DI3" s="172"/>
      <c r="DJ3" s="173"/>
      <c r="DK3" s="172"/>
      <c r="DL3" s="173"/>
      <c r="DM3" s="172"/>
      <c r="DN3" s="173"/>
      <c r="DO3" s="172"/>
      <c r="DP3" s="173"/>
      <c r="DQ3" s="172"/>
      <c r="DR3" s="173"/>
      <c r="DS3" s="172"/>
      <c r="DT3" s="173"/>
      <c r="DU3" s="172"/>
      <c r="DV3" s="173"/>
    </row>
    <row r="4" spans="1:126" x14ac:dyDescent="0.25">
      <c r="A4" s="171" t="s">
        <v>10</v>
      </c>
      <c r="B4" s="171" t="s">
        <v>12</v>
      </c>
      <c r="C4" s="172">
        <f t="shared" si="0"/>
        <v>0</v>
      </c>
      <c r="D4" s="173">
        <f t="shared" si="0"/>
        <v>0</v>
      </c>
      <c r="E4" s="172">
        <f t="shared" si="1"/>
        <v>0</v>
      </c>
      <c r="F4" s="173">
        <f t="shared" si="2"/>
        <v>0</v>
      </c>
      <c r="G4" s="172">
        <f t="shared" si="3"/>
        <v>0</v>
      </c>
      <c r="H4" s="173">
        <f t="shared" si="3"/>
        <v>0</v>
      </c>
      <c r="I4" s="172"/>
      <c r="J4" s="173"/>
      <c r="K4" s="172"/>
      <c r="L4" s="173"/>
      <c r="M4" s="172"/>
      <c r="N4" s="173"/>
      <c r="O4" s="172"/>
      <c r="P4" s="173"/>
      <c r="Q4" s="172"/>
      <c r="R4" s="173"/>
      <c r="S4" s="172"/>
      <c r="T4" s="173"/>
      <c r="U4" s="172"/>
      <c r="V4" s="173"/>
      <c r="W4" s="172"/>
      <c r="X4" s="173"/>
      <c r="Y4" s="172"/>
      <c r="Z4" s="173"/>
      <c r="AA4" s="172"/>
      <c r="AB4" s="173"/>
      <c r="AC4" s="172"/>
      <c r="AD4" s="173"/>
      <c r="AE4" s="172"/>
      <c r="AF4" s="173"/>
      <c r="AG4" s="172"/>
      <c r="AH4" s="173"/>
      <c r="AI4" s="172"/>
      <c r="AJ4" s="173"/>
      <c r="AK4" s="172"/>
      <c r="AL4" s="173"/>
      <c r="AM4" s="172"/>
      <c r="AN4" s="173"/>
      <c r="AO4" s="172"/>
      <c r="AP4" s="173"/>
      <c r="AQ4" s="172"/>
      <c r="AR4" s="173"/>
      <c r="AS4" s="172"/>
      <c r="AT4" s="173"/>
      <c r="AU4" s="172"/>
      <c r="AV4" s="173"/>
      <c r="AW4" s="172"/>
      <c r="AX4" s="173"/>
      <c r="AY4" s="172"/>
      <c r="AZ4" s="173"/>
      <c r="BA4" s="172"/>
      <c r="BB4" s="173"/>
      <c r="BC4" s="172"/>
      <c r="BD4" s="173"/>
      <c r="BE4" s="172"/>
      <c r="BF4" s="173"/>
      <c r="BG4" s="172"/>
      <c r="BH4" s="173"/>
      <c r="BI4" s="172"/>
      <c r="BJ4" s="173"/>
      <c r="BK4" s="172"/>
      <c r="BL4" s="173"/>
      <c r="BM4" s="172"/>
      <c r="BN4" s="173"/>
      <c r="BO4" s="172"/>
      <c r="BP4" s="173"/>
      <c r="BQ4" s="172"/>
      <c r="BR4" s="173"/>
      <c r="BS4" s="172"/>
      <c r="BT4" s="173"/>
      <c r="BU4" s="172"/>
      <c r="BV4" s="173"/>
      <c r="BW4" s="172"/>
      <c r="BX4" s="173"/>
      <c r="BY4" s="172"/>
      <c r="BZ4" s="173"/>
      <c r="CA4" s="172"/>
      <c r="CB4" s="173"/>
      <c r="CC4" s="172"/>
      <c r="CD4" s="173"/>
      <c r="CE4" s="172"/>
      <c r="CF4" s="173"/>
      <c r="CG4" s="172"/>
      <c r="CH4" s="173"/>
      <c r="CI4" s="172"/>
      <c r="CJ4" s="173"/>
      <c r="CK4" s="172"/>
      <c r="CL4" s="173"/>
      <c r="CM4" s="172"/>
      <c r="CN4" s="173"/>
      <c r="CO4" s="172"/>
      <c r="CP4" s="173"/>
      <c r="CQ4" s="172"/>
      <c r="CR4" s="173"/>
      <c r="CS4" s="172"/>
      <c r="CT4" s="173"/>
      <c r="CU4" s="172"/>
      <c r="CV4" s="173"/>
      <c r="CW4" s="172"/>
      <c r="CX4" s="173"/>
      <c r="CY4" s="172"/>
      <c r="CZ4" s="173"/>
      <c r="DA4" s="172"/>
      <c r="DB4" s="173"/>
      <c r="DC4" s="172"/>
      <c r="DD4" s="173"/>
      <c r="DE4" s="172"/>
      <c r="DF4" s="173"/>
      <c r="DG4" s="172"/>
      <c r="DH4" s="173"/>
      <c r="DI4" s="172"/>
      <c r="DJ4" s="173"/>
      <c r="DK4" s="172"/>
      <c r="DL4" s="173"/>
      <c r="DM4" s="172"/>
      <c r="DN4" s="173"/>
      <c r="DO4" s="172"/>
      <c r="DP4" s="173"/>
      <c r="DQ4" s="172"/>
      <c r="DR4" s="173"/>
      <c r="DS4" s="172"/>
      <c r="DT4" s="173"/>
      <c r="DU4" s="172"/>
      <c r="DV4" s="173"/>
    </row>
    <row r="5" spans="1:126" x14ac:dyDescent="0.25">
      <c r="A5" s="171" t="s">
        <v>13</v>
      </c>
      <c r="B5" s="171" t="s">
        <v>15</v>
      </c>
      <c r="C5" s="172">
        <f t="shared" si="0"/>
        <v>477</v>
      </c>
      <c r="D5" s="173">
        <f t="shared" si="0"/>
        <v>1500</v>
      </c>
      <c r="E5" s="172">
        <f t="shared" si="1"/>
        <v>477</v>
      </c>
      <c r="F5" s="173">
        <f t="shared" si="2"/>
        <v>1500</v>
      </c>
      <c r="G5" s="172">
        <f t="shared" si="3"/>
        <v>0</v>
      </c>
      <c r="H5" s="173">
        <f t="shared" si="3"/>
        <v>0</v>
      </c>
      <c r="I5" s="172"/>
      <c r="J5" s="173"/>
      <c r="K5" s="172"/>
      <c r="L5" s="173"/>
      <c r="M5" s="172"/>
      <c r="N5" s="173"/>
      <c r="O5" s="172"/>
      <c r="P5" s="173"/>
      <c r="Q5" s="172">
        <v>477</v>
      </c>
      <c r="R5" s="173">
        <v>1500</v>
      </c>
      <c r="S5" s="172"/>
      <c r="T5" s="173"/>
      <c r="U5" s="172"/>
      <c r="V5" s="173"/>
      <c r="W5" s="172"/>
      <c r="X5" s="173"/>
      <c r="Y5" s="172"/>
      <c r="Z5" s="173"/>
      <c r="AA5" s="172"/>
      <c r="AB5" s="173"/>
      <c r="AC5" s="172"/>
      <c r="AD5" s="173"/>
      <c r="AE5" s="172"/>
      <c r="AF5" s="173"/>
      <c r="AG5" s="172"/>
      <c r="AH5" s="173"/>
      <c r="AI5" s="172"/>
      <c r="AJ5" s="173"/>
      <c r="AK5" s="172"/>
      <c r="AL5" s="173"/>
      <c r="AM5" s="172"/>
      <c r="AN5" s="173"/>
      <c r="AO5" s="172"/>
      <c r="AP5" s="173"/>
      <c r="AQ5" s="172"/>
      <c r="AR5" s="173"/>
      <c r="AS5" s="172"/>
      <c r="AT5" s="173"/>
      <c r="AU5" s="172"/>
      <c r="AV5" s="173"/>
      <c r="AW5" s="172"/>
      <c r="AX5" s="173"/>
      <c r="AY5" s="172"/>
      <c r="AZ5" s="173"/>
      <c r="BA5" s="172"/>
      <c r="BB5" s="173"/>
      <c r="BC5" s="172"/>
      <c r="BD5" s="173"/>
      <c r="BE5" s="172"/>
      <c r="BF5" s="173"/>
      <c r="BG5" s="172"/>
      <c r="BH5" s="173"/>
      <c r="BI5" s="172"/>
      <c r="BJ5" s="173"/>
      <c r="BK5" s="172"/>
      <c r="BL5" s="173"/>
      <c r="BM5" s="172"/>
      <c r="BN5" s="173"/>
      <c r="BO5" s="172"/>
      <c r="BP5" s="173"/>
      <c r="BQ5" s="172"/>
      <c r="BR5" s="173"/>
      <c r="BS5" s="172"/>
      <c r="BT5" s="173"/>
      <c r="BU5" s="172"/>
      <c r="BV5" s="173"/>
      <c r="BW5" s="172"/>
      <c r="BX5" s="173"/>
      <c r="BY5" s="172"/>
      <c r="BZ5" s="173"/>
      <c r="CA5" s="172"/>
      <c r="CB5" s="173"/>
      <c r="CC5" s="172"/>
      <c r="CD5" s="173"/>
      <c r="CE5" s="172"/>
      <c r="CF5" s="173"/>
      <c r="CG5" s="172"/>
      <c r="CH5" s="173"/>
      <c r="CI5" s="172"/>
      <c r="CJ5" s="173"/>
      <c r="CK5" s="172"/>
      <c r="CL5" s="173"/>
      <c r="CM5" s="172"/>
      <c r="CN5" s="173"/>
      <c r="CO5" s="172"/>
      <c r="CP5" s="173"/>
      <c r="CQ5" s="172"/>
      <c r="CR5" s="173"/>
      <c r="CS5" s="172"/>
      <c r="CT5" s="173"/>
      <c r="CU5" s="172"/>
      <c r="CV5" s="173"/>
      <c r="CW5" s="172"/>
      <c r="CX5" s="173"/>
      <c r="CY5" s="172"/>
      <c r="CZ5" s="173"/>
      <c r="DA5" s="172"/>
      <c r="DB5" s="173"/>
      <c r="DC5" s="172"/>
      <c r="DD5" s="173"/>
      <c r="DE5" s="172"/>
      <c r="DF5" s="173"/>
      <c r="DG5" s="172"/>
      <c r="DH5" s="173"/>
      <c r="DI5" s="172"/>
      <c r="DJ5" s="173"/>
      <c r="DK5" s="172"/>
      <c r="DL5" s="173"/>
      <c r="DM5" s="172"/>
      <c r="DN5" s="173"/>
      <c r="DO5" s="172"/>
      <c r="DP5" s="173"/>
      <c r="DQ5" s="172"/>
      <c r="DR5" s="173"/>
      <c r="DS5" s="172"/>
      <c r="DT5" s="173"/>
      <c r="DU5" s="172"/>
      <c r="DV5" s="173"/>
    </row>
    <row r="6" spans="1:126" x14ac:dyDescent="0.25">
      <c r="A6" s="171" t="s">
        <v>18</v>
      </c>
      <c r="B6" s="171" t="s">
        <v>20</v>
      </c>
      <c r="C6" s="172">
        <f t="shared" si="0"/>
        <v>0</v>
      </c>
      <c r="D6" s="173">
        <f t="shared" si="0"/>
        <v>0</v>
      </c>
      <c r="E6" s="172">
        <f t="shared" si="1"/>
        <v>0</v>
      </c>
      <c r="F6" s="173">
        <f t="shared" si="2"/>
        <v>0</v>
      </c>
      <c r="G6" s="172">
        <f t="shared" si="3"/>
        <v>0</v>
      </c>
      <c r="H6" s="173">
        <f t="shared" si="3"/>
        <v>0</v>
      </c>
      <c r="I6" s="172"/>
      <c r="J6" s="173"/>
      <c r="K6" s="172"/>
      <c r="L6" s="173"/>
      <c r="M6" s="172"/>
      <c r="N6" s="173"/>
      <c r="O6" s="172"/>
      <c r="P6" s="173"/>
      <c r="Q6" s="172"/>
      <c r="R6" s="173"/>
      <c r="S6" s="172"/>
      <c r="T6" s="173"/>
      <c r="U6" s="172"/>
      <c r="V6" s="173"/>
      <c r="W6" s="172"/>
      <c r="X6" s="173"/>
      <c r="Y6" s="172"/>
      <c r="Z6" s="173"/>
      <c r="AA6" s="172"/>
      <c r="AB6" s="173"/>
      <c r="AC6" s="172"/>
      <c r="AD6" s="173"/>
      <c r="AE6" s="172"/>
      <c r="AF6" s="173"/>
      <c r="AG6" s="172"/>
      <c r="AH6" s="173"/>
      <c r="AI6" s="172"/>
      <c r="AJ6" s="173"/>
      <c r="AK6" s="172"/>
      <c r="AL6" s="173"/>
      <c r="AM6" s="172"/>
      <c r="AN6" s="173"/>
      <c r="AO6" s="172"/>
      <c r="AP6" s="173"/>
      <c r="AQ6" s="172"/>
      <c r="AR6" s="173"/>
      <c r="AS6" s="172"/>
      <c r="AT6" s="173"/>
      <c r="AU6" s="172"/>
      <c r="AV6" s="173"/>
      <c r="AW6" s="172"/>
      <c r="AX6" s="173"/>
      <c r="AY6" s="172"/>
      <c r="AZ6" s="173"/>
      <c r="BA6" s="172"/>
      <c r="BB6" s="173"/>
      <c r="BC6" s="172"/>
      <c r="BD6" s="173"/>
      <c r="BE6" s="172"/>
      <c r="BF6" s="173"/>
      <c r="BG6" s="172"/>
      <c r="BH6" s="173"/>
      <c r="BI6" s="172"/>
      <c r="BJ6" s="173"/>
      <c r="BK6" s="172"/>
      <c r="BL6" s="173"/>
      <c r="BM6" s="172"/>
      <c r="BN6" s="173"/>
      <c r="BO6" s="172"/>
      <c r="BP6" s="173"/>
      <c r="BQ6" s="172"/>
      <c r="BR6" s="173"/>
      <c r="BS6" s="172"/>
      <c r="BT6" s="173"/>
      <c r="BU6" s="172"/>
      <c r="BV6" s="173"/>
      <c r="BW6" s="172"/>
      <c r="BX6" s="173"/>
      <c r="BY6" s="172"/>
      <c r="BZ6" s="173"/>
      <c r="CA6" s="172"/>
      <c r="CB6" s="173"/>
      <c r="CC6" s="172"/>
      <c r="CD6" s="173"/>
      <c r="CE6" s="172"/>
      <c r="CF6" s="173"/>
      <c r="CG6" s="172"/>
      <c r="CH6" s="173"/>
      <c r="CI6" s="172"/>
      <c r="CJ6" s="173"/>
      <c r="CK6" s="172"/>
      <c r="CL6" s="173"/>
      <c r="CM6" s="172"/>
      <c r="CN6" s="173"/>
      <c r="CO6" s="172"/>
      <c r="CP6" s="173"/>
      <c r="CQ6" s="172"/>
      <c r="CR6" s="173"/>
      <c r="CS6" s="172"/>
      <c r="CT6" s="173"/>
      <c r="CU6" s="172"/>
      <c r="CV6" s="173"/>
      <c r="CW6" s="172"/>
      <c r="CX6" s="173"/>
      <c r="CY6" s="172"/>
      <c r="CZ6" s="173"/>
      <c r="DA6" s="172"/>
      <c r="DB6" s="173"/>
      <c r="DC6" s="172"/>
      <c r="DD6" s="173"/>
      <c r="DE6" s="172"/>
      <c r="DF6" s="173"/>
      <c r="DG6" s="172"/>
      <c r="DH6" s="173"/>
      <c r="DI6" s="172"/>
      <c r="DJ6" s="173"/>
      <c r="DK6" s="172"/>
      <c r="DL6" s="173"/>
      <c r="DM6" s="172"/>
      <c r="DN6" s="173"/>
      <c r="DO6" s="172"/>
      <c r="DP6" s="173"/>
      <c r="DQ6" s="172"/>
      <c r="DR6" s="173"/>
      <c r="DS6" s="172"/>
      <c r="DT6" s="173"/>
      <c r="DU6" s="172"/>
      <c r="DV6" s="173"/>
    </row>
    <row r="7" spans="1:126" x14ac:dyDescent="0.25">
      <c r="A7" s="171" t="s">
        <v>21</v>
      </c>
      <c r="B7" s="171" t="s">
        <v>23</v>
      </c>
      <c r="C7" s="172">
        <f t="shared" si="0"/>
        <v>0</v>
      </c>
      <c r="D7" s="173">
        <f t="shared" si="0"/>
        <v>524</v>
      </c>
      <c r="E7" s="172">
        <f t="shared" si="1"/>
        <v>0</v>
      </c>
      <c r="F7" s="173">
        <f t="shared" si="2"/>
        <v>524</v>
      </c>
      <c r="G7" s="172">
        <f t="shared" si="3"/>
        <v>0</v>
      </c>
      <c r="H7" s="173">
        <f t="shared" si="3"/>
        <v>0</v>
      </c>
      <c r="I7" s="172"/>
      <c r="J7" s="173"/>
      <c r="K7" s="172"/>
      <c r="L7" s="173"/>
      <c r="M7" s="172"/>
      <c r="N7" s="173"/>
      <c r="O7" s="172"/>
      <c r="P7" s="173"/>
      <c r="Q7" s="172"/>
      <c r="R7" s="173">
        <v>524</v>
      </c>
      <c r="S7" s="172"/>
      <c r="T7" s="173"/>
      <c r="U7" s="172"/>
      <c r="V7" s="173"/>
      <c r="W7" s="172"/>
      <c r="X7" s="173"/>
      <c r="Y7" s="172"/>
      <c r="Z7" s="173"/>
      <c r="AA7" s="172"/>
      <c r="AB7" s="173"/>
      <c r="AC7" s="172"/>
      <c r="AD7" s="173"/>
      <c r="AE7" s="172"/>
      <c r="AF7" s="173"/>
      <c r="AG7" s="172"/>
      <c r="AH7" s="173"/>
      <c r="AI7" s="172"/>
      <c r="AJ7" s="173"/>
      <c r="AK7" s="172"/>
      <c r="AL7" s="173"/>
      <c r="AM7" s="172"/>
      <c r="AN7" s="173"/>
      <c r="AO7" s="172"/>
      <c r="AP7" s="173"/>
      <c r="AQ7" s="172"/>
      <c r="AR7" s="173"/>
      <c r="AS7" s="172"/>
      <c r="AT7" s="173"/>
      <c r="AU7" s="172"/>
      <c r="AV7" s="173"/>
      <c r="AW7" s="172"/>
      <c r="AX7" s="173"/>
      <c r="AY7" s="172"/>
      <c r="AZ7" s="173"/>
      <c r="BA7" s="172"/>
      <c r="BB7" s="173"/>
      <c r="BC7" s="172"/>
      <c r="BD7" s="173"/>
      <c r="BE7" s="172"/>
      <c r="BF7" s="173"/>
      <c r="BG7" s="172"/>
      <c r="BH7" s="173"/>
      <c r="BI7" s="172"/>
      <c r="BJ7" s="173"/>
      <c r="BK7" s="172"/>
      <c r="BL7" s="173"/>
      <c r="BM7" s="172"/>
      <c r="BN7" s="173"/>
      <c r="BO7" s="172"/>
      <c r="BP7" s="173"/>
      <c r="BQ7" s="172"/>
      <c r="BR7" s="173"/>
      <c r="BS7" s="172"/>
      <c r="BT7" s="173"/>
      <c r="BU7" s="172"/>
      <c r="BV7" s="173"/>
      <c r="BW7" s="172"/>
      <c r="BX7" s="173"/>
      <c r="BY7" s="172"/>
      <c r="BZ7" s="173"/>
      <c r="CA7" s="172"/>
      <c r="CB7" s="173"/>
      <c r="CC7" s="172"/>
      <c r="CD7" s="173"/>
      <c r="CE7" s="172"/>
      <c r="CF7" s="173"/>
      <c r="CG7" s="172"/>
      <c r="CH7" s="173"/>
      <c r="CI7" s="172"/>
      <c r="CJ7" s="173"/>
      <c r="CK7" s="172"/>
      <c r="CL7" s="173"/>
      <c r="CM7" s="172"/>
      <c r="CN7" s="173"/>
      <c r="CO7" s="172"/>
      <c r="CP7" s="173"/>
      <c r="CQ7" s="172"/>
      <c r="CR7" s="173"/>
      <c r="CS7" s="172"/>
      <c r="CT7" s="173"/>
      <c r="CU7" s="172"/>
      <c r="CV7" s="173"/>
      <c r="CW7" s="172"/>
      <c r="CX7" s="173"/>
      <c r="CY7" s="172"/>
      <c r="CZ7" s="173"/>
      <c r="DA7" s="172"/>
      <c r="DB7" s="173"/>
      <c r="DC7" s="172"/>
      <c r="DD7" s="173"/>
      <c r="DE7" s="172"/>
      <c r="DF7" s="173"/>
      <c r="DG7" s="172"/>
      <c r="DH7" s="173"/>
      <c r="DI7" s="172"/>
      <c r="DJ7" s="173"/>
      <c r="DK7" s="172"/>
      <c r="DL7" s="173"/>
      <c r="DM7" s="172"/>
      <c r="DN7" s="173"/>
      <c r="DO7" s="172"/>
      <c r="DP7" s="173"/>
      <c r="DQ7" s="172"/>
      <c r="DR7" s="173"/>
      <c r="DS7" s="172"/>
      <c r="DT7" s="173"/>
      <c r="DU7" s="172"/>
      <c r="DV7" s="173"/>
    </row>
    <row r="8" spans="1:126" x14ac:dyDescent="0.25">
      <c r="A8" s="171" t="s">
        <v>24</v>
      </c>
      <c r="B8" s="171" t="s">
        <v>26</v>
      </c>
      <c r="C8" s="172">
        <f t="shared" si="0"/>
        <v>672</v>
      </c>
      <c r="D8" s="173">
        <f t="shared" si="0"/>
        <v>672</v>
      </c>
      <c r="E8" s="172">
        <f t="shared" si="1"/>
        <v>672</v>
      </c>
      <c r="F8" s="173">
        <f t="shared" si="2"/>
        <v>672</v>
      </c>
      <c r="G8" s="172">
        <f t="shared" si="3"/>
        <v>0</v>
      </c>
      <c r="H8" s="173">
        <f t="shared" si="3"/>
        <v>0</v>
      </c>
      <c r="I8" s="172"/>
      <c r="J8" s="173"/>
      <c r="K8" s="172"/>
      <c r="L8" s="173"/>
      <c r="M8" s="172"/>
      <c r="N8" s="173"/>
      <c r="O8" s="172"/>
      <c r="P8" s="173"/>
      <c r="Q8" s="172">
        <v>672</v>
      </c>
      <c r="R8" s="173">
        <v>672</v>
      </c>
      <c r="S8" s="172"/>
      <c r="T8" s="173"/>
      <c r="U8" s="172"/>
      <c r="V8" s="173"/>
      <c r="W8" s="172"/>
      <c r="X8" s="173"/>
      <c r="Y8" s="172"/>
      <c r="Z8" s="173"/>
      <c r="AA8" s="172"/>
      <c r="AB8" s="173"/>
      <c r="AC8" s="172"/>
      <c r="AD8" s="173"/>
      <c r="AE8" s="172"/>
      <c r="AF8" s="173"/>
      <c r="AG8" s="172"/>
      <c r="AH8" s="173"/>
      <c r="AI8" s="172"/>
      <c r="AJ8" s="173"/>
      <c r="AK8" s="172"/>
      <c r="AL8" s="173"/>
      <c r="AM8" s="172"/>
      <c r="AN8" s="173"/>
      <c r="AO8" s="172"/>
      <c r="AP8" s="173"/>
      <c r="AQ8" s="172"/>
      <c r="AR8" s="173"/>
      <c r="AS8" s="172"/>
      <c r="AT8" s="173"/>
      <c r="AU8" s="172"/>
      <c r="AV8" s="173"/>
      <c r="AW8" s="172"/>
      <c r="AX8" s="173"/>
      <c r="AY8" s="172"/>
      <c r="AZ8" s="173"/>
      <c r="BA8" s="172"/>
      <c r="BB8" s="173"/>
      <c r="BC8" s="172"/>
      <c r="BD8" s="173"/>
      <c r="BE8" s="172"/>
      <c r="BF8" s="173"/>
      <c r="BG8" s="172"/>
      <c r="BH8" s="173"/>
      <c r="BI8" s="172"/>
      <c r="BJ8" s="173"/>
      <c r="BK8" s="172"/>
      <c r="BL8" s="173"/>
      <c r="BM8" s="172"/>
      <c r="BN8" s="173"/>
      <c r="BO8" s="172"/>
      <c r="BP8" s="173"/>
      <c r="BQ8" s="172"/>
      <c r="BR8" s="173"/>
      <c r="BS8" s="172"/>
      <c r="BT8" s="173"/>
      <c r="BU8" s="172"/>
      <c r="BV8" s="173"/>
      <c r="BW8" s="172"/>
      <c r="BX8" s="173"/>
      <c r="BY8" s="172"/>
      <c r="BZ8" s="173"/>
      <c r="CA8" s="172"/>
      <c r="CB8" s="173"/>
      <c r="CC8" s="172"/>
      <c r="CD8" s="173"/>
      <c r="CE8" s="172"/>
      <c r="CF8" s="173"/>
      <c r="CG8" s="172"/>
      <c r="CH8" s="173"/>
      <c r="CI8" s="172"/>
      <c r="CJ8" s="173"/>
      <c r="CK8" s="172"/>
      <c r="CL8" s="173"/>
      <c r="CM8" s="172"/>
      <c r="CN8" s="173"/>
      <c r="CO8" s="172"/>
      <c r="CP8" s="173"/>
      <c r="CQ8" s="172"/>
      <c r="CR8" s="173"/>
      <c r="CS8" s="172"/>
      <c r="CT8" s="173"/>
      <c r="CU8" s="172"/>
      <c r="CV8" s="173"/>
      <c r="CW8" s="172"/>
      <c r="CX8" s="173"/>
      <c r="CY8" s="172"/>
      <c r="CZ8" s="173"/>
      <c r="DA8" s="172"/>
      <c r="DB8" s="173"/>
      <c r="DC8" s="172"/>
      <c r="DD8" s="173"/>
      <c r="DE8" s="172"/>
      <c r="DF8" s="173"/>
      <c r="DG8" s="172"/>
      <c r="DH8" s="173"/>
      <c r="DI8" s="172"/>
      <c r="DJ8" s="173"/>
      <c r="DK8" s="172"/>
      <c r="DL8" s="173"/>
      <c r="DM8" s="172"/>
      <c r="DN8" s="173"/>
      <c r="DO8" s="172"/>
      <c r="DP8" s="173"/>
      <c r="DQ8" s="172"/>
      <c r="DR8" s="173"/>
      <c r="DS8" s="172"/>
      <c r="DT8" s="173"/>
      <c r="DU8" s="172"/>
      <c r="DV8" s="173"/>
    </row>
    <row r="9" spans="1:126" x14ac:dyDescent="0.25">
      <c r="A9" s="171" t="s">
        <v>27</v>
      </c>
      <c r="B9" s="171" t="s">
        <v>29</v>
      </c>
      <c r="C9" s="172">
        <f t="shared" si="0"/>
        <v>0</v>
      </c>
      <c r="D9" s="173">
        <f t="shared" si="0"/>
        <v>0</v>
      </c>
      <c r="E9" s="172">
        <f t="shared" si="1"/>
        <v>0</v>
      </c>
      <c r="F9" s="173">
        <f t="shared" si="2"/>
        <v>0</v>
      </c>
      <c r="G9" s="172">
        <f t="shared" si="3"/>
        <v>0</v>
      </c>
      <c r="H9" s="173">
        <f t="shared" si="3"/>
        <v>0</v>
      </c>
      <c r="I9" s="172"/>
      <c r="J9" s="173"/>
      <c r="K9" s="172"/>
      <c r="L9" s="173"/>
      <c r="M9" s="172"/>
      <c r="N9" s="173"/>
      <c r="O9" s="172"/>
      <c r="P9" s="173"/>
      <c r="Q9" s="172"/>
      <c r="R9" s="173"/>
      <c r="S9" s="172"/>
      <c r="T9" s="173"/>
      <c r="U9" s="172"/>
      <c r="V9" s="173"/>
      <c r="W9" s="172"/>
      <c r="X9" s="173"/>
      <c r="Y9" s="172"/>
      <c r="Z9" s="173"/>
      <c r="AA9" s="172"/>
      <c r="AB9" s="173"/>
      <c r="AC9" s="172"/>
      <c r="AD9" s="173"/>
      <c r="AE9" s="172"/>
      <c r="AF9" s="173"/>
      <c r="AG9" s="172"/>
      <c r="AH9" s="173"/>
      <c r="AI9" s="172"/>
      <c r="AJ9" s="173"/>
      <c r="AK9" s="172"/>
      <c r="AL9" s="173"/>
      <c r="AM9" s="172"/>
      <c r="AN9" s="173"/>
      <c r="AO9" s="172"/>
      <c r="AP9" s="173"/>
      <c r="AQ9" s="172"/>
      <c r="AR9" s="173"/>
      <c r="AS9" s="172"/>
      <c r="AT9" s="173"/>
      <c r="AU9" s="172"/>
      <c r="AV9" s="173"/>
      <c r="AW9" s="172"/>
      <c r="AX9" s="173"/>
      <c r="AY9" s="172"/>
      <c r="AZ9" s="173"/>
      <c r="BA9" s="172"/>
      <c r="BB9" s="173"/>
      <c r="BC9" s="172"/>
      <c r="BD9" s="173"/>
      <c r="BE9" s="172"/>
      <c r="BF9" s="173"/>
      <c r="BG9" s="172"/>
      <c r="BH9" s="173"/>
      <c r="BI9" s="172"/>
      <c r="BJ9" s="173"/>
      <c r="BK9" s="172"/>
      <c r="BL9" s="173"/>
      <c r="BM9" s="172"/>
      <c r="BN9" s="173"/>
      <c r="BO9" s="172"/>
      <c r="BP9" s="173"/>
      <c r="BQ9" s="172"/>
      <c r="BR9" s="173"/>
      <c r="BS9" s="172"/>
      <c r="BT9" s="173"/>
      <c r="BU9" s="172"/>
      <c r="BV9" s="173"/>
      <c r="BW9" s="172"/>
      <c r="BX9" s="173"/>
      <c r="BY9" s="172"/>
      <c r="BZ9" s="173"/>
      <c r="CA9" s="172"/>
      <c r="CB9" s="173"/>
      <c r="CC9" s="172"/>
      <c r="CD9" s="173"/>
      <c r="CE9" s="172"/>
      <c r="CF9" s="173"/>
      <c r="CG9" s="172"/>
      <c r="CH9" s="173"/>
      <c r="CI9" s="172"/>
      <c r="CJ9" s="173"/>
      <c r="CK9" s="172"/>
      <c r="CL9" s="173"/>
      <c r="CM9" s="172"/>
      <c r="CN9" s="173"/>
      <c r="CO9" s="172"/>
      <c r="CP9" s="173"/>
      <c r="CQ9" s="172"/>
      <c r="CR9" s="173"/>
      <c r="CS9" s="172"/>
      <c r="CT9" s="173"/>
      <c r="CU9" s="172"/>
      <c r="CV9" s="173"/>
      <c r="CW9" s="172"/>
      <c r="CX9" s="173"/>
      <c r="CY9" s="172"/>
      <c r="CZ9" s="173"/>
      <c r="DA9" s="172"/>
      <c r="DB9" s="173"/>
      <c r="DC9" s="172"/>
      <c r="DD9" s="173"/>
      <c r="DE9" s="172"/>
      <c r="DF9" s="173"/>
      <c r="DG9" s="172"/>
      <c r="DH9" s="173"/>
      <c r="DI9" s="172"/>
      <c r="DJ9" s="173"/>
      <c r="DK9" s="172"/>
      <c r="DL9" s="173"/>
      <c r="DM9" s="172"/>
      <c r="DN9" s="173"/>
      <c r="DO9" s="172"/>
      <c r="DP9" s="173"/>
      <c r="DQ9" s="172"/>
      <c r="DR9" s="173"/>
      <c r="DS9" s="172"/>
      <c r="DT9" s="173"/>
      <c r="DU9" s="172"/>
      <c r="DV9" s="173"/>
    </row>
    <row r="10" spans="1:126" x14ac:dyDescent="0.25">
      <c r="A10" s="171" t="s">
        <v>30</v>
      </c>
      <c r="B10" s="171" t="s">
        <v>32</v>
      </c>
      <c r="C10" s="172">
        <f t="shared" si="0"/>
        <v>350</v>
      </c>
      <c r="D10" s="173">
        <f t="shared" si="0"/>
        <v>350</v>
      </c>
      <c r="E10" s="172">
        <f t="shared" si="1"/>
        <v>350</v>
      </c>
      <c r="F10" s="173">
        <f t="shared" si="2"/>
        <v>350</v>
      </c>
      <c r="G10" s="172">
        <f t="shared" si="3"/>
        <v>0</v>
      </c>
      <c r="H10" s="173">
        <f t="shared" si="3"/>
        <v>0</v>
      </c>
      <c r="I10" s="172"/>
      <c r="J10" s="173"/>
      <c r="K10" s="172"/>
      <c r="L10" s="173"/>
      <c r="M10" s="172"/>
      <c r="N10" s="173"/>
      <c r="O10" s="172"/>
      <c r="P10" s="173"/>
      <c r="Q10" s="172">
        <v>350</v>
      </c>
      <c r="R10" s="173">
        <v>350</v>
      </c>
      <c r="S10" s="172"/>
      <c r="T10" s="173"/>
      <c r="U10" s="172"/>
      <c r="V10" s="173"/>
      <c r="W10" s="172"/>
      <c r="X10" s="173"/>
      <c r="Y10" s="172"/>
      <c r="Z10" s="173"/>
      <c r="AA10" s="172"/>
      <c r="AB10" s="173"/>
      <c r="AC10" s="172"/>
      <c r="AD10" s="173"/>
      <c r="AE10" s="172"/>
      <c r="AF10" s="173"/>
      <c r="AG10" s="172"/>
      <c r="AH10" s="173"/>
      <c r="AI10" s="172"/>
      <c r="AJ10" s="173"/>
      <c r="AK10" s="172"/>
      <c r="AL10" s="173"/>
      <c r="AM10" s="172"/>
      <c r="AN10" s="173"/>
      <c r="AO10" s="172"/>
      <c r="AP10" s="173"/>
      <c r="AQ10" s="172"/>
      <c r="AR10" s="173"/>
      <c r="AS10" s="172"/>
      <c r="AT10" s="173"/>
      <c r="AU10" s="172"/>
      <c r="AV10" s="173"/>
      <c r="AW10" s="172"/>
      <c r="AX10" s="173"/>
      <c r="AY10" s="172"/>
      <c r="AZ10" s="173"/>
      <c r="BA10" s="172"/>
      <c r="BB10" s="173"/>
      <c r="BC10" s="172"/>
      <c r="BD10" s="173"/>
      <c r="BE10" s="172"/>
      <c r="BF10" s="173"/>
      <c r="BG10" s="172"/>
      <c r="BH10" s="173"/>
      <c r="BI10" s="172"/>
      <c r="BJ10" s="173"/>
      <c r="BK10" s="172"/>
      <c r="BL10" s="173"/>
      <c r="BM10" s="172"/>
      <c r="BN10" s="173"/>
      <c r="BO10" s="172"/>
      <c r="BP10" s="173"/>
      <c r="BQ10" s="172"/>
      <c r="BR10" s="173"/>
      <c r="BS10" s="172"/>
      <c r="BT10" s="173"/>
      <c r="BU10" s="172"/>
      <c r="BV10" s="173"/>
      <c r="BW10" s="172"/>
      <c r="BX10" s="173"/>
      <c r="BY10" s="172"/>
      <c r="BZ10" s="173"/>
      <c r="CA10" s="172"/>
      <c r="CB10" s="173"/>
      <c r="CC10" s="172"/>
      <c r="CD10" s="173"/>
      <c r="CE10" s="172"/>
      <c r="CF10" s="173"/>
      <c r="CG10" s="172"/>
      <c r="CH10" s="173"/>
      <c r="CI10" s="172"/>
      <c r="CJ10" s="173"/>
      <c r="CK10" s="172"/>
      <c r="CL10" s="173"/>
      <c r="CM10" s="172"/>
      <c r="CN10" s="173"/>
      <c r="CO10" s="172"/>
      <c r="CP10" s="173"/>
      <c r="CQ10" s="172"/>
      <c r="CR10" s="173"/>
      <c r="CS10" s="172"/>
      <c r="CT10" s="173"/>
      <c r="CU10" s="172"/>
      <c r="CV10" s="173"/>
      <c r="CW10" s="172"/>
      <c r="CX10" s="173"/>
      <c r="CY10" s="172"/>
      <c r="CZ10" s="173"/>
      <c r="DA10" s="172"/>
      <c r="DB10" s="173"/>
      <c r="DC10" s="172"/>
      <c r="DD10" s="173"/>
      <c r="DE10" s="172"/>
      <c r="DF10" s="173"/>
      <c r="DG10" s="172"/>
      <c r="DH10" s="173"/>
      <c r="DI10" s="172"/>
      <c r="DJ10" s="173"/>
      <c r="DK10" s="172"/>
      <c r="DL10" s="173"/>
      <c r="DM10" s="172"/>
      <c r="DN10" s="173"/>
      <c r="DO10" s="172"/>
      <c r="DP10" s="173"/>
      <c r="DQ10" s="172"/>
      <c r="DR10" s="173"/>
      <c r="DS10" s="172"/>
      <c r="DT10" s="173"/>
      <c r="DU10" s="172"/>
      <c r="DV10" s="173"/>
    </row>
    <row r="11" spans="1:126" x14ac:dyDescent="0.25">
      <c r="A11" s="171" t="s">
        <v>33</v>
      </c>
      <c r="B11" s="171" t="s">
        <v>35</v>
      </c>
      <c r="C11" s="172">
        <f t="shared" si="0"/>
        <v>0</v>
      </c>
      <c r="D11" s="173">
        <f t="shared" si="0"/>
        <v>144</v>
      </c>
      <c r="E11" s="172">
        <f t="shared" si="1"/>
        <v>0</v>
      </c>
      <c r="F11" s="173">
        <f t="shared" si="2"/>
        <v>144</v>
      </c>
      <c r="G11" s="172">
        <f t="shared" si="3"/>
        <v>0</v>
      </c>
      <c r="H11" s="173">
        <f t="shared" si="3"/>
        <v>0</v>
      </c>
      <c r="I11" s="172"/>
      <c r="J11" s="173"/>
      <c r="K11" s="172"/>
      <c r="L11" s="173"/>
      <c r="M11" s="172"/>
      <c r="N11" s="173"/>
      <c r="O11" s="172"/>
      <c r="P11" s="173"/>
      <c r="Q11" s="172"/>
      <c r="R11" s="173">
        <v>84</v>
      </c>
      <c r="S11" s="172"/>
      <c r="T11" s="173"/>
      <c r="U11" s="172"/>
      <c r="V11" s="173"/>
      <c r="W11" s="172"/>
      <c r="X11" s="173"/>
      <c r="Y11" s="172"/>
      <c r="Z11" s="173"/>
      <c r="AA11" s="172"/>
      <c r="AB11" s="173"/>
      <c r="AC11" s="172"/>
      <c r="AD11" s="173"/>
      <c r="AE11" s="172"/>
      <c r="AF11" s="173">
        <v>60</v>
      </c>
      <c r="AG11" s="172"/>
      <c r="AH11" s="173"/>
      <c r="AI11" s="172"/>
      <c r="AJ11" s="173"/>
      <c r="AK11" s="172"/>
      <c r="AL11" s="173"/>
      <c r="AM11" s="172"/>
      <c r="AN11" s="173"/>
      <c r="AO11" s="172"/>
      <c r="AP11" s="173"/>
      <c r="AQ11" s="172"/>
      <c r="AR11" s="173"/>
      <c r="AS11" s="172"/>
      <c r="AT11" s="173"/>
      <c r="AU11" s="172"/>
      <c r="AV11" s="173"/>
      <c r="AW11" s="172"/>
      <c r="AX11" s="173"/>
      <c r="AY11" s="172"/>
      <c r="AZ11" s="173"/>
      <c r="BA11" s="172"/>
      <c r="BB11" s="173"/>
      <c r="BC11" s="172"/>
      <c r="BD11" s="173"/>
      <c r="BE11" s="172"/>
      <c r="BF11" s="173"/>
      <c r="BG11" s="172"/>
      <c r="BH11" s="173"/>
      <c r="BI11" s="172"/>
      <c r="BJ11" s="173"/>
      <c r="BK11" s="172"/>
      <c r="BL11" s="173"/>
      <c r="BM11" s="172"/>
      <c r="BN11" s="173"/>
      <c r="BO11" s="172"/>
      <c r="BP11" s="173"/>
      <c r="BQ11" s="172"/>
      <c r="BR11" s="173"/>
      <c r="BS11" s="172"/>
      <c r="BT11" s="173"/>
      <c r="BU11" s="172"/>
      <c r="BV11" s="173"/>
      <c r="BW11" s="172"/>
      <c r="BX11" s="173"/>
      <c r="BY11" s="172"/>
      <c r="BZ11" s="173"/>
      <c r="CA11" s="172"/>
      <c r="CB11" s="173"/>
      <c r="CC11" s="172"/>
      <c r="CD11" s="173"/>
      <c r="CE11" s="172"/>
      <c r="CF11" s="173"/>
      <c r="CG11" s="172"/>
      <c r="CH11" s="173"/>
      <c r="CI11" s="172"/>
      <c r="CJ11" s="173"/>
      <c r="CK11" s="172"/>
      <c r="CL11" s="173"/>
      <c r="CM11" s="172"/>
      <c r="CN11" s="173"/>
      <c r="CO11" s="172"/>
      <c r="CP11" s="173"/>
      <c r="CQ11" s="172"/>
      <c r="CR11" s="173"/>
      <c r="CS11" s="172"/>
      <c r="CT11" s="173"/>
      <c r="CU11" s="172"/>
      <c r="CV11" s="173"/>
      <c r="CW11" s="172"/>
      <c r="CX11" s="173"/>
      <c r="CY11" s="172"/>
      <c r="CZ11" s="173"/>
      <c r="DA11" s="172"/>
      <c r="DB11" s="173"/>
      <c r="DC11" s="172"/>
      <c r="DD11" s="173"/>
      <c r="DE11" s="172"/>
      <c r="DF11" s="173"/>
      <c r="DG11" s="172"/>
      <c r="DH11" s="173"/>
      <c r="DI11" s="172"/>
      <c r="DJ11" s="173"/>
      <c r="DK11" s="172"/>
      <c r="DL11" s="173"/>
      <c r="DM11" s="172"/>
      <c r="DN11" s="173"/>
      <c r="DO11" s="172"/>
      <c r="DP11" s="173"/>
      <c r="DQ11" s="172"/>
      <c r="DR11" s="173"/>
      <c r="DS11" s="172"/>
      <c r="DT11" s="173"/>
      <c r="DU11" s="172"/>
      <c r="DV11" s="173"/>
    </row>
    <row r="12" spans="1:126" x14ac:dyDescent="0.25">
      <c r="A12" s="171" t="s">
        <v>36</v>
      </c>
      <c r="B12" s="171" t="s">
        <v>38</v>
      </c>
      <c r="C12" s="172">
        <f t="shared" si="0"/>
        <v>0</v>
      </c>
      <c r="D12" s="173">
        <f t="shared" si="0"/>
        <v>0</v>
      </c>
      <c r="E12" s="172">
        <f t="shared" si="1"/>
        <v>0</v>
      </c>
      <c r="F12" s="173">
        <f t="shared" si="2"/>
        <v>0</v>
      </c>
      <c r="G12" s="172">
        <f t="shared" si="3"/>
        <v>0</v>
      </c>
      <c r="H12" s="173">
        <f t="shared" si="3"/>
        <v>0</v>
      </c>
      <c r="I12" s="172"/>
      <c r="J12" s="173"/>
      <c r="K12" s="172"/>
      <c r="L12" s="173"/>
      <c r="M12" s="172"/>
      <c r="N12" s="173"/>
      <c r="O12" s="172"/>
      <c r="P12" s="173"/>
      <c r="Q12" s="172"/>
      <c r="R12" s="173"/>
      <c r="S12" s="172"/>
      <c r="T12" s="173"/>
      <c r="U12" s="172"/>
      <c r="V12" s="173"/>
      <c r="W12" s="172"/>
      <c r="X12" s="173"/>
      <c r="Y12" s="172"/>
      <c r="Z12" s="173"/>
      <c r="AA12" s="172"/>
      <c r="AB12" s="173"/>
      <c r="AC12" s="172"/>
      <c r="AD12" s="173"/>
      <c r="AE12" s="172"/>
      <c r="AF12" s="173"/>
      <c r="AG12" s="172"/>
      <c r="AH12" s="173"/>
      <c r="AI12" s="172"/>
      <c r="AJ12" s="173"/>
      <c r="AK12" s="172"/>
      <c r="AL12" s="173"/>
      <c r="AM12" s="172"/>
      <c r="AN12" s="173"/>
      <c r="AO12" s="172"/>
      <c r="AP12" s="173"/>
      <c r="AQ12" s="172"/>
      <c r="AR12" s="173"/>
      <c r="AS12" s="172"/>
      <c r="AT12" s="173"/>
      <c r="AU12" s="172"/>
      <c r="AV12" s="173"/>
      <c r="AW12" s="172"/>
      <c r="AX12" s="173"/>
      <c r="AY12" s="172"/>
      <c r="AZ12" s="173"/>
      <c r="BA12" s="172"/>
      <c r="BB12" s="173"/>
      <c r="BC12" s="172"/>
      <c r="BD12" s="173"/>
      <c r="BE12" s="172"/>
      <c r="BF12" s="173"/>
      <c r="BG12" s="172"/>
      <c r="BH12" s="173"/>
      <c r="BI12" s="172"/>
      <c r="BJ12" s="173"/>
      <c r="BK12" s="172"/>
      <c r="BL12" s="173"/>
      <c r="BM12" s="172"/>
      <c r="BN12" s="173"/>
      <c r="BO12" s="172"/>
      <c r="BP12" s="173"/>
      <c r="BQ12" s="172"/>
      <c r="BR12" s="173"/>
      <c r="BS12" s="172"/>
      <c r="BT12" s="173"/>
      <c r="BU12" s="172"/>
      <c r="BV12" s="173"/>
      <c r="BW12" s="172"/>
      <c r="BX12" s="173"/>
      <c r="BY12" s="172"/>
      <c r="BZ12" s="173"/>
      <c r="CA12" s="172"/>
      <c r="CB12" s="173"/>
      <c r="CC12" s="172"/>
      <c r="CD12" s="173"/>
      <c r="CE12" s="172"/>
      <c r="CF12" s="173"/>
      <c r="CG12" s="172"/>
      <c r="CH12" s="173"/>
      <c r="CI12" s="172"/>
      <c r="CJ12" s="173"/>
      <c r="CK12" s="172"/>
      <c r="CL12" s="173"/>
      <c r="CM12" s="172"/>
      <c r="CN12" s="173"/>
      <c r="CO12" s="172"/>
      <c r="CP12" s="173"/>
      <c r="CQ12" s="172"/>
      <c r="CR12" s="173"/>
      <c r="CS12" s="172"/>
      <c r="CT12" s="173"/>
      <c r="CU12" s="172"/>
      <c r="CV12" s="173"/>
      <c r="CW12" s="172"/>
      <c r="CX12" s="173"/>
      <c r="CY12" s="172"/>
      <c r="CZ12" s="173"/>
      <c r="DA12" s="172"/>
      <c r="DB12" s="173"/>
      <c r="DC12" s="172"/>
      <c r="DD12" s="173"/>
      <c r="DE12" s="172"/>
      <c r="DF12" s="173"/>
      <c r="DG12" s="172"/>
      <c r="DH12" s="173"/>
      <c r="DI12" s="172"/>
      <c r="DJ12" s="173"/>
      <c r="DK12" s="172"/>
      <c r="DL12" s="173"/>
      <c r="DM12" s="172"/>
      <c r="DN12" s="173"/>
      <c r="DO12" s="172"/>
      <c r="DP12" s="173"/>
      <c r="DQ12" s="172"/>
      <c r="DR12" s="173"/>
      <c r="DS12" s="172"/>
      <c r="DT12" s="173"/>
      <c r="DU12" s="172"/>
      <c r="DV12" s="173"/>
    </row>
    <row r="13" spans="1:126" x14ac:dyDescent="0.25">
      <c r="A13" s="171" t="s">
        <v>39</v>
      </c>
      <c r="B13" s="171" t="s">
        <v>41</v>
      </c>
      <c r="C13" s="172">
        <f t="shared" si="0"/>
        <v>0</v>
      </c>
      <c r="D13" s="173">
        <f t="shared" si="0"/>
        <v>0</v>
      </c>
      <c r="E13" s="172">
        <f t="shared" si="1"/>
        <v>0</v>
      </c>
      <c r="F13" s="173">
        <f t="shared" si="2"/>
        <v>0</v>
      </c>
      <c r="G13" s="172">
        <f t="shared" si="3"/>
        <v>0</v>
      </c>
      <c r="H13" s="173">
        <f t="shared" si="3"/>
        <v>0</v>
      </c>
      <c r="I13" s="172"/>
      <c r="J13" s="173"/>
      <c r="K13" s="172"/>
      <c r="L13" s="173"/>
      <c r="M13" s="172"/>
      <c r="N13" s="173"/>
      <c r="O13" s="172"/>
      <c r="P13" s="173"/>
      <c r="Q13" s="172"/>
      <c r="R13" s="173"/>
      <c r="S13" s="172"/>
      <c r="T13" s="173"/>
      <c r="U13" s="172"/>
      <c r="V13" s="173"/>
      <c r="W13" s="172"/>
      <c r="X13" s="173"/>
      <c r="Y13" s="172"/>
      <c r="Z13" s="173"/>
      <c r="AA13" s="172"/>
      <c r="AB13" s="173"/>
      <c r="AC13" s="172"/>
      <c r="AD13" s="173"/>
      <c r="AE13" s="172"/>
      <c r="AF13" s="173"/>
      <c r="AG13" s="172"/>
      <c r="AH13" s="173"/>
      <c r="AI13" s="172"/>
      <c r="AJ13" s="173"/>
      <c r="AK13" s="172"/>
      <c r="AL13" s="173"/>
      <c r="AM13" s="172"/>
      <c r="AN13" s="173"/>
      <c r="AO13" s="172"/>
      <c r="AP13" s="173"/>
      <c r="AQ13" s="172"/>
      <c r="AR13" s="173"/>
      <c r="AS13" s="172"/>
      <c r="AT13" s="173"/>
      <c r="AU13" s="172"/>
      <c r="AV13" s="173"/>
      <c r="AW13" s="172"/>
      <c r="AX13" s="173"/>
      <c r="AY13" s="172"/>
      <c r="AZ13" s="173"/>
      <c r="BA13" s="172"/>
      <c r="BB13" s="173"/>
      <c r="BC13" s="172"/>
      <c r="BD13" s="173"/>
      <c r="BE13" s="172"/>
      <c r="BF13" s="173"/>
      <c r="BG13" s="172"/>
      <c r="BH13" s="173"/>
      <c r="BI13" s="172"/>
      <c r="BJ13" s="173"/>
      <c r="BK13" s="172"/>
      <c r="BL13" s="173"/>
      <c r="BM13" s="172"/>
      <c r="BN13" s="173"/>
      <c r="BO13" s="172"/>
      <c r="BP13" s="173"/>
      <c r="BQ13" s="172"/>
      <c r="BR13" s="173"/>
      <c r="BS13" s="172"/>
      <c r="BT13" s="173"/>
      <c r="BU13" s="172"/>
      <c r="BV13" s="173"/>
      <c r="BW13" s="172"/>
      <c r="BX13" s="173"/>
      <c r="BY13" s="172"/>
      <c r="BZ13" s="173"/>
      <c r="CA13" s="172"/>
      <c r="CB13" s="173"/>
      <c r="CC13" s="172"/>
      <c r="CD13" s="173"/>
      <c r="CE13" s="172"/>
      <c r="CF13" s="173"/>
      <c r="CG13" s="172"/>
      <c r="CH13" s="173"/>
      <c r="CI13" s="172"/>
      <c r="CJ13" s="173"/>
      <c r="CK13" s="172"/>
      <c r="CL13" s="173"/>
      <c r="CM13" s="172"/>
      <c r="CN13" s="173"/>
      <c r="CO13" s="172"/>
      <c r="CP13" s="173"/>
      <c r="CQ13" s="172"/>
      <c r="CR13" s="173"/>
      <c r="CS13" s="172"/>
      <c r="CT13" s="173"/>
      <c r="CU13" s="172"/>
      <c r="CV13" s="173"/>
      <c r="CW13" s="172"/>
      <c r="CX13" s="173"/>
      <c r="CY13" s="172"/>
      <c r="CZ13" s="173"/>
      <c r="DA13" s="172"/>
      <c r="DB13" s="173"/>
      <c r="DC13" s="172"/>
      <c r="DD13" s="173"/>
      <c r="DE13" s="172"/>
      <c r="DF13" s="173"/>
      <c r="DG13" s="172"/>
      <c r="DH13" s="173"/>
      <c r="DI13" s="172"/>
      <c r="DJ13" s="173"/>
      <c r="DK13" s="172"/>
      <c r="DL13" s="173"/>
      <c r="DM13" s="172"/>
      <c r="DN13" s="173"/>
      <c r="DO13" s="172"/>
      <c r="DP13" s="173"/>
      <c r="DQ13" s="172"/>
      <c r="DR13" s="173"/>
      <c r="DS13" s="172"/>
      <c r="DT13" s="173"/>
      <c r="DU13" s="172"/>
      <c r="DV13" s="173"/>
    </row>
    <row r="14" spans="1:126" x14ac:dyDescent="0.25">
      <c r="A14" s="171" t="s">
        <v>42</v>
      </c>
      <c r="B14" s="171" t="s">
        <v>866</v>
      </c>
      <c r="C14" s="172">
        <f>E14+G14+I14</f>
        <v>15643</v>
      </c>
      <c r="D14" s="173">
        <f t="shared" si="0"/>
        <v>23414</v>
      </c>
      <c r="E14" s="172">
        <f t="shared" si="1"/>
        <v>100</v>
      </c>
      <c r="F14" s="173">
        <f t="shared" si="2"/>
        <v>100</v>
      </c>
      <c r="G14" s="172">
        <f t="shared" si="3"/>
        <v>15543</v>
      </c>
      <c r="H14" s="173">
        <f t="shared" si="3"/>
        <v>23314</v>
      </c>
      <c r="I14" s="172"/>
      <c r="J14" s="173"/>
      <c r="K14" s="172"/>
      <c r="L14" s="173"/>
      <c r="M14" s="172"/>
      <c r="N14" s="173"/>
      <c r="O14" s="172"/>
      <c r="P14" s="173"/>
      <c r="Q14" s="172">
        <v>100</v>
      </c>
      <c r="R14" s="173">
        <v>100</v>
      </c>
      <c r="S14" s="172"/>
      <c r="T14" s="173"/>
      <c r="U14" s="172"/>
      <c r="V14" s="173"/>
      <c r="W14" s="172"/>
      <c r="X14" s="173"/>
      <c r="Y14" s="172"/>
      <c r="Z14" s="173"/>
      <c r="AA14" s="172"/>
      <c r="AB14" s="173"/>
      <c r="AC14" s="172"/>
      <c r="AD14" s="173"/>
      <c r="AE14" s="172"/>
      <c r="AF14" s="173"/>
      <c r="AG14" s="172"/>
      <c r="AH14" s="173"/>
      <c r="AI14" s="172"/>
      <c r="AJ14" s="173"/>
      <c r="AK14" s="172"/>
      <c r="AL14" s="173"/>
      <c r="AM14" s="172"/>
      <c r="AN14" s="173"/>
      <c r="AO14" s="172"/>
      <c r="AP14" s="173"/>
      <c r="AQ14" s="172"/>
      <c r="AR14" s="173"/>
      <c r="AS14" s="172"/>
      <c r="AT14" s="173"/>
      <c r="AU14" s="172"/>
      <c r="AV14" s="173"/>
      <c r="AW14" s="172"/>
      <c r="AX14" s="173"/>
      <c r="AY14" s="172"/>
      <c r="AZ14" s="173"/>
      <c r="BA14" s="172"/>
      <c r="BB14" s="173"/>
      <c r="BC14" s="172"/>
      <c r="BD14" s="173"/>
      <c r="BE14" s="172"/>
      <c r="BF14" s="173"/>
      <c r="BG14" s="172"/>
      <c r="BH14" s="173"/>
      <c r="BI14" s="172"/>
      <c r="BJ14" s="173"/>
      <c r="BK14" s="172"/>
      <c r="BL14" s="173"/>
      <c r="BM14" s="172"/>
      <c r="BN14" s="173"/>
      <c r="BO14" s="172"/>
      <c r="BP14" s="173"/>
      <c r="BQ14" s="172"/>
      <c r="BR14" s="173"/>
      <c r="BS14" s="172"/>
      <c r="BT14" s="173"/>
      <c r="BU14" s="172"/>
      <c r="BV14" s="173"/>
      <c r="BW14" s="172"/>
      <c r="BX14" s="173"/>
      <c r="BY14" s="172"/>
      <c r="BZ14" s="173"/>
      <c r="CA14" s="172"/>
      <c r="CB14" s="173"/>
      <c r="CC14" s="172"/>
      <c r="CD14" s="173"/>
      <c r="CE14" s="172"/>
      <c r="CF14" s="173"/>
      <c r="CG14" s="172"/>
      <c r="CH14" s="173"/>
      <c r="CI14" s="172"/>
      <c r="CJ14" s="173"/>
      <c r="CK14" s="172"/>
      <c r="CL14" s="173"/>
      <c r="CM14" s="172"/>
      <c r="CN14" s="173"/>
      <c r="CO14" s="172"/>
      <c r="CP14" s="173"/>
      <c r="CQ14" s="172"/>
      <c r="CR14" s="173"/>
      <c r="CS14" s="172"/>
      <c r="CT14" s="173"/>
      <c r="CU14" s="172"/>
      <c r="CV14" s="173"/>
      <c r="CW14" s="172"/>
      <c r="CX14" s="173"/>
      <c r="CY14" s="172"/>
      <c r="CZ14" s="173"/>
      <c r="DA14" s="172"/>
      <c r="DB14" s="173"/>
      <c r="DC14" s="172"/>
      <c r="DD14" s="173"/>
      <c r="DE14" s="172"/>
      <c r="DF14" s="173"/>
      <c r="DG14" s="172"/>
      <c r="DH14" s="173"/>
      <c r="DI14" s="172"/>
      <c r="DJ14" s="173"/>
      <c r="DK14" s="172"/>
      <c r="DL14" s="173"/>
      <c r="DM14" s="172"/>
      <c r="DN14" s="173"/>
      <c r="DO14" s="172"/>
      <c r="DP14" s="173"/>
      <c r="DQ14" s="172"/>
      <c r="DR14" s="173"/>
      <c r="DS14" s="172">
        <v>15543</v>
      </c>
      <c r="DT14" s="173">
        <v>23314</v>
      </c>
      <c r="DU14" s="172"/>
      <c r="DV14" s="173"/>
    </row>
    <row r="15" spans="1:126" x14ac:dyDescent="0.25">
      <c r="A15" s="171" t="s">
        <v>48</v>
      </c>
      <c r="B15" s="171" t="s">
        <v>50</v>
      </c>
      <c r="C15" s="172">
        <f>E15+G15+I15</f>
        <v>0</v>
      </c>
      <c r="D15" s="173">
        <f t="shared" si="0"/>
        <v>44181</v>
      </c>
      <c r="E15" s="172">
        <f t="shared" si="1"/>
        <v>0</v>
      </c>
      <c r="F15" s="173">
        <f t="shared" si="2"/>
        <v>44181</v>
      </c>
      <c r="G15" s="172">
        <f t="shared" si="3"/>
        <v>0</v>
      </c>
      <c r="H15" s="173">
        <f t="shared" si="3"/>
        <v>0</v>
      </c>
      <c r="I15" s="172"/>
      <c r="J15" s="173"/>
      <c r="K15" s="172"/>
      <c r="L15" s="173"/>
      <c r="M15" s="172"/>
      <c r="N15" s="173"/>
      <c r="O15" s="172"/>
      <c r="P15" s="173"/>
      <c r="Q15" s="172"/>
      <c r="R15" s="173"/>
      <c r="S15" s="172"/>
      <c r="T15" s="173"/>
      <c r="U15" s="172"/>
      <c r="V15" s="173"/>
      <c r="W15" s="172"/>
      <c r="X15" s="173"/>
      <c r="Y15" s="172"/>
      <c r="Z15" s="173"/>
      <c r="AA15" s="172"/>
      <c r="AB15" s="173"/>
      <c r="AC15" s="172"/>
      <c r="AD15" s="173"/>
      <c r="AE15" s="172"/>
      <c r="AF15" s="173">
        <f>23776+6660+1696+6282+5767</f>
        <v>44181</v>
      </c>
      <c r="AG15" s="172"/>
      <c r="AH15" s="173"/>
      <c r="AI15" s="172"/>
      <c r="AJ15" s="173"/>
      <c r="AK15" s="172"/>
      <c r="AL15" s="173"/>
      <c r="AM15" s="172"/>
      <c r="AN15" s="173"/>
      <c r="AO15" s="172"/>
      <c r="AP15" s="173"/>
      <c r="AQ15" s="172"/>
      <c r="AR15" s="173"/>
      <c r="AS15" s="172"/>
      <c r="AT15" s="173"/>
      <c r="AU15" s="172"/>
      <c r="AV15" s="173"/>
      <c r="AW15" s="172"/>
      <c r="AX15" s="173"/>
      <c r="AY15" s="172"/>
      <c r="AZ15" s="173"/>
      <c r="BA15" s="172"/>
      <c r="BB15" s="173"/>
      <c r="BC15" s="172"/>
      <c r="BD15" s="173"/>
      <c r="BE15" s="172"/>
      <c r="BF15" s="173"/>
      <c r="BG15" s="172"/>
      <c r="BH15" s="173"/>
      <c r="BI15" s="172"/>
      <c r="BJ15" s="173"/>
      <c r="BK15" s="172"/>
      <c r="BL15" s="173"/>
      <c r="BM15" s="172"/>
      <c r="BN15" s="173"/>
      <c r="BO15" s="172"/>
      <c r="BP15" s="173"/>
      <c r="BQ15" s="172"/>
      <c r="BR15" s="173"/>
      <c r="BS15" s="172"/>
      <c r="BT15" s="173"/>
      <c r="BU15" s="172"/>
      <c r="BV15" s="173"/>
      <c r="BW15" s="172"/>
      <c r="BX15" s="173"/>
      <c r="BY15" s="172"/>
      <c r="BZ15" s="173"/>
      <c r="CA15" s="172"/>
      <c r="CB15" s="173"/>
      <c r="CC15" s="172"/>
      <c r="CD15" s="173"/>
      <c r="CE15" s="172"/>
      <c r="CF15" s="173"/>
      <c r="CG15" s="172"/>
      <c r="CH15" s="173"/>
      <c r="CI15" s="172"/>
      <c r="CJ15" s="173"/>
      <c r="CK15" s="172"/>
      <c r="CL15" s="173"/>
      <c r="CM15" s="172"/>
      <c r="CN15" s="173"/>
      <c r="CO15" s="172"/>
      <c r="CP15" s="173"/>
      <c r="CQ15" s="172"/>
      <c r="CR15" s="173"/>
      <c r="CS15" s="172"/>
      <c r="CT15" s="173"/>
      <c r="CU15" s="172"/>
      <c r="CV15" s="173"/>
      <c r="CW15" s="172"/>
      <c r="CX15" s="173"/>
      <c r="CY15" s="172"/>
      <c r="CZ15" s="173"/>
      <c r="DA15" s="172"/>
      <c r="DB15" s="173"/>
      <c r="DC15" s="172"/>
      <c r="DD15" s="173"/>
      <c r="DE15" s="172"/>
      <c r="DF15" s="173"/>
      <c r="DG15" s="172"/>
      <c r="DH15" s="173"/>
      <c r="DI15" s="172"/>
      <c r="DJ15" s="173"/>
      <c r="DK15" s="172"/>
      <c r="DL15" s="173"/>
      <c r="DM15" s="172"/>
      <c r="DN15" s="173"/>
      <c r="DO15" s="172"/>
      <c r="DP15" s="173"/>
      <c r="DQ15" s="172"/>
      <c r="DR15" s="173"/>
      <c r="DS15" s="172"/>
      <c r="DT15" s="173"/>
      <c r="DU15" s="172"/>
      <c r="DV15" s="173"/>
    </row>
    <row r="16" spans="1:126" x14ac:dyDescent="0.25">
      <c r="A16" s="171" t="s">
        <v>51</v>
      </c>
      <c r="B16" s="171" t="s">
        <v>867</v>
      </c>
      <c r="C16" s="172">
        <f>E16+G16+I16</f>
        <v>150</v>
      </c>
      <c r="D16" s="173">
        <f t="shared" si="0"/>
        <v>20000</v>
      </c>
      <c r="E16" s="172">
        <f t="shared" si="1"/>
        <v>150</v>
      </c>
      <c r="F16" s="173">
        <f t="shared" si="2"/>
        <v>20000</v>
      </c>
      <c r="G16" s="172">
        <f t="shared" si="3"/>
        <v>0</v>
      </c>
      <c r="H16" s="173">
        <f t="shared" si="3"/>
        <v>0</v>
      </c>
      <c r="I16" s="172"/>
      <c r="J16" s="173"/>
      <c r="K16" s="172"/>
      <c r="L16" s="173"/>
      <c r="M16" s="172"/>
      <c r="N16" s="173"/>
      <c r="O16" s="172"/>
      <c r="P16" s="173"/>
      <c r="Q16" s="172">
        <v>150</v>
      </c>
      <c r="R16" s="173">
        <v>0</v>
      </c>
      <c r="S16" s="172"/>
      <c r="T16" s="173"/>
      <c r="U16" s="172"/>
      <c r="V16" s="173"/>
      <c r="W16" s="172"/>
      <c r="X16" s="173"/>
      <c r="Y16" s="172"/>
      <c r="Z16" s="173"/>
      <c r="AA16" s="172"/>
      <c r="AB16" s="173"/>
      <c r="AC16" s="172"/>
      <c r="AD16" s="173"/>
      <c r="AE16" s="172"/>
      <c r="AF16" s="173">
        <v>20000</v>
      </c>
      <c r="AG16" s="172"/>
      <c r="AH16" s="173"/>
      <c r="AI16" s="172"/>
      <c r="AJ16" s="173"/>
      <c r="AK16" s="172"/>
      <c r="AL16" s="173"/>
      <c r="AM16" s="172"/>
      <c r="AN16" s="173"/>
      <c r="AO16" s="172"/>
      <c r="AP16" s="173"/>
      <c r="AQ16" s="172"/>
      <c r="AR16" s="173"/>
      <c r="AS16" s="172"/>
      <c r="AT16" s="173"/>
      <c r="AU16" s="172"/>
      <c r="AV16" s="173"/>
      <c r="AW16" s="172"/>
      <c r="AX16" s="173"/>
      <c r="AY16" s="172"/>
      <c r="AZ16" s="173"/>
      <c r="BA16" s="172"/>
      <c r="BB16" s="173"/>
      <c r="BC16" s="172"/>
      <c r="BD16" s="173"/>
      <c r="BE16" s="172"/>
      <c r="BF16" s="173"/>
      <c r="BG16" s="172"/>
      <c r="BH16" s="173"/>
      <c r="BI16" s="172"/>
      <c r="BJ16" s="173"/>
      <c r="BK16" s="172"/>
      <c r="BL16" s="173"/>
      <c r="BM16" s="172"/>
      <c r="BN16" s="173"/>
      <c r="BO16" s="172"/>
      <c r="BP16" s="173"/>
      <c r="BQ16" s="172"/>
      <c r="BR16" s="173"/>
      <c r="BS16" s="172"/>
      <c r="BT16" s="173"/>
      <c r="BU16" s="172"/>
      <c r="BV16" s="173"/>
      <c r="BW16" s="172"/>
      <c r="BX16" s="173"/>
      <c r="BY16" s="172"/>
      <c r="BZ16" s="173"/>
      <c r="CA16" s="172"/>
      <c r="CB16" s="173"/>
      <c r="CC16" s="172"/>
      <c r="CD16" s="173"/>
      <c r="CE16" s="172"/>
      <c r="CF16" s="173"/>
      <c r="CG16" s="172"/>
      <c r="CH16" s="173"/>
      <c r="CI16" s="172"/>
      <c r="CJ16" s="173"/>
      <c r="CK16" s="172"/>
      <c r="CL16" s="173"/>
      <c r="CM16" s="172"/>
      <c r="CN16" s="173"/>
      <c r="CO16" s="172"/>
      <c r="CP16" s="173"/>
      <c r="CQ16" s="172"/>
      <c r="CR16" s="173"/>
      <c r="CS16" s="172"/>
      <c r="CT16" s="173"/>
      <c r="CU16" s="172"/>
      <c r="CV16" s="173"/>
      <c r="CW16" s="172"/>
      <c r="CX16" s="173"/>
      <c r="CY16" s="172"/>
      <c r="CZ16" s="173"/>
      <c r="DA16" s="172"/>
      <c r="DB16" s="173"/>
      <c r="DC16" s="172"/>
      <c r="DD16" s="173"/>
      <c r="DE16" s="172"/>
      <c r="DF16" s="173"/>
      <c r="DG16" s="172"/>
      <c r="DH16" s="173"/>
      <c r="DI16" s="172"/>
      <c r="DJ16" s="173"/>
      <c r="DK16" s="172"/>
      <c r="DL16" s="173"/>
      <c r="DM16" s="172"/>
      <c r="DN16" s="173"/>
      <c r="DO16" s="172"/>
      <c r="DP16" s="173"/>
      <c r="DQ16" s="172"/>
      <c r="DR16" s="173"/>
      <c r="DS16" s="172"/>
      <c r="DT16" s="173"/>
      <c r="DU16" s="172"/>
      <c r="DV16" s="173"/>
    </row>
    <row r="17" spans="1:126" x14ac:dyDescent="0.25">
      <c r="A17" s="171" t="s">
        <v>54</v>
      </c>
      <c r="B17" s="171" t="s">
        <v>285</v>
      </c>
      <c r="C17" s="172">
        <f>E17+G17+I17</f>
        <v>2650</v>
      </c>
      <c r="D17" s="173">
        <f t="shared" si="0"/>
        <v>31413</v>
      </c>
      <c r="E17" s="172">
        <f t="shared" si="1"/>
        <v>1050</v>
      </c>
      <c r="F17" s="173">
        <f t="shared" si="2"/>
        <v>572</v>
      </c>
      <c r="G17" s="172">
        <f t="shared" si="3"/>
        <v>1600</v>
      </c>
      <c r="H17" s="173">
        <f>AL17+AN17+AP17+AR17+AT17+AV17+AX17+AZ17+BB17+BD17+BF17+BH17+BJ17+BL17+BN17+BP17+BR17+BT17+BV17+BX17+BZ17+CB17+CD17+CF17+CH17+CJ17+CL17+CN17+CP17+CR17+CT17+CV17+CX17+DB17+CZ17+DD17+DF17+DH17+DJ17+DL17+DN17+DP17+DR17+DT17+DV17</f>
        <v>30841</v>
      </c>
      <c r="I17" s="172"/>
      <c r="J17" s="173"/>
      <c r="K17" s="172"/>
      <c r="L17" s="173"/>
      <c r="M17" s="172"/>
      <c r="N17" s="173"/>
      <c r="O17" s="172"/>
      <c r="P17" s="173"/>
      <c r="Q17" s="172">
        <v>50</v>
      </c>
      <c r="R17" s="173">
        <v>50</v>
      </c>
      <c r="S17" s="172"/>
      <c r="T17" s="173"/>
      <c r="U17" s="172"/>
      <c r="V17" s="173"/>
      <c r="W17" s="172"/>
      <c r="X17" s="173"/>
      <c r="Y17" s="172"/>
      <c r="Z17" s="173"/>
      <c r="AA17" s="172"/>
      <c r="AB17" s="173"/>
      <c r="AC17" s="172"/>
      <c r="AD17" s="173"/>
      <c r="AE17" s="172">
        <v>1000</v>
      </c>
      <c r="AF17" s="173">
        <v>522</v>
      </c>
      <c r="AG17" s="172"/>
      <c r="AH17" s="173"/>
      <c r="AI17" s="172"/>
      <c r="AJ17" s="173"/>
      <c r="AK17" s="172"/>
      <c r="AL17" s="173"/>
      <c r="AM17" s="172"/>
      <c r="AN17" s="173"/>
      <c r="AO17" s="172"/>
      <c r="AP17" s="173"/>
      <c r="AQ17" s="172"/>
      <c r="AR17" s="173">
        <v>1000</v>
      </c>
      <c r="AS17" s="172"/>
      <c r="AT17" s="173">
        <f>2000+1200</f>
        <v>3200</v>
      </c>
      <c r="AU17" s="172"/>
      <c r="AV17" s="173"/>
      <c r="AW17" s="172"/>
      <c r="AX17" s="173"/>
      <c r="AY17" s="172"/>
      <c r="AZ17" s="173"/>
      <c r="BA17" s="172"/>
      <c r="BB17" s="173"/>
      <c r="BC17" s="172"/>
      <c r="BD17" s="173"/>
      <c r="BE17" s="172"/>
      <c r="BF17" s="173"/>
      <c r="BG17" s="172"/>
      <c r="BH17" s="173"/>
      <c r="BI17" s="172"/>
      <c r="BJ17" s="173"/>
      <c r="BK17" s="172"/>
      <c r="BL17" s="173"/>
      <c r="BM17" s="172"/>
      <c r="BN17" s="173"/>
      <c r="BO17" s="172"/>
      <c r="BP17" s="173"/>
      <c r="BQ17" s="172"/>
      <c r="BR17" s="173"/>
      <c r="BS17" s="172"/>
      <c r="BT17" s="173"/>
      <c r="BU17" s="172"/>
      <c r="BV17" s="173"/>
      <c r="BW17" s="172"/>
      <c r="BX17" s="173"/>
      <c r="BY17" s="172"/>
      <c r="BZ17" s="173"/>
      <c r="CA17" s="172"/>
      <c r="CB17" s="173"/>
      <c r="CC17" s="172"/>
      <c r="CD17" s="173"/>
      <c r="CE17" s="172"/>
      <c r="CF17" s="173"/>
      <c r="CG17" s="172"/>
      <c r="CH17" s="173"/>
      <c r="CI17" s="172"/>
      <c r="CJ17" s="173"/>
      <c r="CK17" s="172"/>
      <c r="CL17" s="173"/>
      <c r="CM17" s="172"/>
      <c r="CN17" s="173"/>
      <c r="CO17" s="172"/>
      <c r="CP17" s="173"/>
      <c r="CQ17" s="172"/>
      <c r="CR17" s="173"/>
      <c r="CS17" s="172"/>
      <c r="CT17" s="173">
        <v>12000</v>
      </c>
      <c r="CU17" s="172"/>
      <c r="CV17" s="173"/>
      <c r="CW17" s="172"/>
      <c r="CX17" s="173"/>
      <c r="CY17" s="172"/>
      <c r="CZ17" s="173"/>
      <c r="DA17" s="172"/>
      <c r="DB17" s="173"/>
      <c r="DC17" s="172"/>
      <c r="DD17" s="173"/>
      <c r="DE17" s="172"/>
      <c r="DF17" s="173"/>
      <c r="DG17" s="172">
        <v>1600</v>
      </c>
      <c r="DH17" s="173">
        <v>14641</v>
      </c>
      <c r="DI17" s="172"/>
      <c r="DJ17" s="173"/>
      <c r="DK17" s="172"/>
      <c r="DL17" s="173"/>
      <c r="DM17" s="172"/>
      <c r="DN17" s="173"/>
      <c r="DO17" s="172"/>
      <c r="DP17" s="173"/>
      <c r="DQ17" s="172"/>
      <c r="DR17" s="173"/>
      <c r="DS17" s="172"/>
      <c r="DT17" s="173"/>
      <c r="DU17" s="172"/>
      <c r="DV17" s="173"/>
    </row>
    <row r="18" spans="1:126" s="177" customFormat="1" ht="13" x14ac:dyDescent="0.3">
      <c r="A18" s="174" t="s">
        <v>868</v>
      </c>
      <c r="B18" s="174" t="s">
        <v>286</v>
      </c>
      <c r="C18" s="175">
        <f t="shared" ref="C18:BO18" si="4">SUM(C2:C17)</f>
        <v>39976</v>
      </c>
      <c r="D18" s="176">
        <f>SUM(D2:D17)</f>
        <v>162200</v>
      </c>
      <c r="E18" s="175">
        <f t="shared" si="4"/>
        <v>22833</v>
      </c>
      <c r="F18" s="176">
        <f t="shared" si="4"/>
        <v>108045</v>
      </c>
      <c r="G18" s="175">
        <f t="shared" si="4"/>
        <v>17143</v>
      </c>
      <c r="H18" s="176">
        <f t="shared" si="4"/>
        <v>54155</v>
      </c>
      <c r="I18" s="175">
        <f t="shared" si="4"/>
        <v>0</v>
      </c>
      <c r="J18" s="176">
        <f t="shared" si="4"/>
        <v>0</v>
      </c>
      <c r="K18" s="175">
        <f t="shared" si="4"/>
        <v>0</v>
      </c>
      <c r="L18" s="176">
        <f t="shared" si="4"/>
        <v>0</v>
      </c>
      <c r="M18" s="175">
        <f t="shared" si="4"/>
        <v>0</v>
      </c>
      <c r="N18" s="176">
        <f t="shared" si="4"/>
        <v>0</v>
      </c>
      <c r="O18" s="175">
        <f t="shared" si="4"/>
        <v>0</v>
      </c>
      <c r="P18" s="176">
        <f t="shared" si="4"/>
        <v>0</v>
      </c>
      <c r="Q18" s="175">
        <f t="shared" si="4"/>
        <v>21833</v>
      </c>
      <c r="R18" s="176">
        <f t="shared" si="4"/>
        <v>23553</v>
      </c>
      <c r="S18" s="175">
        <f t="shared" si="4"/>
        <v>0</v>
      </c>
      <c r="T18" s="176">
        <f>SUM(T2:T17)</f>
        <v>0</v>
      </c>
      <c r="U18" s="175">
        <f t="shared" si="4"/>
        <v>0</v>
      </c>
      <c r="V18" s="176">
        <f>SUM(V2:V17)</f>
        <v>0</v>
      </c>
      <c r="W18" s="175">
        <f t="shared" si="4"/>
        <v>0</v>
      </c>
      <c r="X18" s="176">
        <f t="shared" si="4"/>
        <v>0</v>
      </c>
      <c r="Y18" s="175">
        <f t="shared" si="4"/>
        <v>0</v>
      </c>
      <c r="Z18" s="176">
        <f t="shared" si="4"/>
        <v>0</v>
      </c>
      <c r="AA18" s="175">
        <f t="shared" si="4"/>
        <v>0</v>
      </c>
      <c r="AB18" s="176">
        <f>SUM(AB2:AB17)</f>
        <v>0</v>
      </c>
      <c r="AC18" s="175">
        <f t="shared" si="4"/>
        <v>0</v>
      </c>
      <c r="AD18" s="176">
        <f>SUM(AD2:AD17)</f>
        <v>0</v>
      </c>
      <c r="AE18" s="175">
        <f t="shared" si="4"/>
        <v>1000</v>
      </c>
      <c r="AF18" s="176">
        <f>SUM(AF2:AF17)</f>
        <v>76176</v>
      </c>
      <c r="AG18" s="175"/>
      <c r="AH18" s="176">
        <f t="shared" si="4"/>
        <v>8316</v>
      </c>
      <c r="AI18" s="175">
        <f t="shared" si="4"/>
        <v>0</v>
      </c>
      <c r="AJ18" s="176">
        <f>SUM(AJ2:AJ17)</f>
        <v>0</v>
      </c>
      <c r="AK18" s="175">
        <f t="shared" si="4"/>
        <v>0</v>
      </c>
      <c r="AL18" s="176">
        <f t="shared" si="4"/>
        <v>0</v>
      </c>
      <c r="AM18" s="175">
        <f t="shared" si="4"/>
        <v>0</v>
      </c>
      <c r="AN18" s="176"/>
      <c r="AO18" s="175">
        <f t="shared" si="4"/>
        <v>0</v>
      </c>
      <c r="AP18" s="176">
        <f>SUM(AP2:AP17)</f>
        <v>0</v>
      </c>
      <c r="AQ18" s="175">
        <f t="shared" si="4"/>
        <v>0</v>
      </c>
      <c r="AR18" s="176">
        <f>SUM(AR2:AR17)</f>
        <v>1000</v>
      </c>
      <c r="AS18" s="175">
        <f t="shared" si="4"/>
        <v>0</v>
      </c>
      <c r="AT18" s="176">
        <f>SUM(AT2:AT17)</f>
        <v>3200</v>
      </c>
      <c r="AU18" s="175">
        <f t="shared" si="4"/>
        <v>0</v>
      </c>
      <c r="AV18" s="176">
        <f>SUM(AV2:AV17)</f>
        <v>0</v>
      </c>
      <c r="AW18" s="175">
        <f t="shared" si="4"/>
        <v>0</v>
      </c>
      <c r="AX18" s="176">
        <f>SUM(AX2:AX17)</f>
        <v>0</v>
      </c>
      <c r="AY18" s="175">
        <f t="shared" si="4"/>
        <v>0</v>
      </c>
      <c r="AZ18" s="176">
        <f>SUM(AZ2:AZ17)</f>
        <v>0</v>
      </c>
      <c r="BA18" s="175">
        <f t="shared" si="4"/>
        <v>0</v>
      </c>
      <c r="BB18" s="176">
        <f>SUM(BB2:BB17)</f>
        <v>0</v>
      </c>
      <c r="BC18" s="175">
        <f t="shared" si="4"/>
        <v>0</v>
      </c>
      <c r="BD18" s="176">
        <f>SUM(BD2:BD17)</f>
        <v>0</v>
      </c>
      <c r="BE18" s="175">
        <f t="shared" si="4"/>
        <v>0</v>
      </c>
      <c r="BF18" s="176">
        <f>SUM(BF2:BF17)</f>
        <v>0</v>
      </c>
      <c r="BG18" s="175">
        <f t="shared" si="4"/>
        <v>0</v>
      </c>
      <c r="BH18" s="176">
        <f>SUM(BH2:BH17)</f>
        <v>0</v>
      </c>
      <c r="BI18" s="175">
        <f t="shared" si="4"/>
        <v>0</v>
      </c>
      <c r="BJ18" s="176">
        <f>SUM(BJ2:BJ17)</f>
        <v>0</v>
      </c>
      <c r="BK18" s="175">
        <f t="shared" si="4"/>
        <v>0</v>
      </c>
      <c r="BL18" s="176">
        <f>SUM(BL2:BL17)</f>
        <v>0</v>
      </c>
      <c r="BM18" s="175">
        <f t="shared" si="4"/>
        <v>0</v>
      </c>
      <c r="BN18" s="176">
        <f>SUM(BN2:BN17)</f>
        <v>0</v>
      </c>
      <c r="BO18" s="175">
        <f t="shared" si="4"/>
        <v>0</v>
      </c>
      <c r="BP18" s="176">
        <f>SUM(BP2:BP17)</f>
        <v>0</v>
      </c>
      <c r="BQ18" s="175">
        <f t="shared" ref="BQ18:DU18" si="5">SUM(BQ2:BQ17)</f>
        <v>0</v>
      </c>
      <c r="BR18" s="176">
        <f>SUM(BR2:BR17)</f>
        <v>0</v>
      </c>
      <c r="BS18" s="175">
        <f t="shared" si="5"/>
        <v>0</v>
      </c>
      <c r="BT18" s="176">
        <f>SUM(BT2:BT17)</f>
        <v>0</v>
      </c>
      <c r="BU18" s="175">
        <f t="shared" si="5"/>
        <v>0</v>
      </c>
      <c r="BV18" s="176">
        <f>SUM(BV2:BV17)</f>
        <v>0</v>
      </c>
      <c r="BW18" s="175">
        <f t="shared" si="5"/>
        <v>0</v>
      </c>
      <c r="BX18" s="176">
        <f>SUM(BX2:BX17)</f>
        <v>0</v>
      </c>
      <c r="BY18" s="175">
        <f t="shared" si="5"/>
        <v>0</v>
      </c>
      <c r="BZ18" s="176">
        <f>SUM(BZ2:BZ17)</f>
        <v>0</v>
      </c>
      <c r="CA18" s="175">
        <f t="shared" si="5"/>
        <v>0</v>
      </c>
      <c r="CB18" s="176">
        <f>SUM(CB2:CB17)</f>
        <v>0</v>
      </c>
      <c r="CC18" s="175">
        <f t="shared" si="5"/>
        <v>0</v>
      </c>
      <c r="CD18" s="176">
        <f>SUM(CD2:CD17)</f>
        <v>0</v>
      </c>
      <c r="CE18" s="175">
        <f t="shared" si="5"/>
        <v>0</v>
      </c>
      <c r="CF18" s="176">
        <f>SUM(CF2:CF17)</f>
        <v>0</v>
      </c>
      <c r="CG18" s="175">
        <f t="shared" si="5"/>
        <v>0</v>
      </c>
      <c r="CH18" s="176">
        <f>SUM(CH2:CH17)</f>
        <v>0</v>
      </c>
      <c r="CI18" s="175">
        <f t="shared" si="5"/>
        <v>0</v>
      </c>
      <c r="CJ18" s="176">
        <f>SUM(CJ2:CJ17)</f>
        <v>0</v>
      </c>
      <c r="CK18" s="175">
        <f t="shared" si="5"/>
        <v>0</v>
      </c>
      <c r="CL18" s="176">
        <f>SUM(CL2:CL17)</f>
        <v>0</v>
      </c>
      <c r="CM18" s="175">
        <f t="shared" si="5"/>
        <v>0</v>
      </c>
      <c r="CN18" s="176">
        <f>SUM(CN2:CN17)</f>
        <v>0</v>
      </c>
      <c r="CO18" s="175">
        <f t="shared" si="5"/>
        <v>0</v>
      </c>
      <c r="CP18" s="176">
        <f>SUM(CP2:CP17)</f>
        <v>0</v>
      </c>
      <c r="CQ18" s="175">
        <f t="shared" si="5"/>
        <v>0</v>
      </c>
      <c r="CR18" s="176">
        <f>SUM(CR2:CR17)</f>
        <v>0</v>
      </c>
      <c r="CS18" s="175">
        <f t="shared" si="5"/>
        <v>0</v>
      </c>
      <c r="CT18" s="176">
        <f t="shared" si="5"/>
        <v>12000</v>
      </c>
      <c r="CU18" s="175">
        <f t="shared" si="5"/>
        <v>0</v>
      </c>
      <c r="CV18" s="176">
        <f>SUM(CV2:CV17)</f>
        <v>0</v>
      </c>
      <c r="CW18" s="175">
        <f t="shared" si="5"/>
        <v>0</v>
      </c>
      <c r="CX18" s="176">
        <f>SUM(CX2:CX17)</f>
        <v>0</v>
      </c>
      <c r="CY18" s="175">
        <f t="shared" si="5"/>
        <v>0</v>
      </c>
      <c r="CZ18" s="176"/>
      <c r="DA18" s="175">
        <f t="shared" si="5"/>
        <v>0</v>
      </c>
      <c r="DB18" s="176"/>
      <c r="DC18" s="175">
        <f t="shared" si="5"/>
        <v>0</v>
      </c>
      <c r="DD18" s="176">
        <f>SUM(DD2:DD17)</f>
        <v>0</v>
      </c>
      <c r="DE18" s="175">
        <f t="shared" si="5"/>
        <v>0</v>
      </c>
      <c r="DF18" s="176">
        <f>SUM(DF2:DF17)</f>
        <v>0</v>
      </c>
      <c r="DG18" s="175">
        <f t="shared" si="5"/>
        <v>1600</v>
      </c>
      <c r="DH18" s="176">
        <f>SUM(DH2:DH17)</f>
        <v>14641</v>
      </c>
      <c r="DI18" s="175">
        <f t="shared" si="5"/>
        <v>0</v>
      </c>
      <c r="DJ18" s="176">
        <f>SUM(DJ2:DJ17)</f>
        <v>0</v>
      </c>
      <c r="DK18" s="175">
        <f t="shared" si="5"/>
        <v>0</v>
      </c>
      <c r="DL18" s="176">
        <f>SUM(DL2:DL17)</f>
        <v>0</v>
      </c>
      <c r="DM18" s="175">
        <f t="shared" si="5"/>
        <v>0</v>
      </c>
      <c r="DN18" s="176">
        <f>SUM(DN2:DN17)</f>
        <v>0</v>
      </c>
      <c r="DO18" s="175">
        <f t="shared" si="5"/>
        <v>0</v>
      </c>
      <c r="DP18" s="176">
        <f>SUM(DP2:DP17)</f>
        <v>0</v>
      </c>
      <c r="DQ18" s="175">
        <f t="shared" si="5"/>
        <v>0</v>
      </c>
      <c r="DR18" s="176"/>
      <c r="DS18" s="175">
        <f t="shared" si="5"/>
        <v>15543</v>
      </c>
      <c r="DT18" s="176">
        <f>SUM(DT2:DT17)</f>
        <v>23314</v>
      </c>
      <c r="DU18" s="175">
        <f t="shared" si="5"/>
        <v>0</v>
      </c>
      <c r="DV18" s="176">
        <f>SUM(DV2:DV17)</f>
        <v>0</v>
      </c>
    </row>
    <row r="19" spans="1:126" s="177" customFormat="1" ht="13" x14ac:dyDescent="0.3">
      <c r="A19" s="174" t="s">
        <v>869</v>
      </c>
      <c r="B19" s="174" t="s">
        <v>287</v>
      </c>
      <c r="C19" s="175">
        <f>E19+G19+I19</f>
        <v>7350</v>
      </c>
      <c r="D19" s="176">
        <f>F19+H19+J19</f>
        <v>41861</v>
      </c>
      <c r="E19" s="175">
        <f>K19+M19+O18:O19+Q19+S19+U19+W19+Y19+AA19+AC19+AE19+AI19</f>
        <v>6379</v>
      </c>
      <c r="F19" s="176">
        <f>L19+N19+P18:P19+R19+T19+V19+X19+Z19+AB19+AD19+AF19+AJ19+AH19</f>
        <v>29235</v>
      </c>
      <c r="G19" s="175">
        <f t="shared" si="3"/>
        <v>971</v>
      </c>
      <c r="H19" s="176">
        <f t="shared" si="3"/>
        <v>12626</v>
      </c>
      <c r="I19" s="175"/>
      <c r="J19" s="176">
        <v>0</v>
      </c>
      <c r="K19" s="175"/>
      <c r="L19" s="176"/>
      <c r="M19" s="175"/>
      <c r="N19" s="176">
        <v>0</v>
      </c>
      <c r="O19" s="175">
        <f>ROUND(O17*1.19*0.43,0)</f>
        <v>0</v>
      </c>
      <c r="P19" s="176">
        <v>0</v>
      </c>
      <c r="Q19" s="175">
        <f>ROUND((Q17*1.19*0.43)+((Q2+Q5+Q14+Q16*0.9)*0.27)+(Q8*1.19*0.3),0)</f>
        <v>5867</v>
      </c>
      <c r="R19" s="176">
        <f>ROUND((R2+R3+R4+R5+R6+R7+R14+R15+R16)*0.27+R8*1.19*0.3+R17*1.19*0.43,0)</f>
        <v>6313</v>
      </c>
      <c r="S19" s="175"/>
      <c r="T19" s="176"/>
      <c r="U19" s="175"/>
      <c r="V19" s="176"/>
      <c r="W19" s="175"/>
      <c r="X19" s="176">
        <v>0</v>
      </c>
      <c r="Y19" s="175"/>
      <c r="Z19" s="176">
        <v>0</v>
      </c>
      <c r="AA19" s="175"/>
      <c r="AB19" s="176"/>
      <c r="AC19" s="175"/>
      <c r="AD19" s="176"/>
      <c r="AE19" s="175">
        <f>ROUND(AE18*1.19*(0.27+0.16),0)</f>
        <v>512</v>
      </c>
      <c r="AF19" s="176">
        <f>ROUND((AF2+AF3+AF4+AF5+AF6+AF7+AF15+AF14+AF16)*0.27+AF17*1.19*0.43,0)</f>
        <v>20677</v>
      </c>
      <c r="AG19" s="175"/>
      <c r="AH19" s="176">
        <f>ROUND((AH2+AH3+AH4+AH5+AH6+AH7+AH14+AH15+AH16)*0.27+AH8*1.19*0.3+AH17*1.19*0.43,0)</f>
        <v>2245</v>
      </c>
      <c r="AI19" s="175"/>
      <c r="AJ19" s="176"/>
      <c r="AK19" s="175"/>
      <c r="AL19" s="176">
        <v>0</v>
      </c>
      <c r="AM19" s="175"/>
      <c r="AN19" s="176"/>
      <c r="AO19" s="175"/>
      <c r="AP19" s="176"/>
      <c r="AQ19" s="175"/>
      <c r="AR19" s="176">
        <v>500</v>
      </c>
      <c r="AS19" s="175"/>
      <c r="AT19" s="176">
        <v>0</v>
      </c>
      <c r="AU19" s="175"/>
      <c r="AV19" s="176"/>
      <c r="AW19" s="175"/>
      <c r="AX19" s="176"/>
      <c r="AY19" s="175"/>
      <c r="AZ19" s="176"/>
      <c r="BA19" s="175"/>
      <c r="BB19" s="176"/>
      <c r="BC19" s="175"/>
      <c r="BD19" s="176"/>
      <c r="BE19" s="175"/>
      <c r="BF19" s="176"/>
      <c r="BG19" s="175"/>
      <c r="BH19" s="176"/>
      <c r="BI19" s="175"/>
      <c r="BJ19" s="176"/>
      <c r="BK19" s="175"/>
      <c r="BL19" s="176"/>
      <c r="BM19" s="175"/>
      <c r="BN19" s="176"/>
      <c r="BO19" s="175"/>
      <c r="BP19" s="176"/>
      <c r="BQ19" s="175"/>
      <c r="BR19" s="176"/>
      <c r="BS19" s="175"/>
      <c r="BT19" s="176"/>
      <c r="BU19" s="175"/>
      <c r="BV19" s="176"/>
      <c r="BW19" s="175"/>
      <c r="BX19" s="176"/>
      <c r="BY19" s="175"/>
      <c r="BZ19" s="176"/>
      <c r="CA19" s="175"/>
      <c r="CB19" s="176"/>
      <c r="CC19" s="175"/>
      <c r="CD19" s="176"/>
      <c r="CE19" s="175"/>
      <c r="CF19" s="176"/>
      <c r="CG19" s="175"/>
      <c r="CH19" s="176"/>
      <c r="CI19" s="175"/>
      <c r="CJ19" s="176"/>
      <c r="CK19" s="175"/>
      <c r="CL19" s="176"/>
      <c r="CM19" s="175"/>
      <c r="CN19" s="176"/>
      <c r="CO19" s="175"/>
      <c r="CP19" s="176"/>
      <c r="CQ19" s="175"/>
      <c r="CR19" s="176"/>
      <c r="CS19" s="175"/>
      <c r="CT19" s="176">
        <f>ROUND(CT17*0.27,0)</f>
        <v>3240</v>
      </c>
      <c r="CU19" s="175"/>
      <c r="CV19" s="176"/>
      <c r="CW19" s="175"/>
      <c r="CX19" s="176"/>
      <c r="CY19" s="175"/>
      <c r="CZ19" s="176"/>
      <c r="DA19" s="175"/>
      <c r="DB19" s="176"/>
      <c r="DC19" s="175"/>
      <c r="DD19" s="176"/>
      <c r="DE19" s="175"/>
      <c r="DF19" s="176"/>
      <c r="DG19" s="175">
        <v>971</v>
      </c>
      <c r="DH19" s="176">
        <v>8886</v>
      </c>
      <c r="DI19" s="175"/>
      <c r="DJ19" s="176"/>
      <c r="DK19" s="175"/>
      <c r="DL19" s="176"/>
      <c r="DM19" s="175"/>
      <c r="DN19" s="176"/>
      <c r="DO19" s="175"/>
      <c r="DP19" s="176"/>
      <c r="DQ19" s="175"/>
      <c r="DR19" s="176"/>
      <c r="DS19" s="175"/>
      <c r="DT19" s="176"/>
      <c r="DU19" s="175"/>
      <c r="DV19" s="176"/>
    </row>
    <row r="20" spans="1:126" x14ac:dyDescent="0.25">
      <c r="A20" s="171" t="s">
        <v>67</v>
      </c>
      <c r="B20" s="171" t="s">
        <v>870</v>
      </c>
      <c r="C20" s="172">
        <f>E20+G20+I20</f>
        <v>50</v>
      </c>
      <c r="D20" s="173">
        <f t="shared" ref="D20:D42" si="6">F20+H20+J20</f>
        <v>211</v>
      </c>
      <c r="E20" s="172">
        <f>K20+M20+O19:O20+Q20+S20+U20+W20+Y20+AA20+AC20+AE20+AI20</f>
        <v>50</v>
      </c>
      <c r="F20" s="173">
        <f t="shared" ref="F20:F42" si="7">L20+N20+P19:P20+R20+T20+V20+X20+Z20+AB20+AD20+AF20+AJ20+AH20</f>
        <v>211</v>
      </c>
      <c r="G20" s="172">
        <f t="shared" si="3"/>
        <v>0</v>
      </c>
      <c r="H20" s="173">
        <f t="shared" si="3"/>
        <v>0</v>
      </c>
      <c r="I20" s="172"/>
      <c r="J20" s="173"/>
      <c r="K20" s="172"/>
      <c r="L20" s="173"/>
      <c r="M20" s="172"/>
      <c r="N20" s="173"/>
      <c r="O20" s="172"/>
      <c r="P20" s="173"/>
      <c r="Q20" s="172">
        <v>30</v>
      </c>
      <c r="R20" s="173">
        <f>30+53+41+52</f>
        <v>176</v>
      </c>
      <c r="S20" s="172"/>
      <c r="T20" s="173"/>
      <c r="U20" s="172"/>
      <c r="V20" s="173"/>
      <c r="W20" s="172"/>
      <c r="X20" s="173"/>
      <c r="Y20" s="172"/>
      <c r="Z20" s="173"/>
      <c r="AA20" s="172"/>
      <c r="AB20" s="173"/>
      <c r="AC20" s="172"/>
      <c r="AD20" s="173"/>
      <c r="AE20" s="172">
        <v>20</v>
      </c>
      <c r="AF20" s="173">
        <v>35</v>
      </c>
      <c r="AG20" s="172"/>
      <c r="AH20" s="173"/>
      <c r="AI20" s="172"/>
      <c r="AJ20" s="173"/>
      <c r="AK20" s="172"/>
      <c r="AL20" s="173"/>
      <c r="AM20" s="172"/>
      <c r="AN20" s="173"/>
      <c r="AO20" s="172"/>
      <c r="AP20" s="173"/>
      <c r="AQ20" s="172"/>
      <c r="AR20" s="173"/>
      <c r="AS20" s="172"/>
      <c r="AT20" s="173"/>
      <c r="AU20" s="172"/>
      <c r="AV20" s="173"/>
      <c r="AW20" s="172"/>
      <c r="AX20" s="173"/>
      <c r="AY20" s="172"/>
      <c r="AZ20" s="173"/>
      <c r="BA20" s="172"/>
      <c r="BB20" s="173"/>
      <c r="BC20" s="172"/>
      <c r="BD20" s="173"/>
      <c r="BE20" s="172"/>
      <c r="BF20" s="173"/>
      <c r="BG20" s="172"/>
      <c r="BH20" s="173"/>
      <c r="BI20" s="172"/>
      <c r="BJ20" s="173"/>
      <c r="BK20" s="172"/>
      <c r="BL20" s="173"/>
      <c r="BM20" s="172"/>
      <c r="BN20" s="173"/>
      <c r="BO20" s="172"/>
      <c r="BP20" s="173"/>
      <c r="BQ20" s="172"/>
      <c r="BR20" s="173"/>
      <c r="BS20" s="172"/>
      <c r="BT20" s="173"/>
      <c r="BU20" s="172"/>
      <c r="BV20" s="173"/>
      <c r="BW20" s="172"/>
      <c r="BX20" s="173"/>
      <c r="BY20" s="172"/>
      <c r="BZ20" s="173"/>
      <c r="CA20" s="172"/>
      <c r="CB20" s="173"/>
      <c r="CC20" s="172"/>
      <c r="CD20" s="173"/>
      <c r="CE20" s="172"/>
      <c r="CF20" s="173"/>
      <c r="CG20" s="172"/>
      <c r="CH20" s="173"/>
      <c r="CI20" s="172"/>
      <c r="CJ20" s="173"/>
      <c r="CK20" s="172"/>
      <c r="CL20" s="173"/>
      <c r="CM20" s="172"/>
      <c r="CN20" s="173"/>
      <c r="CO20" s="172"/>
      <c r="CP20" s="173"/>
      <c r="CQ20" s="172"/>
      <c r="CR20" s="173"/>
      <c r="CS20" s="172"/>
      <c r="CT20" s="173"/>
      <c r="CU20" s="172"/>
      <c r="CV20" s="173"/>
      <c r="CW20" s="172"/>
      <c r="CX20" s="173"/>
      <c r="CY20" s="172"/>
      <c r="CZ20" s="173"/>
      <c r="DA20" s="172"/>
      <c r="DB20" s="173"/>
      <c r="DC20" s="172"/>
      <c r="DD20" s="173"/>
      <c r="DE20" s="172"/>
      <c r="DF20" s="173"/>
      <c r="DG20" s="172"/>
      <c r="DH20" s="173"/>
      <c r="DI20" s="172"/>
      <c r="DJ20" s="173"/>
      <c r="DK20" s="172"/>
      <c r="DL20" s="173"/>
      <c r="DM20" s="172"/>
      <c r="DN20" s="173"/>
      <c r="DO20" s="172"/>
      <c r="DP20" s="173"/>
      <c r="DQ20" s="172"/>
      <c r="DR20" s="173"/>
      <c r="DS20" s="172"/>
      <c r="DT20" s="173"/>
      <c r="DU20" s="172"/>
      <c r="DV20" s="173"/>
    </row>
    <row r="21" spans="1:126" x14ac:dyDescent="0.25">
      <c r="A21" s="171" t="s">
        <v>76</v>
      </c>
      <c r="B21" s="171" t="s">
        <v>871</v>
      </c>
      <c r="C21" s="172">
        <f>E21+G21+I21</f>
        <v>2865</v>
      </c>
      <c r="D21" s="173">
        <f t="shared" si="6"/>
        <v>8002</v>
      </c>
      <c r="E21" s="172">
        <f>K21+M21+O20:O21+Q21+S21+U21+W21+Y21+AA21+AC21+AE21+AI21</f>
        <v>960</v>
      </c>
      <c r="F21" s="173">
        <f t="shared" si="7"/>
        <v>2152</v>
      </c>
      <c r="G21" s="172">
        <f t="shared" si="3"/>
        <v>1905</v>
      </c>
      <c r="H21" s="173">
        <f t="shared" si="3"/>
        <v>5850</v>
      </c>
      <c r="I21" s="172"/>
      <c r="J21" s="173"/>
      <c r="K21" s="172"/>
      <c r="L21" s="173"/>
      <c r="M21" s="172"/>
      <c r="N21" s="173"/>
      <c r="O21" s="172"/>
      <c r="P21" s="173"/>
      <c r="Q21" s="172">
        <v>180</v>
      </c>
      <c r="R21" s="173">
        <v>250</v>
      </c>
      <c r="S21" s="172"/>
      <c r="T21" s="173"/>
      <c r="U21" s="172"/>
      <c r="V21" s="173"/>
      <c r="W21" s="172"/>
      <c r="X21" s="173"/>
      <c r="Y21" s="172"/>
      <c r="Z21" s="173"/>
      <c r="AA21" s="172"/>
      <c r="AB21" s="173"/>
      <c r="AC21" s="172">
        <v>280</v>
      </c>
      <c r="AD21" s="173">
        <v>280</v>
      </c>
      <c r="AE21" s="172">
        <v>500</v>
      </c>
      <c r="AF21" s="173">
        <f>1500+122</f>
        <v>1622</v>
      </c>
      <c r="AG21" s="172"/>
      <c r="AH21" s="173"/>
      <c r="AI21" s="172"/>
      <c r="AJ21" s="173"/>
      <c r="AK21" s="172"/>
      <c r="AL21" s="173"/>
      <c r="AM21" s="172"/>
      <c r="AN21" s="173"/>
      <c r="AO21" s="172"/>
      <c r="AP21" s="173"/>
      <c r="AQ21" s="172"/>
      <c r="AR21" s="173"/>
      <c r="AS21" s="172"/>
      <c r="AT21" s="173"/>
      <c r="AU21" s="172"/>
      <c r="AV21" s="173"/>
      <c r="AW21" s="172"/>
      <c r="AX21" s="173"/>
      <c r="AY21" s="172"/>
      <c r="AZ21" s="173"/>
      <c r="BA21" s="172"/>
      <c r="BB21" s="173"/>
      <c r="BC21" s="172"/>
      <c r="BD21" s="173"/>
      <c r="BE21" s="172"/>
      <c r="BF21" s="173"/>
      <c r="BG21" s="172"/>
      <c r="BH21" s="173"/>
      <c r="BI21" s="172"/>
      <c r="BJ21" s="173"/>
      <c r="BK21" s="172"/>
      <c r="BL21" s="173"/>
      <c r="BM21" s="172"/>
      <c r="BN21" s="173"/>
      <c r="BO21" s="172"/>
      <c r="BP21" s="173"/>
      <c r="BQ21" s="172"/>
      <c r="BR21" s="173"/>
      <c r="BS21" s="172"/>
      <c r="BT21" s="173"/>
      <c r="BU21" s="172"/>
      <c r="BV21" s="173"/>
      <c r="BW21" s="172"/>
      <c r="BX21" s="173"/>
      <c r="BY21" s="172"/>
      <c r="BZ21" s="173"/>
      <c r="CA21" s="172"/>
      <c r="CB21" s="173"/>
      <c r="CC21" s="172"/>
      <c r="CD21" s="173"/>
      <c r="CE21" s="172"/>
      <c r="CF21" s="173"/>
      <c r="CG21" s="172"/>
      <c r="CH21" s="173"/>
      <c r="CI21" s="172"/>
      <c r="CJ21" s="173"/>
      <c r="CK21" s="172"/>
      <c r="CL21" s="173"/>
      <c r="CM21" s="172"/>
      <c r="CN21" s="173"/>
      <c r="CO21" s="172"/>
      <c r="CP21" s="173"/>
      <c r="CQ21" s="172"/>
      <c r="CR21" s="173"/>
      <c r="CS21" s="172"/>
      <c r="CT21" s="173"/>
      <c r="CU21" s="172"/>
      <c r="CV21" s="173"/>
      <c r="CW21" s="172"/>
      <c r="CX21" s="173"/>
      <c r="CY21" s="172"/>
      <c r="CZ21" s="173"/>
      <c r="DA21" s="172"/>
      <c r="DB21" s="173"/>
      <c r="DC21" s="172"/>
      <c r="DD21" s="173"/>
      <c r="DE21" s="172"/>
      <c r="DF21" s="173"/>
      <c r="DG21" s="172"/>
      <c r="DH21" s="173">
        <v>850</v>
      </c>
      <c r="DI21" s="172"/>
      <c r="DJ21" s="173"/>
      <c r="DK21" s="172"/>
      <c r="DL21" s="173"/>
      <c r="DM21" s="172">
        <v>1905</v>
      </c>
      <c r="DN21" s="173">
        <v>5000</v>
      </c>
      <c r="DO21" s="172"/>
      <c r="DP21" s="173"/>
      <c r="DQ21" s="172"/>
      <c r="DR21" s="173"/>
      <c r="DS21" s="172"/>
      <c r="DT21" s="173"/>
      <c r="DU21" s="172"/>
      <c r="DV21" s="173"/>
    </row>
    <row r="22" spans="1:126" x14ac:dyDescent="0.25">
      <c r="A22" s="171" t="s">
        <v>85</v>
      </c>
      <c r="B22" s="171" t="s">
        <v>88</v>
      </c>
      <c r="C22" s="172">
        <f>E22+G22+I22</f>
        <v>0</v>
      </c>
      <c r="D22" s="173">
        <f t="shared" si="6"/>
        <v>0</v>
      </c>
      <c r="E22" s="172">
        <f>K22+M22+O21:O22+Q22+S22+U22+W22+Y22+AA22+AC22+AE22+AI22</f>
        <v>0</v>
      </c>
      <c r="F22" s="173">
        <f t="shared" si="7"/>
        <v>0</v>
      </c>
      <c r="G22" s="172">
        <f t="shared" si="3"/>
        <v>0</v>
      </c>
      <c r="H22" s="173">
        <f t="shared" si="3"/>
        <v>0</v>
      </c>
      <c r="I22" s="172"/>
      <c r="J22" s="173"/>
      <c r="K22" s="172"/>
      <c r="L22" s="173"/>
      <c r="M22" s="172"/>
      <c r="N22" s="173"/>
      <c r="O22" s="172"/>
      <c r="P22" s="173"/>
      <c r="Q22" s="172">
        <v>0</v>
      </c>
      <c r="R22" s="173">
        <v>0</v>
      </c>
      <c r="S22" s="172"/>
      <c r="T22" s="173"/>
      <c r="U22" s="172"/>
      <c r="V22" s="173"/>
      <c r="W22" s="172"/>
      <c r="X22" s="173"/>
      <c r="Y22" s="172"/>
      <c r="Z22" s="173"/>
      <c r="AA22" s="172"/>
      <c r="AB22" s="173"/>
      <c r="AC22" s="172"/>
      <c r="AD22" s="173"/>
      <c r="AE22" s="172"/>
      <c r="AF22" s="173"/>
      <c r="AG22" s="172"/>
      <c r="AH22" s="173"/>
      <c r="AI22" s="172"/>
      <c r="AJ22" s="173"/>
      <c r="AK22" s="172"/>
      <c r="AL22" s="173"/>
      <c r="AM22" s="172"/>
      <c r="AN22" s="173"/>
      <c r="AO22" s="172"/>
      <c r="AP22" s="173"/>
      <c r="AQ22" s="172"/>
      <c r="AR22" s="173"/>
      <c r="AS22" s="172"/>
      <c r="AT22" s="173"/>
      <c r="AU22" s="172"/>
      <c r="AV22" s="173"/>
      <c r="AW22" s="172"/>
      <c r="AX22" s="173"/>
      <c r="AY22" s="172"/>
      <c r="AZ22" s="173"/>
      <c r="BA22" s="172"/>
      <c r="BB22" s="173"/>
      <c r="BC22" s="172"/>
      <c r="BD22" s="173"/>
      <c r="BE22" s="172"/>
      <c r="BF22" s="173"/>
      <c r="BG22" s="172"/>
      <c r="BH22" s="173"/>
      <c r="BI22" s="172"/>
      <c r="BJ22" s="173"/>
      <c r="BK22" s="172"/>
      <c r="BL22" s="173"/>
      <c r="BM22" s="172"/>
      <c r="BN22" s="173"/>
      <c r="BO22" s="172"/>
      <c r="BP22" s="173"/>
      <c r="BQ22" s="172"/>
      <c r="BR22" s="173"/>
      <c r="BS22" s="172"/>
      <c r="BT22" s="173"/>
      <c r="BU22" s="172"/>
      <c r="BV22" s="173"/>
      <c r="BW22" s="172"/>
      <c r="BX22" s="173"/>
      <c r="BY22" s="172"/>
      <c r="BZ22" s="173"/>
      <c r="CA22" s="172"/>
      <c r="CB22" s="173"/>
      <c r="CC22" s="172"/>
      <c r="CD22" s="173"/>
      <c r="CE22" s="172"/>
      <c r="CF22" s="173"/>
      <c r="CG22" s="172"/>
      <c r="CH22" s="173"/>
      <c r="CI22" s="172"/>
      <c r="CJ22" s="173"/>
      <c r="CK22" s="172"/>
      <c r="CL22" s="173"/>
      <c r="CM22" s="172"/>
      <c r="CN22" s="173"/>
      <c r="CO22" s="172"/>
      <c r="CP22" s="173"/>
      <c r="CQ22" s="172"/>
      <c r="CR22" s="173"/>
      <c r="CS22" s="172"/>
      <c r="CT22" s="173"/>
      <c r="CU22" s="172"/>
      <c r="CV22" s="173"/>
      <c r="CW22" s="172"/>
      <c r="CX22" s="173"/>
      <c r="CY22" s="172"/>
      <c r="CZ22" s="173"/>
      <c r="DA22" s="172"/>
      <c r="DB22" s="173"/>
      <c r="DC22" s="172"/>
      <c r="DD22" s="173"/>
      <c r="DE22" s="172"/>
      <c r="DF22" s="173"/>
      <c r="DG22" s="172"/>
      <c r="DH22" s="173"/>
      <c r="DI22" s="172"/>
      <c r="DJ22" s="173"/>
      <c r="DK22" s="172"/>
      <c r="DL22" s="173"/>
      <c r="DM22" s="172"/>
      <c r="DN22" s="173"/>
      <c r="DO22" s="172"/>
      <c r="DP22" s="173"/>
      <c r="DQ22" s="172"/>
      <c r="DR22" s="173"/>
      <c r="DS22" s="172"/>
      <c r="DT22" s="173"/>
      <c r="DU22" s="172"/>
      <c r="DV22" s="173"/>
    </row>
    <row r="23" spans="1:126" ht="13" x14ac:dyDescent="0.3">
      <c r="A23" s="178" t="s">
        <v>90</v>
      </c>
      <c r="B23" s="178" t="s">
        <v>872</v>
      </c>
      <c r="C23" s="179">
        <f t="shared" ref="C23:H23" si="8">SUM(C20:C22)</f>
        <v>2915</v>
      </c>
      <c r="D23" s="180">
        <f t="shared" si="8"/>
        <v>8213</v>
      </c>
      <c r="E23" s="179">
        <f t="shared" si="8"/>
        <v>1010</v>
      </c>
      <c r="F23" s="180">
        <f t="shared" si="8"/>
        <v>2363</v>
      </c>
      <c r="G23" s="179">
        <f t="shared" si="8"/>
        <v>1905</v>
      </c>
      <c r="H23" s="180">
        <f t="shared" si="8"/>
        <v>5850</v>
      </c>
      <c r="I23" s="179"/>
      <c r="J23" s="180"/>
      <c r="K23" s="179">
        <f t="shared" ref="K23:AO23" si="9">SUM(K20:K22)</f>
        <v>0</v>
      </c>
      <c r="L23" s="180">
        <f t="shared" si="9"/>
        <v>0</v>
      </c>
      <c r="M23" s="179">
        <f t="shared" si="9"/>
        <v>0</v>
      </c>
      <c r="N23" s="180">
        <f t="shared" si="9"/>
        <v>0</v>
      </c>
      <c r="O23" s="179">
        <f t="shared" si="9"/>
        <v>0</v>
      </c>
      <c r="P23" s="180">
        <f t="shared" si="9"/>
        <v>0</v>
      </c>
      <c r="Q23" s="179">
        <f t="shared" si="9"/>
        <v>210</v>
      </c>
      <c r="R23" s="180">
        <f t="shared" si="9"/>
        <v>426</v>
      </c>
      <c r="S23" s="179">
        <f t="shared" si="9"/>
        <v>0</v>
      </c>
      <c r="T23" s="180">
        <f>SUM(T20:T22)</f>
        <v>0</v>
      </c>
      <c r="U23" s="179">
        <f t="shared" si="9"/>
        <v>0</v>
      </c>
      <c r="V23" s="180">
        <f>SUM(V20:V22)</f>
        <v>0</v>
      </c>
      <c r="W23" s="179">
        <f t="shared" si="9"/>
        <v>0</v>
      </c>
      <c r="X23" s="180">
        <f t="shared" si="9"/>
        <v>0</v>
      </c>
      <c r="Y23" s="179">
        <f t="shared" si="9"/>
        <v>0</v>
      </c>
      <c r="Z23" s="180">
        <f>SUM(Z20:Z22)</f>
        <v>0</v>
      </c>
      <c r="AA23" s="179">
        <f t="shared" si="9"/>
        <v>0</v>
      </c>
      <c r="AB23" s="180">
        <f>SUM(AB20:AB22)</f>
        <v>0</v>
      </c>
      <c r="AC23" s="179">
        <f t="shared" si="9"/>
        <v>280</v>
      </c>
      <c r="AD23" s="180">
        <f>SUM(AD20:AD22)</f>
        <v>280</v>
      </c>
      <c r="AE23" s="179">
        <f t="shared" si="9"/>
        <v>520</v>
      </c>
      <c r="AF23" s="180">
        <f>SUM(AF20:AF22)</f>
        <v>1657</v>
      </c>
      <c r="AG23" s="179"/>
      <c r="AH23" s="180"/>
      <c r="AI23" s="179">
        <f>SUM(AI20:AI22)</f>
        <v>0</v>
      </c>
      <c r="AJ23" s="180">
        <f>SUM(AJ20:AJ22)</f>
        <v>0</v>
      </c>
      <c r="AK23" s="179">
        <f t="shared" si="9"/>
        <v>0</v>
      </c>
      <c r="AL23" s="180">
        <f>SUM(AL20:AL22)</f>
        <v>0</v>
      </c>
      <c r="AM23" s="179">
        <f t="shared" si="9"/>
        <v>0</v>
      </c>
      <c r="AN23" s="180"/>
      <c r="AO23" s="179">
        <f t="shared" si="9"/>
        <v>0</v>
      </c>
      <c r="AP23" s="180">
        <f>SUM(AP20:AP22)</f>
        <v>0</v>
      </c>
      <c r="AQ23" s="179">
        <f t="shared" ref="AQ23:DO23" si="10">SUM(AQ20:AQ22)</f>
        <v>0</v>
      </c>
      <c r="AR23" s="180">
        <f>SUM(AR20:AR22)</f>
        <v>0</v>
      </c>
      <c r="AS23" s="179">
        <f t="shared" si="10"/>
        <v>0</v>
      </c>
      <c r="AT23" s="180">
        <f>SUM(AT20:AT22)</f>
        <v>0</v>
      </c>
      <c r="AU23" s="179">
        <f t="shared" si="10"/>
        <v>0</v>
      </c>
      <c r="AV23" s="180">
        <f>SUM(AV20:AV22)</f>
        <v>0</v>
      </c>
      <c r="AW23" s="179">
        <f t="shared" si="10"/>
        <v>0</v>
      </c>
      <c r="AX23" s="180">
        <f>SUM(AX20:AX22)</f>
        <v>0</v>
      </c>
      <c r="AY23" s="179">
        <f t="shared" si="10"/>
        <v>0</v>
      </c>
      <c r="AZ23" s="180">
        <f>SUM(AZ20:AZ22)</f>
        <v>0</v>
      </c>
      <c r="BA23" s="179">
        <f t="shared" si="10"/>
        <v>0</v>
      </c>
      <c r="BB23" s="180">
        <f>SUM(BB20:BB22)</f>
        <v>0</v>
      </c>
      <c r="BC23" s="179">
        <f t="shared" si="10"/>
        <v>0</v>
      </c>
      <c r="BD23" s="180">
        <f>SUM(BD20:BD22)</f>
        <v>0</v>
      </c>
      <c r="BE23" s="179">
        <f t="shared" si="10"/>
        <v>0</v>
      </c>
      <c r="BF23" s="180">
        <f>SUM(BF20:BF22)</f>
        <v>0</v>
      </c>
      <c r="BG23" s="179">
        <f t="shared" si="10"/>
        <v>0</v>
      </c>
      <c r="BH23" s="180">
        <f>SUM(BH20:BH22)</f>
        <v>0</v>
      </c>
      <c r="BI23" s="179">
        <f t="shared" si="10"/>
        <v>0</v>
      </c>
      <c r="BJ23" s="180">
        <f>SUM(BJ20:BJ22)</f>
        <v>0</v>
      </c>
      <c r="BK23" s="179">
        <f t="shared" si="10"/>
        <v>0</v>
      </c>
      <c r="BL23" s="180">
        <f>SUM(BL20:BL22)</f>
        <v>0</v>
      </c>
      <c r="BM23" s="179">
        <f t="shared" si="10"/>
        <v>0</v>
      </c>
      <c r="BN23" s="180">
        <f>SUM(BN20:BN22)</f>
        <v>0</v>
      </c>
      <c r="BO23" s="179">
        <f t="shared" si="10"/>
        <v>0</v>
      </c>
      <c r="BP23" s="180">
        <f>SUM(BP20:BP22)</f>
        <v>0</v>
      </c>
      <c r="BQ23" s="179">
        <f t="shared" si="10"/>
        <v>0</v>
      </c>
      <c r="BR23" s="180">
        <f>SUM(BR20:BR22)</f>
        <v>0</v>
      </c>
      <c r="BS23" s="179">
        <f t="shared" si="10"/>
        <v>0</v>
      </c>
      <c r="BT23" s="180">
        <f>SUM(BT20:BT22)</f>
        <v>0</v>
      </c>
      <c r="BU23" s="179">
        <f t="shared" si="10"/>
        <v>0</v>
      </c>
      <c r="BV23" s="180">
        <f>SUM(BV20:BV22)</f>
        <v>0</v>
      </c>
      <c r="BW23" s="179">
        <f t="shared" si="10"/>
        <v>0</v>
      </c>
      <c r="BX23" s="180">
        <f>SUM(BX20:BX22)</f>
        <v>0</v>
      </c>
      <c r="BY23" s="179">
        <f t="shared" si="10"/>
        <v>0</v>
      </c>
      <c r="BZ23" s="180">
        <f>SUM(BZ20:BZ22)</f>
        <v>0</v>
      </c>
      <c r="CA23" s="179">
        <f t="shared" si="10"/>
        <v>0</v>
      </c>
      <c r="CB23" s="180">
        <f>SUM(CB20:CB22)</f>
        <v>0</v>
      </c>
      <c r="CC23" s="179">
        <f t="shared" si="10"/>
        <v>0</v>
      </c>
      <c r="CD23" s="180">
        <f>SUM(CD20:CD22)</f>
        <v>0</v>
      </c>
      <c r="CE23" s="179">
        <f>SUM(CE20:CE22)</f>
        <v>0</v>
      </c>
      <c r="CF23" s="180">
        <f>SUM(CF20:CF22)</f>
        <v>0</v>
      </c>
      <c r="CG23" s="179">
        <f t="shared" si="10"/>
        <v>0</v>
      </c>
      <c r="CH23" s="180">
        <f>SUM(CH20:CH22)</f>
        <v>0</v>
      </c>
      <c r="CI23" s="179">
        <f t="shared" si="10"/>
        <v>0</v>
      </c>
      <c r="CJ23" s="180">
        <f>SUM(CJ20:CJ22)</f>
        <v>0</v>
      </c>
      <c r="CK23" s="179">
        <f t="shared" si="10"/>
        <v>0</v>
      </c>
      <c r="CL23" s="180">
        <f>SUM(CL20:CL22)</f>
        <v>0</v>
      </c>
      <c r="CM23" s="179">
        <f t="shared" si="10"/>
        <v>0</v>
      </c>
      <c r="CN23" s="180">
        <f>SUM(CN20:CN22)</f>
        <v>0</v>
      </c>
      <c r="CO23" s="179">
        <f t="shared" si="10"/>
        <v>0</v>
      </c>
      <c r="CP23" s="180">
        <f>SUM(CP20:CP22)</f>
        <v>0</v>
      </c>
      <c r="CQ23" s="179">
        <f t="shared" si="10"/>
        <v>0</v>
      </c>
      <c r="CR23" s="180">
        <f>SUM(CR20:CR22)</f>
        <v>0</v>
      </c>
      <c r="CS23" s="179">
        <f t="shared" si="10"/>
        <v>0</v>
      </c>
      <c r="CT23" s="180">
        <f>SUM(CT20:CT22)</f>
        <v>0</v>
      </c>
      <c r="CU23" s="179">
        <f t="shared" si="10"/>
        <v>0</v>
      </c>
      <c r="CV23" s="180">
        <f>SUM(CV20:CV22)</f>
        <v>0</v>
      </c>
      <c r="CW23" s="179">
        <f t="shared" si="10"/>
        <v>0</v>
      </c>
      <c r="CX23" s="180">
        <f>SUM(CX20:CX22)</f>
        <v>0</v>
      </c>
      <c r="CY23" s="179">
        <f t="shared" si="10"/>
        <v>0</v>
      </c>
      <c r="CZ23" s="180"/>
      <c r="DA23" s="179">
        <f t="shared" si="10"/>
        <v>0</v>
      </c>
      <c r="DB23" s="180"/>
      <c r="DC23" s="179">
        <f t="shared" si="10"/>
        <v>0</v>
      </c>
      <c r="DD23" s="180">
        <f>SUM(DD20:DD22)</f>
        <v>0</v>
      </c>
      <c r="DE23" s="179">
        <f t="shared" si="10"/>
        <v>0</v>
      </c>
      <c r="DF23" s="180">
        <f>SUM(DF20:DF22)</f>
        <v>0</v>
      </c>
      <c r="DG23" s="179">
        <f t="shared" si="10"/>
        <v>0</v>
      </c>
      <c r="DH23" s="180">
        <f>SUM(DH20:DH22)</f>
        <v>850</v>
      </c>
      <c r="DI23" s="179">
        <f t="shared" si="10"/>
        <v>0</v>
      </c>
      <c r="DJ23" s="180">
        <f>SUM(DJ20:DJ22)</f>
        <v>0</v>
      </c>
      <c r="DK23" s="179">
        <f t="shared" si="10"/>
        <v>0</v>
      </c>
      <c r="DL23" s="180">
        <f>SUM(DL20:DL22)</f>
        <v>0</v>
      </c>
      <c r="DM23" s="179">
        <f t="shared" si="10"/>
        <v>1905</v>
      </c>
      <c r="DN23" s="180">
        <f>SUM(DN20:DN22)</f>
        <v>5000</v>
      </c>
      <c r="DO23" s="179">
        <f t="shared" si="10"/>
        <v>0</v>
      </c>
      <c r="DP23" s="180">
        <f>SUM(DP20:DP22)</f>
        <v>0</v>
      </c>
      <c r="DQ23" s="179"/>
      <c r="DR23" s="180"/>
      <c r="DS23" s="179"/>
      <c r="DT23" s="180"/>
      <c r="DU23" s="179"/>
      <c r="DV23" s="180"/>
    </row>
    <row r="24" spans="1:126" x14ac:dyDescent="0.25">
      <c r="A24" s="171" t="s">
        <v>93</v>
      </c>
      <c r="B24" s="171" t="s">
        <v>95</v>
      </c>
      <c r="C24" s="172">
        <f>E24+G24+I24</f>
        <v>15489</v>
      </c>
      <c r="D24" s="173">
        <f t="shared" si="6"/>
        <v>16301</v>
      </c>
      <c r="E24" s="172">
        <f>K24+M24+O23:O24+Q24+S24+U24+W24+Y24+AA24+AC24+AE24+AI24</f>
        <v>15489</v>
      </c>
      <c r="F24" s="173">
        <f t="shared" si="7"/>
        <v>16301</v>
      </c>
      <c r="G24" s="172">
        <f t="shared" si="3"/>
        <v>0</v>
      </c>
      <c r="H24" s="173">
        <f t="shared" si="3"/>
        <v>0</v>
      </c>
      <c r="I24" s="172"/>
      <c r="J24" s="173"/>
      <c r="K24" s="172">
        <v>200</v>
      </c>
      <c r="L24" s="173">
        <v>120</v>
      </c>
      <c r="M24" s="172"/>
      <c r="N24" s="173"/>
      <c r="O24" s="172"/>
      <c r="P24" s="173"/>
      <c r="Q24" s="172">
        <v>164</v>
      </c>
      <c r="R24" s="173">
        <v>450</v>
      </c>
      <c r="S24" s="172"/>
      <c r="T24" s="173"/>
      <c r="U24" s="172"/>
      <c r="V24" s="173"/>
      <c r="W24" s="172"/>
      <c r="X24" s="173"/>
      <c r="Y24" s="172"/>
      <c r="Z24" s="173"/>
      <c r="AA24" s="172"/>
      <c r="AB24" s="173"/>
      <c r="AC24" s="172"/>
      <c r="AD24" s="173"/>
      <c r="AE24" s="172">
        <v>15125</v>
      </c>
      <c r="AF24" s="173">
        <v>15731</v>
      </c>
      <c r="AG24" s="172"/>
      <c r="AH24" s="173"/>
      <c r="AI24" s="172"/>
      <c r="AJ24" s="173"/>
      <c r="AK24" s="172"/>
      <c r="AL24" s="173"/>
      <c r="AM24" s="172"/>
      <c r="AN24" s="173"/>
      <c r="AO24" s="172"/>
      <c r="AP24" s="173"/>
      <c r="AQ24" s="172"/>
      <c r="AR24" s="173"/>
      <c r="AS24" s="172"/>
      <c r="AT24" s="173"/>
      <c r="AU24" s="172"/>
      <c r="AV24" s="173"/>
      <c r="AW24" s="172"/>
      <c r="AX24" s="173"/>
      <c r="AY24" s="172"/>
      <c r="AZ24" s="173"/>
      <c r="BA24" s="172"/>
      <c r="BB24" s="173"/>
      <c r="BC24" s="172"/>
      <c r="BD24" s="173"/>
      <c r="BE24" s="172"/>
      <c r="BF24" s="173"/>
      <c r="BG24" s="172"/>
      <c r="BH24" s="173"/>
      <c r="BI24" s="172"/>
      <c r="BJ24" s="173"/>
      <c r="BK24" s="172"/>
      <c r="BL24" s="173"/>
      <c r="BM24" s="172"/>
      <c r="BN24" s="173"/>
      <c r="BO24" s="172"/>
      <c r="BP24" s="173"/>
      <c r="BQ24" s="172"/>
      <c r="BR24" s="173"/>
      <c r="BS24" s="172"/>
      <c r="BT24" s="173"/>
      <c r="BU24" s="172"/>
      <c r="BV24" s="173"/>
      <c r="BW24" s="172"/>
      <c r="BX24" s="173"/>
      <c r="BY24" s="172"/>
      <c r="BZ24" s="173"/>
      <c r="CA24" s="172"/>
      <c r="CB24" s="173"/>
      <c r="CC24" s="172"/>
      <c r="CD24" s="173"/>
      <c r="CE24" s="172"/>
      <c r="CF24" s="173"/>
      <c r="CG24" s="172"/>
      <c r="CH24" s="173"/>
      <c r="CI24" s="172"/>
      <c r="CJ24" s="173"/>
      <c r="CK24" s="172"/>
      <c r="CL24" s="173"/>
      <c r="CM24" s="172"/>
      <c r="CN24" s="173"/>
      <c r="CO24" s="172"/>
      <c r="CP24" s="173"/>
      <c r="CQ24" s="172"/>
      <c r="CR24" s="173"/>
      <c r="CS24" s="172"/>
      <c r="CT24" s="173"/>
      <c r="CU24" s="172"/>
      <c r="CV24" s="173"/>
      <c r="CW24" s="172"/>
      <c r="CX24" s="173"/>
      <c r="CY24" s="172"/>
      <c r="CZ24" s="173"/>
      <c r="DA24" s="172"/>
      <c r="DB24" s="173"/>
      <c r="DC24" s="172"/>
      <c r="DD24" s="173"/>
      <c r="DE24" s="172"/>
      <c r="DF24" s="173"/>
      <c r="DG24" s="172"/>
      <c r="DH24" s="173"/>
      <c r="DI24" s="172"/>
      <c r="DJ24" s="173"/>
      <c r="DK24" s="172"/>
      <c r="DL24" s="173"/>
      <c r="DM24" s="172"/>
      <c r="DN24" s="173"/>
      <c r="DO24" s="172"/>
      <c r="DP24" s="173"/>
      <c r="DQ24" s="172"/>
      <c r="DR24" s="173"/>
      <c r="DS24" s="172"/>
      <c r="DT24" s="173"/>
      <c r="DU24" s="172"/>
      <c r="DV24" s="173"/>
    </row>
    <row r="25" spans="1:126" x14ac:dyDescent="0.25">
      <c r="A25" s="171" t="s">
        <v>102</v>
      </c>
      <c r="B25" s="171" t="s">
        <v>106</v>
      </c>
      <c r="C25" s="172">
        <f>E25+G25+I25</f>
        <v>150</v>
      </c>
      <c r="D25" s="173">
        <f t="shared" si="6"/>
        <v>160</v>
      </c>
      <c r="E25" s="172">
        <f>K25+M25+O24:O25+Q25+S25+U25+W25+Y25+AA25+AC25+AE25+AI25</f>
        <v>150</v>
      </c>
      <c r="F25" s="173">
        <f t="shared" si="7"/>
        <v>160</v>
      </c>
      <c r="G25" s="172">
        <f t="shared" si="3"/>
        <v>0</v>
      </c>
      <c r="H25" s="173">
        <f t="shared" si="3"/>
        <v>0</v>
      </c>
      <c r="I25" s="172"/>
      <c r="J25" s="173"/>
      <c r="K25" s="172"/>
      <c r="L25" s="173"/>
      <c r="M25" s="172"/>
      <c r="N25" s="173"/>
      <c r="O25" s="172"/>
      <c r="P25" s="173"/>
      <c r="Q25" s="172">
        <v>120</v>
      </c>
      <c r="R25" s="173">
        <v>160</v>
      </c>
      <c r="S25" s="172"/>
      <c r="T25" s="173"/>
      <c r="U25" s="172"/>
      <c r="V25" s="173"/>
      <c r="W25" s="172"/>
      <c r="X25" s="173"/>
      <c r="Y25" s="172"/>
      <c r="Z25" s="173"/>
      <c r="AA25" s="172"/>
      <c r="AB25" s="173"/>
      <c r="AC25" s="172"/>
      <c r="AD25" s="173"/>
      <c r="AE25" s="172">
        <v>30</v>
      </c>
      <c r="AF25" s="173">
        <v>0</v>
      </c>
      <c r="AG25" s="172"/>
      <c r="AH25" s="173"/>
      <c r="AI25" s="172"/>
      <c r="AJ25" s="173"/>
      <c r="AK25" s="172"/>
      <c r="AL25" s="173"/>
      <c r="AM25" s="172"/>
      <c r="AN25" s="173"/>
      <c r="AO25" s="172"/>
      <c r="AP25" s="173"/>
      <c r="AQ25" s="172"/>
      <c r="AR25" s="173"/>
      <c r="AS25" s="172"/>
      <c r="AT25" s="173"/>
      <c r="AU25" s="172"/>
      <c r="AV25" s="173"/>
      <c r="AW25" s="172"/>
      <c r="AX25" s="173"/>
      <c r="AY25" s="172"/>
      <c r="AZ25" s="173"/>
      <c r="BA25" s="172"/>
      <c r="BB25" s="173"/>
      <c r="BC25" s="172"/>
      <c r="BD25" s="173"/>
      <c r="BE25" s="172"/>
      <c r="BF25" s="173"/>
      <c r="BG25" s="172"/>
      <c r="BH25" s="173"/>
      <c r="BI25" s="172"/>
      <c r="BJ25" s="173"/>
      <c r="BK25" s="172"/>
      <c r="BL25" s="173"/>
      <c r="BM25" s="172"/>
      <c r="BN25" s="173"/>
      <c r="BO25" s="172"/>
      <c r="BP25" s="173"/>
      <c r="BQ25" s="172"/>
      <c r="BR25" s="173"/>
      <c r="BS25" s="172"/>
      <c r="BT25" s="173"/>
      <c r="BU25" s="172"/>
      <c r="BV25" s="173"/>
      <c r="BW25" s="172"/>
      <c r="BX25" s="173"/>
      <c r="BY25" s="172"/>
      <c r="BZ25" s="173"/>
      <c r="CA25" s="172"/>
      <c r="CB25" s="173"/>
      <c r="CC25" s="172"/>
      <c r="CD25" s="173"/>
      <c r="CE25" s="172"/>
      <c r="CF25" s="173"/>
      <c r="CG25" s="172"/>
      <c r="CH25" s="173"/>
      <c r="CI25" s="172"/>
      <c r="CJ25" s="173"/>
      <c r="CK25" s="172"/>
      <c r="CL25" s="173"/>
      <c r="CM25" s="172"/>
      <c r="CN25" s="173"/>
      <c r="CO25" s="172"/>
      <c r="CP25" s="173"/>
      <c r="CQ25" s="172"/>
      <c r="CR25" s="173"/>
      <c r="CS25" s="172"/>
      <c r="CT25" s="173"/>
      <c r="CU25" s="172"/>
      <c r="CV25" s="173"/>
      <c r="CW25" s="172"/>
      <c r="CX25" s="173"/>
      <c r="CY25" s="172"/>
      <c r="CZ25" s="173"/>
      <c r="DA25" s="172"/>
      <c r="DB25" s="173"/>
      <c r="DC25" s="172"/>
      <c r="DD25" s="173"/>
      <c r="DE25" s="172"/>
      <c r="DF25" s="173"/>
      <c r="DG25" s="172"/>
      <c r="DH25" s="173"/>
      <c r="DI25" s="172"/>
      <c r="DJ25" s="173"/>
      <c r="DK25" s="172"/>
      <c r="DL25" s="173"/>
      <c r="DM25" s="172"/>
      <c r="DN25" s="173"/>
      <c r="DO25" s="172"/>
      <c r="DP25" s="173"/>
      <c r="DQ25" s="172"/>
      <c r="DR25" s="173"/>
      <c r="DS25" s="172"/>
      <c r="DT25" s="173"/>
      <c r="DU25" s="172"/>
      <c r="DV25" s="173"/>
    </row>
    <row r="26" spans="1:126" ht="13" x14ac:dyDescent="0.3">
      <c r="A26" s="178" t="s">
        <v>107</v>
      </c>
      <c r="B26" s="178" t="s">
        <v>873</v>
      </c>
      <c r="C26" s="179">
        <f t="shared" ref="C26:H26" si="11">SUM(C24:C25)</f>
        <v>15639</v>
      </c>
      <c r="D26" s="180">
        <f t="shared" si="11"/>
        <v>16461</v>
      </c>
      <c r="E26" s="179">
        <f t="shared" si="11"/>
        <v>15639</v>
      </c>
      <c r="F26" s="180">
        <f t="shared" si="11"/>
        <v>16461</v>
      </c>
      <c r="G26" s="179">
        <f t="shared" si="11"/>
        <v>0</v>
      </c>
      <c r="H26" s="180">
        <f t="shared" si="11"/>
        <v>0</v>
      </c>
      <c r="I26" s="179"/>
      <c r="J26" s="180"/>
      <c r="K26" s="179">
        <f t="shared" ref="K26:AO26" si="12">SUM(K24:K25)</f>
        <v>200</v>
      </c>
      <c r="L26" s="180">
        <f t="shared" si="12"/>
        <v>120</v>
      </c>
      <c r="M26" s="179">
        <f t="shared" si="12"/>
        <v>0</v>
      </c>
      <c r="N26" s="180">
        <f t="shared" si="12"/>
        <v>0</v>
      </c>
      <c r="O26" s="179">
        <f t="shared" si="12"/>
        <v>0</v>
      </c>
      <c r="P26" s="180">
        <f t="shared" si="12"/>
        <v>0</v>
      </c>
      <c r="Q26" s="179">
        <f t="shared" si="12"/>
        <v>284</v>
      </c>
      <c r="R26" s="180">
        <f t="shared" si="12"/>
        <v>610</v>
      </c>
      <c r="S26" s="179">
        <f t="shared" si="12"/>
        <v>0</v>
      </c>
      <c r="T26" s="180">
        <f>SUM(T24:T25)</f>
        <v>0</v>
      </c>
      <c r="U26" s="179">
        <f t="shared" si="12"/>
        <v>0</v>
      </c>
      <c r="V26" s="180">
        <f>SUM(V24:V25)</f>
        <v>0</v>
      </c>
      <c r="W26" s="179">
        <f t="shared" si="12"/>
        <v>0</v>
      </c>
      <c r="X26" s="180">
        <f t="shared" si="12"/>
        <v>0</v>
      </c>
      <c r="Y26" s="179">
        <f t="shared" si="12"/>
        <v>0</v>
      </c>
      <c r="Z26" s="180">
        <f>SUM(Z24:Z25)</f>
        <v>0</v>
      </c>
      <c r="AA26" s="179">
        <f t="shared" si="12"/>
        <v>0</v>
      </c>
      <c r="AB26" s="180">
        <f>SUM(AB24:AB25)</f>
        <v>0</v>
      </c>
      <c r="AC26" s="179">
        <f t="shared" si="12"/>
        <v>0</v>
      </c>
      <c r="AD26" s="180">
        <f>SUM(AD24:AD25)</f>
        <v>0</v>
      </c>
      <c r="AE26" s="179">
        <f t="shared" si="12"/>
        <v>15155</v>
      </c>
      <c r="AF26" s="180">
        <f>SUM(AF24:AF25)</f>
        <v>15731</v>
      </c>
      <c r="AG26" s="179"/>
      <c r="AH26" s="180"/>
      <c r="AI26" s="179">
        <f>SUM(AI24:AI25)</f>
        <v>0</v>
      </c>
      <c r="AJ26" s="180">
        <f>SUM(AJ24:AJ25)</f>
        <v>0</v>
      </c>
      <c r="AK26" s="179">
        <f t="shared" si="12"/>
        <v>0</v>
      </c>
      <c r="AL26" s="180">
        <f>SUM(AL24:AL25)</f>
        <v>0</v>
      </c>
      <c r="AM26" s="179">
        <f t="shared" si="12"/>
        <v>0</v>
      </c>
      <c r="AN26" s="180"/>
      <c r="AO26" s="179">
        <f t="shared" si="12"/>
        <v>0</v>
      </c>
      <c r="AP26" s="180">
        <f>SUM(AP24:AP25)</f>
        <v>0</v>
      </c>
      <c r="AQ26" s="179">
        <f t="shared" ref="AQ26:DO26" si="13">SUM(AQ24:AQ25)</f>
        <v>0</v>
      </c>
      <c r="AR26" s="180">
        <f>SUM(AR24:AR25)</f>
        <v>0</v>
      </c>
      <c r="AS26" s="179">
        <f t="shared" si="13"/>
        <v>0</v>
      </c>
      <c r="AT26" s="180">
        <f>SUM(AT24:AT25)</f>
        <v>0</v>
      </c>
      <c r="AU26" s="179">
        <f t="shared" si="13"/>
        <v>0</v>
      </c>
      <c r="AV26" s="180">
        <f>SUM(AV24:AV25)</f>
        <v>0</v>
      </c>
      <c r="AW26" s="179">
        <f t="shared" si="13"/>
        <v>0</v>
      </c>
      <c r="AX26" s="180">
        <f>SUM(AX24:AX25)</f>
        <v>0</v>
      </c>
      <c r="AY26" s="179">
        <f t="shared" si="13"/>
        <v>0</v>
      </c>
      <c r="AZ26" s="180">
        <f>SUM(AZ24:AZ25)</f>
        <v>0</v>
      </c>
      <c r="BA26" s="179">
        <f t="shared" si="13"/>
        <v>0</v>
      </c>
      <c r="BB26" s="180">
        <f>SUM(BB24:BB25)</f>
        <v>0</v>
      </c>
      <c r="BC26" s="179">
        <f t="shared" si="13"/>
        <v>0</v>
      </c>
      <c r="BD26" s="180">
        <f>SUM(BD24:BD25)</f>
        <v>0</v>
      </c>
      <c r="BE26" s="179">
        <f t="shared" si="13"/>
        <v>0</v>
      </c>
      <c r="BF26" s="180">
        <f>SUM(BF24:BF25)</f>
        <v>0</v>
      </c>
      <c r="BG26" s="179">
        <f t="shared" si="13"/>
        <v>0</v>
      </c>
      <c r="BH26" s="180">
        <f>SUM(BH24:BH25)</f>
        <v>0</v>
      </c>
      <c r="BI26" s="179">
        <f t="shared" si="13"/>
        <v>0</v>
      </c>
      <c r="BJ26" s="180">
        <f>SUM(BJ24:BJ25)</f>
        <v>0</v>
      </c>
      <c r="BK26" s="179">
        <f t="shared" si="13"/>
        <v>0</v>
      </c>
      <c r="BL26" s="180">
        <f>SUM(BL24:BL25)</f>
        <v>0</v>
      </c>
      <c r="BM26" s="179">
        <f t="shared" si="13"/>
        <v>0</v>
      </c>
      <c r="BN26" s="180">
        <f>SUM(BN24:BN25)</f>
        <v>0</v>
      </c>
      <c r="BO26" s="179">
        <f t="shared" si="13"/>
        <v>0</v>
      </c>
      <c r="BP26" s="180">
        <f>SUM(BP24:BP25)</f>
        <v>0</v>
      </c>
      <c r="BQ26" s="179">
        <f t="shared" si="13"/>
        <v>0</v>
      </c>
      <c r="BR26" s="180">
        <f>SUM(BR24:BR25)</f>
        <v>0</v>
      </c>
      <c r="BS26" s="179">
        <f t="shared" si="13"/>
        <v>0</v>
      </c>
      <c r="BT26" s="180">
        <f>SUM(BT24:BT25)</f>
        <v>0</v>
      </c>
      <c r="BU26" s="179">
        <f t="shared" si="13"/>
        <v>0</v>
      </c>
      <c r="BV26" s="180">
        <f>SUM(BV24:BV25)</f>
        <v>0</v>
      </c>
      <c r="BW26" s="179">
        <f t="shared" si="13"/>
        <v>0</v>
      </c>
      <c r="BX26" s="180">
        <f>SUM(BX24:BX25)</f>
        <v>0</v>
      </c>
      <c r="BY26" s="179">
        <f t="shared" si="13"/>
        <v>0</v>
      </c>
      <c r="BZ26" s="180">
        <f>SUM(BZ24:BZ25)</f>
        <v>0</v>
      </c>
      <c r="CA26" s="179">
        <f t="shared" si="13"/>
        <v>0</v>
      </c>
      <c r="CB26" s="180">
        <f>SUM(CB24:CB25)</f>
        <v>0</v>
      </c>
      <c r="CC26" s="179">
        <f t="shared" si="13"/>
        <v>0</v>
      </c>
      <c r="CD26" s="180">
        <f>SUM(CD24:CD25)</f>
        <v>0</v>
      </c>
      <c r="CE26" s="179">
        <f>SUM(CE24:CE25)</f>
        <v>0</v>
      </c>
      <c r="CF26" s="180">
        <f>SUM(CF24:CF25)</f>
        <v>0</v>
      </c>
      <c r="CG26" s="179">
        <f t="shared" si="13"/>
        <v>0</v>
      </c>
      <c r="CH26" s="180">
        <f>SUM(CH24:CH25)</f>
        <v>0</v>
      </c>
      <c r="CI26" s="179">
        <f t="shared" si="13"/>
        <v>0</v>
      </c>
      <c r="CJ26" s="180">
        <f>SUM(CJ24:CJ25)</f>
        <v>0</v>
      </c>
      <c r="CK26" s="179">
        <f t="shared" si="13"/>
        <v>0</v>
      </c>
      <c r="CL26" s="180">
        <f>SUM(CL24:CL25)</f>
        <v>0</v>
      </c>
      <c r="CM26" s="179">
        <f t="shared" si="13"/>
        <v>0</v>
      </c>
      <c r="CN26" s="180">
        <f>SUM(CN24:CN25)</f>
        <v>0</v>
      </c>
      <c r="CO26" s="179">
        <f t="shared" si="13"/>
        <v>0</v>
      </c>
      <c r="CP26" s="180">
        <f>SUM(CP24:CP25)</f>
        <v>0</v>
      </c>
      <c r="CQ26" s="179">
        <f t="shared" si="13"/>
        <v>0</v>
      </c>
      <c r="CR26" s="180">
        <f>SUM(CR24:CR25)</f>
        <v>0</v>
      </c>
      <c r="CS26" s="179">
        <f t="shared" si="13"/>
        <v>0</v>
      </c>
      <c r="CT26" s="180">
        <f>SUM(CT24:CT25)</f>
        <v>0</v>
      </c>
      <c r="CU26" s="179">
        <f t="shared" si="13"/>
        <v>0</v>
      </c>
      <c r="CV26" s="180">
        <f>SUM(CV24:CV25)</f>
        <v>0</v>
      </c>
      <c r="CW26" s="179">
        <f t="shared" si="13"/>
        <v>0</v>
      </c>
      <c r="CX26" s="180">
        <f>SUM(CX24:CX25)</f>
        <v>0</v>
      </c>
      <c r="CY26" s="179">
        <f t="shared" si="13"/>
        <v>0</v>
      </c>
      <c r="CZ26" s="180"/>
      <c r="DA26" s="179">
        <f t="shared" si="13"/>
        <v>0</v>
      </c>
      <c r="DB26" s="180"/>
      <c r="DC26" s="179">
        <f t="shared" si="13"/>
        <v>0</v>
      </c>
      <c r="DD26" s="180">
        <f>SUM(DD24:DD25)</f>
        <v>0</v>
      </c>
      <c r="DE26" s="179">
        <f t="shared" si="13"/>
        <v>0</v>
      </c>
      <c r="DF26" s="180">
        <f>SUM(DF24:DF25)</f>
        <v>0</v>
      </c>
      <c r="DG26" s="179">
        <f t="shared" si="13"/>
        <v>0</v>
      </c>
      <c r="DH26" s="180">
        <f>SUM(DH24:DH25)</f>
        <v>0</v>
      </c>
      <c r="DI26" s="179">
        <f t="shared" si="13"/>
        <v>0</v>
      </c>
      <c r="DJ26" s="180">
        <f>SUM(DJ24:DJ25)</f>
        <v>0</v>
      </c>
      <c r="DK26" s="179">
        <f t="shared" si="13"/>
        <v>0</v>
      </c>
      <c r="DL26" s="180">
        <f>SUM(DL24:DL25)</f>
        <v>0</v>
      </c>
      <c r="DM26" s="179">
        <f t="shared" si="13"/>
        <v>0</v>
      </c>
      <c r="DN26" s="180">
        <f>SUM(DN24:DN25)</f>
        <v>0</v>
      </c>
      <c r="DO26" s="179">
        <f t="shared" si="13"/>
        <v>0</v>
      </c>
      <c r="DP26" s="180">
        <f>SUM(DP24:DP25)</f>
        <v>0</v>
      </c>
      <c r="DQ26" s="179"/>
      <c r="DR26" s="180"/>
      <c r="DS26" s="179"/>
      <c r="DT26" s="180"/>
      <c r="DU26" s="179"/>
      <c r="DV26" s="180"/>
    </row>
    <row r="27" spans="1:126" x14ac:dyDescent="0.25">
      <c r="A27" s="171" t="s">
        <v>110</v>
      </c>
      <c r="B27" s="171" t="s">
        <v>874</v>
      </c>
      <c r="C27" s="172">
        <f t="shared" ref="C27:C33" si="14">E27+G27+I27</f>
        <v>10500</v>
      </c>
      <c r="D27" s="173">
        <f t="shared" si="6"/>
        <v>11300</v>
      </c>
      <c r="E27" s="172">
        <f t="shared" ref="E27:E33" si="15">K27+M27+O26:O27+Q27+S27+U27+W27+Y27+AA27+AC27+AE27+AI27</f>
        <v>10500</v>
      </c>
      <c r="F27" s="173">
        <f t="shared" si="7"/>
        <v>11300</v>
      </c>
      <c r="G27" s="172">
        <f t="shared" si="3"/>
        <v>0</v>
      </c>
      <c r="H27" s="173">
        <f t="shared" si="3"/>
        <v>0</v>
      </c>
      <c r="I27" s="172"/>
      <c r="J27" s="173"/>
      <c r="K27" s="172"/>
      <c r="L27" s="173"/>
      <c r="M27" s="172"/>
      <c r="N27" s="173"/>
      <c r="O27" s="172">
        <v>200</v>
      </c>
      <c r="P27" s="173">
        <v>200</v>
      </c>
      <c r="Q27" s="172"/>
      <c r="R27" s="173"/>
      <c r="S27" s="172"/>
      <c r="T27" s="173"/>
      <c r="U27" s="172"/>
      <c r="V27" s="173"/>
      <c r="W27" s="172">
        <v>1900</v>
      </c>
      <c r="X27" s="173">
        <v>1900</v>
      </c>
      <c r="Y27" s="172"/>
      <c r="Z27" s="173"/>
      <c r="AA27" s="172"/>
      <c r="AB27" s="173"/>
      <c r="AC27" s="172"/>
      <c r="AD27" s="173"/>
      <c r="AE27" s="172">
        <v>8400</v>
      </c>
      <c r="AF27" s="173">
        <v>9200</v>
      </c>
      <c r="AG27" s="172"/>
      <c r="AH27" s="173"/>
      <c r="AI27" s="172"/>
      <c r="AJ27" s="173"/>
      <c r="AK27" s="172"/>
      <c r="AL27" s="173"/>
      <c r="AM27" s="172"/>
      <c r="AN27" s="173"/>
      <c r="AO27" s="172"/>
      <c r="AP27" s="173"/>
      <c r="AQ27" s="172"/>
      <c r="AR27" s="173"/>
      <c r="AS27" s="172"/>
      <c r="AT27" s="173"/>
      <c r="AU27" s="172"/>
      <c r="AV27" s="173"/>
      <c r="AW27" s="172"/>
      <c r="AX27" s="173"/>
      <c r="AY27" s="172"/>
      <c r="AZ27" s="173"/>
      <c r="BA27" s="172"/>
      <c r="BB27" s="173"/>
      <c r="BC27" s="172"/>
      <c r="BD27" s="173"/>
      <c r="BE27" s="172"/>
      <c r="BF27" s="173"/>
      <c r="BG27" s="172"/>
      <c r="BH27" s="173"/>
      <c r="BI27" s="172"/>
      <c r="BJ27" s="173"/>
      <c r="BK27" s="172"/>
      <c r="BL27" s="173"/>
      <c r="BM27" s="172"/>
      <c r="BN27" s="173"/>
      <c r="BO27" s="172"/>
      <c r="BP27" s="173"/>
      <c r="BQ27" s="172"/>
      <c r="BR27" s="173"/>
      <c r="BS27" s="172"/>
      <c r="BT27" s="173"/>
      <c r="BU27" s="172"/>
      <c r="BV27" s="173"/>
      <c r="BW27" s="172"/>
      <c r="BX27" s="173"/>
      <c r="BY27" s="172"/>
      <c r="BZ27" s="173"/>
      <c r="CA27" s="172"/>
      <c r="CB27" s="173"/>
      <c r="CC27" s="172"/>
      <c r="CD27" s="173"/>
      <c r="CE27" s="172"/>
      <c r="CF27" s="173"/>
      <c r="CG27" s="172"/>
      <c r="CH27" s="173"/>
      <c r="CI27" s="172"/>
      <c r="CJ27" s="173"/>
      <c r="CK27" s="172"/>
      <c r="CL27" s="173"/>
      <c r="CM27" s="172"/>
      <c r="CN27" s="173"/>
      <c r="CO27" s="172"/>
      <c r="CP27" s="173"/>
      <c r="CQ27" s="172"/>
      <c r="CR27" s="173"/>
      <c r="CS27" s="172"/>
      <c r="CT27" s="173"/>
      <c r="CU27" s="172"/>
      <c r="CV27" s="173"/>
      <c r="CW27" s="172"/>
      <c r="CX27" s="173"/>
      <c r="CY27" s="172"/>
      <c r="CZ27" s="173"/>
      <c r="DA27" s="172"/>
      <c r="DB27" s="173"/>
      <c r="DC27" s="172"/>
      <c r="DD27" s="173"/>
      <c r="DE27" s="172"/>
      <c r="DF27" s="173"/>
      <c r="DG27" s="172"/>
      <c r="DH27" s="173"/>
      <c r="DI27" s="172"/>
      <c r="DJ27" s="173"/>
      <c r="DK27" s="172"/>
      <c r="DL27" s="173"/>
      <c r="DM27" s="172"/>
      <c r="DN27" s="173"/>
      <c r="DO27" s="172"/>
      <c r="DP27" s="173"/>
      <c r="DQ27" s="172"/>
      <c r="DR27" s="173"/>
      <c r="DS27" s="172"/>
      <c r="DT27" s="173"/>
      <c r="DU27" s="172"/>
      <c r="DV27" s="173"/>
    </row>
    <row r="28" spans="1:126" x14ac:dyDescent="0.25">
      <c r="A28" s="171" t="s">
        <v>116</v>
      </c>
      <c r="B28" s="171" t="s">
        <v>118</v>
      </c>
      <c r="C28" s="172">
        <f t="shared" si="14"/>
        <v>0</v>
      </c>
      <c r="D28" s="173">
        <f t="shared" si="6"/>
        <v>0</v>
      </c>
      <c r="E28" s="172">
        <f t="shared" si="15"/>
        <v>0</v>
      </c>
      <c r="F28" s="173">
        <f t="shared" si="7"/>
        <v>0</v>
      </c>
      <c r="G28" s="172">
        <f t="shared" si="3"/>
        <v>0</v>
      </c>
      <c r="H28" s="173">
        <f t="shared" si="3"/>
        <v>0</v>
      </c>
      <c r="I28" s="172"/>
      <c r="J28" s="173"/>
      <c r="K28" s="172"/>
      <c r="L28" s="173"/>
      <c r="M28" s="172"/>
      <c r="N28" s="173"/>
      <c r="O28" s="172"/>
      <c r="P28" s="173"/>
      <c r="Q28" s="172"/>
      <c r="R28" s="173"/>
      <c r="S28" s="172"/>
      <c r="T28" s="173"/>
      <c r="U28" s="172"/>
      <c r="V28" s="173"/>
      <c r="W28" s="172"/>
      <c r="X28" s="173"/>
      <c r="Y28" s="172"/>
      <c r="Z28" s="173"/>
      <c r="AA28" s="172"/>
      <c r="AB28" s="173"/>
      <c r="AC28" s="172"/>
      <c r="AD28" s="173"/>
      <c r="AE28" s="172"/>
      <c r="AF28" s="173"/>
      <c r="AG28" s="172"/>
      <c r="AH28" s="173"/>
      <c r="AI28" s="172"/>
      <c r="AJ28" s="173"/>
      <c r="AK28" s="172"/>
      <c r="AL28" s="173"/>
      <c r="AM28" s="172"/>
      <c r="AN28" s="173"/>
      <c r="AO28" s="172"/>
      <c r="AP28" s="173"/>
      <c r="AQ28" s="172"/>
      <c r="AR28" s="173"/>
      <c r="AS28" s="172"/>
      <c r="AT28" s="173"/>
      <c r="AU28" s="172"/>
      <c r="AV28" s="173"/>
      <c r="AW28" s="172"/>
      <c r="AX28" s="173"/>
      <c r="AY28" s="172"/>
      <c r="AZ28" s="173"/>
      <c r="BA28" s="172"/>
      <c r="BB28" s="173"/>
      <c r="BC28" s="172"/>
      <c r="BD28" s="173"/>
      <c r="BE28" s="172"/>
      <c r="BF28" s="173"/>
      <c r="BG28" s="172"/>
      <c r="BH28" s="173"/>
      <c r="BI28" s="172"/>
      <c r="BJ28" s="173"/>
      <c r="BK28" s="172"/>
      <c r="BL28" s="173"/>
      <c r="BM28" s="172"/>
      <c r="BN28" s="173"/>
      <c r="BO28" s="172"/>
      <c r="BP28" s="173"/>
      <c r="BQ28" s="172"/>
      <c r="BR28" s="173"/>
      <c r="BS28" s="172"/>
      <c r="BT28" s="173"/>
      <c r="BU28" s="172"/>
      <c r="BV28" s="173"/>
      <c r="BW28" s="172"/>
      <c r="BX28" s="173"/>
      <c r="BY28" s="172"/>
      <c r="BZ28" s="173"/>
      <c r="CA28" s="172"/>
      <c r="CB28" s="173"/>
      <c r="CC28" s="172"/>
      <c r="CD28" s="173"/>
      <c r="CE28" s="172"/>
      <c r="CF28" s="173"/>
      <c r="CG28" s="172"/>
      <c r="CH28" s="173"/>
      <c r="CI28" s="172"/>
      <c r="CJ28" s="173"/>
      <c r="CK28" s="172"/>
      <c r="CL28" s="173"/>
      <c r="CM28" s="172"/>
      <c r="CN28" s="173"/>
      <c r="CO28" s="172"/>
      <c r="CP28" s="173"/>
      <c r="CQ28" s="172"/>
      <c r="CR28" s="173"/>
      <c r="CS28" s="172"/>
      <c r="CT28" s="173"/>
      <c r="CU28" s="172"/>
      <c r="CV28" s="173"/>
      <c r="CW28" s="172"/>
      <c r="CX28" s="173"/>
      <c r="CY28" s="172"/>
      <c r="CZ28" s="173"/>
      <c r="DA28" s="172"/>
      <c r="DB28" s="173"/>
      <c r="DC28" s="172"/>
      <c r="DD28" s="173"/>
      <c r="DE28" s="172"/>
      <c r="DF28" s="173"/>
      <c r="DG28" s="172"/>
      <c r="DH28" s="173"/>
      <c r="DI28" s="172"/>
      <c r="DJ28" s="173"/>
      <c r="DK28" s="172"/>
      <c r="DL28" s="173"/>
      <c r="DM28" s="172"/>
      <c r="DN28" s="173"/>
      <c r="DO28" s="172"/>
      <c r="DP28" s="173"/>
      <c r="DQ28" s="172"/>
      <c r="DR28" s="173"/>
      <c r="DS28" s="172"/>
      <c r="DT28" s="173"/>
      <c r="DU28" s="172"/>
      <c r="DV28" s="173"/>
    </row>
    <row r="29" spans="1:126" x14ac:dyDescent="0.25">
      <c r="A29" s="171" t="s">
        <v>119</v>
      </c>
      <c r="B29" s="171" t="s">
        <v>875</v>
      </c>
      <c r="C29" s="172">
        <f t="shared" si="14"/>
        <v>33387</v>
      </c>
      <c r="D29" s="173">
        <f t="shared" si="6"/>
        <v>18388</v>
      </c>
      <c r="E29" s="172">
        <f t="shared" si="15"/>
        <v>33387</v>
      </c>
      <c r="F29" s="173">
        <f t="shared" si="7"/>
        <v>18288</v>
      </c>
      <c r="G29" s="172">
        <f t="shared" si="3"/>
        <v>0</v>
      </c>
      <c r="H29" s="173">
        <f t="shared" si="3"/>
        <v>100</v>
      </c>
      <c r="I29" s="172"/>
      <c r="J29" s="173"/>
      <c r="K29" s="172"/>
      <c r="L29" s="173"/>
      <c r="M29" s="172"/>
      <c r="N29" s="173"/>
      <c r="O29" s="172">
        <v>2400</v>
      </c>
      <c r="P29" s="173">
        <f>1080+876</f>
        <v>1956</v>
      </c>
      <c r="Q29" s="172"/>
      <c r="R29" s="173"/>
      <c r="S29" s="172"/>
      <c r="T29" s="173"/>
      <c r="U29" s="172"/>
      <c r="V29" s="173"/>
      <c r="W29" s="172"/>
      <c r="X29" s="173"/>
      <c r="Y29" s="172"/>
      <c r="Z29" s="173"/>
      <c r="AA29" s="172"/>
      <c r="AB29" s="173"/>
      <c r="AC29" s="172"/>
      <c r="AD29" s="173"/>
      <c r="AE29" s="172">
        <v>30987</v>
      </c>
      <c r="AF29" s="173">
        <v>16332</v>
      </c>
      <c r="AG29" s="172"/>
      <c r="AH29" s="173"/>
      <c r="AI29" s="172"/>
      <c r="AJ29" s="173"/>
      <c r="AK29" s="172"/>
      <c r="AL29" s="173"/>
      <c r="AM29" s="172"/>
      <c r="AN29" s="173"/>
      <c r="AO29" s="172"/>
      <c r="AP29" s="173"/>
      <c r="AQ29" s="172"/>
      <c r="AR29" s="173"/>
      <c r="AS29" s="172"/>
      <c r="AT29" s="173"/>
      <c r="AU29" s="172"/>
      <c r="AV29" s="173"/>
      <c r="AW29" s="172"/>
      <c r="AX29" s="173"/>
      <c r="AY29" s="172"/>
      <c r="AZ29" s="173"/>
      <c r="BA29" s="172"/>
      <c r="BB29" s="173"/>
      <c r="BC29" s="172"/>
      <c r="BD29" s="173"/>
      <c r="BE29" s="172"/>
      <c r="BF29" s="173"/>
      <c r="BG29" s="172"/>
      <c r="BH29" s="173"/>
      <c r="BI29" s="172"/>
      <c r="BJ29" s="173"/>
      <c r="BK29" s="172"/>
      <c r="BL29" s="173"/>
      <c r="BM29" s="172"/>
      <c r="BN29" s="173"/>
      <c r="BO29" s="172"/>
      <c r="BP29" s="173"/>
      <c r="BQ29" s="172"/>
      <c r="BR29" s="173"/>
      <c r="BS29" s="172"/>
      <c r="BT29" s="173"/>
      <c r="BU29" s="172"/>
      <c r="BV29" s="173"/>
      <c r="BW29" s="172"/>
      <c r="BX29" s="173"/>
      <c r="BY29" s="172"/>
      <c r="BZ29" s="173"/>
      <c r="CA29" s="172"/>
      <c r="CB29" s="173"/>
      <c r="CC29" s="172"/>
      <c r="CD29" s="173"/>
      <c r="CE29" s="172"/>
      <c r="CF29" s="173"/>
      <c r="CG29" s="172"/>
      <c r="CH29" s="173"/>
      <c r="CI29" s="172"/>
      <c r="CJ29" s="173"/>
      <c r="CK29" s="172"/>
      <c r="CL29" s="173"/>
      <c r="CM29" s="172"/>
      <c r="CN29" s="173"/>
      <c r="CO29" s="172"/>
      <c r="CP29" s="173"/>
      <c r="CQ29" s="172"/>
      <c r="CR29" s="173"/>
      <c r="CS29" s="172"/>
      <c r="CT29" s="173"/>
      <c r="CU29" s="172"/>
      <c r="CV29" s="173"/>
      <c r="CW29" s="172"/>
      <c r="CX29" s="173"/>
      <c r="CY29" s="172"/>
      <c r="CZ29" s="173"/>
      <c r="DA29" s="172"/>
      <c r="DB29" s="173"/>
      <c r="DC29" s="172"/>
      <c r="DD29" s="173"/>
      <c r="DE29" s="172"/>
      <c r="DF29" s="173"/>
      <c r="DG29" s="172"/>
      <c r="DH29" s="173">
        <v>100</v>
      </c>
      <c r="DI29" s="172"/>
      <c r="DJ29" s="173"/>
      <c r="DK29" s="172"/>
      <c r="DL29" s="173"/>
      <c r="DM29" s="172"/>
      <c r="DN29" s="173"/>
      <c r="DO29" s="172"/>
      <c r="DP29" s="173"/>
      <c r="DQ29" s="172"/>
      <c r="DR29" s="173"/>
      <c r="DS29" s="172"/>
      <c r="DT29" s="173"/>
      <c r="DU29" s="172"/>
      <c r="DV29" s="173"/>
    </row>
    <row r="30" spans="1:126" x14ac:dyDescent="0.25">
      <c r="A30" s="171" t="s">
        <v>124</v>
      </c>
      <c r="B30" s="171" t="s">
        <v>126</v>
      </c>
      <c r="C30" s="172">
        <f t="shared" si="14"/>
        <v>2236</v>
      </c>
      <c r="D30" s="173">
        <f t="shared" si="6"/>
        <v>1286</v>
      </c>
      <c r="E30" s="172">
        <f t="shared" si="15"/>
        <v>600</v>
      </c>
      <c r="F30" s="173">
        <f t="shared" si="7"/>
        <v>1286</v>
      </c>
      <c r="G30" s="172">
        <f t="shared" si="3"/>
        <v>1636</v>
      </c>
      <c r="H30" s="173">
        <f t="shared" si="3"/>
        <v>0</v>
      </c>
      <c r="I30" s="172"/>
      <c r="J30" s="173"/>
      <c r="K30" s="172"/>
      <c r="L30" s="173"/>
      <c r="M30" s="172"/>
      <c r="N30" s="173"/>
      <c r="O30" s="172"/>
      <c r="P30" s="173"/>
      <c r="Q30" s="172"/>
      <c r="R30" s="173">
        <v>30</v>
      </c>
      <c r="S30" s="172"/>
      <c r="T30" s="173"/>
      <c r="U30" s="172"/>
      <c r="V30" s="173"/>
      <c r="W30" s="172"/>
      <c r="X30" s="173"/>
      <c r="Y30" s="172"/>
      <c r="Z30" s="173"/>
      <c r="AA30" s="172"/>
      <c r="AB30" s="173"/>
      <c r="AC30" s="172"/>
      <c r="AD30" s="173"/>
      <c r="AE30" s="172">
        <v>600</v>
      </c>
      <c r="AF30" s="173">
        <v>1256</v>
      </c>
      <c r="AG30" s="172"/>
      <c r="AH30" s="173"/>
      <c r="AI30" s="172"/>
      <c r="AJ30" s="173"/>
      <c r="AK30" s="172"/>
      <c r="AL30" s="173"/>
      <c r="AM30" s="172"/>
      <c r="AN30" s="173"/>
      <c r="AO30" s="172"/>
      <c r="AP30" s="173"/>
      <c r="AQ30" s="172"/>
      <c r="AR30" s="173"/>
      <c r="AS30" s="172"/>
      <c r="AT30" s="173"/>
      <c r="AU30" s="172"/>
      <c r="AV30" s="173"/>
      <c r="AW30" s="172"/>
      <c r="AX30" s="173"/>
      <c r="AY30" s="172"/>
      <c r="AZ30" s="173"/>
      <c r="BA30" s="172"/>
      <c r="BB30" s="173"/>
      <c r="BC30" s="172"/>
      <c r="BD30" s="173"/>
      <c r="BE30" s="172"/>
      <c r="BF30" s="173"/>
      <c r="BG30" s="172"/>
      <c r="BH30" s="173"/>
      <c r="BI30" s="172"/>
      <c r="BJ30" s="173"/>
      <c r="BK30" s="172">
        <f>4*298+37*12</f>
        <v>1636</v>
      </c>
      <c r="BL30" s="173">
        <v>0</v>
      </c>
      <c r="BM30" s="172"/>
      <c r="BN30" s="173"/>
      <c r="BO30" s="172"/>
      <c r="BP30" s="173"/>
      <c r="BQ30" s="172"/>
      <c r="BR30" s="173"/>
      <c r="BS30" s="172"/>
      <c r="BT30" s="173"/>
      <c r="BU30" s="172"/>
      <c r="BV30" s="173"/>
      <c r="BW30" s="172"/>
      <c r="BX30" s="173"/>
      <c r="BY30" s="172"/>
      <c r="BZ30" s="173"/>
      <c r="CA30" s="172"/>
      <c r="CB30" s="173"/>
      <c r="CC30" s="172"/>
      <c r="CD30" s="173"/>
      <c r="CE30" s="172"/>
      <c r="CF30" s="173"/>
      <c r="CG30" s="172"/>
      <c r="CH30" s="173"/>
      <c r="CI30" s="172"/>
      <c r="CJ30" s="173"/>
      <c r="CK30" s="172"/>
      <c r="CL30" s="173"/>
      <c r="CM30" s="172"/>
      <c r="CN30" s="173"/>
      <c r="CO30" s="172"/>
      <c r="CP30" s="173"/>
      <c r="CQ30" s="172"/>
      <c r="CR30" s="173"/>
      <c r="CS30" s="172"/>
      <c r="CT30" s="173"/>
      <c r="CU30" s="172"/>
      <c r="CV30" s="173"/>
      <c r="CW30" s="172"/>
      <c r="CX30" s="173"/>
      <c r="CY30" s="172"/>
      <c r="CZ30" s="173"/>
      <c r="DA30" s="172"/>
      <c r="DB30" s="173"/>
      <c r="DC30" s="172"/>
      <c r="DD30" s="173"/>
      <c r="DE30" s="172"/>
      <c r="DF30" s="173"/>
      <c r="DG30" s="172"/>
      <c r="DH30" s="173"/>
      <c r="DI30" s="172"/>
      <c r="DJ30" s="173"/>
      <c r="DK30" s="172"/>
      <c r="DL30" s="173"/>
      <c r="DM30" s="172"/>
      <c r="DN30" s="173"/>
      <c r="DO30" s="172"/>
      <c r="DP30" s="173"/>
      <c r="DQ30" s="172"/>
      <c r="DR30" s="173"/>
      <c r="DS30" s="172"/>
      <c r="DT30" s="173"/>
      <c r="DU30" s="172"/>
      <c r="DV30" s="173"/>
    </row>
    <row r="31" spans="1:126" x14ac:dyDescent="0.25">
      <c r="A31" s="171" t="s">
        <v>127</v>
      </c>
      <c r="B31" s="171" t="s">
        <v>876</v>
      </c>
      <c r="C31" s="172">
        <f t="shared" si="14"/>
        <v>1500</v>
      </c>
      <c r="D31" s="173">
        <f t="shared" si="6"/>
        <v>1825</v>
      </c>
      <c r="E31" s="172">
        <f t="shared" si="15"/>
        <v>1500</v>
      </c>
      <c r="F31" s="173">
        <f t="shared" si="7"/>
        <v>1825</v>
      </c>
      <c r="G31" s="172">
        <f t="shared" si="3"/>
        <v>0</v>
      </c>
      <c r="H31" s="173">
        <f t="shared" si="3"/>
        <v>0</v>
      </c>
      <c r="I31" s="172"/>
      <c r="J31" s="173"/>
      <c r="K31" s="172"/>
      <c r="L31" s="173"/>
      <c r="M31" s="172"/>
      <c r="N31" s="173"/>
      <c r="O31" s="172"/>
      <c r="P31" s="173"/>
      <c r="Q31" s="172"/>
      <c r="R31" s="173">
        <v>25</v>
      </c>
      <c r="S31" s="172"/>
      <c r="T31" s="173"/>
      <c r="U31" s="172"/>
      <c r="V31" s="173"/>
      <c r="W31" s="172"/>
      <c r="X31" s="173"/>
      <c r="Y31" s="172"/>
      <c r="Z31" s="173"/>
      <c r="AA31" s="172"/>
      <c r="AB31" s="173"/>
      <c r="AC31" s="172"/>
      <c r="AD31" s="173"/>
      <c r="AE31" s="172">
        <v>1500</v>
      </c>
      <c r="AF31" s="173">
        <v>1800</v>
      </c>
      <c r="AG31" s="172"/>
      <c r="AH31" s="173"/>
      <c r="AI31" s="172"/>
      <c r="AJ31" s="173"/>
      <c r="AK31" s="172"/>
      <c r="AL31" s="173"/>
      <c r="AM31" s="172"/>
      <c r="AN31" s="173"/>
      <c r="AO31" s="172"/>
      <c r="AP31" s="173"/>
      <c r="AQ31" s="172"/>
      <c r="AR31" s="173"/>
      <c r="AS31" s="172"/>
      <c r="AT31" s="173"/>
      <c r="AU31" s="172"/>
      <c r="AV31" s="173"/>
      <c r="AW31" s="172"/>
      <c r="AX31" s="173"/>
      <c r="AY31" s="172"/>
      <c r="AZ31" s="173"/>
      <c r="BA31" s="172"/>
      <c r="BB31" s="173"/>
      <c r="BC31" s="172"/>
      <c r="BD31" s="173"/>
      <c r="BE31" s="172"/>
      <c r="BF31" s="173"/>
      <c r="BG31" s="172"/>
      <c r="BH31" s="173"/>
      <c r="BI31" s="172"/>
      <c r="BJ31" s="173"/>
      <c r="BK31" s="172"/>
      <c r="BL31" s="173"/>
      <c r="BM31" s="172"/>
      <c r="BN31" s="173"/>
      <c r="BO31" s="172"/>
      <c r="BP31" s="173"/>
      <c r="BQ31" s="172"/>
      <c r="BR31" s="173"/>
      <c r="BS31" s="172"/>
      <c r="BT31" s="173"/>
      <c r="BU31" s="172"/>
      <c r="BV31" s="173"/>
      <c r="BW31" s="172"/>
      <c r="BX31" s="173"/>
      <c r="BY31" s="172"/>
      <c r="BZ31" s="173"/>
      <c r="CA31" s="172"/>
      <c r="CB31" s="173"/>
      <c r="CC31" s="172"/>
      <c r="CD31" s="173"/>
      <c r="CE31" s="172"/>
      <c r="CF31" s="173"/>
      <c r="CG31" s="172"/>
      <c r="CH31" s="173"/>
      <c r="CI31" s="172"/>
      <c r="CJ31" s="173"/>
      <c r="CK31" s="172"/>
      <c r="CL31" s="173"/>
      <c r="CM31" s="172"/>
      <c r="CN31" s="173"/>
      <c r="CO31" s="172"/>
      <c r="CP31" s="173"/>
      <c r="CQ31" s="172"/>
      <c r="CR31" s="173"/>
      <c r="CS31" s="172"/>
      <c r="CT31" s="173"/>
      <c r="CU31" s="172"/>
      <c r="CV31" s="173"/>
      <c r="CW31" s="172"/>
      <c r="CX31" s="173"/>
      <c r="CY31" s="172"/>
      <c r="CZ31" s="173"/>
      <c r="DA31" s="172"/>
      <c r="DB31" s="173"/>
      <c r="DC31" s="172"/>
      <c r="DD31" s="173"/>
      <c r="DE31" s="172"/>
      <c r="DF31" s="173"/>
      <c r="DG31" s="172"/>
      <c r="DH31" s="173"/>
      <c r="DI31" s="172"/>
      <c r="DJ31" s="173"/>
      <c r="DK31" s="172"/>
      <c r="DL31" s="173"/>
      <c r="DM31" s="172"/>
      <c r="DN31" s="173"/>
      <c r="DO31" s="172"/>
      <c r="DP31" s="173"/>
      <c r="DQ31" s="172"/>
      <c r="DR31" s="173"/>
      <c r="DS31" s="172"/>
      <c r="DT31" s="173"/>
      <c r="DU31" s="172"/>
      <c r="DV31" s="173"/>
    </row>
    <row r="32" spans="1:126" x14ac:dyDescent="0.25">
      <c r="A32" s="171" t="s">
        <v>132</v>
      </c>
      <c r="B32" s="171" t="s">
        <v>134</v>
      </c>
      <c r="C32" s="172">
        <f t="shared" si="14"/>
        <v>60967</v>
      </c>
      <c r="D32" s="173">
        <f t="shared" si="6"/>
        <v>75194</v>
      </c>
      <c r="E32" s="172">
        <f t="shared" si="15"/>
        <v>48012</v>
      </c>
      <c r="F32" s="173">
        <f t="shared" si="7"/>
        <v>56922</v>
      </c>
      <c r="G32" s="172">
        <f t="shared" si="3"/>
        <v>12955</v>
      </c>
      <c r="H32" s="173">
        <f t="shared" si="3"/>
        <v>18272</v>
      </c>
      <c r="I32" s="172"/>
      <c r="J32" s="173"/>
      <c r="K32" s="172">
        <f>6600+1350+200</f>
        <v>8150</v>
      </c>
      <c r="L32" s="173">
        <f>6600+500</f>
        <v>7100</v>
      </c>
      <c r="M32" s="172"/>
      <c r="N32" s="173"/>
      <c r="O32" s="172">
        <v>16640</v>
      </c>
      <c r="P32" s="173">
        <f>14300+1480</f>
        <v>15780</v>
      </c>
      <c r="Q32" s="172">
        <v>50</v>
      </c>
      <c r="R32" s="173">
        <v>50</v>
      </c>
      <c r="S32" s="172"/>
      <c r="T32" s="173"/>
      <c r="U32" s="172"/>
      <c r="V32" s="173"/>
      <c r="W32" s="172"/>
      <c r="X32" s="173"/>
      <c r="Y32" s="172"/>
      <c r="Z32" s="173"/>
      <c r="AA32" s="172"/>
      <c r="AB32" s="173"/>
      <c r="AC32" s="172"/>
      <c r="AD32" s="173"/>
      <c r="AE32" s="172">
        <v>23172</v>
      </c>
      <c r="AF32" s="173">
        <v>33992</v>
      </c>
      <c r="AG32" s="172"/>
      <c r="AH32" s="173"/>
      <c r="AI32" s="172"/>
      <c r="AJ32" s="173"/>
      <c r="AK32" s="172">
        <v>3744</v>
      </c>
      <c r="AL32" s="173">
        <v>3744</v>
      </c>
      <c r="AM32" s="172"/>
      <c r="AN32" s="173"/>
      <c r="AO32" s="172"/>
      <c r="AP32" s="173"/>
      <c r="AQ32" s="172"/>
      <c r="AR32" s="173"/>
      <c r="AS32" s="172"/>
      <c r="AT32" s="173"/>
      <c r="AU32" s="172"/>
      <c r="AV32" s="173"/>
      <c r="AW32" s="172">
        <v>2811</v>
      </c>
      <c r="AX32" s="173">
        <v>2811</v>
      </c>
      <c r="AY32" s="172">
        <v>1595</v>
      </c>
      <c r="AZ32" s="173">
        <v>1595</v>
      </c>
      <c r="BA32" s="172"/>
      <c r="BB32" s="173"/>
      <c r="BC32" s="172">
        <v>875</v>
      </c>
      <c r="BD32" s="173">
        <v>1750</v>
      </c>
      <c r="BE32" s="172">
        <v>720</v>
      </c>
      <c r="BF32" s="173">
        <v>1440</v>
      </c>
      <c r="BG32" s="172"/>
      <c r="BH32" s="173"/>
      <c r="BI32" s="172"/>
      <c r="BJ32" s="173"/>
      <c r="BK32" s="172"/>
      <c r="BL32" s="173"/>
      <c r="BM32" s="172">
        <v>1200</v>
      </c>
      <c r="BN32" s="173">
        <v>1500</v>
      </c>
      <c r="BO32" s="172"/>
      <c r="BP32" s="173"/>
      <c r="BQ32" s="172"/>
      <c r="BR32" s="173"/>
      <c r="BS32" s="172"/>
      <c r="BT32" s="173"/>
      <c r="BU32" s="172"/>
      <c r="BV32" s="173"/>
      <c r="BW32" s="172"/>
      <c r="BX32" s="173"/>
      <c r="BY32" s="172"/>
      <c r="BZ32" s="173"/>
      <c r="CA32" s="172"/>
      <c r="CB32" s="173"/>
      <c r="CC32" s="172"/>
      <c r="CD32" s="173"/>
      <c r="CE32" s="172"/>
      <c r="CF32" s="173"/>
      <c r="CG32" s="172"/>
      <c r="CH32" s="173"/>
      <c r="CI32" s="172"/>
      <c r="CJ32" s="173"/>
      <c r="CK32" s="172"/>
      <c r="CL32" s="173"/>
      <c r="CM32" s="172"/>
      <c r="CN32" s="173"/>
      <c r="CO32" s="172"/>
      <c r="CP32" s="173"/>
      <c r="CQ32" s="172"/>
      <c r="CR32" s="173"/>
      <c r="CS32" s="172"/>
      <c r="CT32" s="173">
        <v>512</v>
      </c>
      <c r="CU32" s="172"/>
      <c r="CV32" s="173"/>
      <c r="CW32" s="172"/>
      <c r="CX32" s="173"/>
      <c r="CY32" s="172"/>
      <c r="CZ32" s="173"/>
      <c r="DA32" s="172"/>
      <c r="DB32" s="173"/>
      <c r="DC32" s="172">
        <v>1710</v>
      </c>
      <c r="DD32" s="173">
        <v>2470</v>
      </c>
      <c r="DE32" s="172"/>
      <c r="DF32" s="173"/>
      <c r="DG32" s="172"/>
      <c r="DH32" s="173">
        <f>800+1500</f>
        <v>2300</v>
      </c>
      <c r="DI32" s="172"/>
      <c r="DJ32" s="173"/>
      <c r="DK32" s="172"/>
      <c r="DL32" s="173"/>
      <c r="DM32" s="172"/>
      <c r="DN32" s="173"/>
      <c r="DO32" s="172">
        <v>300</v>
      </c>
      <c r="DP32" s="173">
        <v>150</v>
      </c>
      <c r="DQ32" s="172"/>
      <c r="DR32" s="173"/>
      <c r="DS32" s="172"/>
      <c r="DT32" s="173"/>
      <c r="DU32" s="172"/>
      <c r="DV32" s="173"/>
    </row>
    <row r="33" spans="1:126" x14ac:dyDescent="0.25">
      <c r="A33" s="171" t="s">
        <v>138</v>
      </c>
      <c r="B33" s="171" t="s">
        <v>877</v>
      </c>
      <c r="C33" s="172">
        <f t="shared" si="14"/>
        <v>126806</v>
      </c>
      <c r="D33" s="173">
        <f t="shared" si="6"/>
        <v>80600</v>
      </c>
      <c r="E33" s="172">
        <f t="shared" si="15"/>
        <v>22807</v>
      </c>
      <c r="F33" s="173">
        <f t="shared" si="7"/>
        <v>43807</v>
      </c>
      <c r="G33" s="172">
        <f t="shared" si="3"/>
        <v>103999</v>
      </c>
      <c r="H33" s="173">
        <f t="shared" si="3"/>
        <v>36793</v>
      </c>
      <c r="I33" s="172"/>
      <c r="J33" s="173"/>
      <c r="K33" s="172"/>
      <c r="L33" s="173"/>
      <c r="M33" s="172">
        <v>2000</v>
      </c>
      <c r="N33" s="173">
        <v>2000</v>
      </c>
      <c r="O33" s="172"/>
      <c r="P33" s="173"/>
      <c r="Q33" s="172">
        <v>140</v>
      </c>
      <c r="R33" s="173">
        <v>140</v>
      </c>
      <c r="S33" s="172"/>
      <c r="T33" s="173"/>
      <c r="U33" s="172"/>
      <c r="V33" s="173"/>
      <c r="W33" s="172"/>
      <c r="X33" s="173"/>
      <c r="Y33" s="172">
        <f>788</f>
        <v>788</v>
      </c>
      <c r="Z33" s="173">
        <f>788</f>
        <v>788</v>
      </c>
      <c r="AA33" s="172">
        <f>1500+2362</f>
        <v>3862</v>
      </c>
      <c r="AB33" s="173">
        <f>2362</f>
        <v>2362</v>
      </c>
      <c r="AC33" s="172">
        <v>12</v>
      </c>
      <c r="AD33" s="173">
        <v>12</v>
      </c>
      <c r="AE33" s="172">
        <v>16005</v>
      </c>
      <c r="AF33" s="173">
        <v>38505</v>
      </c>
      <c r="AG33" s="172"/>
      <c r="AH33" s="173"/>
      <c r="AI33" s="172"/>
      <c r="AJ33" s="173"/>
      <c r="AK33" s="172">
        <v>0</v>
      </c>
      <c r="AL33" s="173">
        <v>0</v>
      </c>
      <c r="AM33" s="172"/>
      <c r="AN33" s="173"/>
      <c r="AO33" s="172">
        <v>3150</v>
      </c>
      <c r="AP33" s="173">
        <v>6347</v>
      </c>
      <c r="AQ33" s="172">
        <v>1000</v>
      </c>
      <c r="AR33" s="173">
        <v>1000</v>
      </c>
      <c r="AS33" s="172"/>
      <c r="AT33" s="173"/>
      <c r="AU33" s="172"/>
      <c r="AV33" s="173"/>
      <c r="AW33" s="172"/>
      <c r="AX33" s="173"/>
      <c r="AY33" s="172"/>
      <c r="AZ33" s="173"/>
      <c r="BA33" s="172">
        <v>4724</v>
      </c>
      <c r="BB33" s="173">
        <v>6000</v>
      </c>
      <c r="BC33" s="172"/>
      <c r="BD33" s="173"/>
      <c r="BE33" s="172"/>
      <c r="BF33" s="173"/>
      <c r="BG33" s="172">
        <v>2400</v>
      </c>
      <c r="BH33" s="173">
        <v>2400</v>
      </c>
      <c r="BI33" s="172">
        <v>1906</v>
      </c>
      <c r="BJ33" s="173">
        <v>1906</v>
      </c>
      <c r="BK33" s="172"/>
      <c r="BL33" s="173"/>
      <c r="BM33" s="172"/>
      <c r="BN33" s="173"/>
      <c r="BO33" s="172">
        <f>5388+600+7560-1737</f>
        <v>11811</v>
      </c>
      <c r="BP33" s="173">
        <f>14840</f>
        <v>14840</v>
      </c>
      <c r="BQ33" s="172"/>
      <c r="BR33" s="173"/>
      <c r="BS33" s="172"/>
      <c r="BT33" s="173"/>
      <c r="BU33" s="172"/>
      <c r="BV33" s="173"/>
      <c r="BW33" s="172"/>
      <c r="BX33" s="173"/>
      <c r="BY33" s="172"/>
      <c r="BZ33" s="173"/>
      <c r="CA33" s="172"/>
      <c r="CB33" s="173"/>
      <c r="CC33" s="172"/>
      <c r="CD33" s="173"/>
      <c r="CE33" s="172"/>
      <c r="CF33" s="173"/>
      <c r="CG33" s="172"/>
      <c r="CH33" s="173"/>
      <c r="CI33" s="172">
        <v>78608</v>
      </c>
      <c r="CJ33" s="173">
        <v>0</v>
      </c>
      <c r="CK33" s="172"/>
      <c r="CL33" s="173"/>
      <c r="CM33" s="172"/>
      <c r="CN33" s="173"/>
      <c r="CO33" s="172"/>
      <c r="CP33" s="173"/>
      <c r="CQ33" s="172"/>
      <c r="CR33" s="173"/>
      <c r="CS33" s="172"/>
      <c r="CT33" s="173"/>
      <c r="CU33" s="172"/>
      <c r="CV33" s="173"/>
      <c r="CW33" s="172"/>
      <c r="CX33" s="173"/>
      <c r="CY33" s="172"/>
      <c r="CZ33" s="173"/>
      <c r="DA33" s="172"/>
      <c r="DB33" s="173"/>
      <c r="DC33" s="172"/>
      <c r="DD33" s="173"/>
      <c r="DE33" s="172"/>
      <c r="DF33" s="173"/>
      <c r="DG33" s="172"/>
      <c r="DH33" s="173">
        <v>4100</v>
      </c>
      <c r="DI33" s="172"/>
      <c r="DJ33" s="173"/>
      <c r="DK33" s="172"/>
      <c r="DL33" s="173"/>
      <c r="DM33" s="172">
        <v>0</v>
      </c>
      <c r="DN33" s="173">
        <v>0</v>
      </c>
      <c r="DO33" s="172">
        <v>400</v>
      </c>
      <c r="DP33" s="173">
        <v>200</v>
      </c>
      <c r="DQ33" s="172"/>
      <c r="DR33" s="173"/>
      <c r="DS33" s="172"/>
      <c r="DT33" s="173"/>
      <c r="DU33" s="172"/>
      <c r="DV33" s="173"/>
    </row>
    <row r="34" spans="1:126" ht="13" x14ac:dyDescent="0.3">
      <c r="A34" s="178" t="s">
        <v>145</v>
      </c>
      <c r="B34" s="178" t="s">
        <v>878</v>
      </c>
      <c r="C34" s="179">
        <f>SUM(C27:C33)</f>
        <v>235396</v>
      </c>
      <c r="D34" s="180">
        <f>SUM(D27:D33)</f>
        <v>188593</v>
      </c>
      <c r="E34" s="179">
        <f t="shared" ref="E34:AE34" si="16">SUM(E27:E33)</f>
        <v>116806</v>
      </c>
      <c r="F34" s="180">
        <f t="shared" si="16"/>
        <v>133428</v>
      </c>
      <c r="G34" s="179">
        <f t="shared" si="16"/>
        <v>118590</v>
      </c>
      <c r="H34" s="180">
        <f>SUM(H27:H33)</f>
        <v>55165</v>
      </c>
      <c r="I34" s="179"/>
      <c r="J34" s="180"/>
      <c r="K34" s="179">
        <f t="shared" si="16"/>
        <v>8150</v>
      </c>
      <c r="L34" s="180">
        <f t="shared" si="16"/>
        <v>7100</v>
      </c>
      <c r="M34" s="179">
        <f t="shared" si="16"/>
        <v>2000</v>
      </c>
      <c r="N34" s="180">
        <f t="shared" si="16"/>
        <v>2000</v>
      </c>
      <c r="O34" s="179">
        <f t="shared" si="16"/>
        <v>19240</v>
      </c>
      <c r="P34" s="180">
        <f t="shared" si="16"/>
        <v>17936</v>
      </c>
      <c r="Q34" s="179">
        <f t="shared" si="16"/>
        <v>190</v>
      </c>
      <c r="R34" s="180">
        <f t="shared" si="16"/>
        <v>245</v>
      </c>
      <c r="S34" s="179">
        <f t="shared" si="16"/>
        <v>0</v>
      </c>
      <c r="T34" s="180">
        <f>SUM(T27:T33)</f>
        <v>0</v>
      </c>
      <c r="U34" s="179">
        <f t="shared" si="16"/>
        <v>0</v>
      </c>
      <c r="V34" s="180">
        <f>SUM(V27:V33)</f>
        <v>0</v>
      </c>
      <c r="W34" s="179">
        <f t="shared" si="16"/>
        <v>1900</v>
      </c>
      <c r="X34" s="180">
        <f t="shared" si="16"/>
        <v>1900</v>
      </c>
      <c r="Y34" s="179">
        <f t="shared" si="16"/>
        <v>788</v>
      </c>
      <c r="Z34" s="180">
        <f t="shared" si="16"/>
        <v>788</v>
      </c>
      <c r="AA34" s="179">
        <f t="shared" si="16"/>
        <v>3862</v>
      </c>
      <c r="AB34" s="180">
        <f>SUM(AB27:AB33)</f>
        <v>2362</v>
      </c>
      <c r="AC34" s="179">
        <f t="shared" si="16"/>
        <v>12</v>
      </c>
      <c r="AD34" s="180">
        <f>SUM(AD27:AD33)</f>
        <v>12</v>
      </c>
      <c r="AE34" s="179">
        <f t="shared" si="16"/>
        <v>80664</v>
      </c>
      <c r="AF34" s="180">
        <f>SUM(AF27:AF33)</f>
        <v>101085</v>
      </c>
      <c r="AG34" s="179"/>
      <c r="AH34" s="180"/>
      <c r="AI34" s="179">
        <f t="shared" ref="AI34:DS34" si="17">SUM(AI27:AI33)</f>
        <v>0</v>
      </c>
      <c r="AJ34" s="180">
        <f>SUM(AJ27:AJ33)</f>
        <v>0</v>
      </c>
      <c r="AK34" s="179">
        <f t="shared" si="17"/>
        <v>3744</v>
      </c>
      <c r="AL34" s="180">
        <f>SUM(AL27:AL33)</f>
        <v>3744</v>
      </c>
      <c r="AM34" s="179">
        <f t="shared" si="17"/>
        <v>0</v>
      </c>
      <c r="AN34" s="180"/>
      <c r="AO34" s="179">
        <f t="shared" si="17"/>
        <v>3150</v>
      </c>
      <c r="AP34" s="180">
        <f>SUM(AP27:AP33)</f>
        <v>6347</v>
      </c>
      <c r="AQ34" s="179">
        <f t="shared" si="17"/>
        <v>1000</v>
      </c>
      <c r="AR34" s="180">
        <f>SUM(AR27:AR33)</f>
        <v>1000</v>
      </c>
      <c r="AS34" s="179">
        <f t="shared" si="17"/>
        <v>0</v>
      </c>
      <c r="AT34" s="180">
        <f>SUM(AT27:AT33)</f>
        <v>0</v>
      </c>
      <c r="AU34" s="179">
        <f t="shared" si="17"/>
        <v>0</v>
      </c>
      <c r="AV34" s="180">
        <f>SUM(AV27:AV33)</f>
        <v>0</v>
      </c>
      <c r="AW34" s="179">
        <f t="shared" si="17"/>
        <v>2811</v>
      </c>
      <c r="AX34" s="180">
        <f>SUM(AX27:AX33)</f>
        <v>2811</v>
      </c>
      <c r="AY34" s="179">
        <f t="shared" si="17"/>
        <v>1595</v>
      </c>
      <c r="AZ34" s="180">
        <f>SUM(AZ27:AZ33)</f>
        <v>1595</v>
      </c>
      <c r="BA34" s="179">
        <f t="shared" si="17"/>
        <v>4724</v>
      </c>
      <c r="BB34" s="180">
        <f>SUM(BB27:BB33)</f>
        <v>6000</v>
      </c>
      <c r="BC34" s="179">
        <f t="shared" si="17"/>
        <v>875</v>
      </c>
      <c r="BD34" s="180">
        <f>SUM(BD27:BD33)</f>
        <v>1750</v>
      </c>
      <c r="BE34" s="179">
        <f t="shared" si="17"/>
        <v>720</v>
      </c>
      <c r="BF34" s="180">
        <f>SUM(BF27:BF33)</f>
        <v>1440</v>
      </c>
      <c r="BG34" s="179">
        <f t="shared" si="17"/>
        <v>2400</v>
      </c>
      <c r="BH34" s="180">
        <f>SUM(BH27:BH33)</f>
        <v>2400</v>
      </c>
      <c r="BI34" s="179">
        <f t="shared" si="17"/>
        <v>1906</v>
      </c>
      <c r="BJ34" s="180">
        <f>SUM(BJ27:BJ33)</f>
        <v>1906</v>
      </c>
      <c r="BK34" s="179">
        <f t="shared" si="17"/>
        <v>1636</v>
      </c>
      <c r="BL34" s="180">
        <f>SUM(BL27:BL33)</f>
        <v>0</v>
      </c>
      <c r="BM34" s="179">
        <f t="shared" si="17"/>
        <v>1200</v>
      </c>
      <c r="BN34" s="180">
        <f>SUM(BN27:BN33)</f>
        <v>1500</v>
      </c>
      <c r="BO34" s="179">
        <f t="shared" si="17"/>
        <v>11811</v>
      </c>
      <c r="BP34" s="180">
        <f>SUM(BP27:BP33)</f>
        <v>14840</v>
      </c>
      <c r="BQ34" s="179">
        <f t="shared" si="17"/>
        <v>0</v>
      </c>
      <c r="BR34" s="180">
        <f>SUM(BR27:BR33)</f>
        <v>0</v>
      </c>
      <c r="BS34" s="179">
        <f t="shared" si="17"/>
        <v>0</v>
      </c>
      <c r="BT34" s="180">
        <f>SUM(BT27:BT33)</f>
        <v>0</v>
      </c>
      <c r="BU34" s="179">
        <f t="shared" si="17"/>
        <v>0</v>
      </c>
      <c r="BV34" s="180">
        <f>SUM(BV27:BV33)</f>
        <v>0</v>
      </c>
      <c r="BW34" s="179">
        <f t="shared" si="17"/>
        <v>0</v>
      </c>
      <c r="BX34" s="180">
        <f>SUM(BX27:BX33)</f>
        <v>0</v>
      </c>
      <c r="BY34" s="179">
        <f t="shared" si="17"/>
        <v>0</v>
      </c>
      <c r="BZ34" s="180">
        <f>SUM(BZ27:BZ33)</f>
        <v>0</v>
      </c>
      <c r="CA34" s="179">
        <f t="shared" si="17"/>
        <v>0</v>
      </c>
      <c r="CB34" s="180">
        <f>SUM(CB27:CB33)</f>
        <v>0</v>
      </c>
      <c r="CC34" s="179">
        <f t="shared" si="17"/>
        <v>0</v>
      </c>
      <c r="CD34" s="180">
        <f>SUM(CD27:CD33)</f>
        <v>0</v>
      </c>
      <c r="CE34" s="179">
        <f>SUM(CE27:CE33)</f>
        <v>0</v>
      </c>
      <c r="CF34" s="180">
        <f>SUM(CF27:CF33)</f>
        <v>0</v>
      </c>
      <c r="CG34" s="179">
        <f t="shared" si="17"/>
        <v>0</v>
      </c>
      <c r="CH34" s="180">
        <f>SUM(CH27:CH33)</f>
        <v>0</v>
      </c>
      <c r="CI34" s="179">
        <f t="shared" si="17"/>
        <v>78608</v>
      </c>
      <c r="CJ34" s="180">
        <f>SUM(CJ27:CJ33)</f>
        <v>0</v>
      </c>
      <c r="CK34" s="179">
        <f t="shared" si="17"/>
        <v>0</v>
      </c>
      <c r="CL34" s="180">
        <f>SUM(CL27:CL33)</f>
        <v>0</v>
      </c>
      <c r="CM34" s="179">
        <f t="shared" si="17"/>
        <v>0</v>
      </c>
      <c r="CN34" s="180">
        <f>SUM(CN27:CN33)</f>
        <v>0</v>
      </c>
      <c r="CO34" s="179">
        <f t="shared" si="17"/>
        <v>0</v>
      </c>
      <c r="CP34" s="180">
        <f>SUM(CP27:CP33)</f>
        <v>0</v>
      </c>
      <c r="CQ34" s="179">
        <f t="shared" si="17"/>
        <v>0</v>
      </c>
      <c r="CR34" s="180">
        <f>SUM(CR27:CR33)</f>
        <v>0</v>
      </c>
      <c r="CS34" s="179">
        <f t="shared" si="17"/>
        <v>0</v>
      </c>
      <c r="CT34" s="180">
        <f>SUM(CT27:CT33)</f>
        <v>512</v>
      </c>
      <c r="CU34" s="179">
        <f t="shared" si="17"/>
        <v>0</v>
      </c>
      <c r="CV34" s="180">
        <f>SUM(CV27:CV33)</f>
        <v>0</v>
      </c>
      <c r="CW34" s="179">
        <f t="shared" si="17"/>
        <v>0</v>
      </c>
      <c r="CX34" s="180">
        <f>SUM(CX27:CX33)</f>
        <v>0</v>
      </c>
      <c r="CY34" s="179">
        <f t="shared" si="17"/>
        <v>0</v>
      </c>
      <c r="CZ34" s="180"/>
      <c r="DA34" s="179">
        <f t="shared" si="17"/>
        <v>0</v>
      </c>
      <c r="DB34" s="180"/>
      <c r="DC34" s="179">
        <f t="shared" si="17"/>
        <v>1710</v>
      </c>
      <c r="DD34" s="180">
        <f>SUM(DD27:DD33)</f>
        <v>2470</v>
      </c>
      <c r="DE34" s="179">
        <f t="shared" si="17"/>
        <v>0</v>
      </c>
      <c r="DF34" s="180">
        <f>SUM(DF27:DF33)</f>
        <v>0</v>
      </c>
      <c r="DG34" s="179">
        <f t="shared" si="17"/>
        <v>0</v>
      </c>
      <c r="DH34" s="180">
        <f>SUM(DH27:DH33)</f>
        <v>6500</v>
      </c>
      <c r="DI34" s="179">
        <f t="shared" si="17"/>
        <v>0</v>
      </c>
      <c r="DJ34" s="180">
        <f>SUM(DJ27:DJ33)</f>
        <v>0</v>
      </c>
      <c r="DK34" s="179">
        <f t="shared" si="17"/>
        <v>0</v>
      </c>
      <c r="DL34" s="180">
        <f>SUM(DL27:DL33)</f>
        <v>0</v>
      </c>
      <c r="DM34" s="179">
        <f t="shared" si="17"/>
        <v>0</v>
      </c>
      <c r="DN34" s="180">
        <f>SUM(DN27:DN33)</f>
        <v>0</v>
      </c>
      <c r="DO34" s="179">
        <f t="shared" si="17"/>
        <v>700</v>
      </c>
      <c r="DP34" s="180">
        <f>SUM(DP27:DP33)</f>
        <v>350</v>
      </c>
      <c r="DQ34" s="179">
        <f t="shared" si="17"/>
        <v>0</v>
      </c>
      <c r="DR34" s="180"/>
      <c r="DS34" s="179">
        <f t="shared" si="17"/>
        <v>0</v>
      </c>
      <c r="DT34" s="180">
        <f>SUM(DT27:DT33)</f>
        <v>0</v>
      </c>
      <c r="DU34" s="179"/>
      <c r="DV34" s="180"/>
    </row>
    <row r="35" spans="1:126" x14ac:dyDescent="0.25">
      <c r="A35" s="171" t="s">
        <v>148</v>
      </c>
      <c r="B35" s="171" t="s">
        <v>879</v>
      </c>
      <c r="C35" s="172">
        <f>E35+G35+I35</f>
        <v>1540</v>
      </c>
      <c r="D35" s="173">
        <f t="shared" si="6"/>
        <v>3530</v>
      </c>
      <c r="E35" s="172">
        <f>K35+M35+O34:O35+Q35+S35+U35+W35+Y35+AA35+AC35+AE35+AI35</f>
        <v>1310</v>
      </c>
      <c r="F35" s="173">
        <f t="shared" si="7"/>
        <v>1800</v>
      </c>
      <c r="G35" s="172">
        <f t="shared" si="3"/>
        <v>230</v>
      </c>
      <c r="H35" s="173">
        <f t="shared" si="3"/>
        <v>1730</v>
      </c>
      <c r="I35" s="172"/>
      <c r="J35" s="173"/>
      <c r="K35" s="172"/>
      <c r="L35" s="173"/>
      <c r="M35" s="172"/>
      <c r="N35" s="173"/>
      <c r="O35" s="172"/>
      <c r="P35" s="173"/>
      <c r="Q35" s="172">
        <v>500</v>
      </c>
      <c r="R35" s="173">
        <v>450</v>
      </c>
      <c r="S35" s="172"/>
      <c r="T35" s="173"/>
      <c r="U35" s="172"/>
      <c r="V35" s="173"/>
      <c r="W35" s="172"/>
      <c r="X35" s="173"/>
      <c r="Y35" s="172"/>
      <c r="Z35" s="173"/>
      <c r="AA35" s="172"/>
      <c r="AB35" s="173"/>
      <c r="AC35" s="172"/>
      <c r="AD35" s="173"/>
      <c r="AE35" s="172">
        <v>810</v>
      </c>
      <c r="AF35" s="173">
        <v>1350</v>
      </c>
      <c r="AG35" s="172"/>
      <c r="AH35" s="173"/>
      <c r="AI35" s="172"/>
      <c r="AJ35" s="173"/>
      <c r="AK35" s="172"/>
      <c r="AL35" s="173"/>
      <c r="AM35" s="172"/>
      <c r="AN35" s="173"/>
      <c r="AO35" s="172"/>
      <c r="AP35" s="173"/>
      <c r="AQ35" s="172">
        <v>230</v>
      </c>
      <c r="AR35" s="173">
        <v>230</v>
      </c>
      <c r="AS35" s="172"/>
      <c r="AT35" s="173"/>
      <c r="AU35" s="172"/>
      <c r="AV35" s="173"/>
      <c r="AW35" s="172"/>
      <c r="AX35" s="173"/>
      <c r="AY35" s="172"/>
      <c r="AZ35" s="173"/>
      <c r="BA35" s="172"/>
      <c r="BB35" s="173"/>
      <c r="BC35" s="172"/>
      <c r="BD35" s="173"/>
      <c r="BE35" s="172"/>
      <c r="BF35" s="173"/>
      <c r="BG35" s="172"/>
      <c r="BH35" s="173"/>
      <c r="BI35" s="172"/>
      <c r="BJ35" s="173"/>
      <c r="BK35" s="172"/>
      <c r="BL35" s="173"/>
      <c r="BM35" s="172"/>
      <c r="BN35" s="173"/>
      <c r="BO35" s="172"/>
      <c r="BP35" s="173"/>
      <c r="BQ35" s="172"/>
      <c r="BR35" s="173"/>
      <c r="BS35" s="172"/>
      <c r="BT35" s="173"/>
      <c r="BU35" s="172"/>
      <c r="BV35" s="173"/>
      <c r="BW35" s="172"/>
      <c r="BX35" s="173"/>
      <c r="BY35" s="172"/>
      <c r="BZ35" s="173"/>
      <c r="CA35" s="172"/>
      <c r="CB35" s="173"/>
      <c r="CC35" s="172"/>
      <c r="CD35" s="173"/>
      <c r="CE35" s="172"/>
      <c r="CF35" s="173"/>
      <c r="CG35" s="172"/>
      <c r="CH35" s="173"/>
      <c r="CI35" s="172"/>
      <c r="CJ35" s="173"/>
      <c r="CK35" s="172"/>
      <c r="CL35" s="173"/>
      <c r="CM35" s="172"/>
      <c r="CN35" s="173"/>
      <c r="CO35" s="172"/>
      <c r="CP35" s="173"/>
      <c r="CQ35" s="172"/>
      <c r="CR35" s="173"/>
      <c r="CS35" s="172"/>
      <c r="CT35" s="173"/>
      <c r="CU35" s="172"/>
      <c r="CV35" s="173"/>
      <c r="CW35" s="172"/>
      <c r="CX35" s="173"/>
      <c r="CY35" s="172"/>
      <c r="CZ35" s="173"/>
      <c r="DA35" s="172"/>
      <c r="DB35" s="173"/>
      <c r="DC35" s="172"/>
      <c r="DD35" s="173"/>
      <c r="DE35" s="172"/>
      <c r="DF35" s="173"/>
      <c r="DG35" s="172"/>
      <c r="DH35" s="173">
        <v>1500</v>
      </c>
      <c r="DI35" s="172"/>
      <c r="DJ35" s="173"/>
      <c r="DK35" s="172"/>
      <c r="DL35" s="173"/>
      <c r="DM35" s="172"/>
      <c r="DN35" s="173"/>
      <c r="DO35" s="172"/>
      <c r="DP35" s="173"/>
      <c r="DQ35" s="172"/>
      <c r="DR35" s="173"/>
      <c r="DS35" s="172"/>
      <c r="DT35" s="173"/>
      <c r="DU35" s="172"/>
      <c r="DV35" s="173"/>
    </row>
    <row r="36" spans="1:126" x14ac:dyDescent="0.25">
      <c r="A36" s="171" t="s">
        <v>153</v>
      </c>
      <c r="B36" s="171" t="s">
        <v>880</v>
      </c>
      <c r="C36" s="172">
        <f>E36+G36+I36</f>
        <v>160</v>
      </c>
      <c r="D36" s="173">
        <f t="shared" si="6"/>
        <v>660</v>
      </c>
      <c r="E36" s="172">
        <f>K36+M36+O35:O36+Q36+S36+U36+W36+Y36+AA36+AC36+AE36+AI36</f>
        <v>160</v>
      </c>
      <c r="F36" s="173">
        <f t="shared" si="7"/>
        <v>160</v>
      </c>
      <c r="G36" s="172">
        <f t="shared" si="3"/>
        <v>0</v>
      </c>
      <c r="H36" s="173">
        <f t="shared" si="3"/>
        <v>500</v>
      </c>
      <c r="I36" s="172"/>
      <c r="J36" s="173"/>
      <c r="K36" s="172"/>
      <c r="L36" s="173"/>
      <c r="M36" s="172"/>
      <c r="N36" s="173"/>
      <c r="O36" s="172"/>
      <c r="P36" s="173"/>
      <c r="Q36" s="172"/>
      <c r="R36" s="173"/>
      <c r="S36" s="172"/>
      <c r="T36" s="173"/>
      <c r="U36" s="172"/>
      <c r="V36" s="173"/>
      <c r="W36" s="172"/>
      <c r="X36" s="173"/>
      <c r="Y36" s="172"/>
      <c r="Z36" s="173"/>
      <c r="AA36" s="172"/>
      <c r="AB36" s="173"/>
      <c r="AC36" s="172"/>
      <c r="AD36" s="173"/>
      <c r="AE36" s="172">
        <v>160</v>
      </c>
      <c r="AF36" s="173">
        <v>160</v>
      </c>
      <c r="AG36" s="172"/>
      <c r="AH36" s="173"/>
      <c r="AI36" s="172"/>
      <c r="AJ36" s="173"/>
      <c r="AK36" s="172"/>
      <c r="AL36" s="173"/>
      <c r="AM36" s="172"/>
      <c r="AN36" s="173"/>
      <c r="AO36" s="172"/>
      <c r="AP36" s="173"/>
      <c r="AQ36" s="172"/>
      <c r="AR36" s="173"/>
      <c r="AS36" s="172"/>
      <c r="AT36" s="173"/>
      <c r="AU36" s="172"/>
      <c r="AV36" s="173"/>
      <c r="AW36" s="172"/>
      <c r="AX36" s="173"/>
      <c r="AY36" s="172"/>
      <c r="AZ36" s="173"/>
      <c r="BA36" s="172"/>
      <c r="BB36" s="173"/>
      <c r="BC36" s="172"/>
      <c r="BD36" s="173"/>
      <c r="BE36" s="172"/>
      <c r="BF36" s="173"/>
      <c r="BG36" s="172"/>
      <c r="BH36" s="173"/>
      <c r="BI36" s="172"/>
      <c r="BJ36" s="173"/>
      <c r="BK36" s="172"/>
      <c r="BL36" s="173"/>
      <c r="BM36" s="172"/>
      <c r="BN36" s="173"/>
      <c r="BO36" s="172"/>
      <c r="BP36" s="173"/>
      <c r="BQ36" s="172"/>
      <c r="BR36" s="173"/>
      <c r="BS36" s="172"/>
      <c r="BT36" s="173"/>
      <c r="BU36" s="172"/>
      <c r="BV36" s="173"/>
      <c r="BW36" s="172"/>
      <c r="BX36" s="173"/>
      <c r="BY36" s="172"/>
      <c r="BZ36" s="173"/>
      <c r="CA36" s="172"/>
      <c r="CB36" s="173"/>
      <c r="CC36" s="172"/>
      <c r="CD36" s="173"/>
      <c r="CE36" s="172"/>
      <c r="CF36" s="173"/>
      <c r="CG36" s="172"/>
      <c r="CH36" s="173"/>
      <c r="CI36" s="172"/>
      <c r="CJ36" s="173"/>
      <c r="CK36" s="172"/>
      <c r="CL36" s="173"/>
      <c r="CM36" s="172"/>
      <c r="CN36" s="173"/>
      <c r="CO36" s="172"/>
      <c r="CP36" s="173"/>
      <c r="CQ36" s="172"/>
      <c r="CR36" s="173"/>
      <c r="CS36" s="172"/>
      <c r="CT36" s="173"/>
      <c r="CU36" s="172"/>
      <c r="CV36" s="173"/>
      <c r="CW36" s="172"/>
      <c r="CX36" s="173"/>
      <c r="CY36" s="172"/>
      <c r="CZ36" s="173"/>
      <c r="DA36" s="172"/>
      <c r="DB36" s="173"/>
      <c r="DC36" s="172"/>
      <c r="DD36" s="173"/>
      <c r="DE36" s="172"/>
      <c r="DF36" s="173"/>
      <c r="DG36" s="172"/>
      <c r="DH36" s="173">
        <v>500</v>
      </c>
      <c r="DI36" s="172"/>
      <c r="DJ36" s="173"/>
      <c r="DK36" s="172"/>
      <c r="DL36" s="173"/>
      <c r="DM36" s="172"/>
      <c r="DN36" s="173"/>
      <c r="DO36" s="172"/>
      <c r="DP36" s="173"/>
      <c r="DQ36" s="172"/>
      <c r="DR36" s="173"/>
      <c r="DS36" s="172"/>
      <c r="DT36" s="173"/>
      <c r="DU36" s="172"/>
      <c r="DV36" s="173"/>
    </row>
    <row r="37" spans="1:126" ht="13" x14ac:dyDescent="0.3">
      <c r="A37" s="178" t="s">
        <v>156</v>
      </c>
      <c r="B37" s="178" t="s">
        <v>881</v>
      </c>
      <c r="C37" s="179">
        <f t="shared" ref="C37:H37" si="18">SUM(C35:C36)</f>
        <v>1700</v>
      </c>
      <c r="D37" s="180">
        <f t="shared" si="18"/>
        <v>4190</v>
      </c>
      <c r="E37" s="179">
        <f t="shared" si="18"/>
        <v>1470</v>
      </c>
      <c r="F37" s="180">
        <f t="shared" si="18"/>
        <v>1960</v>
      </c>
      <c r="G37" s="179">
        <f t="shared" si="18"/>
        <v>230</v>
      </c>
      <c r="H37" s="180">
        <f t="shared" si="18"/>
        <v>2230</v>
      </c>
      <c r="I37" s="179"/>
      <c r="J37" s="180"/>
      <c r="K37" s="179">
        <f t="shared" ref="K37:AO37" si="19">SUM(K35:K36)</f>
        <v>0</v>
      </c>
      <c r="L37" s="180">
        <f t="shared" si="19"/>
        <v>0</v>
      </c>
      <c r="M37" s="179">
        <f t="shared" si="19"/>
        <v>0</v>
      </c>
      <c r="N37" s="180">
        <f t="shared" si="19"/>
        <v>0</v>
      </c>
      <c r="O37" s="179">
        <f t="shared" si="19"/>
        <v>0</v>
      </c>
      <c r="P37" s="180">
        <f t="shared" si="19"/>
        <v>0</v>
      </c>
      <c r="Q37" s="179">
        <f t="shared" si="19"/>
        <v>500</v>
      </c>
      <c r="R37" s="180">
        <f t="shared" si="19"/>
        <v>450</v>
      </c>
      <c r="S37" s="179">
        <f t="shared" si="19"/>
        <v>0</v>
      </c>
      <c r="T37" s="180">
        <f>SUM(T35:T36)</f>
        <v>0</v>
      </c>
      <c r="U37" s="179">
        <f t="shared" si="19"/>
        <v>0</v>
      </c>
      <c r="V37" s="180">
        <f>SUM(V35:V36)</f>
        <v>0</v>
      </c>
      <c r="W37" s="179">
        <f t="shared" si="19"/>
        <v>0</v>
      </c>
      <c r="X37" s="180">
        <f t="shared" si="19"/>
        <v>0</v>
      </c>
      <c r="Y37" s="179">
        <f t="shared" si="19"/>
        <v>0</v>
      </c>
      <c r="Z37" s="180">
        <f t="shared" si="19"/>
        <v>0</v>
      </c>
      <c r="AA37" s="179">
        <f t="shared" si="19"/>
        <v>0</v>
      </c>
      <c r="AB37" s="180">
        <f>SUM(AB35:AB36)</f>
        <v>0</v>
      </c>
      <c r="AC37" s="179">
        <f t="shared" si="19"/>
        <v>0</v>
      </c>
      <c r="AD37" s="180">
        <f>SUM(AD35:AD36)</f>
        <v>0</v>
      </c>
      <c r="AE37" s="179">
        <f t="shared" si="19"/>
        <v>970</v>
      </c>
      <c r="AF37" s="180">
        <f>SUM(AF35:AF36)</f>
        <v>1510</v>
      </c>
      <c r="AG37" s="179"/>
      <c r="AH37" s="180"/>
      <c r="AI37" s="179">
        <f>SUM(AI35:AI36)</f>
        <v>0</v>
      </c>
      <c r="AJ37" s="180">
        <f>SUM(AJ35:AJ36)</f>
        <v>0</v>
      </c>
      <c r="AK37" s="179">
        <f t="shared" si="19"/>
        <v>0</v>
      </c>
      <c r="AL37" s="180">
        <f>SUM(AL35:AL36)</f>
        <v>0</v>
      </c>
      <c r="AM37" s="179">
        <f t="shared" si="19"/>
        <v>0</v>
      </c>
      <c r="AN37" s="180"/>
      <c r="AO37" s="179">
        <f t="shared" si="19"/>
        <v>0</v>
      </c>
      <c r="AP37" s="180">
        <f>SUM(AP35:AP36)</f>
        <v>0</v>
      </c>
      <c r="AQ37" s="179">
        <f t="shared" ref="AQ37:DS37" si="20">SUM(AQ35:AQ36)</f>
        <v>230</v>
      </c>
      <c r="AR37" s="180">
        <f>SUM(AR35:AR36)</f>
        <v>230</v>
      </c>
      <c r="AS37" s="179">
        <f t="shared" si="20"/>
        <v>0</v>
      </c>
      <c r="AT37" s="180">
        <f>SUM(AT35:AT36)</f>
        <v>0</v>
      </c>
      <c r="AU37" s="179">
        <f t="shared" si="20"/>
        <v>0</v>
      </c>
      <c r="AV37" s="180">
        <f>SUM(AV35:AV36)</f>
        <v>0</v>
      </c>
      <c r="AW37" s="179">
        <f t="shared" si="20"/>
        <v>0</v>
      </c>
      <c r="AX37" s="180">
        <f>SUM(AX35:AX36)</f>
        <v>0</v>
      </c>
      <c r="AY37" s="179">
        <f t="shared" si="20"/>
        <v>0</v>
      </c>
      <c r="AZ37" s="180">
        <f>SUM(AZ35:AZ36)</f>
        <v>0</v>
      </c>
      <c r="BA37" s="179">
        <f t="shared" si="20"/>
        <v>0</v>
      </c>
      <c r="BB37" s="180">
        <f>SUM(BB35:BB36)</f>
        <v>0</v>
      </c>
      <c r="BC37" s="179">
        <f t="shared" si="20"/>
        <v>0</v>
      </c>
      <c r="BD37" s="180">
        <f>SUM(BD35:BD36)</f>
        <v>0</v>
      </c>
      <c r="BE37" s="179">
        <f t="shared" si="20"/>
        <v>0</v>
      </c>
      <c r="BF37" s="180">
        <f>SUM(BF35:BF36)</f>
        <v>0</v>
      </c>
      <c r="BG37" s="179">
        <f t="shared" si="20"/>
        <v>0</v>
      </c>
      <c r="BH37" s="180">
        <f>SUM(BH35:BH36)</f>
        <v>0</v>
      </c>
      <c r="BI37" s="179">
        <f t="shared" si="20"/>
        <v>0</v>
      </c>
      <c r="BJ37" s="180">
        <f>SUM(BJ35:BJ36)</f>
        <v>0</v>
      </c>
      <c r="BK37" s="179">
        <f t="shared" si="20"/>
        <v>0</v>
      </c>
      <c r="BL37" s="180">
        <f>SUM(BL35:BL36)</f>
        <v>0</v>
      </c>
      <c r="BM37" s="179">
        <f t="shared" si="20"/>
        <v>0</v>
      </c>
      <c r="BN37" s="180">
        <f>SUM(BN35:BN36)</f>
        <v>0</v>
      </c>
      <c r="BO37" s="179">
        <f t="shared" si="20"/>
        <v>0</v>
      </c>
      <c r="BP37" s="180">
        <f>SUM(BP35:BP36)</f>
        <v>0</v>
      </c>
      <c r="BQ37" s="179">
        <f t="shared" si="20"/>
        <v>0</v>
      </c>
      <c r="BR37" s="180">
        <f>SUM(BR35:BR36)</f>
        <v>0</v>
      </c>
      <c r="BS37" s="179">
        <f t="shared" si="20"/>
        <v>0</v>
      </c>
      <c r="BT37" s="180">
        <f>SUM(BT35:BT36)</f>
        <v>0</v>
      </c>
      <c r="BU37" s="179">
        <f t="shared" si="20"/>
        <v>0</v>
      </c>
      <c r="BV37" s="180">
        <f>SUM(BV35:BV36)</f>
        <v>0</v>
      </c>
      <c r="BW37" s="179">
        <f t="shared" si="20"/>
        <v>0</v>
      </c>
      <c r="BX37" s="180">
        <f>SUM(BX35:BX36)</f>
        <v>0</v>
      </c>
      <c r="BY37" s="179">
        <f t="shared" si="20"/>
        <v>0</v>
      </c>
      <c r="BZ37" s="180">
        <f>SUM(BZ35:BZ36)</f>
        <v>0</v>
      </c>
      <c r="CA37" s="179">
        <f t="shared" si="20"/>
        <v>0</v>
      </c>
      <c r="CB37" s="180">
        <f>SUM(CB35:CB36)</f>
        <v>0</v>
      </c>
      <c r="CC37" s="179">
        <f t="shared" si="20"/>
        <v>0</v>
      </c>
      <c r="CD37" s="180">
        <f>SUM(CD35:CD36)</f>
        <v>0</v>
      </c>
      <c r="CE37" s="179">
        <f>SUM(CE35:CE36)</f>
        <v>0</v>
      </c>
      <c r="CF37" s="180">
        <f>SUM(CF35:CF36)</f>
        <v>0</v>
      </c>
      <c r="CG37" s="179">
        <f t="shared" si="20"/>
        <v>0</v>
      </c>
      <c r="CH37" s="180">
        <f>SUM(CH35:CH36)</f>
        <v>0</v>
      </c>
      <c r="CI37" s="179">
        <f t="shared" si="20"/>
        <v>0</v>
      </c>
      <c r="CJ37" s="180">
        <f>SUM(CJ35:CJ36)</f>
        <v>0</v>
      </c>
      <c r="CK37" s="179">
        <f t="shared" si="20"/>
        <v>0</v>
      </c>
      <c r="CL37" s="180">
        <f>SUM(CL35:CL36)</f>
        <v>0</v>
      </c>
      <c r="CM37" s="179">
        <f t="shared" si="20"/>
        <v>0</v>
      </c>
      <c r="CN37" s="180">
        <f>SUM(CN35:CN36)</f>
        <v>0</v>
      </c>
      <c r="CO37" s="179">
        <f t="shared" si="20"/>
        <v>0</v>
      </c>
      <c r="CP37" s="180">
        <f>SUM(CP35:CP36)</f>
        <v>0</v>
      </c>
      <c r="CQ37" s="179">
        <f t="shared" si="20"/>
        <v>0</v>
      </c>
      <c r="CR37" s="180">
        <f>SUM(CR35:CR36)</f>
        <v>0</v>
      </c>
      <c r="CS37" s="179">
        <f t="shared" si="20"/>
        <v>0</v>
      </c>
      <c r="CT37" s="180">
        <f>SUM(CT35:CT36)</f>
        <v>0</v>
      </c>
      <c r="CU37" s="179">
        <f t="shared" si="20"/>
        <v>0</v>
      </c>
      <c r="CV37" s="180">
        <f>SUM(CV35:CV36)</f>
        <v>0</v>
      </c>
      <c r="CW37" s="179">
        <f t="shared" si="20"/>
        <v>0</v>
      </c>
      <c r="CX37" s="180">
        <f>SUM(CX35:CX36)</f>
        <v>0</v>
      </c>
      <c r="CY37" s="179">
        <f t="shared" si="20"/>
        <v>0</v>
      </c>
      <c r="CZ37" s="180"/>
      <c r="DA37" s="179">
        <f t="shared" si="20"/>
        <v>0</v>
      </c>
      <c r="DB37" s="180"/>
      <c r="DC37" s="179">
        <f t="shared" si="20"/>
        <v>0</v>
      </c>
      <c r="DD37" s="180">
        <f>SUM(DD35:DD36)</f>
        <v>0</v>
      </c>
      <c r="DE37" s="179">
        <f t="shared" si="20"/>
        <v>0</v>
      </c>
      <c r="DF37" s="180">
        <f>SUM(DF35:DF36)</f>
        <v>0</v>
      </c>
      <c r="DG37" s="179">
        <f t="shared" si="20"/>
        <v>0</v>
      </c>
      <c r="DH37" s="180">
        <f>SUM(DH35:DH36)</f>
        <v>2000</v>
      </c>
      <c r="DI37" s="179">
        <f t="shared" si="20"/>
        <v>0</v>
      </c>
      <c r="DJ37" s="180">
        <f>SUM(DJ35:DJ36)</f>
        <v>0</v>
      </c>
      <c r="DK37" s="179">
        <f t="shared" si="20"/>
        <v>0</v>
      </c>
      <c r="DL37" s="180">
        <f>SUM(DL35:DL36)</f>
        <v>0</v>
      </c>
      <c r="DM37" s="179">
        <f t="shared" si="20"/>
        <v>0</v>
      </c>
      <c r="DN37" s="180">
        <f>SUM(DN35:DN36)</f>
        <v>0</v>
      </c>
      <c r="DO37" s="179">
        <f t="shared" si="20"/>
        <v>0</v>
      </c>
      <c r="DP37" s="180">
        <f>SUM(DP35:DP36)</f>
        <v>0</v>
      </c>
      <c r="DQ37" s="179">
        <f t="shared" si="20"/>
        <v>0</v>
      </c>
      <c r="DR37" s="180"/>
      <c r="DS37" s="179">
        <f t="shared" si="20"/>
        <v>0</v>
      </c>
      <c r="DT37" s="180">
        <f>SUM(DT35:DT36)</f>
        <v>0</v>
      </c>
      <c r="DU37" s="179"/>
      <c r="DV37" s="180"/>
    </row>
    <row r="38" spans="1:126" x14ac:dyDescent="0.25">
      <c r="A38" s="171" t="s">
        <v>159</v>
      </c>
      <c r="B38" s="171" t="s">
        <v>882</v>
      </c>
      <c r="C38" s="172">
        <f>E38+G38+I38</f>
        <v>59828</v>
      </c>
      <c r="D38" s="173">
        <f t="shared" si="6"/>
        <v>47758</v>
      </c>
      <c r="E38" s="172">
        <f>K38+M38+O37:O38+Q38+S38+U38+W38+Y38+AA38+AC38+AE38+AI38</f>
        <v>31584</v>
      </c>
      <c r="F38" s="173">
        <f t="shared" si="7"/>
        <v>36890</v>
      </c>
      <c r="G38" s="172">
        <f t="shared" si="3"/>
        <v>28244</v>
      </c>
      <c r="H38" s="173">
        <f t="shared" si="3"/>
        <v>10868</v>
      </c>
      <c r="I38" s="172"/>
      <c r="J38" s="173"/>
      <c r="K38" s="172">
        <f>ROUND((K23+K26+K34+K36)*0.27,0)</f>
        <v>2255</v>
      </c>
      <c r="L38" s="173">
        <f>ROUND((L23+L26+L34+L36)*0.27,0)</f>
        <v>1949</v>
      </c>
      <c r="M38" s="172">
        <f>ROUND((M23+M26+M34+M36)*0.27,0)</f>
        <v>540</v>
      </c>
      <c r="N38" s="173">
        <f>ROUND((N23+N26+N34+N36)*0.27,0)</f>
        <v>540</v>
      </c>
      <c r="O38" s="172">
        <f>ROUND((O23+O26+O34+O36-O32)*0.27,0)</f>
        <v>702</v>
      </c>
      <c r="P38" s="173">
        <f>ROUND((P23+P26+P34+P36-P32)*0.27,0)</f>
        <v>582</v>
      </c>
      <c r="Q38" s="172">
        <f>ROUND((Q23+Q26+Q34+Q36)*0.27,0)</f>
        <v>185</v>
      </c>
      <c r="R38" s="173">
        <f>ROUND((R23+R26+R34+R36)*0.27,0)</f>
        <v>346</v>
      </c>
      <c r="S38" s="172"/>
      <c r="T38" s="173"/>
      <c r="U38" s="172"/>
      <c r="V38" s="173"/>
      <c r="W38" s="172">
        <f>ROUND((W23+W26+W34+W36)*0.27,0)</f>
        <v>513</v>
      </c>
      <c r="X38" s="173">
        <f>ROUND((X23+X26+X34+X36)*0.27,0)</f>
        <v>513</v>
      </c>
      <c r="Y38" s="172">
        <v>212</v>
      </c>
      <c r="Z38" s="173">
        <f>212</f>
        <v>212</v>
      </c>
      <c r="AA38" s="172">
        <f t="shared" ref="AA38:AF38" si="21">ROUND((AA23+AA26+AA34+AA36)*0.27,0)</f>
        <v>1043</v>
      </c>
      <c r="AB38" s="173">
        <f t="shared" si="21"/>
        <v>638</v>
      </c>
      <c r="AC38" s="172">
        <f t="shared" si="21"/>
        <v>79</v>
      </c>
      <c r="AD38" s="173">
        <f t="shared" si="21"/>
        <v>79</v>
      </c>
      <c r="AE38" s="172">
        <f t="shared" si="21"/>
        <v>26055</v>
      </c>
      <c r="AF38" s="173">
        <f t="shared" si="21"/>
        <v>32031</v>
      </c>
      <c r="AG38" s="172"/>
      <c r="AH38" s="173"/>
      <c r="AI38" s="172"/>
      <c r="AJ38" s="173"/>
      <c r="AK38" s="172"/>
      <c r="AL38" s="173"/>
      <c r="AM38" s="172"/>
      <c r="AN38" s="173"/>
      <c r="AO38" s="172">
        <v>850</v>
      </c>
      <c r="AP38" s="173">
        <v>1714</v>
      </c>
      <c r="AQ38" s="172">
        <f>ROUND((AQ23+AQ26+AQ34+AQ36)*0.27,0)</f>
        <v>270</v>
      </c>
      <c r="AR38" s="173">
        <f>ROUND((AR23+AR26+AR34+AR36)*0.27,0)</f>
        <v>270</v>
      </c>
      <c r="AS38" s="172"/>
      <c r="AT38" s="173"/>
      <c r="AU38" s="172"/>
      <c r="AV38" s="173"/>
      <c r="AW38" s="172"/>
      <c r="AX38" s="173"/>
      <c r="AY38" s="172"/>
      <c r="AZ38" s="173"/>
      <c r="BA38" s="172">
        <v>1276</v>
      </c>
      <c r="BB38" s="173">
        <f>ROUND((BB23+BB26+BB34+BB36)*0.27,0)</f>
        <v>1620</v>
      </c>
      <c r="BC38" s="172"/>
      <c r="BD38" s="173"/>
      <c r="BE38" s="172">
        <f>ROUND((BE23+BE26+BE34+BE36)*0.27,0)</f>
        <v>194</v>
      </c>
      <c r="BF38" s="173">
        <f>ROUND((BF23+BF26+BF34+BF36)*0.27,0)</f>
        <v>389</v>
      </c>
      <c r="BG38" s="172"/>
      <c r="BH38" s="173"/>
      <c r="BI38" s="172">
        <f>ROUND((BI23+BI26+BI34+BI36)*0.27,0)</f>
        <v>515</v>
      </c>
      <c r="BJ38" s="173">
        <f>ROUND((BJ23+BJ26+BJ34+BJ36)*0.27,0)</f>
        <v>515</v>
      </c>
      <c r="BK38" s="172">
        <v>442</v>
      </c>
      <c r="BL38" s="173">
        <f>ROUND((BL23+BL26+BL34+BL36)*0.27,0)</f>
        <v>0</v>
      </c>
      <c r="BM38" s="172"/>
      <c r="BN38" s="173"/>
      <c r="BO38" s="172">
        <f>ROUND((BO23+BO26+BO34+BO36)*0.27,0)</f>
        <v>3189</v>
      </c>
      <c r="BP38" s="173">
        <f>ROUND((BP23+BP26+BP34+BP36)*0.27,0)</f>
        <v>4007</v>
      </c>
      <c r="BQ38" s="172"/>
      <c r="BR38" s="173"/>
      <c r="BS38" s="172"/>
      <c r="BT38" s="173"/>
      <c r="BU38" s="172"/>
      <c r="BV38" s="173"/>
      <c r="BW38" s="172"/>
      <c r="BX38" s="173"/>
      <c r="BY38" s="172"/>
      <c r="BZ38" s="173"/>
      <c r="CA38" s="172"/>
      <c r="CB38" s="173"/>
      <c r="CC38" s="172"/>
      <c r="CD38" s="173"/>
      <c r="CE38" s="172"/>
      <c r="CF38" s="173"/>
      <c r="CG38" s="172"/>
      <c r="CH38" s="173"/>
      <c r="CI38" s="172">
        <f>ROUND((CI23+CI26+CI34+CI36)*0.27,0)</f>
        <v>21224</v>
      </c>
      <c r="CJ38" s="173">
        <f>ROUND((CJ23+CJ26+CJ34+CJ36)*0.27,0)</f>
        <v>0</v>
      </c>
      <c r="CK38" s="172"/>
      <c r="CL38" s="173"/>
      <c r="CM38" s="172"/>
      <c r="CN38" s="173"/>
      <c r="CO38" s="172"/>
      <c r="CP38" s="173"/>
      <c r="CQ38" s="172"/>
      <c r="CR38" s="173"/>
      <c r="CS38" s="172"/>
      <c r="CT38" s="173">
        <f>ROUND((CT23+CT26+CT34+CT36)*0.27,0)</f>
        <v>138</v>
      </c>
      <c r="CU38" s="172"/>
      <c r="CV38" s="173"/>
      <c r="CW38" s="172"/>
      <c r="CX38" s="173"/>
      <c r="CY38" s="172"/>
      <c r="CZ38" s="173"/>
      <c r="DA38" s="172"/>
      <c r="DB38" s="173"/>
      <c r="DC38" s="172"/>
      <c r="DD38" s="173"/>
      <c r="DE38" s="172"/>
      <c r="DF38" s="173"/>
      <c r="DG38" s="172"/>
      <c r="DH38" s="173">
        <f>ROUND((DH23+DH26+DH34+DH36)*0.27,0)</f>
        <v>2120</v>
      </c>
      <c r="DI38" s="172"/>
      <c r="DJ38" s="173"/>
      <c r="DK38" s="172"/>
      <c r="DL38" s="173"/>
      <c r="DM38" s="172">
        <v>95</v>
      </c>
      <c r="DN38" s="173">
        <v>0</v>
      </c>
      <c r="DO38" s="172">
        <f>ROUND((DO23+DO26+DO34+DO36)*0.27,0)</f>
        <v>189</v>
      </c>
      <c r="DP38" s="173">
        <f>ROUND((DP23+DP26+DP34+DP36)*0.27,0)</f>
        <v>95</v>
      </c>
      <c r="DQ38" s="172"/>
      <c r="DR38" s="173"/>
      <c r="DS38" s="172"/>
      <c r="DT38" s="173"/>
      <c r="DU38" s="172"/>
      <c r="DV38" s="173"/>
    </row>
    <row r="39" spans="1:126" x14ac:dyDescent="0.25">
      <c r="A39" s="171" t="s">
        <v>164</v>
      </c>
      <c r="B39" s="171" t="s">
        <v>883</v>
      </c>
      <c r="C39" s="172">
        <f>E39+G39+I39</f>
        <v>5000</v>
      </c>
      <c r="D39" s="173">
        <f t="shared" si="6"/>
        <v>5000</v>
      </c>
      <c r="E39" s="172">
        <f>K39+M39+O38:O39+Q39+S39+U39+W39+Y39+AA39+AC39+AE39+AI39</f>
        <v>5000</v>
      </c>
      <c r="F39" s="173">
        <f t="shared" si="7"/>
        <v>5000</v>
      </c>
      <c r="G39" s="172">
        <f t="shared" si="3"/>
        <v>0</v>
      </c>
      <c r="H39" s="173">
        <f t="shared" si="3"/>
        <v>0</v>
      </c>
      <c r="I39" s="172"/>
      <c r="J39" s="173"/>
      <c r="K39" s="172"/>
      <c r="L39" s="173"/>
      <c r="M39" s="172"/>
      <c r="N39" s="173"/>
      <c r="O39" s="172"/>
      <c r="P39" s="173"/>
      <c r="Q39" s="172"/>
      <c r="R39" s="173"/>
      <c r="S39" s="172"/>
      <c r="T39" s="173"/>
      <c r="U39" s="172"/>
      <c r="V39" s="173"/>
      <c r="W39" s="172"/>
      <c r="X39" s="173"/>
      <c r="Y39" s="172"/>
      <c r="Z39" s="173"/>
      <c r="AA39" s="172"/>
      <c r="AB39" s="173"/>
      <c r="AC39" s="172"/>
      <c r="AD39" s="173"/>
      <c r="AE39" s="172">
        <v>5000</v>
      </c>
      <c r="AF39" s="173">
        <v>5000</v>
      </c>
      <c r="AG39" s="172"/>
      <c r="AH39" s="173"/>
      <c r="AI39" s="172"/>
      <c r="AJ39" s="173"/>
      <c r="AK39" s="172"/>
      <c r="AL39" s="173"/>
      <c r="AM39" s="172"/>
      <c r="AN39" s="173"/>
      <c r="AO39" s="172"/>
      <c r="AP39" s="173"/>
      <c r="AQ39" s="172"/>
      <c r="AR39" s="173"/>
      <c r="AS39" s="172"/>
      <c r="AT39" s="173"/>
      <c r="AU39" s="172"/>
      <c r="AV39" s="173"/>
      <c r="AW39" s="172"/>
      <c r="AX39" s="173"/>
      <c r="AY39" s="172"/>
      <c r="AZ39" s="173"/>
      <c r="BA39" s="172"/>
      <c r="BB39" s="173"/>
      <c r="BC39" s="172"/>
      <c r="BD39" s="173"/>
      <c r="BE39" s="172"/>
      <c r="BF39" s="173"/>
      <c r="BG39" s="172"/>
      <c r="BH39" s="173"/>
      <c r="BI39" s="172"/>
      <c r="BJ39" s="173"/>
      <c r="BK39" s="172"/>
      <c r="BL39" s="173"/>
      <c r="BM39" s="172"/>
      <c r="BN39" s="173"/>
      <c r="BO39" s="172"/>
      <c r="BP39" s="173"/>
      <c r="BQ39" s="172"/>
      <c r="BR39" s="173"/>
      <c r="BS39" s="172"/>
      <c r="BT39" s="173"/>
      <c r="BU39" s="172"/>
      <c r="BV39" s="173"/>
      <c r="BW39" s="172"/>
      <c r="BX39" s="173"/>
      <c r="BY39" s="172"/>
      <c r="BZ39" s="173"/>
      <c r="CA39" s="172"/>
      <c r="CB39" s="173"/>
      <c r="CC39" s="172"/>
      <c r="CD39" s="173"/>
      <c r="CE39" s="172"/>
      <c r="CF39" s="173"/>
      <c r="CG39" s="172"/>
      <c r="CH39" s="173"/>
      <c r="CI39" s="172"/>
      <c r="CJ39" s="173"/>
      <c r="CK39" s="172"/>
      <c r="CL39" s="173"/>
      <c r="CM39" s="172"/>
      <c r="CN39" s="173"/>
      <c r="CO39" s="172"/>
      <c r="CP39" s="173"/>
      <c r="CQ39" s="172"/>
      <c r="CR39" s="173"/>
      <c r="CS39" s="172"/>
      <c r="CT39" s="173"/>
      <c r="CU39" s="172"/>
      <c r="CV39" s="173"/>
      <c r="CW39" s="172"/>
      <c r="CX39" s="173"/>
      <c r="CY39" s="172"/>
      <c r="CZ39" s="173"/>
      <c r="DA39" s="172"/>
      <c r="DB39" s="173"/>
      <c r="DC39" s="172"/>
      <c r="DD39" s="173"/>
      <c r="DE39" s="172"/>
      <c r="DF39" s="173"/>
      <c r="DG39" s="172"/>
      <c r="DH39" s="173"/>
      <c r="DI39" s="172"/>
      <c r="DJ39" s="173"/>
      <c r="DK39" s="172"/>
      <c r="DL39" s="173"/>
      <c r="DM39" s="172"/>
      <c r="DN39" s="173"/>
      <c r="DO39" s="172"/>
      <c r="DP39" s="173"/>
      <c r="DQ39" s="172"/>
      <c r="DR39" s="173"/>
      <c r="DS39" s="172"/>
      <c r="DT39" s="173"/>
      <c r="DU39" s="172"/>
      <c r="DV39" s="173"/>
    </row>
    <row r="40" spans="1:126" x14ac:dyDescent="0.25">
      <c r="A40" s="171" t="s">
        <v>170</v>
      </c>
      <c r="B40" s="171" t="s">
        <v>172</v>
      </c>
      <c r="C40" s="172">
        <f>E40+G40+I40</f>
        <v>3600</v>
      </c>
      <c r="D40" s="173">
        <f t="shared" si="6"/>
        <v>3500</v>
      </c>
      <c r="E40" s="172">
        <f>K40+M40+O39:O40+Q40+S40+U40+W40+Y40+AA40+AC40+AE40+AI40</f>
        <v>3600</v>
      </c>
      <c r="F40" s="173">
        <f t="shared" si="7"/>
        <v>3500</v>
      </c>
      <c r="G40" s="172">
        <f t="shared" si="3"/>
        <v>0</v>
      </c>
      <c r="H40" s="173">
        <f t="shared" si="3"/>
        <v>0</v>
      </c>
      <c r="I40" s="172"/>
      <c r="J40" s="173"/>
      <c r="K40" s="172"/>
      <c r="L40" s="173"/>
      <c r="M40" s="172"/>
      <c r="N40" s="173"/>
      <c r="O40" s="172"/>
      <c r="P40" s="173"/>
      <c r="Q40" s="172"/>
      <c r="R40" s="173"/>
      <c r="S40" s="172"/>
      <c r="T40" s="173"/>
      <c r="U40" s="172"/>
      <c r="V40" s="173"/>
      <c r="W40" s="172"/>
      <c r="X40" s="173"/>
      <c r="Y40" s="172"/>
      <c r="Z40" s="173"/>
      <c r="AA40" s="172"/>
      <c r="AB40" s="173"/>
      <c r="AC40" s="172"/>
      <c r="AD40" s="173"/>
      <c r="AE40" s="172">
        <v>3600</v>
      </c>
      <c r="AF40" s="173">
        <v>3500</v>
      </c>
      <c r="AG40" s="172"/>
      <c r="AH40" s="173"/>
      <c r="AI40" s="172"/>
      <c r="AJ40" s="173"/>
      <c r="AK40" s="172"/>
      <c r="AL40" s="173"/>
      <c r="AM40" s="172"/>
      <c r="AN40" s="173"/>
      <c r="AO40" s="172"/>
      <c r="AP40" s="173"/>
      <c r="AQ40" s="172"/>
      <c r="AR40" s="173"/>
      <c r="AS40" s="172"/>
      <c r="AT40" s="173"/>
      <c r="AU40" s="172"/>
      <c r="AV40" s="173"/>
      <c r="AW40" s="172"/>
      <c r="AX40" s="173"/>
      <c r="AY40" s="172"/>
      <c r="AZ40" s="173"/>
      <c r="BA40" s="172"/>
      <c r="BB40" s="173"/>
      <c r="BC40" s="172"/>
      <c r="BD40" s="173"/>
      <c r="BE40" s="172"/>
      <c r="BF40" s="173"/>
      <c r="BG40" s="172"/>
      <c r="BH40" s="173"/>
      <c r="BI40" s="172"/>
      <c r="BJ40" s="173"/>
      <c r="BK40" s="172"/>
      <c r="BL40" s="173"/>
      <c r="BM40" s="172"/>
      <c r="BN40" s="173"/>
      <c r="BO40" s="172"/>
      <c r="BP40" s="173"/>
      <c r="BQ40" s="172"/>
      <c r="BR40" s="173"/>
      <c r="BS40" s="172"/>
      <c r="BT40" s="173"/>
      <c r="BU40" s="172"/>
      <c r="BV40" s="173"/>
      <c r="BW40" s="172"/>
      <c r="BX40" s="173"/>
      <c r="BY40" s="172"/>
      <c r="BZ40" s="173"/>
      <c r="CA40" s="172"/>
      <c r="CB40" s="173"/>
      <c r="CC40" s="172"/>
      <c r="CD40" s="173"/>
      <c r="CE40" s="172"/>
      <c r="CF40" s="173"/>
      <c r="CG40" s="172"/>
      <c r="CH40" s="173"/>
      <c r="CI40" s="172"/>
      <c r="CJ40" s="173"/>
      <c r="CK40" s="172"/>
      <c r="CL40" s="173"/>
      <c r="CM40" s="172"/>
      <c r="CN40" s="173"/>
      <c r="CO40" s="172"/>
      <c r="CP40" s="173"/>
      <c r="CQ40" s="172"/>
      <c r="CR40" s="173"/>
      <c r="CS40" s="172"/>
      <c r="CT40" s="173"/>
      <c r="CU40" s="172"/>
      <c r="CV40" s="173"/>
      <c r="CW40" s="172"/>
      <c r="CX40" s="173"/>
      <c r="CY40" s="172"/>
      <c r="CZ40" s="173"/>
      <c r="DA40" s="172"/>
      <c r="DB40" s="173"/>
      <c r="DC40" s="172"/>
      <c r="DD40" s="173"/>
      <c r="DE40" s="172"/>
      <c r="DF40" s="173"/>
      <c r="DG40" s="172"/>
      <c r="DH40" s="173"/>
      <c r="DI40" s="172"/>
      <c r="DJ40" s="173"/>
      <c r="DK40" s="172"/>
      <c r="DL40" s="173"/>
      <c r="DM40" s="172"/>
      <c r="DN40" s="173"/>
      <c r="DO40" s="172"/>
      <c r="DP40" s="173"/>
      <c r="DQ40" s="172"/>
      <c r="DR40" s="173"/>
      <c r="DS40" s="172"/>
      <c r="DT40" s="173"/>
      <c r="DU40" s="172"/>
      <c r="DV40" s="173"/>
    </row>
    <row r="41" spans="1:126" x14ac:dyDescent="0.25">
      <c r="A41" s="171" t="s">
        <v>177</v>
      </c>
      <c r="B41" s="171" t="s">
        <v>179</v>
      </c>
      <c r="C41" s="172">
        <f>E41+G41+I41</f>
        <v>0</v>
      </c>
      <c r="D41" s="173">
        <f t="shared" si="6"/>
        <v>0</v>
      </c>
      <c r="E41" s="172">
        <f>K41+M41+O40:O41+Q41+S41+U41+W41+Y41+AA41+AC41+AE41+AI41</f>
        <v>0</v>
      </c>
      <c r="F41" s="173">
        <f t="shared" si="7"/>
        <v>0</v>
      </c>
      <c r="G41" s="172">
        <f t="shared" si="3"/>
        <v>0</v>
      </c>
      <c r="H41" s="173">
        <f t="shared" si="3"/>
        <v>0</v>
      </c>
      <c r="I41" s="172"/>
      <c r="J41" s="173"/>
      <c r="K41" s="172"/>
      <c r="L41" s="173"/>
      <c r="M41" s="172"/>
      <c r="N41" s="173"/>
      <c r="O41" s="172"/>
      <c r="P41" s="173"/>
      <c r="Q41" s="172"/>
      <c r="R41" s="173"/>
      <c r="S41" s="172"/>
      <c r="T41" s="173"/>
      <c r="U41" s="172"/>
      <c r="V41" s="173"/>
      <c r="W41" s="172"/>
      <c r="X41" s="173"/>
      <c r="Y41" s="172"/>
      <c r="Z41" s="173"/>
      <c r="AA41" s="172"/>
      <c r="AB41" s="173"/>
      <c r="AC41" s="172"/>
      <c r="AD41" s="173"/>
      <c r="AE41" s="172">
        <v>0</v>
      </c>
      <c r="AF41" s="173">
        <v>0</v>
      </c>
      <c r="AG41" s="172"/>
      <c r="AH41" s="173"/>
      <c r="AI41" s="172"/>
      <c r="AJ41" s="173"/>
      <c r="AK41" s="172"/>
      <c r="AL41" s="173"/>
      <c r="AM41" s="172"/>
      <c r="AN41" s="173"/>
      <c r="AO41" s="172"/>
      <c r="AP41" s="173"/>
      <c r="AQ41" s="172"/>
      <c r="AR41" s="173"/>
      <c r="AS41" s="172"/>
      <c r="AT41" s="173"/>
      <c r="AU41" s="172"/>
      <c r="AV41" s="173"/>
      <c r="AW41" s="172"/>
      <c r="AX41" s="173"/>
      <c r="AY41" s="172"/>
      <c r="AZ41" s="173"/>
      <c r="BA41" s="172"/>
      <c r="BB41" s="173"/>
      <c r="BC41" s="172"/>
      <c r="BD41" s="173"/>
      <c r="BE41" s="172"/>
      <c r="BF41" s="173"/>
      <c r="BG41" s="172"/>
      <c r="BH41" s="173"/>
      <c r="BI41" s="172"/>
      <c r="BJ41" s="173"/>
      <c r="BK41" s="172"/>
      <c r="BL41" s="173"/>
      <c r="BM41" s="172"/>
      <c r="BN41" s="173"/>
      <c r="BO41" s="172"/>
      <c r="BP41" s="173"/>
      <c r="BQ41" s="172"/>
      <c r="BR41" s="173"/>
      <c r="BS41" s="172"/>
      <c r="BT41" s="173"/>
      <c r="BU41" s="172"/>
      <c r="BV41" s="173"/>
      <c r="BW41" s="172"/>
      <c r="BX41" s="173"/>
      <c r="BY41" s="172"/>
      <c r="BZ41" s="173"/>
      <c r="CA41" s="172"/>
      <c r="CB41" s="173"/>
      <c r="CC41" s="172"/>
      <c r="CD41" s="173"/>
      <c r="CE41" s="172"/>
      <c r="CF41" s="173"/>
      <c r="CG41" s="172"/>
      <c r="CH41" s="173"/>
      <c r="CI41" s="172"/>
      <c r="CJ41" s="173"/>
      <c r="CK41" s="172"/>
      <c r="CL41" s="173"/>
      <c r="CM41" s="172"/>
      <c r="CN41" s="173"/>
      <c r="CO41" s="172"/>
      <c r="CP41" s="173"/>
      <c r="CQ41" s="172"/>
      <c r="CR41" s="173"/>
      <c r="CS41" s="172"/>
      <c r="CT41" s="173"/>
      <c r="CU41" s="172"/>
      <c r="CV41" s="173"/>
      <c r="CW41" s="172"/>
      <c r="CX41" s="173"/>
      <c r="CY41" s="172"/>
      <c r="CZ41" s="173"/>
      <c r="DA41" s="172"/>
      <c r="DB41" s="173"/>
      <c r="DC41" s="172"/>
      <c r="DD41" s="173"/>
      <c r="DE41" s="172"/>
      <c r="DF41" s="173"/>
      <c r="DG41" s="172"/>
      <c r="DH41" s="173"/>
      <c r="DI41" s="172"/>
      <c r="DJ41" s="173"/>
      <c r="DK41" s="172"/>
      <c r="DL41" s="173"/>
      <c r="DM41" s="172"/>
      <c r="DN41" s="173"/>
      <c r="DO41" s="172"/>
      <c r="DP41" s="173"/>
      <c r="DQ41" s="172"/>
      <c r="DR41" s="173"/>
      <c r="DS41" s="172"/>
      <c r="DT41" s="173"/>
      <c r="DU41" s="172"/>
      <c r="DV41" s="173"/>
    </row>
    <row r="42" spans="1:126" x14ac:dyDescent="0.25">
      <c r="A42" s="171" t="s">
        <v>182</v>
      </c>
      <c r="B42" s="171" t="s">
        <v>184</v>
      </c>
      <c r="C42" s="172">
        <f>E42+G42+I42</f>
        <v>27222</v>
      </c>
      <c r="D42" s="173">
        <f t="shared" si="6"/>
        <v>44410</v>
      </c>
      <c r="E42" s="172">
        <f>K42+M42+O41:O42+Q42+S42+U42+W42+Y42+AA42+AC42+AE42+AI42</f>
        <v>23824</v>
      </c>
      <c r="F42" s="173">
        <f t="shared" si="7"/>
        <v>37955</v>
      </c>
      <c r="G42" s="172">
        <f t="shared" si="3"/>
        <v>3398</v>
      </c>
      <c r="H42" s="173">
        <f t="shared" si="3"/>
        <v>6455</v>
      </c>
      <c r="I42" s="172"/>
      <c r="J42" s="173"/>
      <c r="K42" s="172">
        <v>1800</v>
      </c>
      <c r="L42" s="173">
        <v>831</v>
      </c>
      <c r="M42" s="172"/>
      <c r="N42" s="173"/>
      <c r="O42" s="172"/>
      <c r="P42" s="173"/>
      <c r="Q42" s="172"/>
      <c r="R42" s="173"/>
      <c r="S42" s="172"/>
      <c r="T42" s="173">
        <v>1000</v>
      </c>
      <c r="U42" s="172"/>
      <c r="V42" s="173">
        <v>100</v>
      </c>
      <c r="W42" s="172"/>
      <c r="X42" s="173">
        <v>300</v>
      </c>
      <c r="Y42" s="172"/>
      <c r="Z42" s="173"/>
      <c r="AA42" s="172">
        <v>210</v>
      </c>
      <c r="AB42" s="173">
        <v>210</v>
      </c>
      <c r="AC42" s="172">
        <v>29</v>
      </c>
      <c r="AD42" s="173">
        <v>29</v>
      </c>
      <c r="AE42" s="172">
        <v>21785</v>
      </c>
      <c r="AF42" s="173">
        <v>35485</v>
      </c>
      <c r="AG42" s="172"/>
      <c r="AH42" s="173"/>
      <c r="AI42" s="172"/>
      <c r="AJ42" s="173"/>
      <c r="AK42" s="172"/>
      <c r="AL42" s="173"/>
      <c r="AM42" s="172"/>
      <c r="AN42" s="173"/>
      <c r="AO42" s="172"/>
      <c r="AP42" s="173"/>
      <c r="AQ42" s="172">
        <v>0</v>
      </c>
      <c r="AR42" s="173">
        <v>500</v>
      </c>
      <c r="AS42" s="172"/>
      <c r="AT42" s="173"/>
      <c r="AU42" s="172"/>
      <c r="AV42" s="173"/>
      <c r="AW42" s="172"/>
      <c r="AX42" s="173"/>
      <c r="AY42" s="172"/>
      <c r="AZ42" s="173"/>
      <c r="BA42" s="172"/>
      <c r="BB42" s="173"/>
      <c r="BC42" s="172"/>
      <c r="BD42" s="173"/>
      <c r="BE42" s="172"/>
      <c r="BF42" s="173"/>
      <c r="BG42" s="172"/>
      <c r="BH42" s="173"/>
      <c r="BI42" s="172"/>
      <c r="BJ42" s="173"/>
      <c r="BK42" s="172">
        <v>58</v>
      </c>
      <c r="BL42" s="173">
        <v>0</v>
      </c>
      <c r="BM42" s="172"/>
      <c r="BN42" s="173"/>
      <c r="BO42" s="172"/>
      <c r="BP42" s="173">
        <v>0</v>
      </c>
      <c r="BQ42" s="172"/>
      <c r="BR42" s="173"/>
      <c r="BS42" s="172"/>
      <c r="BT42" s="173"/>
      <c r="BU42" s="172"/>
      <c r="BV42" s="173"/>
      <c r="BW42" s="172"/>
      <c r="BX42" s="173"/>
      <c r="BY42" s="172"/>
      <c r="BZ42" s="173"/>
      <c r="CA42" s="172"/>
      <c r="CB42" s="173"/>
      <c r="CC42" s="172"/>
      <c r="CD42" s="173"/>
      <c r="CE42" s="172"/>
      <c r="CF42" s="173"/>
      <c r="CG42" s="172"/>
      <c r="CH42" s="173"/>
      <c r="CI42" s="172"/>
      <c r="CJ42" s="173"/>
      <c r="CK42" s="172"/>
      <c r="CL42" s="173"/>
      <c r="CM42" s="172"/>
      <c r="CN42" s="173"/>
      <c r="CO42" s="172"/>
      <c r="CP42" s="173"/>
      <c r="CQ42" s="172"/>
      <c r="CR42" s="173"/>
      <c r="CS42" s="172"/>
      <c r="CT42" s="173"/>
      <c r="CU42" s="172"/>
      <c r="CV42" s="173"/>
      <c r="CW42" s="172"/>
      <c r="CX42" s="173"/>
      <c r="CY42" s="172"/>
      <c r="CZ42" s="173"/>
      <c r="DA42" s="172"/>
      <c r="DB42" s="173"/>
      <c r="DC42" s="172"/>
      <c r="DD42" s="173"/>
      <c r="DE42" s="172"/>
      <c r="DF42" s="173"/>
      <c r="DG42" s="172">
        <v>3229</v>
      </c>
      <c r="DH42" s="173">
        <f>5000+400</f>
        <v>5400</v>
      </c>
      <c r="DI42" s="172"/>
      <c r="DJ42" s="173"/>
      <c r="DK42" s="172"/>
      <c r="DL42" s="173"/>
      <c r="DM42" s="172"/>
      <c r="DN42" s="173"/>
      <c r="DO42" s="172">
        <v>111</v>
      </c>
      <c r="DP42" s="173">
        <v>555</v>
      </c>
      <c r="DQ42" s="172"/>
      <c r="DR42" s="173"/>
      <c r="DS42" s="172"/>
      <c r="DT42" s="173"/>
      <c r="DU42" s="172"/>
      <c r="DV42" s="173"/>
    </row>
    <row r="43" spans="1:126" ht="13" x14ac:dyDescent="0.3">
      <c r="A43" s="178" t="s">
        <v>189</v>
      </c>
      <c r="B43" s="178" t="s">
        <v>191</v>
      </c>
      <c r="C43" s="179">
        <f t="shared" ref="C43:H43" si="22">SUM(C38:C42)</f>
        <v>95650</v>
      </c>
      <c r="D43" s="180">
        <f t="shared" si="22"/>
        <v>100668</v>
      </c>
      <c r="E43" s="179">
        <f t="shared" si="22"/>
        <v>64008</v>
      </c>
      <c r="F43" s="180">
        <f t="shared" si="22"/>
        <v>83345</v>
      </c>
      <c r="G43" s="179">
        <f t="shared" si="22"/>
        <v>31642</v>
      </c>
      <c r="H43" s="180">
        <f t="shared" si="22"/>
        <v>17323</v>
      </c>
      <c r="I43" s="179"/>
      <c r="J43" s="180"/>
      <c r="K43" s="179">
        <f t="shared" ref="K43:AO43" si="23">SUM(K38:K42)</f>
        <v>4055</v>
      </c>
      <c r="L43" s="180">
        <f t="shared" si="23"/>
        <v>2780</v>
      </c>
      <c r="M43" s="179">
        <f t="shared" si="23"/>
        <v>540</v>
      </c>
      <c r="N43" s="180">
        <f t="shared" si="23"/>
        <v>540</v>
      </c>
      <c r="O43" s="179">
        <f t="shared" si="23"/>
        <v>702</v>
      </c>
      <c r="P43" s="180">
        <f t="shared" si="23"/>
        <v>582</v>
      </c>
      <c r="Q43" s="179">
        <f t="shared" si="23"/>
        <v>185</v>
      </c>
      <c r="R43" s="180">
        <f t="shared" si="23"/>
        <v>346</v>
      </c>
      <c r="S43" s="179">
        <f t="shared" si="23"/>
        <v>0</v>
      </c>
      <c r="T43" s="180">
        <f>SUM(T38:T42)</f>
        <v>1000</v>
      </c>
      <c r="U43" s="179">
        <f t="shared" si="23"/>
        <v>0</v>
      </c>
      <c r="V43" s="180">
        <f>SUM(V38:V42)</f>
        <v>100</v>
      </c>
      <c r="W43" s="179">
        <f t="shared" si="23"/>
        <v>513</v>
      </c>
      <c r="X43" s="180">
        <f t="shared" si="23"/>
        <v>813</v>
      </c>
      <c r="Y43" s="179">
        <f t="shared" si="23"/>
        <v>212</v>
      </c>
      <c r="Z43" s="180">
        <f t="shared" si="23"/>
        <v>212</v>
      </c>
      <c r="AA43" s="179">
        <f t="shared" si="23"/>
        <v>1253</v>
      </c>
      <c r="AB43" s="180">
        <f>SUM(AB38:AB42)</f>
        <v>848</v>
      </c>
      <c r="AC43" s="179">
        <f t="shared" si="23"/>
        <v>108</v>
      </c>
      <c r="AD43" s="180">
        <f>SUM(AD38:AD42)</f>
        <v>108</v>
      </c>
      <c r="AE43" s="179">
        <f t="shared" si="23"/>
        <v>56440</v>
      </c>
      <c r="AF43" s="180">
        <f>SUM(AF38:AF42)</f>
        <v>76016</v>
      </c>
      <c r="AG43" s="179"/>
      <c r="AH43" s="180"/>
      <c r="AI43" s="179">
        <f>SUM(AI38:AI42)</f>
        <v>0</v>
      </c>
      <c r="AJ43" s="180">
        <f>SUM(AJ38:AJ42)</f>
        <v>0</v>
      </c>
      <c r="AK43" s="179">
        <f t="shared" si="23"/>
        <v>0</v>
      </c>
      <c r="AL43" s="180">
        <f>SUM(AL38:AL42)</f>
        <v>0</v>
      </c>
      <c r="AM43" s="179">
        <f t="shared" si="23"/>
        <v>0</v>
      </c>
      <c r="AN43" s="180"/>
      <c r="AO43" s="179">
        <f t="shared" si="23"/>
        <v>850</v>
      </c>
      <c r="AP43" s="180">
        <f>SUM(AP38:AP42)</f>
        <v>1714</v>
      </c>
      <c r="AQ43" s="179">
        <f t="shared" ref="AQ43:DS43" si="24">SUM(AQ38:AQ42)</f>
        <v>270</v>
      </c>
      <c r="AR43" s="180">
        <f>SUM(AR38:AR42)</f>
        <v>770</v>
      </c>
      <c r="AS43" s="179">
        <f t="shared" si="24"/>
        <v>0</v>
      </c>
      <c r="AT43" s="180">
        <f>SUM(AT38:AT42)</f>
        <v>0</v>
      </c>
      <c r="AU43" s="179">
        <f t="shared" si="24"/>
        <v>0</v>
      </c>
      <c r="AV43" s="180">
        <f>SUM(AV38:AV42)</f>
        <v>0</v>
      </c>
      <c r="AW43" s="179">
        <f t="shared" si="24"/>
        <v>0</v>
      </c>
      <c r="AX43" s="180">
        <f>SUM(AX38:AX42)</f>
        <v>0</v>
      </c>
      <c r="AY43" s="179">
        <f t="shared" si="24"/>
        <v>0</v>
      </c>
      <c r="AZ43" s="180">
        <f>SUM(AZ38:AZ42)</f>
        <v>0</v>
      </c>
      <c r="BA43" s="179">
        <f t="shared" si="24"/>
        <v>1276</v>
      </c>
      <c r="BB43" s="180">
        <f>SUM(BB38:BB42)</f>
        <v>1620</v>
      </c>
      <c r="BC43" s="179">
        <f t="shared" si="24"/>
        <v>0</v>
      </c>
      <c r="BD43" s="180">
        <f>SUM(BD38:BD42)</f>
        <v>0</v>
      </c>
      <c r="BE43" s="179">
        <f t="shared" si="24"/>
        <v>194</v>
      </c>
      <c r="BF43" s="180">
        <f>SUM(BF38:BF42)</f>
        <v>389</v>
      </c>
      <c r="BG43" s="179">
        <f t="shared" si="24"/>
        <v>0</v>
      </c>
      <c r="BH43" s="180">
        <f>SUM(BH38:BH42)</f>
        <v>0</v>
      </c>
      <c r="BI43" s="179">
        <f t="shared" si="24"/>
        <v>515</v>
      </c>
      <c r="BJ43" s="180">
        <f>SUM(BJ38:BJ42)</f>
        <v>515</v>
      </c>
      <c r="BK43" s="179">
        <f t="shared" si="24"/>
        <v>500</v>
      </c>
      <c r="BL43" s="180">
        <f>SUM(BL38:BL42)</f>
        <v>0</v>
      </c>
      <c r="BM43" s="179">
        <f t="shared" si="24"/>
        <v>0</v>
      </c>
      <c r="BN43" s="180">
        <f>SUM(BN38:BN42)</f>
        <v>0</v>
      </c>
      <c r="BO43" s="179">
        <f t="shared" si="24"/>
        <v>3189</v>
      </c>
      <c r="BP43" s="180">
        <f>SUM(BP38:BP42)</f>
        <v>4007</v>
      </c>
      <c r="BQ43" s="179">
        <f t="shared" si="24"/>
        <v>0</v>
      </c>
      <c r="BR43" s="180">
        <f>SUM(BR38:BR42)</f>
        <v>0</v>
      </c>
      <c r="BS43" s="179">
        <f t="shared" si="24"/>
        <v>0</v>
      </c>
      <c r="BT43" s="180">
        <f>SUM(BT38:BT42)</f>
        <v>0</v>
      </c>
      <c r="BU43" s="179">
        <f t="shared" si="24"/>
        <v>0</v>
      </c>
      <c r="BV43" s="180">
        <f>SUM(BV38:BV42)</f>
        <v>0</v>
      </c>
      <c r="BW43" s="179">
        <f t="shared" si="24"/>
        <v>0</v>
      </c>
      <c r="BX43" s="180">
        <f>SUM(BX38:BX42)</f>
        <v>0</v>
      </c>
      <c r="BY43" s="179">
        <f t="shared" si="24"/>
        <v>0</v>
      </c>
      <c r="BZ43" s="180">
        <f>SUM(BZ38:BZ42)</f>
        <v>0</v>
      </c>
      <c r="CA43" s="179">
        <f t="shared" si="24"/>
        <v>0</v>
      </c>
      <c r="CB43" s="180">
        <f>SUM(CB38:CB42)</f>
        <v>0</v>
      </c>
      <c r="CC43" s="179">
        <f t="shared" si="24"/>
        <v>0</v>
      </c>
      <c r="CD43" s="180">
        <f>SUM(CD38:CD42)</f>
        <v>0</v>
      </c>
      <c r="CE43" s="179">
        <f>SUM(CE38:CE42)</f>
        <v>0</v>
      </c>
      <c r="CF43" s="180">
        <f>SUM(CF38:CF42)</f>
        <v>0</v>
      </c>
      <c r="CG43" s="179">
        <f t="shared" si="24"/>
        <v>0</v>
      </c>
      <c r="CH43" s="180">
        <f>SUM(CH38:CH42)</f>
        <v>0</v>
      </c>
      <c r="CI43" s="179">
        <f t="shared" si="24"/>
        <v>21224</v>
      </c>
      <c r="CJ43" s="180">
        <f>SUM(CJ38:CJ42)</f>
        <v>0</v>
      </c>
      <c r="CK43" s="179">
        <f t="shared" si="24"/>
        <v>0</v>
      </c>
      <c r="CL43" s="180">
        <f>SUM(CL38:CL42)</f>
        <v>0</v>
      </c>
      <c r="CM43" s="179">
        <f t="shared" si="24"/>
        <v>0</v>
      </c>
      <c r="CN43" s="180">
        <f>SUM(CN38:CN42)</f>
        <v>0</v>
      </c>
      <c r="CO43" s="179">
        <f t="shared" si="24"/>
        <v>0</v>
      </c>
      <c r="CP43" s="180">
        <f>SUM(CP38:CP42)</f>
        <v>0</v>
      </c>
      <c r="CQ43" s="179">
        <f t="shared" si="24"/>
        <v>0</v>
      </c>
      <c r="CR43" s="180">
        <f>SUM(CR38:CR42)</f>
        <v>0</v>
      </c>
      <c r="CS43" s="179">
        <f t="shared" si="24"/>
        <v>0</v>
      </c>
      <c r="CT43" s="180">
        <f>SUM(CT38:CT42)</f>
        <v>138</v>
      </c>
      <c r="CU43" s="179">
        <f t="shared" si="24"/>
        <v>0</v>
      </c>
      <c r="CV43" s="180">
        <f>SUM(CV38:CV42)</f>
        <v>0</v>
      </c>
      <c r="CW43" s="179">
        <f t="shared" si="24"/>
        <v>0</v>
      </c>
      <c r="CX43" s="180">
        <f>SUM(CX38:CX42)</f>
        <v>0</v>
      </c>
      <c r="CY43" s="179">
        <f t="shared" si="24"/>
        <v>0</v>
      </c>
      <c r="CZ43" s="180"/>
      <c r="DA43" s="179">
        <f t="shared" si="24"/>
        <v>0</v>
      </c>
      <c r="DB43" s="180"/>
      <c r="DC43" s="179">
        <f t="shared" si="24"/>
        <v>0</v>
      </c>
      <c r="DD43" s="180">
        <f>SUM(DD38:DD42)</f>
        <v>0</v>
      </c>
      <c r="DE43" s="179">
        <f t="shared" si="24"/>
        <v>0</v>
      </c>
      <c r="DF43" s="180">
        <f>SUM(DF38:DF42)</f>
        <v>0</v>
      </c>
      <c r="DG43" s="179">
        <f t="shared" si="24"/>
        <v>3229</v>
      </c>
      <c r="DH43" s="180">
        <f>SUM(DH38:DH42)</f>
        <v>7520</v>
      </c>
      <c r="DI43" s="179">
        <f t="shared" si="24"/>
        <v>0</v>
      </c>
      <c r="DJ43" s="180">
        <f>SUM(DJ38:DJ42)</f>
        <v>0</v>
      </c>
      <c r="DK43" s="179">
        <f t="shared" si="24"/>
        <v>0</v>
      </c>
      <c r="DL43" s="180">
        <f>SUM(DL38:DL42)</f>
        <v>0</v>
      </c>
      <c r="DM43" s="179">
        <f t="shared" si="24"/>
        <v>95</v>
      </c>
      <c r="DN43" s="180">
        <f>SUM(DN38:DN42)</f>
        <v>0</v>
      </c>
      <c r="DO43" s="179">
        <f t="shared" si="24"/>
        <v>300</v>
      </c>
      <c r="DP43" s="180">
        <f>SUM(DP38:DP42)</f>
        <v>650</v>
      </c>
      <c r="DQ43" s="179">
        <f t="shared" si="24"/>
        <v>0</v>
      </c>
      <c r="DR43" s="180"/>
      <c r="DS43" s="179">
        <f t="shared" si="24"/>
        <v>0</v>
      </c>
      <c r="DT43" s="180">
        <f>SUM(DT38:DT42)</f>
        <v>0</v>
      </c>
      <c r="DU43" s="179"/>
      <c r="DV43" s="180"/>
    </row>
    <row r="44" spans="1:126" ht="13" x14ac:dyDescent="0.3">
      <c r="A44" s="174" t="s">
        <v>192</v>
      </c>
      <c r="B44" s="174" t="s">
        <v>884</v>
      </c>
      <c r="C44" s="175">
        <f t="shared" ref="C44:H44" si="25">C23+C26+C34+C37+C43</f>
        <v>351300</v>
      </c>
      <c r="D44" s="176">
        <f t="shared" si="25"/>
        <v>318125</v>
      </c>
      <c r="E44" s="175">
        <f t="shared" si="25"/>
        <v>198933</v>
      </c>
      <c r="F44" s="176">
        <f t="shared" si="25"/>
        <v>237557</v>
      </c>
      <c r="G44" s="175">
        <f t="shared" si="25"/>
        <v>152367</v>
      </c>
      <c r="H44" s="176">
        <f t="shared" si="25"/>
        <v>80568</v>
      </c>
      <c r="I44" s="175"/>
      <c r="J44" s="176">
        <f t="shared" ref="J44:AO44" si="26">J23+J26+J34+J37+J43</f>
        <v>0</v>
      </c>
      <c r="K44" s="175">
        <f t="shared" si="26"/>
        <v>12405</v>
      </c>
      <c r="L44" s="176">
        <f t="shared" si="26"/>
        <v>10000</v>
      </c>
      <c r="M44" s="175">
        <f t="shared" si="26"/>
        <v>2540</v>
      </c>
      <c r="N44" s="176">
        <f t="shared" si="26"/>
        <v>2540</v>
      </c>
      <c r="O44" s="175">
        <f t="shared" si="26"/>
        <v>19942</v>
      </c>
      <c r="P44" s="176">
        <f t="shared" si="26"/>
        <v>18518</v>
      </c>
      <c r="Q44" s="175">
        <f t="shared" si="26"/>
        <v>1369</v>
      </c>
      <c r="R44" s="176">
        <f t="shared" si="26"/>
        <v>2077</v>
      </c>
      <c r="S44" s="175">
        <f t="shared" si="26"/>
        <v>0</v>
      </c>
      <c r="T44" s="176">
        <f>T23+T26+T34+T37+T43</f>
        <v>1000</v>
      </c>
      <c r="U44" s="175">
        <f t="shared" si="26"/>
        <v>0</v>
      </c>
      <c r="V44" s="176">
        <f>V23+V26+V34+V37+V43</f>
        <v>100</v>
      </c>
      <c r="W44" s="175">
        <f t="shared" si="26"/>
        <v>2413</v>
      </c>
      <c r="X44" s="176">
        <f t="shared" si="26"/>
        <v>2713</v>
      </c>
      <c r="Y44" s="175">
        <f t="shared" si="26"/>
        <v>1000</v>
      </c>
      <c r="Z44" s="176">
        <f t="shared" si="26"/>
        <v>1000</v>
      </c>
      <c r="AA44" s="175">
        <f t="shared" si="26"/>
        <v>5115</v>
      </c>
      <c r="AB44" s="176">
        <f>AB23+AB26+AB34+AB37+AB43</f>
        <v>3210</v>
      </c>
      <c r="AC44" s="175">
        <f t="shared" si="26"/>
        <v>400</v>
      </c>
      <c r="AD44" s="176">
        <f>AD23+AD26+AD34+AD37+AD43</f>
        <v>400</v>
      </c>
      <c r="AE44" s="175">
        <f t="shared" si="26"/>
        <v>153749</v>
      </c>
      <c r="AF44" s="176">
        <f>AF23+AF26+AF34+AF37+AF43</f>
        <v>195999</v>
      </c>
      <c r="AG44" s="175"/>
      <c r="AH44" s="176">
        <f>AH23+AH26+AH34+AH37+AH43</f>
        <v>0</v>
      </c>
      <c r="AI44" s="175">
        <f>AI23+AI26+AI34+AI37+AI43</f>
        <v>0</v>
      </c>
      <c r="AJ44" s="176">
        <f>AJ23+AJ26+AJ34+AJ37+AJ43</f>
        <v>0</v>
      </c>
      <c r="AK44" s="175">
        <f t="shared" si="26"/>
        <v>3744</v>
      </c>
      <c r="AL44" s="176">
        <f>AL23+AL26+AL34+AL37+AL43</f>
        <v>3744</v>
      </c>
      <c r="AM44" s="175">
        <f t="shared" si="26"/>
        <v>0</v>
      </c>
      <c r="AN44" s="176"/>
      <c r="AO44" s="175">
        <f t="shared" si="26"/>
        <v>4000</v>
      </c>
      <c r="AP44" s="176">
        <f>AP23+AP26+AP34+AP37+AP43</f>
        <v>8061</v>
      </c>
      <c r="AQ44" s="175">
        <f t="shared" ref="AQ44:DS44" si="27">AQ23+AQ26+AQ34+AQ37+AQ43</f>
        <v>1500</v>
      </c>
      <c r="AR44" s="176">
        <f>AR23+AR26+AR34+AR37+AR43</f>
        <v>2000</v>
      </c>
      <c r="AS44" s="175">
        <f t="shared" si="27"/>
        <v>0</v>
      </c>
      <c r="AT44" s="176">
        <f>AT23+AT26+AT34+AT37+AT43</f>
        <v>0</v>
      </c>
      <c r="AU44" s="175">
        <f t="shared" si="27"/>
        <v>0</v>
      </c>
      <c r="AV44" s="176">
        <f>AV23+AV26+AV34+AV37+AV43</f>
        <v>0</v>
      </c>
      <c r="AW44" s="175">
        <f t="shared" si="27"/>
        <v>2811</v>
      </c>
      <c r="AX44" s="176">
        <f>AX23+AX26+AX34+AX37+AX43</f>
        <v>2811</v>
      </c>
      <c r="AY44" s="175">
        <f t="shared" si="27"/>
        <v>1595</v>
      </c>
      <c r="AZ44" s="176">
        <f>AZ23+AZ26+AZ34+AZ37+AZ43</f>
        <v>1595</v>
      </c>
      <c r="BA44" s="175">
        <f t="shared" si="27"/>
        <v>6000</v>
      </c>
      <c r="BB44" s="176">
        <f>BB23+BB26+BB34+BB37+BB43</f>
        <v>7620</v>
      </c>
      <c r="BC44" s="175">
        <f t="shared" si="27"/>
        <v>875</v>
      </c>
      <c r="BD44" s="176">
        <f>BD23+BD26+BD34+BD37+BD43</f>
        <v>1750</v>
      </c>
      <c r="BE44" s="175">
        <f t="shared" si="27"/>
        <v>914</v>
      </c>
      <c r="BF44" s="176">
        <f>BF23+BF26+BF34+BF37+BF43</f>
        <v>1829</v>
      </c>
      <c r="BG44" s="175">
        <f t="shared" si="27"/>
        <v>2400</v>
      </c>
      <c r="BH44" s="176">
        <f>BH23+BH26+BH34+BH37+BH43</f>
        <v>2400</v>
      </c>
      <c r="BI44" s="175">
        <f t="shared" si="27"/>
        <v>2421</v>
      </c>
      <c r="BJ44" s="176">
        <f>BJ23+BJ26+BJ34+BJ37+BJ43</f>
        <v>2421</v>
      </c>
      <c r="BK44" s="175">
        <f t="shared" si="27"/>
        <v>2136</v>
      </c>
      <c r="BL44" s="176">
        <f>BL23+BL26+BL34+BL37+BL43</f>
        <v>0</v>
      </c>
      <c r="BM44" s="175">
        <f t="shared" si="27"/>
        <v>1200</v>
      </c>
      <c r="BN44" s="176">
        <f>BN23+BN26+BN34+BN37+BN43</f>
        <v>1500</v>
      </c>
      <c r="BO44" s="175">
        <f t="shared" si="27"/>
        <v>15000</v>
      </c>
      <c r="BP44" s="176">
        <f>BP23+BP26+BP34+BP37+BP43</f>
        <v>18847</v>
      </c>
      <c r="BQ44" s="175">
        <f t="shared" si="27"/>
        <v>0</v>
      </c>
      <c r="BR44" s="176">
        <f>BR23+BR26+BR34+BR37+BR43</f>
        <v>0</v>
      </c>
      <c r="BS44" s="175">
        <f t="shared" si="27"/>
        <v>0</v>
      </c>
      <c r="BT44" s="176">
        <f>BT23+BT26+BT34+BT37+BT43</f>
        <v>0</v>
      </c>
      <c r="BU44" s="175">
        <f t="shared" si="27"/>
        <v>0</v>
      </c>
      <c r="BV44" s="176">
        <f>BV23+BV26+BV34+BV37+BV43</f>
        <v>0</v>
      </c>
      <c r="BW44" s="175">
        <f t="shared" si="27"/>
        <v>0</v>
      </c>
      <c r="BX44" s="176">
        <f>BX23+BX26+BX34+BX37+BX43</f>
        <v>0</v>
      </c>
      <c r="BY44" s="175">
        <f t="shared" si="27"/>
        <v>0</v>
      </c>
      <c r="BZ44" s="176">
        <f>BZ23+BZ26+BZ34+BZ37+BZ43</f>
        <v>0</v>
      </c>
      <c r="CA44" s="175">
        <f t="shared" si="27"/>
        <v>0</v>
      </c>
      <c r="CB44" s="176">
        <f>CB23+CB26+CB34+CB37+CB43</f>
        <v>0</v>
      </c>
      <c r="CC44" s="175">
        <f t="shared" si="27"/>
        <v>0</v>
      </c>
      <c r="CD44" s="176">
        <f>CD23+CD26+CD34+CD37+CD43</f>
        <v>0</v>
      </c>
      <c r="CE44" s="175">
        <f>CE23+CE26+CE34+CE37+CE43</f>
        <v>0</v>
      </c>
      <c r="CF44" s="176">
        <f>CF23+CF26+CF34+CF37+CF43</f>
        <v>0</v>
      </c>
      <c r="CG44" s="175">
        <f t="shared" si="27"/>
        <v>0</v>
      </c>
      <c r="CH44" s="176">
        <f>CH23+CH26+CH34+CH37+CH43</f>
        <v>0</v>
      </c>
      <c r="CI44" s="175">
        <f t="shared" si="27"/>
        <v>99832</v>
      </c>
      <c r="CJ44" s="176">
        <f>CJ23+CJ26+CJ34+CJ37+CJ43</f>
        <v>0</v>
      </c>
      <c r="CK44" s="175">
        <f t="shared" si="27"/>
        <v>0</v>
      </c>
      <c r="CL44" s="176">
        <f>CL23+CL26+CL34+CL37+CL43</f>
        <v>0</v>
      </c>
      <c r="CM44" s="175">
        <f t="shared" si="27"/>
        <v>0</v>
      </c>
      <c r="CN44" s="176">
        <f>CN23+CN26+CN34+CN37+CN43</f>
        <v>0</v>
      </c>
      <c r="CO44" s="175">
        <f t="shared" si="27"/>
        <v>0</v>
      </c>
      <c r="CP44" s="176">
        <f>CP23+CP26+CP34+CP37+CP43</f>
        <v>0</v>
      </c>
      <c r="CQ44" s="175">
        <f t="shared" si="27"/>
        <v>0</v>
      </c>
      <c r="CR44" s="176">
        <f>CR23+CR26+CR34+CR37+CR43</f>
        <v>0</v>
      </c>
      <c r="CS44" s="175">
        <f t="shared" si="27"/>
        <v>0</v>
      </c>
      <c r="CT44" s="176">
        <f>CT23+CT26+CT34+CT37+CT43</f>
        <v>650</v>
      </c>
      <c r="CU44" s="175">
        <f t="shared" si="27"/>
        <v>0</v>
      </c>
      <c r="CV44" s="176">
        <f>CV23+CV26+CV34+CV37+CV43</f>
        <v>0</v>
      </c>
      <c r="CW44" s="175">
        <f t="shared" si="27"/>
        <v>0</v>
      </c>
      <c r="CX44" s="176">
        <f>CX23+CX26+CX34+CX37+CX43</f>
        <v>0</v>
      </c>
      <c r="CY44" s="175">
        <f t="shared" si="27"/>
        <v>0</v>
      </c>
      <c r="CZ44" s="176"/>
      <c r="DA44" s="175">
        <f t="shared" si="27"/>
        <v>0</v>
      </c>
      <c r="DB44" s="176"/>
      <c r="DC44" s="175">
        <f t="shared" si="27"/>
        <v>1710</v>
      </c>
      <c r="DD44" s="176">
        <f>DD23+DD26+DD34+DD37+DD43</f>
        <v>2470</v>
      </c>
      <c r="DE44" s="175">
        <f t="shared" si="27"/>
        <v>0</v>
      </c>
      <c r="DF44" s="176">
        <f>DF23+DF26+DF34+DF37+DF43</f>
        <v>0</v>
      </c>
      <c r="DG44" s="175">
        <f t="shared" si="27"/>
        <v>3229</v>
      </c>
      <c r="DH44" s="176">
        <f>DH23+DH26+DH34+DH37+DH43</f>
        <v>16870</v>
      </c>
      <c r="DI44" s="175">
        <f t="shared" si="27"/>
        <v>0</v>
      </c>
      <c r="DJ44" s="176">
        <f>DJ23+DJ26+DJ34+DJ37+DJ43</f>
        <v>0</v>
      </c>
      <c r="DK44" s="175">
        <f t="shared" si="27"/>
        <v>0</v>
      </c>
      <c r="DL44" s="176">
        <f>DL23+DL26+DL34+DL37+DL43</f>
        <v>0</v>
      </c>
      <c r="DM44" s="175">
        <f t="shared" si="27"/>
        <v>2000</v>
      </c>
      <c r="DN44" s="176">
        <f>DN23+DN26+DN34+DN37+DN43</f>
        <v>5000</v>
      </c>
      <c r="DO44" s="175">
        <f t="shared" si="27"/>
        <v>1000</v>
      </c>
      <c r="DP44" s="176">
        <f>DP23+DP26+DP34+DP37+DP43</f>
        <v>1000</v>
      </c>
      <c r="DQ44" s="175">
        <f t="shared" si="27"/>
        <v>0</v>
      </c>
      <c r="DR44" s="176"/>
      <c r="DS44" s="175">
        <f t="shared" si="27"/>
        <v>0</v>
      </c>
      <c r="DT44" s="176">
        <f>DT23+DT26+DT34+DT37+DT43</f>
        <v>0</v>
      </c>
      <c r="DU44" s="175"/>
      <c r="DV44" s="176"/>
    </row>
    <row r="45" spans="1:126" x14ac:dyDescent="0.25">
      <c r="A45" s="171" t="s">
        <v>615</v>
      </c>
      <c r="B45" s="171" t="s">
        <v>631</v>
      </c>
      <c r="C45" s="172">
        <f>SUM(I45:DS45)</f>
        <v>0</v>
      </c>
      <c r="D45" s="173">
        <f t="shared" ref="D45:D105" si="28">F45+H45+J45</f>
        <v>0</v>
      </c>
      <c r="E45" s="172">
        <f t="shared" ref="E45:E52" si="29">K45+M45+O44:O45+Q45+S45+U45+W45+Y45+AA45+AC45+AE45+AI45</f>
        <v>0</v>
      </c>
      <c r="F45" s="173">
        <f t="shared" ref="F45:F52" si="30">L45+N45+P44:P45+R45+T45+V45+X45+Z45+AB45+AD45+AF45+AJ45+AH45</f>
        <v>0</v>
      </c>
      <c r="G45" s="172">
        <f t="shared" ref="G45:H52" si="31">AK45+AM45+AO45+AQ45+AS45+AU45+AW45+AY45+BA45+BC45+BE45+BG45+BI45+BK45+BM45+BO45+BQ45+BS45+BU45+BW45+BY45+CA45+CC45+CE45+CG45+CI45+CK45+CM45+CO45+CQ45+CS45+CU45+CW45+DA45+CY45+DC45+DE45+DG45+DI45+DK45+DM45+DO45+DQ45+DS45+DU45</f>
        <v>0</v>
      </c>
      <c r="H45" s="173">
        <f t="shared" si="31"/>
        <v>0</v>
      </c>
      <c r="I45" s="172"/>
      <c r="J45" s="173"/>
      <c r="K45" s="172"/>
      <c r="L45" s="173"/>
      <c r="M45" s="172"/>
      <c r="N45" s="173"/>
      <c r="O45" s="172"/>
      <c r="P45" s="173"/>
      <c r="Q45" s="172"/>
      <c r="R45" s="173"/>
      <c r="S45" s="172"/>
      <c r="T45" s="173"/>
      <c r="U45" s="172"/>
      <c r="V45" s="173"/>
      <c r="W45" s="172"/>
      <c r="X45" s="173"/>
      <c r="Y45" s="172"/>
      <c r="Z45" s="173"/>
      <c r="AA45" s="172"/>
      <c r="AB45" s="173"/>
      <c r="AC45" s="172"/>
      <c r="AD45" s="173"/>
      <c r="AE45" s="172"/>
      <c r="AF45" s="173"/>
      <c r="AG45" s="172"/>
      <c r="AH45" s="173"/>
      <c r="AI45" s="172"/>
      <c r="AJ45" s="173"/>
      <c r="AK45" s="172"/>
      <c r="AL45" s="173"/>
      <c r="AM45" s="172"/>
      <c r="AN45" s="173"/>
      <c r="AO45" s="172"/>
      <c r="AP45" s="173"/>
      <c r="AQ45" s="172"/>
      <c r="AR45" s="173"/>
      <c r="AS45" s="172"/>
      <c r="AT45" s="173"/>
      <c r="AU45" s="172"/>
      <c r="AV45" s="173"/>
      <c r="AW45" s="172"/>
      <c r="AX45" s="173"/>
      <c r="AY45" s="172"/>
      <c r="AZ45" s="173"/>
      <c r="BA45" s="172"/>
      <c r="BB45" s="173"/>
      <c r="BC45" s="172"/>
      <c r="BD45" s="173"/>
      <c r="BE45" s="172"/>
      <c r="BF45" s="173"/>
      <c r="BG45" s="172"/>
      <c r="BH45" s="173"/>
      <c r="BI45" s="172"/>
      <c r="BJ45" s="173"/>
      <c r="BK45" s="172"/>
      <c r="BL45" s="173"/>
      <c r="BM45" s="172"/>
      <c r="BN45" s="173"/>
      <c r="BO45" s="172"/>
      <c r="BP45" s="173"/>
      <c r="BQ45" s="172"/>
      <c r="BR45" s="173"/>
      <c r="BS45" s="172"/>
      <c r="BT45" s="173"/>
      <c r="BU45" s="172"/>
      <c r="BV45" s="173"/>
      <c r="BW45" s="172"/>
      <c r="BX45" s="173"/>
      <c r="BY45" s="172"/>
      <c r="BZ45" s="173"/>
      <c r="CA45" s="172"/>
      <c r="CB45" s="173"/>
      <c r="CC45" s="172"/>
      <c r="CD45" s="173"/>
      <c r="CE45" s="172"/>
      <c r="CF45" s="173"/>
      <c r="CG45" s="172"/>
      <c r="CH45" s="173"/>
      <c r="CI45" s="172"/>
      <c r="CJ45" s="173"/>
      <c r="CK45" s="172"/>
      <c r="CL45" s="173"/>
      <c r="CM45" s="172"/>
      <c r="CN45" s="173"/>
      <c r="CO45" s="172"/>
      <c r="CP45" s="173"/>
      <c r="CQ45" s="172"/>
      <c r="CR45" s="173"/>
      <c r="CS45" s="172"/>
      <c r="CT45" s="173"/>
      <c r="CU45" s="172"/>
      <c r="CV45" s="173"/>
      <c r="CW45" s="172"/>
      <c r="CX45" s="173"/>
      <c r="CY45" s="172"/>
      <c r="CZ45" s="173"/>
      <c r="DA45" s="172"/>
      <c r="DB45" s="173"/>
      <c r="DC45" s="172"/>
      <c r="DD45" s="173"/>
      <c r="DE45" s="172"/>
      <c r="DF45" s="173"/>
      <c r="DG45" s="172"/>
      <c r="DH45" s="173"/>
      <c r="DI45" s="172"/>
      <c r="DJ45" s="173"/>
      <c r="DK45" s="172"/>
      <c r="DL45" s="173"/>
      <c r="DM45" s="172"/>
      <c r="DN45" s="173"/>
      <c r="DO45" s="172"/>
      <c r="DP45" s="173"/>
      <c r="DQ45" s="172"/>
      <c r="DR45" s="173"/>
      <c r="DS45" s="172"/>
      <c r="DT45" s="173"/>
      <c r="DU45" s="172"/>
      <c r="DV45" s="173"/>
    </row>
    <row r="46" spans="1:126" x14ac:dyDescent="0.25">
      <c r="A46" s="171" t="s">
        <v>616</v>
      </c>
      <c r="B46" s="171" t="s">
        <v>632</v>
      </c>
      <c r="C46" s="172">
        <f t="shared" ref="C46:C105" si="32">SUM(I46:DS46)</f>
        <v>2500</v>
      </c>
      <c r="D46" s="173">
        <f t="shared" si="28"/>
        <v>2500</v>
      </c>
      <c r="E46" s="172">
        <f t="shared" si="29"/>
        <v>0</v>
      </c>
      <c r="F46" s="173">
        <f t="shared" si="30"/>
        <v>0</v>
      </c>
      <c r="G46" s="172">
        <f t="shared" si="31"/>
        <v>0</v>
      </c>
      <c r="H46" s="173">
        <f t="shared" si="31"/>
        <v>2500</v>
      </c>
      <c r="I46" s="172"/>
      <c r="J46" s="173"/>
      <c r="K46" s="172"/>
      <c r="L46" s="173"/>
      <c r="M46" s="172"/>
      <c r="N46" s="173"/>
      <c r="O46" s="172"/>
      <c r="P46" s="173"/>
      <c r="Q46" s="172"/>
      <c r="R46" s="173"/>
      <c r="S46" s="172"/>
      <c r="T46" s="173"/>
      <c r="U46" s="172"/>
      <c r="V46" s="173"/>
      <c r="W46" s="172"/>
      <c r="X46" s="173"/>
      <c r="Y46" s="172"/>
      <c r="Z46" s="173"/>
      <c r="AA46" s="172"/>
      <c r="AB46" s="173"/>
      <c r="AC46" s="172"/>
      <c r="AD46" s="173"/>
      <c r="AE46" s="172"/>
      <c r="AF46" s="173"/>
      <c r="AG46" s="172"/>
      <c r="AH46" s="173"/>
      <c r="AI46" s="172"/>
      <c r="AJ46" s="173"/>
      <c r="AK46" s="172"/>
      <c r="AL46" s="173"/>
      <c r="AM46" s="172"/>
      <c r="AN46" s="173"/>
      <c r="AO46" s="172"/>
      <c r="AP46" s="173"/>
      <c r="AQ46" s="172"/>
      <c r="AR46" s="173"/>
      <c r="AS46" s="172"/>
      <c r="AT46" s="173"/>
      <c r="AU46" s="172"/>
      <c r="AV46" s="173"/>
      <c r="AW46" s="172"/>
      <c r="AX46" s="173"/>
      <c r="AY46" s="172"/>
      <c r="AZ46" s="173"/>
      <c r="BA46" s="172"/>
      <c r="BB46" s="173"/>
      <c r="BC46" s="172"/>
      <c r="BD46" s="173"/>
      <c r="BE46" s="172"/>
      <c r="BF46" s="173"/>
      <c r="BG46" s="172"/>
      <c r="BH46" s="173"/>
      <c r="BI46" s="172"/>
      <c r="BJ46" s="173"/>
      <c r="BK46" s="172"/>
      <c r="BL46" s="173"/>
      <c r="BM46" s="172"/>
      <c r="BN46" s="173"/>
      <c r="BO46" s="172"/>
      <c r="BP46" s="173"/>
      <c r="BQ46" s="172"/>
      <c r="BR46" s="173"/>
      <c r="BS46" s="172"/>
      <c r="BT46" s="173"/>
      <c r="BU46" s="172"/>
      <c r="BV46" s="173"/>
      <c r="BW46" s="172"/>
      <c r="BX46" s="173"/>
      <c r="BY46" s="172"/>
      <c r="BZ46" s="173"/>
      <c r="CA46" s="172"/>
      <c r="CB46" s="173"/>
      <c r="CC46" s="172"/>
      <c r="CD46" s="173"/>
      <c r="CE46" s="172"/>
      <c r="CF46" s="173"/>
      <c r="CG46" s="172"/>
      <c r="CH46" s="173"/>
      <c r="CI46" s="172"/>
      <c r="CJ46" s="173"/>
      <c r="CK46" s="172"/>
      <c r="CL46" s="173"/>
      <c r="CM46" s="172"/>
      <c r="CN46" s="173"/>
      <c r="CO46" s="172"/>
      <c r="CP46" s="173"/>
      <c r="CQ46" s="172"/>
      <c r="CR46" s="173"/>
      <c r="CS46" s="172"/>
      <c r="CT46" s="173"/>
      <c r="CU46" s="172"/>
      <c r="CV46" s="173"/>
      <c r="CW46" s="172"/>
      <c r="CX46" s="173"/>
      <c r="CY46" s="172"/>
      <c r="CZ46" s="173"/>
      <c r="DA46" s="172"/>
      <c r="DB46" s="173"/>
      <c r="DC46" s="172"/>
      <c r="DD46" s="173"/>
      <c r="DE46" s="172"/>
      <c r="DF46" s="173">
        <v>2500</v>
      </c>
      <c r="DG46" s="172"/>
      <c r="DH46" s="173"/>
      <c r="DI46" s="172"/>
      <c r="DJ46" s="173"/>
      <c r="DK46" s="172"/>
      <c r="DL46" s="173"/>
      <c r="DM46" s="172"/>
      <c r="DN46" s="173"/>
      <c r="DO46" s="172"/>
      <c r="DP46" s="173"/>
      <c r="DQ46" s="172"/>
      <c r="DR46" s="173"/>
      <c r="DS46" s="172"/>
      <c r="DT46" s="173"/>
      <c r="DU46" s="172"/>
      <c r="DV46" s="173"/>
    </row>
    <row r="47" spans="1:126" x14ac:dyDescent="0.25">
      <c r="A47" s="171" t="s">
        <v>617</v>
      </c>
      <c r="B47" s="171" t="s">
        <v>633</v>
      </c>
      <c r="C47" s="172">
        <f t="shared" si="32"/>
        <v>0</v>
      </c>
      <c r="D47" s="173">
        <f t="shared" si="28"/>
        <v>0</v>
      </c>
      <c r="E47" s="172">
        <f t="shared" si="29"/>
        <v>0</v>
      </c>
      <c r="F47" s="173">
        <f t="shared" si="30"/>
        <v>0</v>
      </c>
      <c r="G47" s="172">
        <f t="shared" si="31"/>
        <v>0</v>
      </c>
      <c r="H47" s="173">
        <f t="shared" si="31"/>
        <v>0</v>
      </c>
      <c r="I47" s="172"/>
      <c r="J47" s="173"/>
      <c r="K47" s="172"/>
      <c r="L47" s="173"/>
      <c r="M47" s="172"/>
      <c r="N47" s="173"/>
      <c r="O47" s="172"/>
      <c r="P47" s="173"/>
      <c r="Q47" s="172"/>
      <c r="R47" s="173"/>
      <c r="S47" s="172"/>
      <c r="T47" s="173"/>
      <c r="U47" s="172"/>
      <c r="V47" s="173"/>
      <c r="W47" s="172"/>
      <c r="X47" s="173"/>
      <c r="Y47" s="172"/>
      <c r="Z47" s="173"/>
      <c r="AA47" s="172"/>
      <c r="AB47" s="173"/>
      <c r="AC47" s="172"/>
      <c r="AD47" s="173"/>
      <c r="AE47" s="172"/>
      <c r="AF47" s="173"/>
      <c r="AG47" s="172"/>
      <c r="AH47" s="173"/>
      <c r="AI47" s="172"/>
      <c r="AJ47" s="173"/>
      <c r="AK47" s="172"/>
      <c r="AL47" s="173"/>
      <c r="AM47" s="172"/>
      <c r="AN47" s="173"/>
      <c r="AO47" s="172"/>
      <c r="AP47" s="173"/>
      <c r="AQ47" s="172"/>
      <c r="AR47" s="173"/>
      <c r="AS47" s="172"/>
      <c r="AT47" s="173"/>
      <c r="AU47" s="172"/>
      <c r="AV47" s="173"/>
      <c r="AW47" s="172"/>
      <c r="AX47" s="173"/>
      <c r="AY47" s="172"/>
      <c r="AZ47" s="173"/>
      <c r="BA47" s="172"/>
      <c r="BB47" s="173"/>
      <c r="BC47" s="172"/>
      <c r="BD47" s="173"/>
      <c r="BE47" s="172"/>
      <c r="BF47" s="173"/>
      <c r="BG47" s="172"/>
      <c r="BH47" s="173"/>
      <c r="BI47" s="172"/>
      <c r="BJ47" s="173"/>
      <c r="BK47" s="172"/>
      <c r="BL47" s="173"/>
      <c r="BM47" s="172"/>
      <c r="BN47" s="173"/>
      <c r="BO47" s="172"/>
      <c r="BP47" s="173"/>
      <c r="BQ47" s="172"/>
      <c r="BR47" s="173"/>
      <c r="BS47" s="172"/>
      <c r="BT47" s="173"/>
      <c r="BU47" s="172"/>
      <c r="BV47" s="173"/>
      <c r="BW47" s="172"/>
      <c r="BX47" s="173"/>
      <c r="BY47" s="172"/>
      <c r="BZ47" s="173"/>
      <c r="CA47" s="172"/>
      <c r="CB47" s="173"/>
      <c r="CC47" s="172"/>
      <c r="CD47" s="173"/>
      <c r="CE47" s="172"/>
      <c r="CF47" s="173"/>
      <c r="CG47" s="172"/>
      <c r="CH47" s="173"/>
      <c r="CI47" s="172"/>
      <c r="CJ47" s="173"/>
      <c r="CK47" s="172"/>
      <c r="CL47" s="173"/>
      <c r="CM47" s="172"/>
      <c r="CN47" s="173"/>
      <c r="CO47" s="172"/>
      <c r="CP47" s="173"/>
      <c r="CQ47" s="172"/>
      <c r="CR47" s="173"/>
      <c r="CS47" s="172"/>
      <c r="CT47" s="173"/>
      <c r="CU47" s="172"/>
      <c r="CV47" s="173"/>
      <c r="CW47" s="172"/>
      <c r="CX47" s="173"/>
      <c r="CY47" s="172"/>
      <c r="CZ47" s="173"/>
      <c r="DA47" s="172"/>
      <c r="DB47" s="173"/>
      <c r="DC47" s="172"/>
      <c r="DD47" s="173"/>
      <c r="DE47" s="172"/>
      <c r="DF47" s="173"/>
      <c r="DG47" s="172"/>
      <c r="DH47" s="173"/>
      <c r="DI47" s="172"/>
      <c r="DJ47" s="173"/>
      <c r="DK47" s="172"/>
      <c r="DL47" s="173"/>
      <c r="DM47" s="172"/>
      <c r="DN47" s="173"/>
      <c r="DO47" s="172"/>
      <c r="DP47" s="173"/>
      <c r="DQ47" s="172"/>
      <c r="DR47" s="173"/>
      <c r="DS47" s="172"/>
      <c r="DT47" s="173"/>
      <c r="DU47" s="172"/>
      <c r="DV47" s="173"/>
    </row>
    <row r="48" spans="1:126" x14ac:dyDescent="0.25">
      <c r="A48" s="171" t="s">
        <v>618</v>
      </c>
      <c r="B48" s="171" t="s">
        <v>885</v>
      </c>
      <c r="C48" s="172">
        <f t="shared" si="32"/>
        <v>12500</v>
      </c>
      <c r="D48" s="173">
        <f t="shared" si="28"/>
        <v>7500</v>
      </c>
      <c r="E48" s="172">
        <f t="shared" si="29"/>
        <v>0</v>
      </c>
      <c r="F48" s="173">
        <f t="shared" si="30"/>
        <v>0</v>
      </c>
      <c r="G48" s="172">
        <f t="shared" si="31"/>
        <v>5000</v>
      </c>
      <c r="H48" s="173">
        <f t="shared" si="31"/>
        <v>7500</v>
      </c>
      <c r="I48" s="172"/>
      <c r="J48" s="173"/>
      <c r="K48" s="172"/>
      <c r="L48" s="173"/>
      <c r="M48" s="172"/>
      <c r="N48" s="173"/>
      <c r="O48" s="172"/>
      <c r="P48" s="173"/>
      <c r="Q48" s="172"/>
      <c r="R48" s="173"/>
      <c r="S48" s="172"/>
      <c r="T48" s="173"/>
      <c r="U48" s="172"/>
      <c r="V48" s="173"/>
      <c r="W48" s="172"/>
      <c r="X48" s="173"/>
      <c r="Y48" s="172"/>
      <c r="Z48" s="173"/>
      <c r="AA48" s="172"/>
      <c r="AB48" s="173"/>
      <c r="AC48" s="172"/>
      <c r="AD48" s="173"/>
      <c r="AE48" s="172"/>
      <c r="AF48" s="173"/>
      <c r="AG48" s="172"/>
      <c r="AH48" s="173"/>
      <c r="AI48" s="172"/>
      <c r="AJ48" s="173"/>
      <c r="AK48" s="172"/>
      <c r="AL48" s="173"/>
      <c r="AM48" s="172"/>
      <c r="AN48" s="173"/>
      <c r="AO48" s="172"/>
      <c r="AP48" s="173"/>
      <c r="AQ48" s="172"/>
      <c r="AR48" s="173"/>
      <c r="AS48" s="172"/>
      <c r="AT48" s="173"/>
      <c r="AU48" s="172"/>
      <c r="AV48" s="173"/>
      <c r="AW48" s="172"/>
      <c r="AX48" s="173"/>
      <c r="AY48" s="172"/>
      <c r="AZ48" s="173"/>
      <c r="BA48" s="172"/>
      <c r="BB48" s="173"/>
      <c r="BC48" s="172"/>
      <c r="BD48" s="173"/>
      <c r="BE48" s="172"/>
      <c r="BF48" s="173"/>
      <c r="BG48" s="172"/>
      <c r="BH48" s="173"/>
      <c r="BI48" s="172"/>
      <c r="BJ48" s="173"/>
      <c r="BK48" s="172"/>
      <c r="BL48" s="173"/>
      <c r="BM48" s="172"/>
      <c r="BN48" s="173"/>
      <c r="BO48" s="172"/>
      <c r="BP48" s="173"/>
      <c r="BQ48" s="172"/>
      <c r="BR48" s="173"/>
      <c r="BS48" s="172"/>
      <c r="BT48" s="173"/>
      <c r="BU48" s="172"/>
      <c r="BV48" s="173"/>
      <c r="BW48" s="172"/>
      <c r="BX48" s="173"/>
      <c r="BY48" s="172"/>
      <c r="BZ48" s="173"/>
      <c r="CA48" s="172"/>
      <c r="CB48" s="173"/>
      <c r="CC48" s="172"/>
      <c r="CD48" s="173"/>
      <c r="CE48" s="172"/>
      <c r="CF48" s="173"/>
      <c r="CG48" s="172"/>
      <c r="CH48" s="173"/>
      <c r="CI48" s="172"/>
      <c r="CJ48" s="173"/>
      <c r="CK48" s="172"/>
      <c r="CL48" s="173"/>
      <c r="CM48" s="172"/>
      <c r="CN48" s="173"/>
      <c r="CO48" s="172"/>
      <c r="CP48" s="173"/>
      <c r="CQ48" s="172"/>
      <c r="CR48" s="173"/>
      <c r="CS48" s="172"/>
      <c r="CT48" s="173"/>
      <c r="CU48" s="172"/>
      <c r="CV48" s="173"/>
      <c r="CW48" s="172"/>
      <c r="CX48" s="173"/>
      <c r="CY48" s="172"/>
      <c r="CZ48" s="173"/>
      <c r="DA48" s="172"/>
      <c r="DB48" s="173"/>
      <c r="DC48" s="172"/>
      <c r="DD48" s="173"/>
      <c r="DE48" s="172">
        <v>5000</v>
      </c>
      <c r="DF48" s="173">
        <f>6000+1500</f>
        <v>7500</v>
      </c>
      <c r="DG48" s="172"/>
      <c r="DH48" s="173"/>
      <c r="DI48" s="172"/>
      <c r="DJ48" s="173"/>
      <c r="DK48" s="172"/>
      <c r="DL48" s="173"/>
      <c r="DM48" s="172"/>
      <c r="DN48" s="173"/>
      <c r="DO48" s="172"/>
      <c r="DP48" s="173"/>
      <c r="DQ48" s="172"/>
      <c r="DR48" s="173"/>
      <c r="DS48" s="172"/>
      <c r="DT48" s="173"/>
      <c r="DU48" s="172"/>
      <c r="DV48" s="173"/>
    </row>
    <row r="49" spans="1:126" x14ac:dyDescent="0.25">
      <c r="A49" s="171" t="s">
        <v>619</v>
      </c>
      <c r="B49" s="171" t="s">
        <v>886</v>
      </c>
      <c r="C49" s="172">
        <f t="shared" si="32"/>
        <v>0</v>
      </c>
      <c r="D49" s="173">
        <f t="shared" si="28"/>
        <v>0</v>
      </c>
      <c r="E49" s="172">
        <f t="shared" si="29"/>
        <v>0</v>
      </c>
      <c r="F49" s="173">
        <f t="shared" si="30"/>
        <v>0</v>
      </c>
      <c r="G49" s="172">
        <f t="shared" si="31"/>
        <v>0</v>
      </c>
      <c r="H49" s="173">
        <f t="shared" si="31"/>
        <v>0</v>
      </c>
      <c r="I49" s="172"/>
      <c r="J49" s="173"/>
      <c r="K49" s="172"/>
      <c r="L49" s="173"/>
      <c r="M49" s="172"/>
      <c r="N49" s="173"/>
      <c r="O49" s="172"/>
      <c r="P49" s="173"/>
      <c r="Q49" s="172"/>
      <c r="R49" s="173"/>
      <c r="S49" s="172"/>
      <c r="T49" s="173"/>
      <c r="U49" s="172"/>
      <c r="V49" s="173"/>
      <c r="W49" s="172"/>
      <c r="X49" s="173"/>
      <c r="Y49" s="172"/>
      <c r="Z49" s="173"/>
      <c r="AA49" s="172"/>
      <c r="AB49" s="173"/>
      <c r="AC49" s="172"/>
      <c r="AD49" s="173"/>
      <c r="AE49" s="172"/>
      <c r="AF49" s="173"/>
      <c r="AG49" s="172"/>
      <c r="AH49" s="173"/>
      <c r="AI49" s="172"/>
      <c r="AJ49" s="173"/>
      <c r="AK49" s="172"/>
      <c r="AL49" s="173"/>
      <c r="AM49" s="172"/>
      <c r="AN49" s="173"/>
      <c r="AO49" s="172"/>
      <c r="AP49" s="173"/>
      <c r="AQ49" s="172"/>
      <c r="AR49" s="173"/>
      <c r="AS49" s="172"/>
      <c r="AT49" s="173"/>
      <c r="AU49" s="172"/>
      <c r="AV49" s="173"/>
      <c r="AW49" s="172"/>
      <c r="AX49" s="173"/>
      <c r="AY49" s="172"/>
      <c r="AZ49" s="173"/>
      <c r="BA49" s="172"/>
      <c r="BB49" s="173"/>
      <c r="BC49" s="172"/>
      <c r="BD49" s="173"/>
      <c r="BE49" s="172"/>
      <c r="BF49" s="173"/>
      <c r="BG49" s="172"/>
      <c r="BH49" s="173"/>
      <c r="BI49" s="172"/>
      <c r="BJ49" s="173"/>
      <c r="BK49" s="172"/>
      <c r="BL49" s="173"/>
      <c r="BM49" s="172"/>
      <c r="BN49" s="173"/>
      <c r="BO49" s="172"/>
      <c r="BP49" s="173"/>
      <c r="BQ49" s="172"/>
      <c r="BR49" s="173"/>
      <c r="BS49" s="172"/>
      <c r="BT49" s="173"/>
      <c r="BU49" s="172"/>
      <c r="BV49" s="173"/>
      <c r="BW49" s="172"/>
      <c r="BX49" s="173"/>
      <c r="BY49" s="172"/>
      <c r="BZ49" s="173"/>
      <c r="CA49" s="172"/>
      <c r="CB49" s="173"/>
      <c r="CC49" s="172"/>
      <c r="CD49" s="173"/>
      <c r="CE49" s="172"/>
      <c r="CF49" s="173"/>
      <c r="CG49" s="172"/>
      <c r="CH49" s="173"/>
      <c r="CI49" s="172"/>
      <c r="CJ49" s="173"/>
      <c r="CK49" s="172"/>
      <c r="CL49" s="173"/>
      <c r="CM49" s="172"/>
      <c r="CN49" s="173"/>
      <c r="CO49" s="172"/>
      <c r="CP49" s="173"/>
      <c r="CQ49" s="172"/>
      <c r="CR49" s="173"/>
      <c r="CS49" s="172"/>
      <c r="CT49" s="173"/>
      <c r="CU49" s="172"/>
      <c r="CV49" s="173"/>
      <c r="CW49" s="172"/>
      <c r="CX49" s="173"/>
      <c r="CY49" s="172"/>
      <c r="CZ49" s="173"/>
      <c r="DA49" s="172"/>
      <c r="DB49" s="173"/>
      <c r="DC49" s="172"/>
      <c r="DD49" s="173"/>
      <c r="DE49" s="172"/>
      <c r="DF49" s="173"/>
      <c r="DG49" s="172"/>
      <c r="DH49" s="173"/>
      <c r="DI49" s="172"/>
      <c r="DJ49" s="173"/>
      <c r="DK49" s="172"/>
      <c r="DL49" s="173"/>
      <c r="DM49" s="172"/>
      <c r="DN49" s="173"/>
      <c r="DO49" s="172"/>
      <c r="DP49" s="173"/>
      <c r="DQ49" s="172"/>
      <c r="DR49" s="173"/>
      <c r="DS49" s="172"/>
      <c r="DT49" s="173"/>
      <c r="DU49" s="172"/>
      <c r="DV49" s="173"/>
    </row>
    <row r="50" spans="1:126" x14ac:dyDescent="0.25">
      <c r="A50" s="171" t="s">
        <v>620</v>
      </c>
      <c r="B50" s="171" t="s">
        <v>636</v>
      </c>
      <c r="C50" s="172">
        <f t="shared" si="32"/>
        <v>8840</v>
      </c>
      <c r="D50" s="173">
        <f t="shared" si="28"/>
        <v>8840</v>
      </c>
      <c r="E50" s="172">
        <f t="shared" si="29"/>
        <v>0</v>
      </c>
      <c r="F50" s="173">
        <f t="shared" si="30"/>
        <v>0</v>
      </c>
      <c r="G50" s="172">
        <f t="shared" si="31"/>
        <v>0</v>
      </c>
      <c r="H50" s="173">
        <f t="shared" si="31"/>
        <v>8840</v>
      </c>
      <c r="I50" s="172"/>
      <c r="J50" s="173"/>
      <c r="K50" s="172"/>
      <c r="L50" s="173"/>
      <c r="M50" s="172"/>
      <c r="N50" s="173"/>
      <c r="O50" s="172"/>
      <c r="P50" s="173"/>
      <c r="Q50" s="172"/>
      <c r="R50" s="173"/>
      <c r="S50" s="172"/>
      <c r="T50" s="173"/>
      <c r="U50" s="172"/>
      <c r="V50" s="173"/>
      <c r="W50" s="172"/>
      <c r="X50" s="173"/>
      <c r="Y50" s="172"/>
      <c r="Z50" s="173"/>
      <c r="AA50" s="172"/>
      <c r="AB50" s="173"/>
      <c r="AC50" s="172"/>
      <c r="AD50" s="173"/>
      <c r="AE50" s="172"/>
      <c r="AF50" s="173"/>
      <c r="AG50" s="172"/>
      <c r="AH50" s="173"/>
      <c r="AI50" s="172"/>
      <c r="AJ50" s="173"/>
      <c r="AK50" s="172"/>
      <c r="AL50" s="173"/>
      <c r="AM50" s="172"/>
      <c r="AN50" s="173"/>
      <c r="AO50" s="172"/>
      <c r="AP50" s="173"/>
      <c r="AQ50" s="172"/>
      <c r="AR50" s="173"/>
      <c r="AS50" s="172"/>
      <c r="AT50" s="173"/>
      <c r="AU50" s="172"/>
      <c r="AV50" s="173"/>
      <c r="AW50" s="172"/>
      <c r="AX50" s="173"/>
      <c r="AY50" s="172"/>
      <c r="AZ50" s="173"/>
      <c r="BA50" s="172"/>
      <c r="BB50" s="173"/>
      <c r="BC50" s="172"/>
      <c r="BD50" s="173"/>
      <c r="BE50" s="172"/>
      <c r="BF50" s="173"/>
      <c r="BG50" s="172"/>
      <c r="BH50" s="173"/>
      <c r="BI50" s="172"/>
      <c r="BJ50" s="173"/>
      <c r="BK50" s="172"/>
      <c r="BL50" s="173"/>
      <c r="BM50" s="172"/>
      <c r="BN50" s="173"/>
      <c r="BO50" s="172"/>
      <c r="BP50" s="173"/>
      <c r="BQ50" s="172"/>
      <c r="BR50" s="173"/>
      <c r="BS50" s="172"/>
      <c r="BT50" s="173"/>
      <c r="BU50" s="172"/>
      <c r="BV50" s="173"/>
      <c r="BW50" s="172"/>
      <c r="BX50" s="173"/>
      <c r="BY50" s="172"/>
      <c r="BZ50" s="173"/>
      <c r="CA50" s="172"/>
      <c r="CB50" s="173"/>
      <c r="CC50" s="172"/>
      <c r="CD50" s="173"/>
      <c r="CE50" s="172"/>
      <c r="CF50" s="173"/>
      <c r="CG50" s="172"/>
      <c r="CH50" s="173"/>
      <c r="CI50" s="172"/>
      <c r="CJ50" s="173"/>
      <c r="CK50" s="172"/>
      <c r="CL50" s="173"/>
      <c r="CM50" s="172"/>
      <c r="CN50" s="173"/>
      <c r="CO50" s="172"/>
      <c r="CP50" s="173"/>
      <c r="CQ50" s="172"/>
      <c r="CR50" s="173"/>
      <c r="CS50" s="172"/>
      <c r="CT50" s="173"/>
      <c r="CU50" s="172"/>
      <c r="CV50" s="173"/>
      <c r="CW50" s="172"/>
      <c r="CX50" s="173"/>
      <c r="CY50" s="172"/>
      <c r="CZ50" s="173"/>
      <c r="DA50" s="172"/>
      <c r="DB50" s="173"/>
      <c r="DC50" s="172"/>
      <c r="DD50" s="173"/>
      <c r="DE50" s="172"/>
      <c r="DF50" s="173">
        <f>6840+2000</f>
        <v>8840</v>
      </c>
      <c r="DG50" s="172"/>
      <c r="DH50" s="173"/>
      <c r="DI50" s="172"/>
      <c r="DJ50" s="173"/>
      <c r="DK50" s="172"/>
      <c r="DL50" s="173"/>
      <c r="DM50" s="172"/>
      <c r="DN50" s="173"/>
      <c r="DO50" s="172"/>
      <c r="DP50" s="173"/>
      <c r="DQ50" s="172"/>
      <c r="DR50" s="173"/>
      <c r="DS50" s="172"/>
      <c r="DT50" s="173"/>
      <c r="DU50" s="172"/>
      <c r="DV50" s="173"/>
    </row>
    <row r="51" spans="1:126" x14ac:dyDescent="0.25">
      <c r="A51" s="171" t="s">
        <v>621</v>
      </c>
      <c r="B51" s="171" t="s">
        <v>637</v>
      </c>
      <c r="C51" s="172">
        <f t="shared" si="32"/>
        <v>0</v>
      </c>
      <c r="D51" s="173">
        <f t="shared" si="28"/>
        <v>0</v>
      </c>
      <c r="E51" s="172">
        <f t="shared" si="29"/>
        <v>0</v>
      </c>
      <c r="F51" s="173">
        <f t="shared" si="30"/>
        <v>0</v>
      </c>
      <c r="G51" s="172">
        <f t="shared" si="31"/>
        <v>0</v>
      </c>
      <c r="H51" s="173">
        <f t="shared" si="31"/>
        <v>0</v>
      </c>
      <c r="I51" s="172"/>
      <c r="J51" s="173"/>
      <c r="K51" s="172"/>
      <c r="L51" s="173"/>
      <c r="M51" s="172"/>
      <c r="N51" s="173"/>
      <c r="O51" s="172"/>
      <c r="P51" s="173"/>
      <c r="Q51" s="172"/>
      <c r="R51" s="173"/>
      <c r="S51" s="172"/>
      <c r="T51" s="173"/>
      <c r="U51" s="172"/>
      <c r="V51" s="173"/>
      <c r="W51" s="172"/>
      <c r="X51" s="173"/>
      <c r="Y51" s="172"/>
      <c r="Z51" s="173"/>
      <c r="AA51" s="172"/>
      <c r="AB51" s="173"/>
      <c r="AC51" s="172"/>
      <c r="AD51" s="173"/>
      <c r="AE51" s="172"/>
      <c r="AF51" s="173"/>
      <c r="AG51" s="172"/>
      <c r="AH51" s="173"/>
      <c r="AI51" s="172"/>
      <c r="AJ51" s="173"/>
      <c r="AK51" s="172"/>
      <c r="AL51" s="173"/>
      <c r="AM51" s="172"/>
      <c r="AN51" s="173"/>
      <c r="AO51" s="172"/>
      <c r="AP51" s="173"/>
      <c r="AQ51" s="172"/>
      <c r="AR51" s="173"/>
      <c r="AS51" s="172"/>
      <c r="AT51" s="173"/>
      <c r="AU51" s="172"/>
      <c r="AV51" s="173"/>
      <c r="AW51" s="172"/>
      <c r="AX51" s="173"/>
      <c r="AY51" s="172"/>
      <c r="AZ51" s="173"/>
      <c r="BA51" s="172"/>
      <c r="BB51" s="173"/>
      <c r="BC51" s="172"/>
      <c r="BD51" s="173"/>
      <c r="BE51" s="172"/>
      <c r="BF51" s="173"/>
      <c r="BG51" s="172"/>
      <c r="BH51" s="173"/>
      <c r="BI51" s="172"/>
      <c r="BJ51" s="173"/>
      <c r="BK51" s="172"/>
      <c r="BL51" s="173"/>
      <c r="BM51" s="172"/>
      <c r="BN51" s="173"/>
      <c r="BO51" s="172"/>
      <c r="BP51" s="173"/>
      <c r="BQ51" s="172"/>
      <c r="BR51" s="173"/>
      <c r="BS51" s="172"/>
      <c r="BT51" s="173"/>
      <c r="BU51" s="172"/>
      <c r="BV51" s="173"/>
      <c r="BW51" s="172"/>
      <c r="BX51" s="173"/>
      <c r="BY51" s="172"/>
      <c r="BZ51" s="173"/>
      <c r="CA51" s="172"/>
      <c r="CB51" s="173"/>
      <c r="CC51" s="172"/>
      <c r="CD51" s="173"/>
      <c r="CE51" s="172"/>
      <c r="CF51" s="173"/>
      <c r="CG51" s="172"/>
      <c r="CH51" s="173"/>
      <c r="CI51" s="172"/>
      <c r="CJ51" s="173"/>
      <c r="CK51" s="172"/>
      <c r="CL51" s="173"/>
      <c r="CM51" s="172"/>
      <c r="CN51" s="173"/>
      <c r="CO51" s="172"/>
      <c r="CP51" s="173"/>
      <c r="CQ51" s="172"/>
      <c r="CR51" s="173"/>
      <c r="CS51" s="172"/>
      <c r="CT51" s="173"/>
      <c r="CU51" s="172"/>
      <c r="CV51" s="173"/>
      <c r="CW51" s="172"/>
      <c r="CX51" s="173"/>
      <c r="CY51" s="172"/>
      <c r="CZ51" s="173"/>
      <c r="DA51" s="172"/>
      <c r="DB51" s="173"/>
      <c r="DC51" s="172"/>
      <c r="DD51" s="173"/>
      <c r="DE51" s="172"/>
      <c r="DF51" s="173"/>
      <c r="DG51" s="172"/>
      <c r="DH51" s="173"/>
      <c r="DI51" s="172"/>
      <c r="DJ51" s="173"/>
      <c r="DK51" s="172"/>
      <c r="DL51" s="173"/>
      <c r="DM51" s="172"/>
      <c r="DN51" s="173"/>
      <c r="DO51" s="172"/>
      <c r="DP51" s="173"/>
      <c r="DQ51" s="172"/>
      <c r="DR51" s="173"/>
      <c r="DS51" s="172"/>
      <c r="DT51" s="173"/>
      <c r="DU51" s="172"/>
      <c r="DV51" s="173"/>
    </row>
    <row r="52" spans="1:126" x14ac:dyDescent="0.25">
      <c r="A52" s="171" t="s">
        <v>622</v>
      </c>
      <c r="B52" s="171" t="s">
        <v>638</v>
      </c>
      <c r="C52" s="172">
        <f t="shared" si="32"/>
        <v>72160</v>
      </c>
      <c r="D52" s="173">
        <f t="shared" si="28"/>
        <v>21160</v>
      </c>
      <c r="E52" s="172">
        <f t="shared" si="29"/>
        <v>24000</v>
      </c>
      <c r="F52" s="173">
        <f t="shared" si="30"/>
        <v>21160</v>
      </c>
      <c r="G52" s="172">
        <f t="shared" si="31"/>
        <v>27000</v>
      </c>
      <c r="H52" s="173">
        <f t="shared" si="31"/>
        <v>0</v>
      </c>
      <c r="I52" s="172"/>
      <c r="J52" s="173"/>
      <c r="K52" s="172"/>
      <c r="L52" s="173"/>
      <c r="M52" s="172"/>
      <c r="N52" s="173"/>
      <c r="O52" s="172"/>
      <c r="P52" s="173"/>
      <c r="Q52" s="172"/>
      <c r="R52" s="173"/>
      <c r="S52" s="172"/>
      <c r="T52" s="173"/>
      <c r="U52" s="172"/>
      <c r="V52" s="173"/>
      <c r="W52" s="172"/>
      <c r="X52" s="173"/>
      <c r="Y52" s="172"/>
      <c r="Z52" s="173"/>
      <c r="AA52" s="172"/>
      <c r="AB52" s="173"/>
      <c r="AC52" s="172"/>
      <c r="AD52" s="173"/>
      <c r="AE52" s="172"/>
      <c r="AF52" s="173"/>
      <c r="AG52" s="172"/>
      <c r="AH52" s="173"/>
      <c r="AI52" s="172">
        <f>23000+1000</f>
        <v>24000</v>
      </c>
      <c r="AJ52" s="173">
        <f>19560+1600</f>
        <v>21160</v>
      </c>
      <c r="AK52" s="172"/>
      <c r="AL52" s="173"/>
      <c r="AM52" s="172"/>
      <c r="AN52" s="173"/>
      <c r="AO52" s="172"/>
      <c r="AP52" s="173"/>
      <c r="AQ52" s="172"/>
      <c r="AR52" s="173"/>
      <c r="AS52" s="172"/>
      <c r="AT52" s="173"/>
      <c r="AU52" s="172"/>
      <c r="AV52" s="173"/>
      <c r="AW52" s="172"/>
      <c r="AX52" s="173"/>
      <c r="AY52" s="172"/>
      <c r="AZ52" s="173"/>
      <c r="BA52" s="172"/>
      <c r="BB52" s="173"/>
      <c r="BC52" s="172"/>
      <c r="BD52" s="173"/>
      <c r="BE52" s="172"/>
      <c r="BF52" s="173"/>
      <c r="BG52" s="172"/>
      <c r="BH52" s="173"/>
      <c r="BI52" s="172"/>
      <c r="BJ52" s="173"/>
      <c r="BK52" s="172"/>
      <c r="BL52" s="173"/>
      <c r="BM52" s="172"/>
      <c r="BN52" s="173"/>
      <c r="BO52" s="172"/>
      <c r="BP52" s="173"/>
      <c r="BQ52" s="172"/>
      <c r="BR52" s="173"/>
      <c r="BS52" s="172"/>
      <c r="BT52" s="173"/>
      <c r="BU52" s="172"/>
      <c r="BV52" s="173"/>
      <c r="BW52" s="172"/>
      <c r="BX52" s="173"/>
      <c r="BY52" s="172"/>
      <c r="BZ52" s="173"/>
      <c r="CA52" s="172"/>
      <c r="CB52" s="173"/>
      <c r="CC52" s="172"/>
      <c r="CD52" s="173"/>
      <c r="CE52" s="172"/>
      <c r="CF52" s="173"/>
      <c r="CG52" s="172"/>
      <c r="CH52" s="173"/>
      <c r="CI52" s="172"/>
      <c r="CJ52" s="173"/>
      <c r="CK52" s="172"/>
      <c r="CL52" s="173"/>
      <c r="CM52" s="172"/>
      <c r="CN52" s="173"/>
      <c r="CO52" s="172"/>
      <c r="CP52" s="173"/>
      <c r="CQ52" s="172"/>
      <c r="CR52" s="173"/>
      <c r="CS52" s="172"/>
      <c r="CT52" s="173"/>
      <c r="CU52" s="172"/>
      <c r="CV52" s="173"/>
      <c r="CW52" s="172"/>
      <c r="CX52" s="173"/>
      <c r="CY52" s="172"/>
      <c r="CZ52" s="173"/>
      <c r="DA52" s="172"/>
      <c r="DB52" s="173"/>
      <c r="DC52" s="172"/>
      <c r="DD52" s="173"/>
      <c r="DE52" s="172">
        <f>9000+4000+12000+2000</f>
        <v>27000</v>
      </c>
      <c r="DF52" s="173"/>
      <c r="DG52" s="172"/>
      <c r="DH52" s="173"/>
      <c r="DI52" s="172"/>
      <c r="DJ52" s="173"/>
      <c r="DK52" s="172"/>
      <c r="DL52" s="173"/>
      <c r="DM52" s="172"/>
      <c r="DN52" s="173"/>
      <c r="DO52" s="172"/>
      <c r="DP52" s="173"/>
      <c r="DQ52" s="172"/>
      <c r="DR52" s="173"/>
      <c r="DS52" s="172"/>
      <c r="DT52" s="173"/>
      <c r="DU52" s="172"/>
      <c r="DV52" s="173"/>
    </row>
    <row r="53" spans="1:126" ht="13" x14ac:dyDescent="0.3">
      <c r="A53" s="174" t="s">
        <v>613</v>
      </c>
      <c r="B53" s="174" t="s">
        <v>337</v>
      </c>
      <c r="C53" s="175">
        <f t="shared" ref="C53:I53" si="33">SUM(C45:C52)</f>
        <v>96000</v>
      </c>
      <c r="D53" s="176">
        <f t="shared" si="33"/>
        <v>40000</v>
      </c>
      <c r="E53" s="175">
        <f t="shared" si="33"/>
        <v>24000</v>
      </c>
      <c r="F53" s="176">
        <f t="shared" si="33"/>
        <v>21160</v>
      </c>
      <c r="G53" s="175">
        <f t="shared" si="33"/>
        <v>32000</v>
      </c>
      <c r="H53" s="176">
        <f t="shared" si="33"/>
        <v>18840</v>
      </c>
      <c r="I53" s="175">
        <f t="shared" si="33"/>
        <v>0</v>
      </c>
      <c r="J53" s="176">
        <f t="shared" ref="J53:AO53" si="34">SUM(J45:J52)</f>
        <v>0</v>
      </c>
      <c r="K53" s="175">
        <f t="shared" si="34"/>
        <v>0</v>
      </c>
      <c r="L53" s="176">
        <f t="shared" si="34"/>
        <v>0</v>
      </c>
      <c r="M53" s="175">
        <f t="shared" si="34"/>
        <v>0</v>
      </c>
      <c r="N53" s="176">
        <f t="shared" si="34"/>
        <v>0</v>
      </c>
      <c r="O53" s="175">
        <f t="shared" si="34"/>
        <v>0</v>
      </c>
      <c r="P53" s="176">
        <f t="shared" si="34"/>
        <v>0</v>
      </c>
      <c r="Q53" s="175">
        <f t="shared" si="34"/>
        <v>0</v>
      </c>
      <c r="R53" s="176">
        <f t="shared" si="34"/>
        <v>0</v>
      </c>
      <c r="S53" s="175">
        <f t="shared" si="34"/>
        <v>0</v>
      </c>
      <c r="T53" s="176">
        <f>SUM(T45:T52)</f>
        <v>0</v>
      </c>
      <c r="U53" s="175">
        <f t="shared" si="34"/>
        <v>0</v>
      </c>
      <c r="V53" s="176">
        <f>SUM(V45:V52)</f>
        <v>0</v>
      </c>
      <c r="W53" s="175">
        <f t="shared" si="34"/>
        <v>0</v>
      </c>
      <c r="X53" s="176">
        <f t="shared" si="34"/>
        <v>0</v>
      </c>
      <c r="Y53" s="175">
        <f t="shared" si="34"/>
        <v>0</v>
      </c>
      <c r="Z53" s="176">
        <f t="shared" si="34"/>
        <v>0</v>
      </c>
      <c r="AA53" s="175">
        <f t="shared" si="34"/>
        <v>0</v>
      </c>
      <c r="AB53" s="176">
        <f>SUM(AB45:AB52)</f>
        <v>0</v>
      </c>
      <c r="AC53" s="175">
        <f t="shared" si="34"/>
        <v>0</v>
      </c>
      <c r="AD53" s="176">
        <f>SUM(AD45:AD52)</f>
        <v>0</v>
      </c>
      <c r="AE53" s="175">
        <f t="shared" si="34"/>
        <v>0</v>
      </c>
      <c r="AF53" s="176">
        <f>SUM(AF45:AF52)</f>
        <v>0</v>
      </c>
      <c r="AG53" s="175"/>
      <c r="AH53" s="176">
        <f>SUM(AH45:AH52)</f>
        <v>0</v>
      </c>
      <c r="AI53" s="175">
        <f>SUM(AI45:AI52)</f>
        <v>24000</v>
      </c>
      <c r="AJ53" s="176">
        <f>SUM(AJ45:AJ52)</f>
        <v>21160</v>
      </c>
      <c r="AK53" s="175">
        <f t="shared" si="34"/>
        <v>0</v>
      </c>
      <c r="AL53" s="176">
        <f t="shared" si="34"/>
        <v>0</v>
      </c>
      <c r="AM53" s="175">
        <f t="shared" si="34"/>
        <v>0</v>
      </c>
      <c r="AN53" s="176"/>
      <c r="AO53" s="175">
        <f t="shared" si="34"/>
        <v>0</v>
      </c>
      <c r="AP53" s="176">
        <f>SUM(AP45:AP52)</f>
        <v>0</v>
      </c>
      <c r="AQ53" s="175">
        <f t="shared" ref="AQ53:DS53" si="35">SUM(AQ45:AQ52)</f>
        <v>0</v>
      </c>
      <c r="AR53" s="176">
        <f>SUM(AR45:AR52)</f>
        <v>0</v>
      </c>
      <c r="AS53" s="175">
        <f t="shared" si="35"/>
        <v>0</v>
      </c>
      <c r="AT53" s="176">
        <f>SUM(AT45:AT52)</f>
        <v>0</v>
      </c>
      <c r="AU53" s="175">
        <f t="shared" si="35"/>
        <v>0</v>
      </c>
      <c r="AV53" s="176">
        <f>SUM(AV45:AV52)</f>
        <v>0</v>
      </c>
      <c r="AW53" s="175">
        <f t="shared" si="35"/>
        <v>0</v>
      </c>
      <c r="AX53" s="176">
        <f>SUM(AX45:AX52)</f>
        <v>0</v>
      </c>
      <c r="AY53" s="175">
        <f t="shared" si="35"/>
        <v>0</v>
      </c>
      <c r="AZ53" s="176">
        <f>SUM(AZ45:AZ52)</f>
        <v>0</v>
      </c>
      <c r="BA53" s="175">
        <f t="shared" si="35"/>
        <v>0</v>
      </c>
      <c r="BB53" s="176">
        <f>SUM(BB45:BB52)</f>
        <v>0</v>
      </c>
      <c r="BC53" s="175">
        <f t="shared" si="35"/>
        <v>0</v>
      </c>
      <c r="BD53" s="176">
        <f>SUM(BD45:BD52)</f>
        <v>0</v>
      </c>
      <c r="BE53" s="175">
        <f t="shared" si="35"/>
        <v>0</v>
      </c>
      <c r="BF53" s="176">
        <f>SUM(BF45:BF52)</f>
        <v>0</v>
      </c>
      <c r="BG53" s="175">
        <f t="shared" si="35"/>
        <v>0</v>
      </c>
      <c r="BH53" s="176">
        <f>SUM(BH45:BH52)</f>
        <v>0</v>
      </c>
      <c r="BI53" s="175">
        <f t="shared" si="35"/>
        <v>0</v>
      </c>
      <c r="BJ53" s="176">
        <f>SUM(BJ45:BJ52)</f>
        <v>0</v>
      </c>
      <c r="BK53" s="175">
        <f t="shared" si="35"/>
        <v>0</v>
      </c>
      <c r="BL53" s="176">
        <f>SUM(BL45:BL52)</f>
        <v>0</v>
      </c>
      <c r="BM53" s="175">
        <f t="shared" si="35"/>
        <v>0</v>
      </c>
      <c r="BN53" s="176">
        <f>SUM(BN45:BN52)</f>
        <v>0</v>
      </c>
      <c r="BO53" s="175">
        <f t="shared" si="35"/>
        <v>0</v>
      </c>
      <c r="BP53" s="176">
        <f>SUM(BP45:BP52)</f>
        <v>0</v>
      </c>
      <c r="BQ53" s="175">
        <f t="shared" si="35"/>
        <v>0</v>
      </c>
      <c r="BR53" s="176">
        <f>SUM(BR45:BR52)</f>
        <v>0</v>
      </c>
      <c r="BS53" s="175">
        <f t="shared" si="35"/>
        <v>0</v>
      </c>
      <c r="BT53" s="176">
        <f>SUM(BT45:BT52)</f>
        <v>0</v>
      </c>
      <c r="BU53" s="175">
        <f t="shared" si="35"/>
        <v>0</v>
      </c>
      <c r="BV53" s="176">
        <f>SUM(BV45:BV52)</f>
        <v>0</v>
      </c>
      <c r="BW53" s="175">
        <f t="shared" si="35"/>
        <v>0</v>
      </c>
      <c r="BX53" s="176">
        <f>SUM(BX45:BX52)</f>
        <v>0</v>
      </c>
      <c r="BY53" s="175">
        <f t="shared" si="35"/>
        <v>0</v>
      </c>
      <c r="BZ53" s="176">
        <f>SUM(BZ45:BZ52)</f>
        <v>0</v>
      </c>
      <c r="CA53" s="175">
        <f t="shared" si="35"/>
        <v>0</v>
      </c>
      <c r="CB53" s="176">
        <f>SUM(CB45:CB52)</f>
        <v>0</v>
      </c>
      <c r="CC53" s="175">
        <f t="shared" si="35"/>
        <v>0</v>
      </c>
      <c r="CD53" s="176">
        <f>SUM(CD45:CD52)</f>
        <v>0</v>
      </c>
      <c r="CE53" s="175">
        <f>SUM(CE45:CE52)</f>
        <v>0</v>
      </c>
      <c r="CF53" s="176">
        <f>SUM(CF45:CF52)</f>
        <v>0</v>
      </c>
      <c r="CG53" s="175">
        <f t="shared" si="35"/>
        <v>0</v>
      </c>
      <c r="CH53" s="176">
        <f>SUM(CH45:CH52)</f>
        <v>0</v>
      </c>
      <c r="CI53" s="175">
        <f t="shared" si="35"/>
        <v>0</v>
      </c>
      <c r="CJ53" s="176">
        <f>SUM(CJ45:CJ52)</f>
        <v>0</v>
      </c>
      <c r="CK53" s="175">
        <f t="shared" si="35"/>
        <v>0</v>
      </c>
      <c r="CL53" s="176">
        <f>SUM(CL45:CL52)</f>
        <v>0</v>
      </c>
      <c r="CM53" s="175">
        <f t="shared" si="35"/>
        <v>0</v>
      </c>
      <c r="CN53" s="176">
        <f>SUM(CN45:CN52)</f>
        <v>0</v>
      </c>
      <c r="CO53" s="175">
        <f t="shared" si="35"/>
        <v>0</v>
      </c>
      <c r="CP53" s="176">
        <f>SUM(CP45:CP52)</f>
        <v>0</v>
      </c>
      <c r="CQ53" s="175">
        <f t="shared" si="35"/>
        <v>0</v>
      </c>
      <c r="CR53" s="176">
        <f>SUM(CR45:CR52)</f>
        <v>0</v>
      </c>
      <c r="CS53" s="175">
        <f t="shared" si="35"/>
        <v>0</v>
      </c>
      <c r="CT53" s="176">
        <f>SUM(CT45:CT52)</f>
        <v>0</v>
      </c>
      <c r="CU53" s="175">
        <f t="shared" si="35"/>
        <v>0</v>
      </c>
      <c r="CV53" s="176">
        <f>SUM(CV45:CV52)</f>
        <v>0</v>
      </c>
      <c r="CW53" s="175">
        <f t="shared" si="35"/>
        <v>0</v>
      </c>
      <c r="CX53" s="176">
        <f>SUM(CX45:CX52)</f>
        <v>0</v>
      </c>
      <c r="CY53" s="175">
        <f t="shared" si="35"/>
        <v>0</v>
      </c>
      <c r="CZ53" s="176"/>
      <c r="DA53" s="175">
        <f t="shared" si="35"/>
        <v>0</v>
      </c>
      <c r="DB53" s="176"/>
      <c r="DC53" s="175">
        <f t="shared" si="35"/>
        <v>0</v>
      </c>
      <c r="DD53" s="176">
        <f>SUM(DD45:DD52)</f>
        <v>0</v>
      </c>
      <c r="DE53" s="175">
        <f t="shared" si="35"/>
        <v>32000</v>
      </c>
      <c r="DF53" s="176">
        <f>SUM(DF45:DF52)</f>
        <v>18840</v>
      </c>
      <c r="DG53" s="175">
        <f t="shared" si="35"/>
        <v>0</v>
      </c>
      <c r="DH53" s="176">
        <f>SUM(DH45:DH52)</f>
        <v>0</v>
      </c>
      <c r="DI53" s="175">
        <f t="shared" si="35"/>
        <v>0</v>
      </c>
      <c r="DJ53" s="176">
        <f>SUM(DJ45:DJ52)</f>
        <v>0</v>
      </c>
      <c r="DK53" s="175">
        <f t="shared" si="35"/>
        <v>0</v>
      </c>
      <c r="DL53" s="176">
        <f>SUM(DL45:DL52)</f>
        <v>0</v>
      </c>
      <c r="DM53" s="175">
        <f t="shared" si="35"/>
        <v>0</v>
      </c>
      <c r="DN53" s="176">
        <f>SUM(DN45:DN52)</f>
        <v>0</v>
      </c>
      <c r="DO53" s="175">
        <f t="shared" si="35"/>
        <v>0</v>
      </c>
      <c r="DP53" s="176">
        <f>SUM(DP45:DP52)</f>
        <v>0</v>
      </c>
      <c r="DQ53" s="175">
        <f t="shared" si="35"/>
        <v>0</v>
      </c>
      <c r="DR53" s="176"/>
      <c r="DS53" s="175">
        <f t="shared" si="35"/>
        <v>0</v>
      </c>
      <c r="DT53" s="176">
        <f>SUM(DT45:DT52)</f>
        <v>0</v>
      </c>
      <c r="DU53" s="175"/>
      <c r="DV53" s="176"/>
    </row>
    <row r="54" spans="1:126" x14ac:dyDescent="0.25">
      <c r="A54" s="171" t="s">
        <v>887</v>
      </c>
      <c r="B54" s="171" t="s">
        <v>888</v>
      </c>
      <c r="C54" s="172">
        <f t="shared" si="32"/>
        <v>0</v>
      </c>
      <c r="D54" s="173">
        <f t="shared" si="28"/>
        <v>0</v>
      </c>
      <c r="E54" s="172">
        <f t="shared" ref="E54:E65" si="36">K54+M54+O53:O54+Q54+S54+U54+W54+Y54+AA54+AC54+AE54+AI54</f>
        <v>0</v>
      </c>
      <c r="F54" s="173">
        <f t="shared" ref="F54:F65" si="37">L54+N54+P53:P54+R54+T54+V54+X54+Z54+AB54+AD54+AF54+AJ54+AH54</f>
        <v>0</v>
      </c>
      <c r="G54" s="172">
        <f t="shared" ref="G54:H65" si="38">AK54+AM54+AO54+AQ54+AS54+AU54+AW54+AY54+BA54+BC54+BE54+BG54+BI54+BK54+BM54+BO54+BQ54+BS54+BU54+BW54+BY54+CA54+CC54+CE54+CG54+CI54+CK54+CM54+CO54+CQ54+CS54+CU54+CW54+DA54+CY54+DC54+DE54+DG54+DI54+DK54+DM54+DO54+DQ54+DS54+DU54</f>
        <v>0</v>
      </c>
      <c r="H54" s="173">
        <f t="shared" si="38"/>
        <v>0</v>
      </c>
      <c r="I54" s="172"/>
      <c r="J54" s="173"/>
      <c r="K54" s="172"/>
      <c r="L54" s="173"/>
      <c r="M54" s="172"/>
      <c r="N54" s="173"/>
      <c r="O54" s="172"/>
      <c r="P54" s="173"/>
      <c r="Q54" s="172"/>
      <c r="R54" s="173"/>
      <c r="S54" s="172"/>
      <c r="T54" s="173"/>
      <c r="U54" s="172"/>
      <c r="V54" s="173"/>
      <c r="W54" s="172"/>
      <c r="X54" s="173"/>
      <c r="Y54" s="172"/>
      <c r="Z54" s="173"/>
      <c r="AA54" s="172"/>
      <c r="AB54" s="173"/>
      <c r="AC54" s="172"/>
      <c r="AD54" s="173"/>
      <c r="AE54" s="172"/>
      <c r="AF54" s="173"/>
      <c r="AG54" s="172"/>
      <c r="AH54" s="173"/>
      <c r="AI54" s="172"/>
      <c r="AJ54" s="173"/>
      <c r="AK54" s="172"/>
      <c r="AL54" s="173"/>
      <c r="AM54" s="172"/>
      <c r="AN54" s="173"/>
      <c r="AO54" s="172"/>
      <c r="AP54" s="173"/>
      <c r="AQ54" s="172"/>
      <c r="AR54" s="173"/>
      <c r="AS54" s="172"/>
      <c r="AT54" s="173"/>
      <c r="AU54" s="172"/>
      <c r="AV54" s="173"/>
      <c r="AW54" s="172"/>
      <c r="AX54" s="173"/>
      <c r="AY54" s="172"/>
      <c r="AZ54" s="173"/>
      <c r="BA54" s="172"/>
      <c r="BB54" s="173"/>
      <c r="BC54" s="172"/>
      <c r="BD54" s="173"/>
      <c r="BE54" s="172"/>
      <c r="BF54" s="173"/>
      <c r="BG54" s="172"/>
      <c r="BH54" s="173"/>
      <c r="BI54" s="172"/>
      <c r="BJ54" s="173"/>
      <c r="BK54" s="172"/>
      <c r="BL54" s="173"/>
      <c r="BM54" s="172"/>
      <c r="BN54" s="173"/>
      <c r="BO54" s="172"/>
      <c r="BP54" s="173"/>
      <c r="BQ54" s="172"/>
      <c r="BR54" s="173"/>
      <c r="BS54" s="172"/>
      <c r="BT54" s="173"/>
      <c r="BU54" s="172"/>
      <c r="BV54" s="173"/>
      <c r="BW54" s="172"/>
      <c r="BX54" s="173"/>
      <c r="BY54" s="172"/>
      <c r="BZ54" s="173"/>
      <c r="CA54" s="172"/>
      <c r="CB54" s="173"/>
      <c r="CC54" s="172"/>
      <c r="CD54" s="173"/>
      <c r="CE54" s="172"/>
      <c r="CF54" s="173"/>
      <c r="CG54" s="172"/>
      <c r="CH54" s="173"/>
      <c r="CI54" s="172"/>
      <c r="CJ54" s="173"/>
      <c r="CK54" s="172"/>
      <c r="CL54" s="173"/>
      <c r="CM54" s="172"/>
      <c r="CN54" s="173"/>
      <c r="CO54" s="172"/>
      <c r="CP54" s="173"/>
      <c r="CQ54" s="172"/>
      <c r="CR54" s="173"/>
      <c r="CS54" s="172"/>
      <c r="CT54" s="173"/>
      <c r="CU54" s="172"/>
      <c r="CV54" s="173"/>
      <c r="CW54" s="172"/>
      <c r="CX54" s="173"/>
      <c r="CY54" s="172"/>
      <c r="CZ54" s="173"/>
      <c r="DA54" s="172"/>
      <c r="DB54" s="173"/>
      <c r="DC54" s="172"/>
      <c r="DD54" s="173"/>
      <c r="DE54" s="172"/>
      <c r="DF54" s="173"/>
      <c r="DG54" s="172"/>
      <c r="DH54" s="173"/>
      <c r="DI54" s="172"/>
      <c r="DJ54" s="173"/>
      <c r="DK54" s="172"/>
      <c r="DL54" s="173"/>
      <c r="DM54" s="172"/>
      <c r="DN54" s="173"/>
      <c r="DO54" s="172"/>
      <c r="DP54" s="173"/>
      <c r="DQ54" s="172"/>
      <c r="DR54" s="173"/>
      <c r="DS54" s="172"/>
      <c r="DT54" s="173"/>
      <c r="DU54" s="172"/>
      <c r="DV54" s="173"/>
    </row>
    <row r="55" spans="1:126" x14ac:dyDescent="0.25">
      <c r="A55" s="171" t="s">
        <v>889</v>
      </c>
      <c r="B55" s="171" t="s">
        <v>890</v>
      </c>
      <c r="C55" s="172">
        <f t="shared" si="32"/>
        <v>22677</v>
      </c>
      <c r="D55" s="173">
        <f t="shared" si="28"/>
        <v>10000</v>
      </c>
      <c r="E55" s="172">
        <f t="shared" si="36"/>
        <v>12677</v>
      </c>
      <c r="F55" s="173">
        <f t="shared" si="37"/>
        <v>10000</v>
      </c>
      <c r="G55" s="172">
        <f t="shared" si="38"/>
        <v>0</v>
      </c>
      <c r="H55" s="173">
        <f t="shared" si="38"/>
        <v>0</v>
      </c>
      <c r="I55" s="172"/>
      <c r="J55" s="173"/>
      <c r="K55" s="172"/>
      <c r="L55" s="173"/>
      <c r="M55" s="172"/>
      <c r="N55" s="173"/>
      <c r="O55" s="172"/>
      <c r="P55" s="173"/>
      <c r="Q55" s="172"/>
      <c r="R55" s="173"/>
      <c r="S55" s="172"/>
      <c r="T55" s="173"/>
      <c r="U55" s="172"/>
      <c r="V55" s="173"/>
      <c r="W55" s="172"/>
      <c r="X55" s="173"/>
      <c r="Y55" s="172"/>
      <c r="Z55" s="173"/>
      <c r="AA55" s="172"/>
      <c r="AB55" s="173"/>
      <c r="AC55" s="172"/>
      <c r="AD55" s="173"/>
      <c r="AE55" s="172">
        <v>12677</v>
      </c>
      <c r="AF55" s="173">
        <v>10000</v>
      </c>
      <c r="AG55" s="172"/>
      <c r="AH55" s="173">
        <v>0</v>
      </c>
      <c r="AI55" s="172"/>
      <c r="AJ55" s="173"/>
      <c r="AK55" s="172"/>
      <c r="AL55" s="173"/>
      <c r="AM55" s="172"/>
      <c r="AN55" s="173"/>
      <c r="AO55" s="172"/>
      <c r="AP55" s="173"/>
      <c r="AQ55" s="172"/>
      <c r="AR55" s="173"/>
      <c r="AS55" s="172"/>
      <c r="AT55" s="173"/>
      <c r="AU55" s="172"/>
      <c r="AV55" s="173"/>
      <c r="AW55" s="172"/>
      <c r="AX55" s="173"/>
      <c r="AY55" s="172"/>
      <c r="AZ55" s="173"/>
      <c r="BA55" s="172"/>
      <c r="BB55" s="173"/>
      <c r="BC55" s="172"/>
      <c r="BD55" s="173"/>
      <c r="BE55" s="172"/>
      <c r="BF55" s="173"/>
      <c r="BG55" s="172"/>
      <c r="BH55" s="173"/>
      <c r="BI55" s="172"/>
      <c r="BJ55" s="173"/>
      <c r="BK55" s="172"/>
      <c r="BL55" s="173"/>
      <c r="BM55" s="172"/>
      <c r="BN55" s="173"/>
      <c r="BO55" s="172"/>
      <c r="BP55" s="173"/>
      <c r="BQ55" s="172"/>
      <c r="BR55" s="173"/>
      <c r="BS55" s="172"/>
      <c r="BT55" s="173"/>
      <c r="BU55" s="172"/>
      <c r="BV55" s="173"/>
      <c r="BW55" s="172"/>
      <c r="BX55" s="173"/>
      <c r="BY55" s="172"/>
      <c r="BZ55" s="173"/>
      <c r="CA55" s="172"/>
      <c r="CB55" s="173"/>
      <c r="CC55" s="172"/>
      <c r="CD55" s="173"/>
      <c r="CE55" s="172"/>
      <c r="CF55" s="173"/>
      <c r="CG55" s="172"/>
      <c r="CH55" s="173"/>
      <c r="CI55" s="172"/>
      <c r="CJ55" s="173"/>
      <c r="CK55" s="172"/>
      <c r="CL55" s="173"/>
      <c r="CM55" s="172"/>
      <c r="CN55" s="173"/>
      <c r="CO55" s="172"/>
      <c r="CP55" s="173"/>
      <c r="CQ55" s="172"/>
      <c r="CR55" s="173"/>
      <c r="CS55" s="172"/>
      <c r="CT55" s="173"/>
      <c r="CU55" s="172"/>
      <c r="CV55" s="173"/>
      <c r="CW55" s="172"/>
      <c r="CX55" s="173"/>
      <c r="CY55" s="172"/>
      <c r="CZ55" s="173"/>
      <c r="DA55" s="172"/>
      <c r="DB55" s="173"/>
      <c r="DC55" s="172"/>
      <c r="DD55" s="173"/>
      <c r="DE55" s="172"/>
      <c r="DF55" s="173"/>
      <c r="DG55" s="172"/>
      <c r="DH55" s="173"/>
      <c r="DI55" s="172"/>
      <c r="DJ55" s="173"/>
      <c r="DK55" s="172"/>
      <c r="DL55" s="173"/>
      <c r="DM55" s="172"/>
      <c r="DN55" s="173"/>
      <c r="DO55" s="172"/>
      <c r="DP55" s="173"/>
      <c r="DQ55" s="172"/>
      <c r="DR55" s="173"/>
      <c r="DS55" s="172"/>
      <c r="DT55" s="173"/>
      <c r="DU55" s="172"/>
      <c r="DV55" s="173"/>
    </row>
    <row r="56" spans="1:126" x14ac:dyDescent="0.25">
      <c r="A56" s="171" t="s">
        <v>891</v>
      </c>
      <c r="B56" s="181" t="s">
        <v>892</v>
      </c>
      <c r="C56" s="172">
        <f t="shared" si="32"/>
        <v>0</v>
      </c>
      <c r="D56" s="173">
        <f t="shared" si="28"/>
        <v>0</v>
      </c>
      <c r="E56" s="172">
        <f t="shared" si="36"/>
        <v>0</v>
      </c>
      <c r="F56" s="173">
        <f t="shared" si="37"/>
        <v>0</v>
      </c>
      <c r="G56" s="172">
        <f t="shared" si="38"/>
        <v>0</v>
      </c>
      <c r="H56" s="173">
        <f t="shared" si="38"/>
        <v>0</v>
      </c>
      <c r="I56" s="172"/>
      <c r="J56" s="173"/>
      <c r="K56" s="172"/>
      <c r="L56" s="173"/>
      <c r="M56" s="172"/>
      <c r="N56" s="173"/>
      <c r="O56" s="172"/>
      <c r="P56" s="173"/>
      <c r="Q56" s="172"/>
      <c r="R56" s="173"/>
      <c r="S56" s="172"/>
      <c r="T56" s="173"/>
      <c r="U56" s="172"/>
      <c r="V56" s="173"/>
      <c r="W56" s="172"/>
      <c r="X56" s="173"/>
      <c r="Y56" s="172"/>
      <c r="Z56" s="173"/>
      <c r="AA56" s="172"/>
      <c r="AB56" s="173"/>
      <c r="AC56" s="172"/>
      <c r="AD56" s="173"/>
      <c r="AE56" s="172"/>
      <c r="AF56" s="173"/>
      <c r="AG56" s="172"/>
      <c r="AH56" s="173"/>
      <c r="AI56" s="172"/>
      <c r="AJ56" s="173"/>
      <c r="AK56" s="172"/>
      <c r="AL56" s="173"/>
      <c r="AM56" s="172"/>
      <c r="AN56" s="173"/>
      <c r="AO56" s="172"/>
      <c r="AP56" s="173"/>
      <c r="AQ56" s="172"/>
      <c r="AR56" s="173"/>
      <c r="AS56" s="172"/>
      <c r="AT56" s="173"/>
      <c r="AU56" s="172"/>
      <c r="AV56" s="173"/>
      <c r="AW56" s="172"/>
      <c r="AX56" s="173"/>
      <c r="AY56" s="172"/>
      <c r="AZ56" s="173"/>
      <c r="BA56" s="172"/>
      <c r="BB56" s="173"/>
      <c r="BC56" s="172"/>
      <c r="BD56" s="173"/>
      <c r="BE56" s="172"/>
      <c r="BF56" s="173"/>
      <c r="BG56" s="172"/>
      <c r="BH56" s="173"/>
      <c r="BI56" s="172"/>
      <c r="BJ56" s="173"/>
      <c r="BK56" s="172"/>
      <c r="BL56" s="173"/>
      <c r="BM56" s="172"/>
      <c r="BN56" s="173"/>
      <c r="BO56" s="172"/>
      <c r="BP56" s="173"/>
      <c r="BQ56" s="172"/>
      <c r="BR56" s="173"/>
      <c r="BS56" s="172"/>
      <c r="BT56" s="173"/>
      <c r="BU56" s="172"/>
      <c r="BV56" s="173"/>
      <c r="BW56" s="172"/>
      <c r="BX56" s="173"/>
      <c r="BY56" s="172"/>
      <c r="BZ56" s="173"/>
      <c r="CA56" s="172"/>
      <c r="CB56" s="173"/>
      <c r="CC56" s="172"/>
      <c r="CD56" s="173"/>
      <c r="CE56" s="172"/>
      <c r="CF56" s="173"/>
      <c r="CG56" s="172"/>
      <c r="CH56" s="173"/>
      <c r="CI56" s="172"/>
      <c r="CJ56" s="173"/>
      <c r="CK56" s="172"/>
      <c r="CL56" s="173"/>
      <c r="CM56" s="172"/>
      <c r="CN56" s="173"/>
      <c r="CO56" s="172"/>
      <c r="CP56" s="173"/>
      <c r="CQ56" s="172"/>
      <c r="CR56" s="173"/>
      <c r="CS56" s="172"/>
      <c r="CT56" s="173"/>
      <c r="CU56" s="172"/>
      <c r="CV56" s="173"/>
      <c r="CW56" s="172"/>
      <c r="CX56" s="173"/>
      <c r="CY56" s="172"/>
      <c r="CZ56" s="173"/>
      <c r="DA56" s="172"/>
      <c r="DB56" s="173"/>
      <c r="DC56" s="172"/>
      <c r="DD56" s="173"/>
      <c r="DE56" s="172"/>
      <c r="DF56" s="173"/>
      <c r="DG56" s="172"/>
      <c r="DH56" s="173"/>
      <c r="DI56" s="172"/>
      <c r="DJ56" s="173"/>
      <c r="DK56" s="172"/>
      <c r="DL56" s="173"/>
      <c r="DM56" s="172"/>
      <c r="DN56" s="173"/>
      <c r="DO56" s="172"/>
      <c r="DP56" s="173"/>
      <c r="DQ56" s="172"/>
      <c r="DR56" s="173"/>
      <c r="DS56" s="172"/>
      <c r="DT56" s="173"/>
      <c r="DU56" s="172"/>
      <c r="DV56" s="173"/>
    </row>
    <row r="57" spans="1:126" x14ac:dyDescent="0.25">
      <c r="A57" s="171" t="s">
        <v>893</v>
      </c>
      <c r="B57" s="181" t="s">
        <v>894</v>
      </c>
      <c r="C57" s="172">
        <f t="shared" si="32"/>
        <v>0</v>
      </c>
      <c r="D57" s="173">
        <f t="shared" si="28"/>
        <v>0</v>
      </c>
      <c r="E57" s="172">
        <f t="shared" si="36"/>
        <v>0</v>
      </c>
      <c r="F57" s="173">
        <f t="shared" si="37"/>
        <v>0</v>
      </c>
      <c r="G57" s="172">
        <f t="shared" si="38"/>
        <v>0</v>
      </c>
      <c r="H57" s="173">
        <f t="shared" si="38"/>
        <v>0</v>
      </c>
      <c r="I57" s="172"/>
      <c r="J57" s="173"/>
      <c r="K57" s="172"/>
      <c r="L57" s="173"/>
      <c r="M57" s="172"/>
      <c r="N57" s="173"/>
      <c r="O57" s="172"/>
      <c r="P57" s="173"/>
      <c r="Q57" s="172"/>
      <c r="R57" s="173"/>
      <c r="S57" s="172"/>
      <c r="T57" s="173"/>
      <c r="U57" s="172"/>
      <c r="V57" s="173"/>
      <c r="W57" s="172"/>
      <c r="X57" s="173"/>
      <c r="Y57" s="172"/>
      <c r="Z57" s="173"/>
      <c r="AA57" s="172"/>
      <c r="AB57" s="173"/>
      <c r="AC57" s="172"/>
      <c r="AD57" s="173"/>
      <c r="AE57" s="172"/>
      <c r="AF57" s="173"/>
      <c r="AG57" s="172"/>
      <c r="AH57" s="173"/>
      <c r="AI57" s="172"/>
      <c r="AJ57" s="173"/>
      <c r="AK57" s="172"/>
      <c r="AL57" s="173"/>
      <c r="AM57" s="172"/>
      <c r="AN57" s="173"/>
      <c r="AO57" s="172"/>
      <c r="AP57" s="173"/>
      <c r="AQ57" s="172"/>
      <c r="AR57" s="173"/>
      <c r="AS57" s="172"/>
      <c r="AT57" s="173"/>
      <c r="AU57" s="172"/>
      <c r="AV57" s="173"/>
      <c r="AW57" s="172"/>
      <c r="AX57" s="173"/>
      <c r="AY57" s="172"/>
      <c r="AZ57" s="173"/>
      <c r="BA57" s="172"/>
      <c r="BB57" s="173"/>
      <c r="BC57" s="172"/>
      <c r="BD57" s="173"/>
      <c r="BE57" s="172"/>
      <c r="BF57" s="173"/>
      <c r="BG57" s="172"/>
      <c r="BH57" s="173"/>
      <c r="BI57" s="172"/>
      <c r="BJ57" s="173"/>
      <c r="BK57" s="172"/>
      <c r="BL57" s="173"/>
      <c r="BM57" s="172"/>
      <c r="BN57" s="173"/>
      <c r="BO57" s="172"/>
      <c r="BP57" s="173"/>
      <c r="BQ57" s="172"/>
      <c r="BR57" s="173"/>
      <c r="BS57" s="172"/>
      <c r="BT57" s="173"/>
      <c r="BU57" s="172"/>
      <c r="BV57" s="173"/>
      <c r="BW57" s="172"/>
      <c r="BX57" s="173"/>
      <c r="BY57" s="172"/>
      <c r="BZ57" s="173"/>
      <c r="CA57" s="172"/>
      <c r="CB57" s="173"/>
      <c r="CC57" s="172"/>
      <c r="CD57" s="173"/>
      <c r="CE57" s="172"/>
      <c r="CF57" s="173"/>
      <c r="CG57" s="172"/>
      <c r="CH57" s="173"/>
      <c r="CI57" s="172"/>
      <c r="CJ57" s="173"/>
      <c r="CK57" s="172"/>
      <c r="CL57" s="173"/>
      <c r="CM57" s="172"/>
      <c r="CN57" s="173"/>
      <c r="CO57" s="172"/>
      <c r="CP57" s="173"/>
      <c r="CQ57" s="172"/>
      <c r="CR57" s="173"/>
      <c r="CS57" s="172"/>
      <c r="CT57" s="173"/>
      <c r="CU57" s="172"/>
      <c r="CV57" s="173"/>
      <c r="CW57" s="172"/>
      <c r="CX57" s="173"/>
      <c r="CY57" s="172"/>
      <c r="CZ57" s="173"/>
      <c r="DA57" s="172"/>
      <c r="DB57" s="173"/>
      <c r="DC57" s="172"/>
      <c r="DD57" s="173"/>
      <c r="DE57" s="172"/>
      <c r="DF57" s="173"/>
      <c r="DG57" s="172"/>
      <c r="DH57" s="173"/>
      <c r="DI57" s="172"/>
      <c r="DJ57" s="173"/>
      <c r="DK57" s="172"/>
      <c r="DL57" s="173"/>
      <c r="DM57" s="172"/>
      <c r="DN57" s="173"/>
      <c r="DO57" s="172"/>
      <c r="DP57" s="173"/>
      <c r="DQ57" s="172"/>
      <c r="DR57" s="173"/>
      <c r="DS57" s="172"/>
      <c r="DT57" s="173"/>
      <c r="DU57" s="172"/>
      <c r="DV57" s="173"/>
    </row>
    <row r="58" spans="1:126" x14ac:dyDescent="0.25">
      <c r="A58" s="171" t="s">
        <v>895</v>
      </c>
      <c r="B58" s="181" t="s">
        <v>896</v>
      </c>
      <c r="C58" s="172">
        <f t="shared" si="32"/>
        <v>0</v>
      </c>
      <c r="D58" s="173">
        <f t="shared" si="28"/>
        <v>0</v>
      </c>
      <c r="E58" s="172">
        <f t="shared" si="36"/>
        <v>0</v>
      </c>
      <c r="F58" s="173">
        <f t="shared" si="37"/>
        <v>0</v>
      </c>
      <c r="G58" s="172">
        <f t="shared" si="38"/>
        <v>0</v>
      </c>
      <c r="H58" s="173">
        <f t="shared" si="38"/>
        <v>0</v>
      </c>
      <c r="I58" s="172"/>
      <c r="J58" s="173"/>
      <c r="K58" s="172"/>
      <c r="L58" s="173"/>
      <c r="M58" s="172"/>
      <c r="N58" s="173"/>
      <c r="O58" s="172"/>
      <c r="P58" s="173"/>
      <c r="Q58" s="172"/>
      <c r="R58" s="173"/>
      <c r="S58" s="172"/>
      <c r="T58" s="173"/>
      <c r="U58" s="172"/>
      <c r="V58" s="173"/>
      <c r="W58" s="172"/>
      <c r="X58" s="173"/>
      <c r="Y58" s="172"/>
      <c r="Z58" s="173"/>
      <c r="AA58" s="172"/>
      <c r="AB58" s="173"/>
      <c r="AC58" s="172"/>
      <c r="AD58" s="173"/>
      <c r="AE58" s="172"/>
      <c r="AF58" s="173"/>
      <c r="AG58" s="172"/>
      <c r="AH58" s="173"/>
      <c r="AI58" s="172"/>
      <c r="AJ58" s="173"/>
      <c r="AK58" s="172"/>
      <c r="AL58" s="173"/>
      <c r="AM58" s="172"/>
      <c r="AN58" s="173"/>
      <c r="AO58" s="172"/>
      <c r="AP58" s="173"/>
      <c r="AQ58" s="172"/>
      <c r="AR58" s="173"/>
      <c r="AS58" s="172"/>
      <c r="AT58" s="173"/>
      <c r="AU58" s="172"/>
      <c r="AV58" s="173"/>
      <c r="AW58" s="172"/>
      <c r="AX58" s="173"/>
      <c r="AY58" s="172"/>
      <c r="AZ58" s="173"/>
      <c r="BA58" s="172"/>
      <c r="BB58" s="173"/>
      <c r="BC58" s="172"/>
      <c r="BD58" s="173"/>
      <c r="BE58" s="172"/>
      <c r="BF58" s="173"/>
      <c r="BG58" s="172"/>
      <c r="BH58" s="173"/>
      <c r="BI58" s="172"/>
      <c r="BJ58" s="173"/>
      <c r="BK58" s="172"/>
      <c r="BL58" s="173"/>
      <c r="BM58" s="172"/>
      <c r="BN58" s="173"/>
      <c r="BO58" s="172"/>
      <c r="BP58" s="173"/>
      <c r="BQ58" s="172"/>
      <c r="BR58" s="173"/>
      <c r="BS58" s="172"/>
      <c r="BT58" s="173"/>
      <c r="BU58" s="172"/>
      <c r="BV58" s="173"/>
      <c r="BW58" s="172"/>
      <c r="BX58" s="173"/>
      <c r="BY58" s="172"/>
      <c r="BZ58" s="173"/>
      <c r="CA58" s="172"/>
      <c r="CB58" s="173"/>
      <c r="CC58" s="172"/>
      <c r="CD58" s="173"/>
      <c r="CE58" s="172"/>
      <c r="CF58" s="173"/>
      <c r="CG58" s="172"/>
      <c r="CH58" s="173"/>
      <c r="CI58" s="172"/>
      <c r="CJ58" s="173"/>
      <c r="CK58" s="172"/>
      <c r="CL58" s="173"/>
      <c r="CM58" s="172"/>
      <c r="CN58" s="173"/>
      <c r="CO58" s="172"/>
      <c r="CP58" s="173"/>
      <c r="CQ58" s="172"/>
      <c r="CR58" s="173"/>
      <c r="CS58" s="172"/>
      <c r="CT58" s="173"/>
      <c r="CU58" s="172"/>
      <c r="CV58" s="173"/>
      <c r="CW58" s="172"/>
      <c r="CX58" s="173"/>
      <c r="CY58" s="172"/>
      <c r="CZ58" s="173"/>
      <c r="DA58" s="172"/>
      <c r="DB58" s="173"/>
      <c r="DC58" s="172"/>
      <c r="DD58" s="173"/>
      <c r="DE58" s="172"/>
      <c r="DF58" s="173"/>
      <c r="DG58" s="172"/>
      <c r="DH58" s="173"/>
      <c r="DI58" s="172"/>
      <c r="DJ58" s="173"/>
      <c r="DK58" s="172"/>
      <c r="DL58" s="173"/>
      <c r="DM58" s="172"/>
      <c r="DN58" s="173"/>
      <c r="DO58" s="172"/>
      <c r="DP58" s="173"/>
      <c r="DQ58" s="172"/>
      <c r="DR58" s="173"/>
      <c r="DS58" s="172"/>
      <c r="DT58" s="173"/>
      <c r="DU58" s="172"/>
      <c r="DV58" s="173"/>
    </row>
    <row r="59" spans="1:126" x14ac:dyDescent="0.25">
      <c r="A59" s="171" t="s">
        <v>897</v>
      </c>
      <c r="B59" s="181" t="s">
        <v>898</v>
      </c>
      <c r="C59" s="172">
        <f>SUM(I59:DU59)</f>
        <v>74810</v>
      </c>
      <c r="D59" s="173">
        <f t="shared" si="28"/>
        <v>35106</v>
      </c>
      <c r="E59" s="172">
        <f t="shared" si="36"/>
        <v>0</v>
      </c>
      <c r="F59" s="173">
        <f t="shared" si="37"/>
        <v>0</v>
      </c>
      <c r="G59" s="172">
        <f t="shared" si="38"/>
        <v>39904</v>
      </c>
      <c r="H59" s="173">
        <f t="shared" si="38"/>
        <v>35106</v>
      </c>
      <c r="I59" s="172"/>
      <c r="J59" s="173"/>
      <c r="K59" s="172"/>
      <c r="L59" s="173"/>
      <c r="M59" s="172"/>
      <c r="N59" s="173"/>
      <c r="O59" s="172"/>
      <c r="P59" s="173"/>
      <c r="Q59" s="172"/>
      <c r="R59" s="173"/>
      <c r="S59" s="172"/>
      <c r="T59" s="173"/>
      <c r="U59" s="172"/>
      <c r="V59" s="173"/>
      <c r="W59" s="172"/>
      <c r="X59" s="173"/>
      <c r="Y59" s="172"/>
      <c r="Z59" s="173"/>
      <c r="AA59" s="172"/>
      <c r="AB59" s="173"/>
      <c r="AC59" s="172"/>
      <c r="AD59" s="173"/>
      <c r="AE59" s="172"/>
      <c r="AF59" s="173"/>
      <c r="AG59" s="172"/>
      <c r="AH59" s="173"/>
      <c r="AI59" s="172"/>
      <c r="AJ59" s="173"/>
      <c r="AK59" s="172"/>
      <c r="AL59" s="173"/>
      <c r="AM59" s="172"/>
      <c r="AN59" s="173"/>
      <c r="AO59" s="172"/>
      <c r="AP59" s="173"/>
      <c r="AQ59" s="172"/>
      <c r="AR59" s="173"/>
      <c r="AS59" s="172">
        <v>1000</v>
      </c>
      <c r="AT59" s="173">
        <v>2000</v>
      </c>
      <c r="AU59" s="172"/>
      <c r="AV59" s="173"/>
      <c r="AW59" s="172"/>
      <c r="AX59" s="173"/>
      <c r="AY59" s="172"/>
      <c r="AZ59" s="173"/>
      <c r="BA59" s="172"/>
      <c r="BB59" s="173"/>
      <c r="BC59" s="172"/>
      <c r="BD59" s="173"/>
      <c r="BE59" s="172"/>
      <c r="BF59" s="173"/>
      <c r="BG59" s="172"/>
      <c r="BH59" s="173"/>
      <c r="BI59" s="172"/>
      <c r="BJ59" s="173"/>
      <c r="BK59" s="172"/>
      <c r="BL59" s="173"/>
      <c r="BM59" s="172"/>
      <c r="BN59" s="173"/>
      <c r="BO59" s="172"/>
      <c r="BP59" s="173"/>
      <c r="BQ59" s="172">
        <v>11818</v>
      </c>
      <c r="BR59" s="173">
        <v>8163</v>
      </c>
      <c r="BS59" s="172">
        <f>2000</f>
        <v>2000</v>
      </c>
      <c r="BT59" s="173">
        <f>2363+260</f>
        <v>2623</v>
      </c>
      <c r="BU59" s="172">
        <f>14120+5000</f>
        <v>19120</v>
      </c>
      <c r="BV59" s="173">
        <f>14120+5000</f>
        <v>19120</v>
      </c>
      <c r="BW59" s="172">
        <v>2000</v>
      </c>
      <c r="BX59" s="173">
        <v>2000</v>
      </c>
      <c r="BY59" s="172">
        <f>2766+1000</f>
        <v>3766</v>
      </c>
      <c r="BZ59" s="173">
        <f>1000</f>
        <v>1000</v>
      </c>
      <c r="CA59" s="172"/>
      <c r="CB59" s="173"/>
      <c r="CC59" s="172"/>
      <c r="CD59" s="173"/>
      <c r="CE59" s="172"/>
      <c r="CF59" s="173"/>
      <c r="CG59" s="172"/>
      <c r="CH59" s="173"/>
      <c r="CI59" s="172"/>
      <c r="CJ59" s="173"/>
      <c r="CK59" s="172"/>
      <c r="CL59" s="173"/>
      <c r="CM59" s="172"/>
      <c r="CN59" s="173"/>
      <c r="CO59" s="172"/>
      <c r="CP59" s="173"/>
      <c r="CQ59" s="172"/>
      <c r="CR59" s="173"/>
      <c r="CS59" s="172"/>
      <c r="CT59" s="173"/>
      <c r="CU59" s="172"/>
      <c r="CV59" s="173"/>
      <c r="CW59" s="172"/>
      <c r="CX59" s="173"/>
      <c r="CY59" s="172"/>
      <c r="CZ59" s="173"/>
      <c r="DA59" s="172"/>
      <c r="DB59" s="173"/>
      <c r="DC59" s="172"/>
      <c r="DD59" s="173"/>
      <c r="DE59" s="172"/>
      <c r="DF59" s="173"/>
      <c r="DG59" s="172"/>
      <c r="DH59" s="173"/>
      <c r="DI59" s="172"/>
      <c r="DJ59" s="173"/>
      <c r="DK59" s="172"/>
      <c r="DL59" s="173"/>
      <c r="DM59" s="172"/>
      <c r="DN59" s="173"/>
      <c r="DO59" s="172"/>
      <c r="DP59" s="173"/>
      <c r="DQ59" s="172"/>
      <c r="DR59" s="173"/>
      <c r="DS59" s="172"/>
      <c r="DT59" s="173"/>
      <c r="DU59" s="172">
        <v>200</v>
      </c>
      <c r="DV59" s="173">
        <v>200</v>
      </c>
    </row>
    <row r="60" spans="1:126" x14ac:dyDescent="0.25">
      <c r="A60" s="171" t="s">
        <v>899</v>
      </c>
      <c r="B60" s="181" t="s">
        <v>900</v>
      </c>
      <c r="C60" s="172">
        <f t="shared" si="32"/>
        <v>0</v>
      </c>
      <c r="D60" s="173">
        <f t="shared" si="28"/>
        <v>0</v>
      </c>
      <c r="E60" s="172">
        <f t="shared" si="36"/>
        <v>0</v>
      </c>
      <c r="F60" s="173">
        <f t="shared" si="37"/>
        <v>0</v>
      </c>
      <c r="G60" s="172">
        <f t="shared" si="38"/>
        <v>0</v>
      </c>
      <c r="H60" s="173">
        <f t="shared" si="38"/>
        <v>0</v>
      </c>
      <c r="I60" s="172"/>
      <c r="J60" s="173"/>
      <c r="K60" s="172"/>
      <c r="L60" s="173"/>
      <c r="M60" s="172"/>
      <c r="N60" s="173"/>
      <c r="O60" s="172"/>
      <c r="P60" s="173"/>
      <c r="Q60" s="172"/>
      <c r="R60" s="173"/>
      <c r="S60" s="172"/>
      <c r="T60" s="173"/>
      <c r="U60" s="172"/>
      <c r="V60" s="173"/>
      <c r="W60" s="172"/>
      <c r="X60" s="173"/>
      <c r="Y60" s="172"/>
      <c r="Z60" s="173"/>
      <c r="AA60" s="172"/>
      <c r="AB60" s="173"/>
      <c r="AC60" s="172"/>
      <c r="AD60" s="173"/>
      <c r="AE60" s="172"/>
      <c r="AF60" s="173"/>
      <c r="AG60" s="172"/>
      <c r="AH60" s="173"/>
      <c r="AI60" s="172"/>
      <c r="AJ60" s="173"/>
      <c r="AK60" s="172"/>
      <c r="AL60" s="173"/>
      <c r="AM60" s="172"/>
      <c r="AN60" s="173"/>
      <c r="AO60" s="172"/>
      <c r="AP60" s="173"/>
      <c r="AQ60" s="172"/>
      <c r="AR60" s="173"/>
      <c r="AS60" s="172"/>
      <c r="AT60" s="173"/>
      <c r="AU60" s="172"/>
      <c r="AV60" s="173"/>
      <c r="AW60" s="172"/>
      <c r="AX60" s="173"/>
      <c r="AY60" s="172"/>
      <c r="AZ60" s="173"/>
      <c r="BA60" s="172"/>
      <c r="BB60" s="173"/>
      <c r="BC60" s="172"/>
      <c r="BD60" s="173"/>
      <c r="BE60" s="172"/>
      <c r="BF60" s="173"/>
      <c r="BG60" s="172"/>
      <c r="BH60" s="173"/>
      <c r="BI60" s="172"/>
      <c r="BJ60" s="173"/>
      <c r="BK60" s="172"/>
      <c r="BL60" s="173"/>
      <c r="BM60" s="172"/>
      <c r="BN60" s="173"/>
      <c r="BO60" s="172"/>
      <c r="BP60" s="173"/>
      <c r="BQ60" s="172"/>
      <c r="BR60" s="173"/>
      <c r="BS60" s="172"/>
      <c r="BT60" s="173"/>
      <c r="BU60" s="172"/>
      <c r="BV60" s="173"/>
      <c r="BW60" s="172"/>
      <c r="BX60" s="173"/>
      <c r="BY60" s="172"/>
      <c r="BZ60" s="173"/>
      <c r="CA60" s="172"/>
      <c r="CB60" s="173"/>
      <c r="CC60" s="172"/>
      <c r="CD60" s="173"/>
      <c r="CE60" s="172"/>
      <c r="CF60" s="173"/>
      <c r="CG60" s="172"/>
      <c r="CH60" s="173"/>
      <c r="CI60" s="172"/>
      <c r="CJ60" s="173"/>
      <c r="CK60" s="172"/>
      <c r="CL60" s="173"/>
      <c r="CM60" s="172"/>
      <c r="CN60" s="173"/>
      <c r="CO60" s="172"/>
      <c r="CP60" s="173"/>
      <c r="CQ60" s="172"/>
      <c r="CR60" s="173"/>
      <c r="CS60" s="172"/>
      <c r="CT60" s="173"/>
      <c r="CU60" s="172"/>
      <c r="CV60" s="173"/>
      <c r="CW60" s="172"/>
      <c r="CX60" s="173"/>
      <c r="CY60" s="172"/>
      <c r="CZ60" s="173"/>
      <c r="DA60" s="172"/>
      <c r="DB60" s="173"/>
      <c r="DC60" s="172"/>
      <c r="DD60" s="173"/>
      <c r="DE60" s="172"/>
      <c r="DF60" s="173"/>
      <c r="DG60" s="172"/>
      <c r="DH60" s="173"/>
      <c r="DI60" s="172"/>
      <c r="DJ60" s="173"/>
      <c r="DK60" s="172"/>
      <c r="DL60" s="173"/>
      <c r="DM60" s="172"/>
      <c r="DN60" s="173"/>
      <c r="DO60" s="172"/>
      <c r="DP60" s="173"/>
      <c r="DQ60" s="172"/>
      <c r="DR60" s="173"/>
      <c r="DS60" s="172"/>
      <c r="DT60" s="173"/>
      <c r="DU60" s="172"/>
      <c r="DV60" s="173"/>
    </row>
    <row r="61" spans="1:126" x14ac:dyDescent="0.25">
      <c r="A61" s="171" t="s">
        <v>901</v>
      </c>
      <c r="B61" s="181" t="s">
        <v>902</v>
      </c>
      <c r="C61" s="172">
        <f t="shared" si="32"/>
        <v>0</v>
      </c>
      <c r="D61" s="173">
        <f t="shared" si="28"/>
        <v>0</v>
      </c>
      <c r="E61" s="172">
        <f t="shared" si="36"/>
        <v>0</v>
      </c>
      <c r="F61" s="173">
        <f t="shared" si="37"/>
        <v>0</v>
      </c>
      <c r="G61" s="172">
        <f t="shared" si="38"/>
        <v>0</v>
      </c>
      <c r="H61" s="173">
        <f t="shared" si="38"/>
        <v>0</v>
      </c>
      <c r="I61" s="172"/>
      <c r="J61" s="173"/>
      <c r="K61" s="172"/>
      <c r="L61" s="173"/>
      <c r="M61" s="172"/>
      <c r="N61" s="173"/>
      <c r="O61" s="172"/>
      <c r="P61" s="173"/>
      <c r="Q61" s="172"/>
      <c r="R61" s="173"/>
      <c r="S61" s="172"/>
      <c r="T61" s="173"/>
      <c r="U61" s="172"/>
      <c r="V61" s="173"/>
      <c r="W61" s="172"/>
      <c r="X61" s="173"/>
      <c r="Y61" s="172"/>
      <c r="Z61" s="173"/>
      <c r="AA61" s="172"/>
      <c r="AB61" s="173"/>
      <c r="AC61" s="172"/>
      <c r="AD61" s="173"/>
      <c r="AE61" s="172"/>
      <c r="AF61" s="173"/>
      <c r="AG61" s="172"/>
      <c r="AH61" s="173"/>
      <c r="AI61" s="172"/>
      <c r="AJ61" s="173"/>
      <c r="AK61" s="172"/>
      <c r="AL61" s="173"/>
      <c r="AM61" s="172"/>
      <c r="AN61" s="173"/>
      <c r="AO61" s="172"/>
      <c r="AP61" s="173"/>
      <c r="AQ61" s="172"/>
      <c r="AR61" s="173"/>
      <c r="AS61" s="172"/>
      <c r="AT61" s="173"/>
      <c r="AU61" s="172"/>
      <c r="AV61" s="173"/>
      <c r="AW61" s="172"/>
      <c r="AX61" s="173"/>
      <c r="AY61" s="172"/>
      <c r="AZ61" s="173"/>
      <c r="BA61" s="172"/>
      <c r="BB61" s="173"/>
      <c r="BC61" s="172"/>
      <c r="BD61" s="173"/>
      <c r="BE61" s="172"/>
      <c r="BF61" s="173"/>
      <c r="BG61" s="172"/>
      <c r="BH61" s="173"/>
      <c r="BI61" s="172"/>
      <c r="BJ61" s="173"/>
      <c r="BK61" s="172"/>
      <c r="BL61" s="173"/>
      <c r="BM61" s="172"/>
      <c r="BN61" s="173"/>
      <c r="BO61" s="172"/>
      <c r="BP61" s="173"/>
      <c r="BQ61" s="172"/>
      <c r="BR61" s="173"/>
      <c r="BS61" s="172"/>
      <c r="BT61" s="173"/>
      <c r="BU61" s="172"/>
      <c r="BV61" s="173"/>
      <c r="BW61" s="172"/>
      <c r="BX61" s="173"/>
      <c r="BY61" s="172"/>
      <c r="BZ61" s="173"/>
      <c r="CA61" s="172"/>
      <c r="CB61" s="173"/>
      <c r="CC61" s="172"/>
      <c r="CD61" s="173"/>
      <c r="CE61" s="172"/>
      <c r="CF61" s="173"/>
      <c r="CG61" s="172"/>
      <c r="CH61" s="173"/>
      <c r="CI61" s="172"/>
      <c r="CJ61" s="173"/>
      <c r="CK61" s="172"/>
      <c r="CL61" s="173"/>
      <c r="CM61" s="172"/>
      <c r="CN61" s="173"/>
      <c r="CO61" s="172"/>
      <c r="CP61" s="173"/>
      <c r="CQ61" s="172"/>
      <c r="CR61" s="173"/>
      <c r="CS61" s="172"/>
      <c r="CT61" s="173"/>
      <c r="CU61" s="172"/>
      <c r="CV61" s="173"/>
      <c r="CW61" s="172"/>
      <c r="CX61" s="173"/>
      <c r="CY61" s="172"/>
      <c r="CZ61" s="173"/>
      <c r="DA61" s="172"/>
      <c r="DB61" s="173"/>
      <c r="DC61" s="172"/>
      <c r="DD61" s="173"/>
      <c r="DE61" s="172"/>
      <c r="DF61" s="173"/>
      <c r="DG61" s="172"/>
      <c r="DH61" s="173"/>
      <c r="DI61" s="172"/>
      <c r="DJ61" s="173"/>
      <c r="DK61" s="172"/>
      <c r="DL61" s="173"/>
      <c r="DM61" s="172"/>
      <c r="DN61" s="173"/>
      <c r="DO61" s="172"/>
      <c r="DP61" s="173"/>
      <c r="DQ61" s="172"/>
      <c r="DR61" s="173"/>
      <c r="DS61" s="172"/>
      <c r="DT61" s="173"/>
      <c r="DU61" s="172"/>
      <c r="DV61" s="173"/>
    </row>
    <row r="62" spans="1:126" x14ac:dyDescent="0.25">
      <c r="A62" s="171" t="s">
        <v>903</v>
      </c>
      <c r="B62" s="171" t="s">
        <v>904</v>
      </c>
      <c r="C62" s="172">
        <f t="shared" si="32"/>
        <v>0</v>
      </c>
      <c r="D62" s="173">
        <f t="shared" si="28"/>
        <v>0</v>
      </c>
      <c r="E62" s="172">
        <f t="shared" si="36"/>
        <v>0</v>
      </c>
      <c r="F62" s="173">
        <f t="shared" si="37"/>
        <v>0</v>
      </c>
      <c r="G62" s="172">
        <f t="shared" si="38"/>
        <v>0</v>
      </c>
      <c r="H62" s="173">
        <f t="shared" si="38"/>
        <v>0</v>
      </c>
      <c r="I62" s="172"/>
      <c r="J62" s="173"/>
      <c r="K62" s="172"/>
      <c r="L62" s="173"/>
      <c r="M62" s="172"/>
      <c r="N62" s="173"/>
      <c r="O62" s="172"/>
      <c r="P62" s="173"/>
      <c r="Q62" s="172"/>
      <c r="R62" s="173"/>
      <c r="S62" s="172"/>
      <c r="T62" s="173"/>
      <c r="U62" s="172"/>
      <c r="V62" s="173"/>
      <c r="W62" s="172"/>
      <c r="X62" s="173"/>
      <c r="Y62" s="172"/>
      <c r="Z62" s="173"/>
      <c r="AA62" s="172"/>
      <c r="AB62" s="173"/>
      <c r="AC62" s="172"/>
      <c r="AD62" s="173"/>
      <c r="AE62" s="172"/>
      <c r="AF62" s="173"/>
      <c r="AG62" s="172"/>
      <c r="AH62" s="173"/>
      <c r="AI62" s="172"/>
      <c r="AJ62" s="173"/>
      <c r="AK62" s="172"/>
      <c r="AL62" s="173"/>
      <c r="AM62" s="172"/>
      <c r="AN62" s="173"/>
      <c r="AO62" s="172"/>
      <c r="AP62" s="173"/>
      <c r="AQ62" s="172"/>
      <c r="AR62" s="173"/>
      <c r="AS62" s="172"/>
      <c r="AT62" s="173"/>
      <c r="AU62" s="172"/>
      <c r="AV62" s="173"/>
      <c r="AW62" s="172"/>
      <c r="AX62" s="173"/>
      <c r="AY62" s="172"/>
      <c r="AZ62" s="173"/>
      <c r="BA62" s="172"/>
      <c r="BB62" s="173"/>
      <c r="BC62" s="172"/>
      <c r="BD62" s="173"/>
      <c r="BE62" s="172"/>
      <c r="BF62" s="173"/>
      <c r="BG62" s="172"/>
      <c r="BH62" s="173"/>
      <c r="BI62" s="172"/>
      <c r="BJ62" s="173"/>
      <c r="BK62" s="172"/>
      <c r="BL62" s="173"/>
      <c r="BM62" s="172"/>
      <c r="BN62" s="173"/>
      <c r="BO62" s="172"/>
      <c r="BP62" s="173"/>
      <c r="BQ62" s="172"/>
      <c r="BR62" s="173"/>
      <c r="BS62" s="172"/>
      <c r="BT62" s="173"/>
      <c r="BU62" s="172"/>
      <c r="BV62" s="173"/>
      <c r="BW62" s="172"/>
      <c r="BX62" s="173"/>
      <c r="BY62" s="172"/>
      <c r="BZ62" s="173"/>
      <c r="CA62" s="172"/>
      <c r="CB62" s="173"/>
      <c r="CC62" s="172"/>
      <c r="CD62" s="173"/>
      <c r="CE62" s="172"/>
      <c r="CF62" s="173"/>
      <c r="CG62" s="172"/>
      <c r="CH62" s="173"/>
      <c r="CI62" s="172"/>
      <c r="CJ62" s="173"/>
      <c r="CK62" s="172"/>
      <c r="CL62" s="173"/>
      <c r="CM62" s="172"/>
      <c r="CN62" s="173"/>
      <c r="CO62" s="172"/>
      <c r="CP62" s="173"/>
      <c r="CQ62" s="172"/>
      <c r="CR62" s="173"/>
      <c r="CS62" s="172"/>
      <c r="CT62" s="173"/>
      <c r="CU62" s="172"/>
      <c r="CV62" s="173"/>
      <c r="CW62" s="172"/>
      <c r="CX62" s="173"/>
      <c r="CY62" s="172"/>
      <c r="CZ62" s="173"/>
      <c r="DA62" s="172"/>
      <c r="DB62" s="173"/>
      <c r="DC62" s="172"/>
      <c r="DD62" s="173"/>
      <c r="DE62" s="172"/>
      <c r="DF62" s="173"/>
      <c r="DG62" s="172"/>
      <c r="DH62" s="173"/>
      <c r="DI62" s="172"/>
      <c r="DJ62" s="173"/>
      <c r="DK62" s="172"/>
      <c r="DL62" s="173"/>
      <c r="DM62" s="172"/>
      <c r="DN62" s="173"/>
      <c r="DO62" s="172"/>
      <c r="DP62" s="173"/>
      <c r="DQ62" s="172"/>
      <c r="DR62" s="173"/>
      <c r="DS62" s="172"/>
      <c r="DT62" s="173"/>
      <c r="DU62" s="172"/>
      <c r="DV62" s="173"/>
    </row>
    <row r="63" spans="1:126" x14ac:dyDescent="0.25">
      <c r="A63" s="171" t="s">
        <v>905</v>
      </c>
      <c r="B63" s="171" t="s">
        <v>906</v>
      </c>
      <c r="C63" s="172">
        <f t="shared" si="32"/>
        <v>0</v>
      </c>
      <c r="D63" s="173">
        <f t="shared" si="28"/>
        <v>0</v>
      </c>
      <c r="E63" s="172">
        <f t="shared" si="36"/>
        <v>0</v>
      </c>
      <c r="F63" s="173">
        <f t="shared" si="37"/>
        <v>0</v>
      </c>
      <c r="G63" s="172">
        <f t="shared" si="38"/>
        <v>0</v>
      </c>
      <c r="H63" s="173">
        <f t="shared" si="38"/>
        <v>0</v>
      </c>
      <c r="I63" s="172"/>
      <c r="J63" s="173"/>
      <c r="K63" s="172"/>
      <c r="L63" s="173"/>
      <c r="M63" s="172"/>
      <c r="N63" s="173"/>
      <c r="O63" s="172"/>
      <c r="P63" s="173"/>
      <c r="Q63" s="172"/>
      <c r="R63" s="173"/>
      <c r="S63" s="172"/>
      <c r="T63" s="173"/>
      <c r="U63" s="172"/>
      <c r="V63" s="173"/>
      <c r="W63" s="172"/>
      <c r="X63" s="173"/>
      <c r="Y63" s="172"/>
      <c r="Z63" s="173"/>
      <c r="AA63" s="172"/>
      <c r="AB63" s="173"/>
      <c r="AC63" s="172"/>
      <c r="AD63" s="173"/>
      <c r="AE63" s="172"/>
      <c r="AF63" s="173"/>
      <c r="AG63" s="172"/>
      <c r="AH63" s="173"/>
      <c r="AI63" s="172"/>
      <c r="AJ63" s="173"/>
      <c r="AK63" s="172"/>
      <c r="AL63" s="173"/>
      <c r="AM63" s="172"/>
      <c r="AN63" s="173"/>
      <c r="AO63" s="172"/>
      <c r="AP63" s="173"/>
      <c r="AQ63" s="172"/>
      <c r="AR63" s="173"/>
      <c r="AS63" s="172"/>
      <c r="AT63" s="173"/>
      <c r="AU63" s="172"/>
      <c r="AV63" s="173"/>
      <c r="AW63" s="172"/>
      <c r="AX63" s="173"/>
      <c r="AY63" s="172"/>
      <c r="AZ63" s="173"/>
      <c r="BA63" s="172"/>
      <c r="BB63" s="173"/>
      <c r="BC63" s="172"/>
      <c r="BD63" s="173"/>
      <c r="BE63" s="172"/>
      <c r="BF63" s="173"/>
      <c r="BG63" s="172"/>
      <c r="BH63" s="173"/>
      <c r="BI63" s="172"/>
      <c r="BJ63" s="173"/>
      <c r="BK63" s="172"/>
      <c r="BL63" s="173"/>
      <c r="BM63" s="172"/>
      <c r="BN63" s="173"/>
      <c r="BO63" s="172"/>
      <c r="BP63" s="173"/>
      <c r="BQ63" s="172"/>
      <c r="BR63" s="173"/>
      <c r="BS63" s="172"/>
      <c r="BT63" s="173"/>
      <c r="BU63" s="172"/>
      <c r="BV63" s="173"/>
      <c r="BW63" s="172"/>
      <c r="BX63" s="173"/>
      <c r="BY63" s="172"/>
      <c r="BZ63" s="173"/>
      <c r="CA63" s="172"/>
      <c r="CB63" s="173"/>
      <c r="CC63" s="172"/>
      <c r="CD63" s="173"/>
      <c r="CE63" s="172"/>
      <c r="CF63" s="173"/>
      <c r="CG63" s="172"/>
      <c r="CH63" s="173"/>
      <c r="CI63" s="172"/>
      <c r="CJ63" s="173"/>
      <c r="CK63" s="172"/>
      <c r="CL63" s="173"/>
      <c r="CM63" s="172"/>
      <c r="CN63" s="173"/>
      <c r="CO63" s="172"/>
      <c r="CP63" s="173"/>
      <c r="CQ63" s="172"/>
      <c r="CR63" s="173"/>
      <c r="CS63" s="172"/>
      <c r="CT63" s="173"/>
      <c r="CU63" s="172"/>
      <c r="CV63" s="173"/>
      <c r="CW63" s="172"/>
      <c r="CX63" s="173"/>
      <c r="CY63" s="172"/>
      <c r="CZ63" s="173"/>
      <c r="DA63" s="172"/>
      <c r="DB63" s="173"/>
      <c r="DC63" s="172"/>
      <c r="DD63" s="173"/>
      <c r="DE63" s="172"/>
      <c r="DF63" s="173"/>
      <c r="DG63" s="172"/>
      <c r="DH63" s="173"/>
      <c r="DI63" s="172"/>
      <c r="DJ63" s="173"/>
      <c r="DK63" s="172"/>
      <c r="DL63" s="173"/>
      <c r="DM63" s="172"/>
      <c r="DN63" s="173"/>
      <c r="DO63" s="172"/>
      <c r="DP63" s="173"/>
      <c r="DQ63" s="172"/>
      <c r="DR63" s="173"/>
      <c r="DS63" s="172"/>
      <c r="DT63" s="173"/>
      <c r="DU63" s="172"/>
      <c r="DV63" s="173"/>
    </row>
    <row r="64" spans="1:126" x14ac:dyDescent="0.25">
      <c r="A64" s="171" t="s">
        <v>907</v>
      </c>
      <c r="B64" s="171" t="s">
        <v>908</v>
      </c>
      <c r="C64" s="172">
        <f t="shared" si="32"/>
        <v>537607</v>
      </c>
      <c r="D64" s="173">
        <f t="shared" si="28"/>
        <v>289756</v>
      </c>
      <c r="E64" s="172">
        <f t="shared" si="36"/>
        <v>0</v>
      </c>
      <c r="F64" s="173">
        <f t="shared" si="37"/>
        <v>0</v>
      </c>
      <c r="G64" s="172">
        <f t="shared" si="38"/>
        <v>247851</v>
      </c>
      <c r="H64" s="173">
        <f t="shared" si="38"/>
        <v>289756</v>
      </c>
      <c r="I64" s="172"/>
      <c r="J64" s="173"/>
      <c r="K64" s="172"/>
      <c r="L64" s="173"/>
      <c r="M64" s="172"/>
      <c r="N64" s="173"/>
      <c r="O64" s="172"/>
      <c r="P64" s="173"/>
      <c r="Q64" s="172"/>
      <c r="R64" s="173"/>
      <c r="S64" s="172"/>
      <c r="T64" s="173"/>
      <c r="U64" s="172"/>
      <c r="V64" s="173"/>
      <c r="W64" s="172"/>
      <c r="X64" s="173"/>
      <c r="Y64" s="172"/>
      <c r="Z64" s="173"/>
      <c r="AA64" s="172"/>
      <c r="AB64" s="173"/>
      <c r="AC64" s="172"/>
      <c r="AD64" s="173"/>
      <c r="AE64" s="172"/>
      <c r="AF64" s="173"/>
      <c r="AG64" s="172"/>
      <c r="AH64" s="173"/>
      <c r="AI64" s="172"/>
      <c r="AJ64" s="173"/>
      <c r="AK64" s="172"/>
      <c r="AL64" s="173"/>
      <c r="AM64" s="172"/>
      <c r="AN64" s="173"/>
      <c r="AO64" s="172"/>
      <c r="AP64" s="173"/>
      <c r="AQ64" s="172"/>
      <c r="AR64" s="173"/>
      <c r="AS64" s="172"/>
      <c r="AT64" s="173"/>
      <c r="AU64" s="172"/>
      <c r="AV64" s="173"/>
      <c r="AW64" s="172"/>
      <c r="AX64" s="173"/>
      <c r="AY64" s="172"/>
      <c r="AZ64" s="173"/>
      <c r="BA64" s="172"/>
      <c r="BB64" s="173"/>
      <c r="BC64" s="172"/>
      <c r="BD64" s="173"/>
      <c r="BE64" s="172"/>
      <c r="BF64" s="173"/>
      <c r="BG64" s="172"/>
      <c r="BH64" s="173"/>
      <c r="BI64" s="172"/>
      <c r="BJ64" s="173"/>
      <c r="BK64" s="172"/>
      <c r="BL64" s="173"/>
      <c r="BM64" s="172"/>
      <c r="BN64" s="173"/>
      <c r="BO64" s="172"/>
      <c r="BP64" s="173"/>
      <c r="BQ64" s="172"/>
      <c r="BR64" s="173"/>
      <c r="BS64" s="172"/>
      <c r="BT64" s="173"/>
      <c r="BU64" s="172"/>
      <c r="BV64" s="173"/>
      <c r="BW64" s="172"/>
      <c r="BX64" s="173"/>
      <c r="BY64" s="172"/>
      <c r="BZ64" s="173"/>
      <c r="CA64" s="172">
        <v>7560</v>
      </c>
      <c r="CB64" s="173">
        <f>6000-1560</f>
        <v>4440</v>
      </c>
      <c r="CC64" s="172">
        <v>5400</v>
      </c>
      <c r="CD64" s="173">
        <v>5400</v>
      </c>
      <c r="CE64" s="172">
        <v>400</v>
      </c>
      <c r="CF64" s="173">
        <v>400</v>
      </c>
      <c r="CG64" s="172"/>
      <c r="CH64" s="173"/>
      <c r="CI64" s="172">
        <v>156331</v>
      </c>
      <c r="CJ64" s="173">
        <f>156331+39084</f>
        <v>195415</v>
      </c>
      <c r="CK64" s="172">
        <v>24888</v>
      </c>
      <c r="CL64" s="173">
        <v>27269</v>
      </c>
      <c r="CM64" s="172">
        <v>3000</v>
      </c>
      <c r="CN64" s="173">
        <v>1500</v>
      </c>
      <c r="CO64" s="172">
        <f>10000-4500+1000</f>
        <v>6500</v>
      </c>
      <c r="CP64" s="173">
        <f>10000-4500+1000</f>
        <v>6500</v>
      </c>
      <c r="CQ64" s="172">
        <v>2572</v>
      </c>
      <c r="CR64" s="173">
        <v>2572</v>
      </c>
      <c r="CS64" s="172"/>
      <c r="CT64" s="173"/>
      <c r="CU64" s="172">
        <f>12000+6000+3000+4500+6000</f>
        <v>31500</v>
      </c>
      <c r="CV64" s="173">
        <f>12000+6000+3000+4500+6000</f>
        <v>31500</v>
      </c>
      <c r="CW64" s="172">
        <v>9500</v>
      </c>
      <c r="CX64" s="173">
        <f>14000+760</f>
        <v>14760</v>
      </c>
      <c r="CY64" s="172"/>
      <c r="CZ64" s="173"/>
      <c r="DA64" s="172"/>
      <c r="DB64" s="173"/>
      <c r="DC64" s="172"/>
      <c r="DD64" s="173"/>
      <c r="DE64" s="172"/>
      <c r="DF64" s="173"/>
      <c r="DG64" s="172">
        <v>200</v>
      </c>
      <c r="DH64" s="173">
        <v>0</v>
      </c>
      <c r="DI64" s="172"/>
      <c r="DJ64" s="173"/>
      <c r="DK64" s="172"/>
      <c r="DL64" s="173"/>
      <c r="DM64" s="172"/>
      <c r="DN64" s="173"/>
      <c r="DO64" s="172"/>
      <c r="DP64" s="173"/>
      <c r="DQ64" s="172"/>
      <c r="DR64" s="173"/>
      <c r="DS64" s="172"/>
      <c r="DT64" s="173"/>
      <c r="DU64" s="172"/>
      <c r="DV64" s="173"/>
    </row>
    <row r="65" spans="1:126" x14ac:dyDescent="0.25">
      <c r="A65" s="171" t="s">
        <v>909</v>
      </c>
      <c r="B65" s="171" t="s">
        <v>910</v>
      </c>
      <c r="C65" s="172" t="e">
        <f t="shared" si="32"/>
        <v>#REF!</v>
      </c>
      <c r="D65" s="173" t="e">
        <f t="shared" si="28"/>
        <v>#REF!</v>
      </c>
      <c r="E65" s="172">
        <f t="shared" si="36"/>
        <v>304858</v>
      </c>
      <c r="F65" s="173" t="e">
        <f t="shared" si="37"/>
        <v>#REF!</v>
      </c>
      <c r="G65" s="172">
        <f t="shared" si="38"/>
        <v>0</v>
      </c>
      <c r="H65" s="173">
        <f t="shared" si="38"/>
        <v>0</v>
      </c>
      <c r="I65" s="172"/>
      <c r="J65" s="173"/>
      <c r="K65" s="172"/>
      <c r="L65" s="173"/>
      <c r="M65" s="172"/>
      <c r="N65" s="173"/>
      <c r="O65" s="172"/>
      <c r="P65" s="173"/>
      <c r="Q65" s="172"/>
      <c r="R65" s="173"/>
      <c r="S65" s="172"/>
      <c r="T65" s="173"/>
      <c r="U65" s="172"/>
      <c r="V65" s="173"/>
      <c r="W65" s="172"/>
      <c r="X65" s="173"/>
      <c r="Y65" s="172"/>
      <c r="Z65" s="173"/>
      <c r="AA65" s="172"/>
      <c r="AB65" s="173"/>
      <c r="AC65" s="172"/>
      <c r="AD65" s="173"/>
      <c r="AE65" s="172">
        <f>'[3]2D Céltartalék'!D24</f>
        <v>304858</v>
      </c>
      <c r="AF65" s="173" t="e">
        <f>'2.4 melléklet'!#REF!</f>
        <v>#REF!</v>
      </c>
      <c r="AG65" s="172"/>
      <c r="AH65" s="173" t="e">
        <f>'2.4 melléklet'!#REF!</f>
        <v>#REF!</v>
      </c>
      <c r="AI65" s="172"/>
      <c r="AJ65" s="173"/>
      <c r="AK65" s="172"/>
      <c r="AL65" s="173"/>
      <c r="AM65" s="172"/>
      <c r="AN65" s="173"/>
      <c r="AO65" s="172"/>
      <c r="AP65" s="173"/>
      <c r="AQ65" s="172"/>
      <c r="AR65" s="173"/>
      <c r="AS65" s="172"/>
      <c r="AT65" s="173"/>
      <c r="AU65" s="172"/>
      <c r="AV65" s="173"/>
      <c r="AW65" s="172"/>
      <c r="AX65" s="173"/>
      <c r="AY65" s="172"/>
      <c r="AZ65" s="173"/>
      <c r="BA65" s="172"/>
      <c r="BB65" s="173"/>
      <c r="BC65" s="172"/>
      <c r="BD65" s="173"/>
      <c r="BE65" s="172"/>
      <c r="BF65" s="173"/>
      <c r="BG65" s="172"/>
      <c r="BH65" s="173"/>
      <c r="BI65" s="172"/>
      <c r="BJ65" s="173"/>
      <c r="BK65" s="172"/>
      <c r="BL65" s="173"/>
      <c r="BM65" s="172"/>
      <c r="BN65" s="173"/>
      <c r="BO65" s="172"/>
      <c r="BP65" s="173"/>
      <c r="BQ65" s="172"/>
      <c r="BR65" s="173"/>
      <c r="BS65" s="172"/>
      <c r="BT65" s="173"/>
      <c r="BU65" s="172"/>
      <c r="BV65" s="173"/>
      <c r="BW65" s="172"/>
      <c r="BX65" s="173"/>
      <c r="BY65" s="172"/>
      <c r="BZ65" s="173"/>
      <c r="CA65" s="172"/>
      <c r="CB65" s="173"/>
      <c r="CC65" s="172"/>
      <c r="CD65" s="173"/>
      <c r="CE65" s="172"/>
      <c r="CF65" s="173"/>
      <c r="CG65" s="172"/>
      <c r="CH65" s="173"/>
      <c r="CI65" s="172"/>
      <c r="CJ65" s="173"/>
      <c r="CK65" s="172"/>
      <c r="CL65" s="173"/>
      <c r="CM65" s="172"/>
      <c r="CN65" s="173"/>
      <c r="CO65" s="172"/>
      <c r="CP65" s="173"/>
      <c r="CQ65" s="172"/>
      <c r="CR65" s="173"/>
      <c r="CS65" s="172"/>
      <c r="CT65" s="173"/>
      <c r="CU65" s="172"/>
      <c r="CV65" s="173"/>
      <c r="CW65" s="172"/>
      <c r="CX65" s="173"/>
      <c r="CY65" s="172"/>
      <c r="CZ65" s="173"/>
      <c r="DA65" s="172"/>
      <c r="DB65" s="173"/>
      <c r="DC65" s="172"/>
      <c r="DD65" s="173"/>
      <c r="DE65" s="172"/>
      <c r="DF65" s="173"/>
      <c r="DG65" s="172"/>
      <c r="DH65" s="173"/>
      <c r="DI65" s="172"/>
      <c r="DJ65" s="173"/>
      <c r="DK65" s="172"/>
      <c r="DL65" s="173"/>
      <c r="DM65" s="172"/>
      <c r="DN65" s="173"/>
      <c r="DO65" s="172"/>
      <c r="DP65" s="173"/>
      <c r="DQ65" s="172"/>
      <c r="DR65" s="173"/>
      <c r="DS65" s="172"/>
      <c r="DT65" s="173"/>
      <c r="DU65" s="172"/>
      <c r="DV65" s="173"/>
    </row>
    <row r="66" spans="1:126" ht="13" x14ac:dyDescent="0.3">
      <c r="A66" s="174" t="s">
        <v>911</v>
      </c>
      <c r="B66" s="174" t="s">
        <v>339</v>
      </c>
      <c r="C66" s="175" t="e">
        <f t="shared" ref="C66:I66" si="39">SUM(C54:C65)</f>
        <v>#REF!</v>
      </c>
      <c r="D66" s="176" t="e">
        <f t="shared" si="39"/>
        <v>#REF!</v>
      </c>
      <c r="E66" s="175">
        <f t="shared" si="39"/>
        <v>317535</v>
      </c>
      <c r="F66" s="176" t="e">
        <f t="shared" si="39"/>
        <v>#REF!</v>
      </c>
      <c r="G66" s="175">
        <f t="shared" si="39"/>
        <v>287755</v>
      </c>
      <c r="H66" s="176">
        <f t="shared" si="39"/>
        <v>324862</v>
      </c>
      <c r="I66" s="175">
        <f t="shared" si="39"/>
        <v>0</v>
      </c>
      <c r="J66" s="176">
        <f t="shared" ref="J66:AO66" si="40">SUM(J54:J65)</f>
        <v>0</v>
      </c>
      <c r="K66" s="175">
        <f t="shared" si="40"/>
        <v>0</v>
      </c>
      <c r="L66" s="176">
        <f t="shared" si="40"/>
        <v>0</v>
      </c>
      <c r="M66" s="175">
        <f t="shared" si="40"/>
        <v>0</v>
      </c>
      <c r="N66" s="176">
        <f t="shared" si="40"/>
        <v>0</v>
      </c>
      <c r="O66" s="175">
        <f t="shared" si="40"/>
        <v>0</v>
      </c>
      <c r="P66" s="176">
        <f t="shared" si="40"/>
        <v>0</v>
      </c>
      <c r="Q66" s="175">
        <f t="shared" si="40"/>
        <v>0</v>
      </c>
      <c r="R66" s="176">
        <f t="shared" si="40"/>
        <v>0</v>
      </c>
      <c r="S66" s="175">
        <f t="shared" si="40"/>
        <v>0</v>
      </c>
      <c r="T66" s="176">
        <f>SUM(T54:T65)</f>
        <v>0</v>
      </c>
      <c r="U66" s="175">
        <f t="shared" si="40"/>
        <v>0</v>
      </c>
      <c r="V66" s="176">
        <f>SUM(V54:V65)</f>
        <v>0</v>
      </c>
      <c r="W66" s="175">
        <f t="shared" si="40"/>
        <v>0</v>
      </c>
      <c r="X66" s="176">
        <f t="shared" si="40"/>
        <v>0</v>
      </c>
      <c r="Y66" s="175">
        <f t="shared" si="40"/>
        <v>0</v>
      </c>
      <c r="Z66" s="176">
        <f t="shared" si="40"/>
        <v>0</v>
      </c>
      <c r="AA66" s="175">
        <f t="shared" si="40"/>
        <v>0</v>
      </c>
      <c r="AB66" s="176">
        <f>SUM(AB54:AB65)</f>
        <v>0</v>
      </c>
      <c r="AC66" s="175">
        <f t="shared" si="40"/>
        <v>0</v>
      </c>
      <c r="AD66" s="176">
        <f>SUM(AD54:AD65)</f>
        <v>0</v>
      </c>
      <c r="AE66" s="175">
        <f t="shared" si="40"/>
        <v>317535</v>
      </c>
      <c r="AF66" s="176" t="e">
        <f>SUM(AF54:AF65)</f>
        <v>#REF!</v>
      </c>
      <c r="AG66" s="175"/>
      <c r="AH66" s="176" t="e">
        <f>SUM(AH54:AH65)</f>
        <v>#REF!</v>
      </c>
      <c r="AI66" s="175">
        <f>SUM(AI54:AI65)</f>
        <v>0</v>
      </c>
      <c r="AJ66" s="176">
        <f>SUM(AJ54:AJ65)</f>
        <v>0</v>
      </c>
      <c r="AK66" s="175">
        <f t="shared" si="40"/>
        <v>0</v>
      </c>
      <c r="AL66" s="176">
        <f>SUM(AL54:AL65)</f>
        <v>0</v>
      </c>
      <c r="AM66" s="175">
        <f t="shared" si="40"/>
        <v>0</v>
      </c>
      <c r="AN66" s="176"/>
      <c r="AO66" s="175">
        <f t="shared" si="40"/>
        <v>0</v>
      </c>
      <c r="AP66" s="176">
        <f>SUM(AP54:AP65)</f>
        <v>0</v>
      </c>
      <c r="AQ66" s="175">
        <f t="shared" ref="AQ66:DU66" si="41">SUM(AQ54:AQ65)</f>
        <v>0</v>
      </c>
      <c r="AR66" s="176">
        <f>SUM(AR54:AR65)</f>
        <v>0</v>
      </c>
      <c r="AS66" s="175">
        <f t="shared" si="41"/>
        <v>1000</v>
      </c>
      <c r="AT66" s="176">
        <f>SUM(AT54:AT65)</f>
        <v>2000</v>
      </c>
      <c r="AU66" s="175">
        <f t="shared" si="41"/>
        <v>0</v>
      </c>
      <c r="AV66" s="176">
        <f>SUM(AV54:AV65)</f>
        <v>0</v>
      </c>
      <c r="AW66" s="175">
        <f t="shared" si="41"/>
        <v>0</v>
      </c>
      <c r="AX66" s="176">
        <f>SUM(AX54:AX65)</f>
        <v>0</v>
      </c>
      <c r="AY66" s="175">
        <f t="shared" si="41"/>
        <v>0</v>
      </c>
      <c r="AZ66" s="176">
        <f>SUM(AZ54:AZ65)</f>
        <v>0</v>
      </c>
      <c r="BA66" s="175">
        <f t="shared" si="41"/>
        <v>0</v>
      </c>
      <c r="BB66" s="176">
        <f>SUM(BB54:BB65)</f>
        <v>0</v>
      </c>
      <c r="BC66" s="175">
        <f t="shared" si="41"/>
        <v>0</v>
      </c>
      <c r="BD66" s="176">
        <f>SUM(BD54:BD65)</f>
        <v>0</v>
      </c>
      <c r="BE66" s="175">
        <f t="shared" si="41"/>
        <v>0</v>
      </c>
      <c r="BF66" s="176">
        <f>SUM(BF54:BF65)</f>
        <v>0</v>
      </c>
      <c r="BG66" s="175">
        <f t="shared" si="41"/>
        <v>0</v>
      </c>
      <c r="BH66" s="176">
        <f>SUM(BH54:BH65)</f>
        <v>0</v>
      </c>
      <c r="BI66" s="175">
        <f t="shared" si="41"/>
        <v>0</v>
      </c>
      <c r="BJ66" s="176">
        <f>SUM(BJ54:BJ65)</f>
        <v>0</v>
      </c>
      <c r="BK66" s="175">
        <f t="shared" si="41"/>
        <v>0</v>
      </c>
      <c r="BL66" s="176">
        <f>SUM(BL54:BL65)</f>
        <v>0</v>
      </c>
      <c r="BM66" s="175">
        <f t="shared" si="41"/>
        <v>0</v>
      </c>
      <c r="BN66" s="176">
        <f>SUM(BN54:BN65)</f>
        <v>0</v>
      </c>
      <c r="BO66" s="175">
        <f t="shared" si="41"/>
        <v>0</v>
      </c>
      <c r="BP66" s="176">
        <f>SUM(BP54:BP65)</f>
        <v>0</v>
      </c>
      <c r="BQ66" s="175">
        <f t="shared" si="41"/>
        <v>11818</v>
      </c>
      <c r="BR66" s="176">
        <f>SUM(BR54:BR65)</f>
        <v>8163</v>
      </c>
      <c r="BS66" s="175">
        <f t="shared" si="41"/>
        <v>2000</v>
      </c>
      <c r="BT66" s="176">
        <f>SUM(BT54:BT65)</f>
        <v>2623</v>
      </c>
      <c r="BU66" s="175">
        <f t="shared" si="41"/>
        <v>19120</v>
      </c>
      <c r="BV66" s="176">
        <f>SUM(BV54:BV65)</f>
        <v>19120</v>
      </c>
      <c r="BW66" s="175">
        <f t="shared" si="41"/>
        <v>2000</v>
      </c>
      <c r="BX66" s="176">
        <f>SUM(BX54:BX65)</f>
        <v>2000</v>
      </c>
      <c r="BY66" s="175">
        <f t="shared" si="41"/>
        <v>3766</v>
      </c>
      <c r="BZ66" s="176">
        <f>SUM(BZ54:BZ65)</f>
        <v>1000</v>
      </c>
      <c r="CA66" s="175">
        <f t="shared" si="41"/>
        <v>7560</v>
      </c>
      <c r="CB66" s="176">
        <f>SUM(CB54:CB65)</f>
        <v>4440</v>
      </c>
      <c r="CC66" s="175">
        <f t="shared" si="41"/>
        <v>5400</v>
      </c>
      <c r="CD66" s="176">
        <f>SUM(CD54:CD65)</f>
        <v>5400</v>
      </c>
      <c r="CE66" s="175">
        <f>SUM(CE54:CE65)</f>
        <v>400</v>
      </c>
      <c r="CF66" s="176">
        <f>SUM(CF54:CF65)</f>
        <v>400</v>
      </c>
      <c r="CG66" s="175">
        <f t="shared" si="41"/>
        <v>0</v>
      </c>
      <c r="CH66" s="176">
        <f>SUM(CH54:CH65)</f>
        <v>0</v>
      </c>
      <c r="CI66" s="175">
        <f t="shared" si="41"/>
        <v>156331</v>
      </c>
      <c r="CJ66" s="176">
        <f>SUM(CJ54:CJ65)</f>
        <v>195415</v>
      </c>
      <c r="CK66" s="175">
        <f t="shared" si="41"/>
        <v>24888</v>
      </c>
      <c r="CL66" s="176">
        <f>SUM(CL54:CL65)</f>
        <v>27269</v>
      </c>
      <c r="CM66" s="175">
        <f t="shared" si="41"/>
        <v>3000</v>
      </c>
      <c r="CN66" s="176">
        <f>SUM(CN54:CN65)</f>
        <v>1500</v>
      </c>
      <c r="CO66" s="175">
        <f t="shared" si="41"/>
        <v>6500</v>
      </c>
      <c r="CP66" s="176">
        <f>SUM(CP54:CP65)</f>
        <v>6500</v>
      </c>
      <c r="CQ66" s="175">
        <f t="shared" si="41"/>
        <v>2572</v>
      </c>
      <c r="CR66" s="176">
        <f>SUM(CR54:CR65)</f>
        <v>2572</v>
      </c>
      <c r="CS66" s="175">
        <f t="shared" si="41"/>
        <v>0</v>
      </c>
      <c r="CT66" s="176">
        <f>SUM(CT54:CT65)</f>
        <v>0</v>
      </c>
      <c r="CU66" s="175">
        <f t="shared" si="41"/>
        <v>31500</v>
      </c>
      <c r="CV66" s="176">
        <f>SUM(CV54:CV65)</f>
        <v>31500</v>
      </c>
      <c r="CW66" s="175">
        <f t="shared" si="41"/>
        <v>9500</v>
      </c>
      <c r="CX66" s="176">
        <f>SUM(CX54:CX65)</f>
        <v>14760</v>
      </c>
      <c r="CY66" s="175">
        <f t="shared" si="41"/>
        <v>0</v>
      </c>
      <c r="CZ66" s="176"/>
      <c r="DA66" s="175">
        <f t="shared" si="41"/>
        <v>0</v>
      </c>
      <c r="DB66" s="176"/>
      <c r="DC66" s="175">
        <f t="shared" si="41"/>
        <v>0</v>
      </c>
      <c r="DD66" s="176">
        <f>SUM(DD54:DD65)</f>
        <v>0</v>
      </c>
      <c r="DE66" s="175">
        <f t="shared" si="41"/>
        <v>0</v>
      </c>
      <c r="DF66" s="176">
        <f>SUM(DF54:DF65)</f>
        <v>0</v>
      </c>
      <c r="DG66" s="175">
        <f t="shared" si="41"/>
        <v>200</v>
      </c>
      <c r="DH66" s="176">
        <f>SUM(DH54:DH65)</f>
        <v>0</v>
      </c>
      <c r="DI66" s="175">
        <f t="shared" si="41"/>
        <v>0</v>
      </c>
      <c r="DJ66" s="176">
        <f>SUM(DJ54:DJ65)</f>
        <v>0</v>
      </c>
      <c r="DK66" s="175">
        <f t="shared" si="41"/>
        <v>0</v>
      </c>
      <c r="DL66" s="176">
        <f>SUM(DL54:DL65)</f>
        <v>0</v>
      </c>
      <c r="DM66" s="175">
        <f t="shared" si="41"/>
        <v>0</v>
      </c>
      <c r="DN66" s="176">
        <f>SUM(DN54:DN65)</f>
        <v>0</v>
      </c>
      <c r="DO66" s="175">
        <f t="shared" si="41"/>
        <v>0</v>
      </c>
      <c r="DP66" s="176">
        <f>SUM(DP54:DP65)</f>
        <v>0</v>
      </c>
      <c r="DQ66" s="175">
        <f t="shared" si="41"/>
        <v>0</v>
      </c>
      <c r="DR66" s="176"/>
      <c r="DS66" s="175">
        <f t="shared" si="41"/>
        <v>0</v>
      </c>
      <c r="DT66" s="176">
        <f>SUM(DT54:DT65)</f>
        <v>0</v>
      </c>
      <c r="DU66" s="175">
        <f t="shared" si="41"/>
        <v>200</v>
      </c>
      <c r="DV66" s="176">
        <f>SUM(DV54:DV65)</f>
        <v>200</v>
      </c>
    </row>
    <row r="67" spans="1:126" x14ac:dyDescent="0.25">
      <c r="A67" s="171" t="s">
        <v>195</v>
      </c>
      <c r="B67" s="171" t="s">
        <v>197</v>
      </c>
      <c r="C67" s="172">
        <f t="shared" si="32"/>
        <v>11044</v>
      </c>
      <c r="D67" s="173">
        <f t="shared" si="28"/>
        <v>7874</v>
      </c>
      <c r="E67" s="172">
        <f t="shared" ref="E67:E73" si="42">K67+M67+O66:O67+Q67+S67+U67+W67+Y67+AA67+AC67+AE67+AI67</f>
        <v>3170</v>
      </c>
      <c r="F67" s="173">
        <f t="shared" ref="F67:F72" si="43">L67+N67+P66:P67+R67+T67+V67+X67+Z67+AB67+AD67+AF67+AJ67+AH67</f>
        <v>7874</v>
      </c>
      <c r="G67" s="172">
        <f t="shared" ref="G67:H105" si="44">AK67+AM67+AO67+AQ67+AS67+AU67+AW67+AY67+BA67+BC67+BE67+BG67+BI67+BK67+BM67+BO67+BQ67+BS67+BU67+BW67+BY67+CA67+CC67+CE67+CG67+CI67+CK67+CM67+CO67+CQ67+CS67+CU67+CW67+DA67+CY67+DC67+DE67+DG67+DI67+DK67+DM67+DO67+DQ67+DS67+DU67</f>
        <v>0</v>
      </c>
      <c r="H67" s="173">
        <f t="shared" si="44"/>
        <v>0</v>
      </c>
      <c r="I67" s="172"/>
      <c r="J67" s="173"/>
      <c r="K67" s="172">
        <v>2820</v>
      </c>
      <c r="L67" s="173">
        <f>4724+3150</f>
        <v>7874</v>
      </c>
      <c r="M67" s="172"/>
      <c r="N67" s="173"/>
      <c r="O67" s="172"/>
      <c r="P67" s="173"/>
      <c r="Q67" s="172"/>
      <c r="R67" s="173"/>
      <c r="S67" s="172"/>
      <c r="T67" s="173"/>
      <c r="U67" s="172"/>
      <c r="V67" s="173"/>
      <c r="W67" s="172"/>
      <c r="X67" s="173"/>
      <c r="Y67" s="172"/>
      <c r="Z67" s="173"/>
      <c r="AA67" s="172"/>
      <c r="AB67" s="173"/>
      <c r="AC67" s="172"/>
      <c r="AD67" s="173"/>
      <c r="AE67" s="172">
        <f>'[3]7. beruházás'!J18</f>
        <v>350</v>
      </c>
      <c r="AF67" s="173">
        <v>0</v>
      </c>
      <c r="AG67" s="172"/>
      <c r="AH67" s="173">
        <v>0</v>
      </c>
      <c r="AI67" s="172"/>
      <c r="AJ67" s="173"/>
      <c r="AK67" s="172"/>
      <c r="AL67" s="173"/>
      <c r="AM67" s="172"/>
      <c r="AN67" s="173"/>
      <c r="AO67" s="172"/>
      <c r="AP67" s="173"/>
      <c r="AQ67" s="172"/>
      <c r="AR67" s="173"/>
      <c r="AS67" s="172"/>
      <c r="AT67" s="173"/>
      <c r="AU67" s="172"/>
      <c r="AV67" s="173"/>
      <c r="AW67" s="172"/>
      <c r="AX67" s="173"/>
      <c r="AY67" s="172"/>
      <c r="AZ67" s="173"/>
      <c r="BA67" s="172"/>
      <c r="BB67" s="173"/>
      <c r="BC67" s="172"/>
      <c r="BD67" s="173"/>
      <c r="BE67" s="172"/>
      <c r="BF67" s="173"/>
      <c r="BG67" s="172"/>
      <c r="BH67" s="173"/>
      <c r="BI67" s="172"/>
      <c r="BJ67" s="173"/>
      <c r="BK67" s="172"/>
      <c r="BL67" s="173"/>
      <c r="BM67" s="172"/>
      <c r="BN67" s="173"/>
      <c r="BO67" s="172"/>
      <c r="BP67" s="173"/>
      <c r="BQ67" s="172"/>
      <c r="BR67" s="173"/>
      <c r="BS67" s="172"/>
      <c r="BT67" s="173"/>
      <c r="BU67" s="172"/>
      <c r="BV67" s="173"/>
      <c r="BW67" s="172"/>
      <c r="BX67" s="173"/>
      <c r="BY67" s="172"/>
      <c r="BZ67" s="173"/>
      <c r="CA67" s="172"/>
      <c r="CB67" s="173"/>
      <c r="CC67" s="172"/>
      <c r="CD67" s="173"/>
      <c r="CE67" s="172"/>
      <c r="CF67" s="173"/>
      <c r="CG67" s="172"/>
      <c r="CH67" s="173"/>
      <c r="CI67" s="172"/>
      <c r="CJ67" s="173"/>
      <c r="CK67" s="172"/>
      <c r="CL67" s="173"/>
      <c r="CM67" s="172"/>
      <c r="CN67" s="173"/>
      <c r="CO67" s="172"/>
      <c r="CP67" s="173"/>
      <c r="CQ67" s="172"/>
      <c r="CR67" s="173"/>
      <c r="CS67" s="172"/>
      <c r="CT67" s="173"/>
      <c r="CU67" s="172"/>
      <c r="CV67" s="173"/>
      <c r="CW67" s="172"/>
      <c r="CX67" s="173"/>
      <c r="CY67" s="172"/>
      <c r="CZ67" s="173"/>
      <c r="DA67" s="172"/>
      <c r="DB67" s="173"/>
      <c r="DC67" s="172"/>
      <c r="DD67" s="173"/>
      <c r="DE67" s="172"/>
      <c r="DF67" s="173"/>
      <c r="DG67" s="172"/>
      <c r="DH67" s="173"/>
      <c r="DI67" s="172"/>
      <c r="DJ67" s="173"/>
      <c r="DK67" s="172"/>
      <c r="DL67" s="173"/>
      <c r="DM67" s="172"/>
      <c r="DN67" s="173"/>
      <c r="DO67" s="172"/>
      <c r="DP67" s="173"/>
      <c r="DQ67" s="172"/>
      <c r="DR67" s="173"/>
      <c r="DS67" s="172"/>
      <c r="DT67" s="173"/>
      <c r="DU67" s="172"/>
      <c r="DV67" s="173"/>
    </row>
    <row r="68" spans="1:126" x14ac:dyDescent="0.25">
      <c r="A68" s="171" t="s">
        <v>198</v>
      </c>
      <c r="B68" s="171" t="s">
        <v>200</v>
      </c>
      <c r="C68" s="172" t="e">
        <f t="shared" si="32"/>
        <v>#REF!</v>
      </c>
      <c r="D68" s="173" t="e">
        <f>F68+H68+J68</f>
        <v>#REF!</v>
      </c>
      <c r="E68" s="172">
        <f t="shared" si="42"/>
        <v>106320</v>
      </c>
      <c r="F68" s="173">
        <f>L68+N68+P67:P68+R68+T68+V68+X68+Z68+AB68+AD68+AF68+AJ68+AH68</f>
        <v>2995</v>
      </c>
      <c r="G68" s="172">
        <f t="shared" si="44"/>
        <v>199644</v>
      </c>
      <c r="H68" s="173" t="e">
        <f t="shared" si="44"/>
        <v>#REF!</v>
      </c>
      <c r="I68" s="172"/>
      <c r="J68" s="173"/>
      <c r="K68" s="172">
        <v>3937</v>
      </c>
      <c r="L68" s="173"/>
      <c r="M68" s="172"/>
      <c r="N68" s="173">
        <v>1181</v>
      </c>
      <c r="O68" s="172"/>
      <c r="P68" s="173"/>
      <c r="Q68" s="172"/>
      <c r="R68" s="173"/>
      <c r="S68" s="172"/>
      <c r="T68" s="173"/>
      <c r="U68" s="172"/>
      <c r="V68" s="173"/>
      <c r="W68" s="172"/>
      <c r="X68" s="173"/>
      <c r="Y68" s="172"/>
      <c r="Z68" s="173">
        <f>414</f>
        <v>414</v>
      </c>
      <c r="AA68" s="172"/>
      <c r="AB68" s="173">
        <v>1400</v>
      </c>
      <c r="AC68" s="172"/>
      <c r="AD68" s="173"/>
      <c r="AE68" s="172">
        <f>'[3]7. beruházás'!J8+'[3]7. beruházás'!J12+'[3]7. beruházás'!J13+'[3]7. beruházás'!J17+'[3]7. beruházás'!J19+'[3]7. beruházás'!J24+'[3]7. beruházás'!J26</f>
        <v>102383</v>
      </c>
      <c r="AF68" s="173">
        <v>0</v>
      </c>
      <c r="AG68" s="172"/>
      <c r="AH68" s="173">
        <v>0</v>
      </c>
      <c r="AI68" s="172"/>
      <c r="AJ68" s="173"/>
      <c r="AK68" s="172"/>
      <c r="AL68" s="173"/>
      <c r="AM68" s="172"/>
      <c r="AN68" s="173"/>
      <c r="AO68" s="172"/>
      <c r="AP68" s="173"/>
      <c r="AQ68" s="172"/>
      <c r="AR68" s="173"/>
      <c r="AS68" s="172"/>
      <c r="AT68" s="173"/>
      <c r="AU68" s="172"/>
      <c r="AV68" s="173"/>
      <c r="AW68" s="172"/>
      <c r="AX68" s="173"/>
      <c r="AY68" s="172"/>
      <c r="AZ68" s="173"/>
      <c r="BA68" s="172"/>
      <c r="BB68" s="173"/>
      <c r="BC68" s="172"/>
      <c r="BD68" s="173"/>
      <c r="BE68" s="172"/>
      <c r="BF68" s="173"/>
      <c r="BG68" s="172"/>
      <c r="BH68" s="173"/>
      <c r="BI68" s="172"/>
      <c r="BJ68" s="173"/>
      <c r="BK68" s="172"/>
      <c r="BL68" s="173"/>
      <c r="BM68" s="172"/>
      <c r="BN68" s="173"/>
      <c r="BO68" s="172"/>
      <c r="BP68" s="173"/>
      <c r="BQ68" s="172"/>
      <c r="BR68" s="173"/>
      <c r="BS68" s="172"/>
      <c r="BT68" s="173"/>
      <c r="BU68" s="172"/>
      <c r="BV68" s="173"/>
      <c r="BW68" s="172"/>
      <c r="BX68" s="173"/>
      <c r="BY68" s="172"/>
      <c r="BZ68" s="173"/>
      <c r="CA68" s="172"/>
      <c r="CB68" s="173"/>
      <c r="CC68" s="172"/>
      <c r="CD68" s="173"/>
      <c r="CE68" s="172"/>
      <c r="CF68" s="173"/>
      <c r="CG68" s="172"/>
      <c r="CH68" s="173"/>
      <c r="CI68" s="172"/>
      <c r="CJ68" s="173"/>
      <c r="CK68" s="172"/>
      <c r="CL68" s="173"/>
      <c r="CM68" s="172"/>
      <c r="CN68" s="173"/>
      <c r="CO68" s="172"/>
      <c r="CP68" s="173"/>
      <c r="CQ68" s="172"/>
      <c r="CR68" s="173"/>
      <c r="CS68" s="172"/>
      <c r="CT68" s="173"/>
      <c r="CU68" s="172"/>
      <c r="CV68" s="173"/>
      <c r="CW68" s="172"/>
      <c r="CX68" s="173"/>
      <c r="CY68" s="172"/>
      <c r="CZ68" s="173"/>
      <c r="DA68" s="172"/>
      <c r="DB68" s="173"/>
      <c r="DC68" s="172"/>
      <c r="DD68" s="173"/>
      <c r="DE68" s="172"/>
      <c r="DF68" s="173"/>
      <c r="DG68" s="172"/>
      <c r="DH68" s="173"/>
      <c r="DI68" s="172">
        <f>'[3]7. beruházás'!J6+'[3]7. beruházás'!J7+'[3]7. beruházás'!J9+'[3]7. beruházás'!J10+'[3]7. beruházás'!J11+'[3]7. beruházás'!J14+'[3]7. beruházás'!J16+'[3]7. beruházás'!J15+'[3]7. beruházás'!J22+'[3]7. beruházás'!J25</f>
        <v>199644</v>
      </c>
      <c r="DJ68" s="173" t="e">
        <f>Beruházás!C7+Beruházás!C24+Beruházás!C34+Beruházás!C40+Beruházás!C43+Beruházás!C63+Beruházás!C64+Beruházás!C78+Beruházás!#REF!+Beruházás!C83+Beruházás!#REF!+Beruházás!#REF!+Beruházás!C84+Beruházás!#REF!-195901</f>
        <v>#REF!</v>
      </c>
      <c r="DK68" s="172"/>
      <c r="DL68" s="173"/>
      <c r="DM68" s="172"/>
      <c r="DN68" s="173"/>
      <c r="DO68" s="172"/>
      <c r="DP68" s="173"/>
      <c r="DQ68" s="172"/>
      <c r="DR68" s="173"/>
      <c r="DS68" s="172"/>
      <c r="DT68" s="173"/>
      <c r="DU68" s="172"/>
      <c r="DV68" s="173"/>
    </row>
    <row r="69" spans="1:126" x14ac:dyDescent="0.25">
      <c r="A69" s="171" t="s">
        <v>201</v>
      </c>
      <c r="B69" s="171" t="s">
        <v>203</v>
      </c>
      <c r="C69" s="172">
        <f t="shared" si="32"/>
        <v>3937</v>
      </c>
      <c r="D69" s="173">
        <f t="shared" si="28"/>
        <v>0</v>
      </c>
      <c r="E69" s="172">
        <f t="shared" si="42"/>
        <v>0</v>
      </c>
      <c r="F69" s="173">
        <f t="shared" si="43"/>
        <v>0</v>
      </c>
      <c r="G69" s="172">
        <f t="shared" si="44"/>
        <v>3937</v>
      </c>
      <c r="H69" s="173">
        <f t="shared" si="44"/>
        <v>0</v>
      </c>
      <c r="I69" s="172"/>
      <c r="J69" s="173"/>
      <c r="K69" s="172"/>
      <c r="L69" s="173"/>
      <c r="M69" s="172"/>
      <c r="N69" s="173"/>
      <c r="O69" s="172"/>
      <c r="P69" s="173"/>
      <c r="Q69" s="172"/>
      <c r="R69" s="173"/>
      <c r="S69" s="172"/>
      <c r="T69" s="173"/>
      <c r="U69" s="172"/>
      <c r="V69" s="173"/>
      <c r="W69" s="172"/>
      <c r="X69" s="173"/>
      <c r="Y69" s="172"/>
      <c r="Z69" s="173"/>
      <c r="AA69" s="172"/>
      <c r="AB69" s="173"/>
      <c r="AC69" s="172"/>
      <c r="AD69" s="173"/>
      <c r="AE69" s="172"/>
      <c r="AF69" s="173"/>
      <c r="AG69" s="172"/>
      <c r="AH69" s="173"/>
      <c r="AI69" s="172"/>
      <c r="AJ69" s="173"/>
      <c r="AK69" s="172"/>
      <c r="AL69" s="173"/>
      <c r="AM69" s="172"/>
      <c r="AN69" s="173"/>
      <c r="AO69" s="172"/>
      <c r="AP69" s="173"/>
      <c r="AQ69" s="172"/>
      <c r="AR69" s="173"/>
      <c r="AS69" s="172"/>
      <c r="AT69" s="173"/>
      <c r="AU69" s="172"/>
      <c r="AV69" s="173"/>
      <c r="AW69" s="172"/>
      <c r="AX69" s="173"/>
      <c r="AY69" s="172"/>
      <c r="AZ69" s="173"/>
      <c r="BA69" s="172"/>
      <c r="BB69" s="173"/>
      <c r="BC69" s="172"/>
      <c r="BD69" s="173"/>
      <c r="BE69" s="172"/>
      <c r="BF69" s="173"/>
      <c r="BG69" s="172"/>
      <c r="BH69" s="173"/>
      <c r="BI69" s="172"/>
      <c r="BJ69" s="173"/>
      <c r="BK69" s="172"/>
      <c r="BL69" s="173"/>
      <c r="BM69" s="172"/>
      <c r="BN69" s="173"/>
      <c r="BO69" s="172"/>
      <c r="BP69" s="173"/>
      <c r="BQ69" s="172"/>
      <c r="BR69" s="173"/>
      <c r="BS69" s="172"/>
      <c r="BT69" s="173"/>
      <c r="BU69" s="172"/>
      <c r="BV69" s="173"/>
      <c r="BW69" s="172"/>
      <c r="BX69" s="173"/>
      <c r="BY69" s="172"/>
      <c r="BZ69" s="173"/>
      <c r="CA69" s="172"/>
      <c r="CB69" s="173"/>
      <c r="CC69" s="172"/>
      <c r="CD69" s="173"/>
      <c r="CE69" s="172"/>
      <c r="CF69" s="173"/>
      <c r="CG69" s="172"/>
      <c r="CH69" s="173"/>
      <c r="CI69" s="172"/>
      <c r="CJ69" s="173"/>
      <c r="CK69" s="172"/>
      <c r="CL69" s="173"/>
      <c r="CM69" s="172"/>
      <c r="CN69" s="173"/>
      <c r="CO69" s="172"/>
      <c r="CP69" s="173"/>
      <c r="CQ69" s="172"/>
      <c r="CR69" s="173"/>
      <c r="CS69" s="172"/>
      <c r="CT69" s="173"/>
      <c r="CU69" s="172"/>
      <c r="CV69" s="173"/>
      <c r="CW69" s="172"/>
      <c r="CX69" s="173"/>
      <c r="CY69" s="172"/>
      <c r="CZ69" s="173"/>
      <c r="DA69" s="172"/>
      <c r="DB69" s="173"/>
      <c r="DC69" s="172"/>
      <c r="DD69" s="173"/>
      <c r="DE69" s="172"/>
      <c r="DF69" s="173"/>
      <c r="DG69" s="172"/>
      <c r="DH69" s="173"/>
      <c r="DI69" s="172">
        <f>'[3]7. beruházás'!J28</f>
        <v>3937</v>
      </c>
      <c r="DJ69" s="173"/>
      <c r="DK69" s="172"/>
      <c r="DL69" s="173"/>
      <c r="DM69" s="172"/>
      <c r="DN69" s="173"/>
      <c r="DO69" s="172"/>
      <c r="DP69" s="173"/>
      <c r="DQ69" s="172"/>
      <c r="DR69" s="173"/>
      <c r="DS69" s="172"/>
      <c r="DT69" s="173"/>
      <c r="DU69" s="172"/>
      <c r="DV69" s="173"/>
    </row>
    <row r="70" spans="1:126" x14ac:dyDescent="0.25">
      <c r="A70" s="171" t="s">
        <v>204</v>
      </c>
      <c r="B70" s="171" t="s">
        <v>912</v>
      </c>
      <c r="C70" s="172">
        <f t="shared" si="32"/>
        <v>204456</v>
      </c>
      <c r="D70" s="173">
        <f t="shared" si="28"/>
        <v>200219</v>
      </c>
      <c r="E70" s="172">
        <f t="shared" si="42"/>
        <v>300</v>
      </c>
      <c r="F70" s="173">
        <f t="shared" si="43"/>
        <v>200219</v>
      </c>
      <c r="G70" s="172">
        <f t="shared" si="44"/>
        <v>3937</v>
      </c>
      <c r="H70" s="173">
        <f t="shared" si="44"/>
        <v>0</v>
      </c>
      <c r="I70" s="172"/>
      <c r="J70" s="173"/>
      <c r="K70" s="172"/>
      <c r="L70" s="173"/>
      <c r="M70" s="172"/>
      <c r="N70" s="173"/>
      <c r="O70" s="172"/>
      <c r="P70" s="173"/>
      <c r="Q70" s="172"/>
      <c r="R70" s="173"/>
      <c r="S70" s="172"/>
      <c r="T70" s="173"/>
      <c r="U70" s="172"/>
      <c r="V70" s="173"/>
      <c r="W70" s="172"/>
      <c r="X70" s="173"/>
      <c r="Y70" s="172"/>
      <c r="Z70" s="173">
        <v>3937</v>
      </c>
      <c r="AA70" s="172"/>
      <c r="AB70" s="173"/>
      <c r="AC70" s="172"/>
      <c r="AD70" s="173"/>
      <c r="AE70" s="172">
        <f>'[3]7. beruházás'!J23</f>
        <v>300</v>
      </c>
      <c r="AF70" s="173">
        <f>381+195901</f>
        <v>196282</v>
      </c>
      <c r="AG70" s="172"/>
      <c r="AH70" s="173"/>
      <c r="AI70" s="172"/>
      <c r="AJ70" s="173"/>
      <c r="AK70" s="172"/>
      <c r="AL70" s="173"/>
      <c r="AM70" s="172"/>
      <c r="AN70" s="173"/>
      <c r="AO70" s="172"/>
      <c r="AP70" s="173"/>
      <c r="AQ70" s="172"/>
      <c r="AR70" s="173"/>
      <c r="AS70" s="172"/>
      <c r="AT70" s="173"/>
      <c r="AU70" s="172"/>
      <c r="AV70" s="173"/>
      <c r="AW70" s="172"/>
      <c r="AX70" s="173"/>
      <c r="AY70" s="172"/>
      <c r="AZ70" s="173"/>
      <c r="BA70" s="172"/>
      <c r="BB70" s="173"/>
      <c r="BC70" s="172"/>
      <c r="BD70" s="173"/>
      <c r="BE70" s="172"/>
      <c r="BF70" s="173"/>
      <c r="BG70" s="172"/>
      <c r="BH70" s="173"/>
      <c r="BI70" s="172"/>
      <c r="BJ70" s="173"/>
      <c r="BK70" s="172"/>
      <c r="BL70" s="173"/>
      <c r="BM70" s="172"/>
      <c r="BN70" s="173"/>
      <c r="BO70" s="172"/>
      <c r="BP70" s="173"/>
      <c r="BQ70" s="172"/>
      <c r="BR70" s="173"/>
      <c r="BS70" s="172"/>
      <c r="BT70" s="173"/>
      <c r="BU70" s="172"/>
      <c r="BV70" s="173"/>
      <c r="BW70" s="172"/>
      <c r="BX70" s="173"/>
      <c r="BY70" s="172"/>
      <c r="BZ70" s="173"/>
      <c r="CA70" s="172"/>
      <c r="CB70" s="173"/>
      <c r="CC70" s="172"/>
      <c r="CD70" s="173"/>
      <c r="CE70" s="172"/>
      <c r="CF70" s="173"/>
      <c r="CG70" s="172"/>
      <c r="CH70" s="173"/>
      <c r="CI70" s="172"/>
      <c r="CJ70" s="173"/>
      <c r="CK70" s="172"/>
      <c r="CL70" s="173"/>
      <c r="CM70" s="172"/>
      <c r="CN70" s="173"/>
      <c r="CO70" s="172"/>
      <c r="CP70" s="173"/>
      <c r="CQ70" s="172"/>
      <c r="CR70" s="173"/>
      <c r="CS70" s="172"/>
      <c r="CT70" s="173"/>
      <c r="CU70" s="172"/>
      <c r="CV70" s="173"/>
      <c r="CW70" s="172"/>
      <c r="CX70" s="173"/>
      <c r="CY70" s="172"/>
      <c r="CZ70" s="173"/>
      <c r="DA70" s="172"/>
      <c r="DB70" s="173"/>
      <c r="DC70" s="172"/>
      <c r="DD70" s="173"/>
      <c r="DE70" s="172"/>
      <c r="DF70" s="173"/>
      <c r="DG70" s="172"/>
      <c r="DH70" s="173"/>
      <c r="DI70" s="172">
        <f>'[3]7. beruházás'!J27</f>
        <v>3937</v>
      </c>
      <c r="DJ70" s="173"/>
      <c r="DK70" s="172"/>
      <c r="DL70" s="173"/>
      <c r="DM70" s="172"/>
      <c r="DN70" s="173"/>
      <c r="DO70" s="172"/>
      <c r="DP70" s="173"/>
      <c r="DQ70" s="172"/>
      <c r="DR70" s="173"/>
      <c r="DS70" s="172"/>
      <c r="DT70" s="173"/>
      <c r="DU70" s="172"/>
      <c r="DV70" s="173"/>
    </row>
    <row r="71" spans="1:126" x14ac:dyDescent="0.25">
      <c r="A71" s="171" t="s">
        <v>209</v>
      </c>
      <c r="B71" s="171" t="s">
        <v>211</v>
      </c>
      <c r="C71" s="172">
        <f t="shared" si="32"/>
        <v>0</v>
      </c>
      <c r="D71" s="173">
        <f t="shared" si="28"/>
        <v>0</v>
      </c>
      <c r="E71" s="172">
        <f t="shared" si="42"/>
        <v>0</v>
      </c>
      <c r="F71" s="173">
        <f t="shared" si="43"/>
        <v>0</v>
      </c>
      <c r="G71" s="172">
        <f t="shared" si="44"/>
        <v>0</v>
      </c>
      <c r="H71" s="173">
        <f t="shared" si="44"/>
        <v>0</v>
      </c>
      <c r="I71" s="172"/>
      <c r="J71" s="173"/>
      <c r="K71" s="172"/>
      <c r="L71" s="173"/>
      <c r="M71" s="172"/>
      <c r="N71" s="173"/>
      <c r="O71" s="172"/>
      <c r="P71" s="173"/>
      <c r="Q71" s="172"/>
      <c r="R71" s="173"/>
      <c r="S71" s="172"/>
      <c r="T71" s="173"/>
      <c r="U71" s="172"/>
      <c r="V71" s="173"/>
      <c r="W71" s="172"/>
      <c r="X71" s="173"/>
      <c r="Y71" s="172"/>
      <c r="Z71" s="173"/>
      <c r="AA71" s="172"/>
      <c r="AB71" s="173"/>
      <c r="AC71" s="172"/>
      <c r="AD71" s="173"/>
      <c r="AE71" s="172"/>
      <c r="AF71" s="173"/>
      <c r="AG71" s="172"/>
      <c r="AH71" s="173"/>
      <c r="AI71" s="172"/>
      <c r="AJ71" s="173"/>
      <c r="AK71" s="172"/>
      <c r="AL71" s="173"/>
      <c r="AM71" s="172"/>
      <c r="AN71" s="173"/>
      <c r="AO71" s="172"/>
      <c r="AP71" s="173"/>
      <c r="AQ71" s="172"/>
      <c r="AR71" s="173"/>
      <c r="AS71" s="172"/>
      <c r="AT71" s="173"/>
      <c r="AU71" s="172"/>
      <c r="AV71" s="173"/>
      <c r="AW71" s="172"/>
      <c r="AX71" s="173"/>
      <c r="AY71" s="172"/>
      <c r="AZ71" s="173"/>
      <c r="BA71" s="172"/>
      <c r="BB71" s="173"/>
      <c r="BC71" s="172"/>
      <c r="BD71" s="173"/>
      <c r="BE71" s="172"/>
      <c r="BF71" s="173"/>
      <c r="BG71" s="172"/>
      <c r="BH71" s="173"/>
      <c r="BI71" s="172"/>
      <c r="BJ71" s="173"/>
      <c r="BK71" s="172"/>
      <c r="BL71" s="173"/>
      <c r="BM71" s="172"/>
      <c r="BN71" s="173"/>
      <c r="BO71" s="172"/>
      <c r="BP71" s="173"/>
      <c r="BQ71" s="172"/>
      <c r="BR71" s="173"/>
      <c r="BS71" s="172"/>
      <c r="BT71" s="173"/>
      <c r="BU71" s="172"/>
      <c r="BV71" s="173"/>
      <c r="BW71" s="172"/>
      <c r="BX71" s="173"/>
      <c r="BY71" s="172"/>
      <c r="BZ71" s="173"/>
      <c r="CA71" s="172"/>
      <c r="CB71" s="173"/>
      <c r="CC71" s="172"/>
      <c r="CD71" s="173"/>
      <c r="CE71" s="172"/>
      <c r="CF71" s="173"/>
      <c r="CG71" s="172"/>
      <c r="CH71" s="173"/>
      <c r="CI71" s="172"/>
      <c r="CJ71" s="173"/>
      <c r="CK71" s="172"/>
      <c r="CL71" s="173"/>
      <c r="CM71" s="172"/>
      <c r="CN71" s="173"/>
      <c r="CO71" s="172"/>
      <c r="CP71" s="173"/>
      <c r="CQ71" s="172"/>
      <c r="CR71" s="173"/>
      <c r="CS71" s="172"/>
      <c r="CT71" s="173"/>
      <c r="CU71" s="172"/>
      <c r="CV71" s="173"/>
      <c r="CW71" s="172"/>
      <c r="CX71" s="173"/>
      <c r="CY71" s="172"/>
      <c r="CZ71" s="173"/>
      <c r="DA71" s="172"/>
      <c r="DB71" s="173"/>
      <c r="DC71" s="172"/>
      <c r="DD71" s="173"/>
      <c r="DE71" s="172"/>
      <c r="DF71" s="173"/>
      <c r="DG71" s="172"/>
      <c r="DH71" s="173"/>
      <c r="DI71" s="172"/>
      <c r="DJ71" s="173"/>
      <c r="DK71" s="172"/>
      <c r="DL71" s="173"/>
      <c r="DM71" s="172"/>
      <c r="DN71" s="173"/>
      <c r="DO71" s="172"/>
      <c r="DP71" s="173"/>
      <c r="DQ71" s="172"/>
      <c r="DR71" s="173"/>
      <c r="DS71" s="172"/>
      <c r="DT71" s="173"/>
      <c r="DU71" s="172"/>
      <c r="DV71" s="173"/>
    </row>
    <row r="72" spans="1:126" x14ac:dyDescent="0.25">
      <c r="A72" s="171" t="s">
        <v>212</v>
      </c>
      <c r="B72" s="171" t="s">
        <v>913</v>
      </c>
      <c r="C72" s="172">
        <f t="shared" si="32"/>
        <v>0</v>
      </c>
      <c r="D72" s="173">
        <f t="shared" si="28"/>
        <v>0</v>
      </c>
      <c r="E72" s="172">
        <f t="shared" si="42"/>
        <v>0</v>
      </c>
      <c r="F72" s="173">
        <f t="shared" si="43"/>
        <v>0</v>
      </c>
      <c r="G72" s="172">
        <f t="shared" si="44"/>
        <v>0</v>
      </c>
      <c r="H72" s="173">
        <f t="shared" si="44"/>
        <v>0</v>
      </c>
      <c r="I72" s="172"/>
      <c r="J72" s="173"/>
      <c r="K72" s="172"/>
      <c r="L72" s="173"/>
      <c r="M72" s="172"/>
      <c r="N72" s="173"/>
      <c r="O72" s="172"/>
      <c r="P72" s="173"/>
      <c r="Q72" s="172"/>
      <c r="R72" s="173"/>
      <c r="S72" s="172"/>
      <c r="T72" s="173"/>
      <c r="U72" s="172"/>
      <c r="V72" s="173"/>
      <c r="W72" s="172"/>
      <c r="X72" s="173"/>
      <c r="Y72" s="172"/>
      <c r="Z72" s="173"/>
      <c r="AA72" s="172"/>
      <c r="AB72" s="173"/>
      <c r="AC72" s="172"/>
      <c r="AD72" s="173"/>
      <c r="AE72" s="172"/>
      <c r="AF72" s="173"/>
      <c r="AG72" s="172"/>
      <c r="AH72" s="173"/>
      <c r="AI72" s="172"/>
      <c r="AJ72" s="173"/>
      <c r="AK72" s="172"/>
      <c r="AL72" s="173"/>
      <c r="AM72" s="172"/>
      <c r="AN72" s="173"/>
      <c r="AO72" s="172"/>
      <c r="AP72" s="173"/>
      <c r="AQ72" s="172"/>
      <c r="AR72" s="173"/>
      <c r="AS72" s="172"/>
      <c r="AT72" s="173"/>
      <c r="AU72" s="172"/>
      <c r="AV72" s="173"/>
      <c r="AW72" s="172"/>
      <c r="AX72" s="173"/>
      <c r="AY72" s="172"/>
      <c r="AZ72" s="173"/>
      <c r="BA72" s="172"/>
      <c r="BB72" s="173"/>
      <c r="BC72" s="172"/>
      <c r="BD72" s="173"/>
      <c r="BE72" s="172"/>
      <c r="BF72" s="173"/>
      <c r="BG72" s="172"/>
      <c r="BH72" s="173"/>
      <c r="BI72" s="172"/>
      <c r="BJ72" s="173"/>
      <c r="BK72" s="172"/>
      <c r="BL72" s="173"/>
      <c r="BM72" s="172"/>
      <c r="BN72" s="173"/>
      <c r="BO72" s="172"/>
      <c r="BP72" s="173"/>
      <c r="BQ72" s="172"/>
      <c r="BR72" s="173"/>
      <c r="BS72" s="172"/>
      <c r="BT72" s="173"/>
      <c r="BU72" s="172"/>
      <c r="BV72" s="173"/>
      <c r="BW72" s="172"/>
      <c r="BX72" s="173"/>
      <c r="BY72" s="172"/>
      <c r="BZ72" s="173"/>
      <c r="CA72" s="172"/>
      <c r="CB72" s="173"/>
      <c r="CC72" s="172"/>
      <c r="CD72" s="173"/>
      <c r="CE72" s="172"/>
      <c r="CF72" s="173"/>
      <c r="CG72" s="172"/>
      <c r="CH72" s="173"/>
      <c r="CI72" s="172"/>
      <c r="CJ72" s="173"/>
      <c r="CK72" s="172"/>
      <c r="CL72" s="173"/>
      <c r="CM72" s="172"/>
      <c r="CN72" s="173"/>
      <c r="CO72" s="172"/>
      <c r="CP72" s="173"/>
      <c r="CQ72" s="172"/>
      <c r="CR72" s="173"/>
      <c r="CS72" s="172"/>
      <c r="CT72" s="173"/>
      <c r="CU72" s="172"/>
      <c r="CV72" s="173"/>
      <c r="CW72" s="172"/>
      <c r="CX72" s="173"/>
      <c r="CY72" s="172"/>
      <c r="CZ72" s="173"/>
      <c r="DA72" s="172"/>
      <c r="DB72" s="173"/>
      <c r="DC72" s="172"/>
      <c r="DD72" s="173"/>
      <c r="DE72" s="172"/>
      <c r="DF72" s="173"/>
      <c r="DG72" s="172"/>
      <c r="DH72" s="173"/>
      <c r="DI72" s="172"/>
      <c r="DJ72" s="173"/>
      <c r="DK72" s="172"/>
      <c r="DL72" s="173"/>
      <c r="DM72" s="172"/>
      <c r="DN72" s="173"/>
      <c r="DO72" s="172"/>
      <c r="DP72" s="173"/>
      <c r="DQ72" s="172"/>
      <c r="DR72" s="173"/>
      <c r="DS72" s="172"/>
      <c r="DT72" s="173"/>
      <c r="DU72" s="172"/>
      <c r="DV72" s="173"/>
    </row>
    <row r="73" spans="1:126" x14ac:dyDescent="0.25">
      <c r="A73" s="171" t="s">
        <v>215</v>
      </c>
      <c r="B73" s="171" t="s">
        <v>914</v>
      </c>
      <c r="C73" s="172">
        <f t="shared" si="32"/>
        <v>89670</v>
      </c>
      <c r="D73" s="173">
        <f t="shared" si="28"/>
        <v>3998</v>
      </c>
      <c r="E73" s="172">
        <f t="shared" si="42"/>
        <v>29643</v>
      </c>
      <c r="F73" s="173">
        <f>L73+N73+P72:P73+R73+T73+V73+X73+Z73+AB73+AD73+AF73+AJ73+AH73</f>
        <v>3998</v>
      </c>
      <c r="G73" s="172">
        <f t="shared" si="44"/>
        <v>56029</v>
      </c>
      <c r="H73" s="173">
        <f t="shared" si="44"/>
        <v>0</v>
      </c>
      <c r="I73" s="172"/>
      <c r="J73" s="173"/>
      <c r="K73" s="172">
        <f>ROUND((K67+K68+K69+K70)*0.27,0)</f>
        <v>1824</v>
      </c>
      <c r="L73" s="173">
        <f>ROUND((L67+L68+L69+L70)*0.27,0)</f>
        <v>2126</v>
      </c>
      <c r="M73" s="172"/>
      <c r="N73" s="173">
        <f>ROUND((N67+N68+N69+N70)*0.27,0)</f>
        <v>319</v>
      </c>
      <c r="O73" s="172"/>
      <c r="P73" s="173"/>
      <c r="Q73" s="172"/>
      <c r="R73" s="173"/>
      <c r="S73" s="172"/>
      <c r="T73" s="173"/>
      <c r="U73" s="172"/>
      <c r="V73" s="173">
        <f>ROUND((V67+V68+V69+V70)*0.27,0)</f>
        <v>0</v>
      </c>
      <c r="W73" s="172"/>
      <c r="X73" s="173"/>
      <c r="Y73" s="172"/>
      <c r="Z73" s="173">
        <f>ROUND((Z67+Z68+Z69+Z70)*0.27,0)</f>
        <v>1175</v>
      </c>
      <c r="AA73" s="172"/>
      <c r="AB73" s="173">
        <f>ROUND((AB67+AB68+AB69+AB70)*0.27,0)</f>
        <v>378</v>
      </c>
      <c r="AC73" s="172"/>
      <c r="AD73" s="173"/>
      <c r="AE73" s="172">
        <f>'[3]7. beruházás'!K23+'[3]7. beruházás'!K8+'[3]7. beruházás'!K12+'[3]7. beruházás'!K13+'[3]7. beruházás'!K17+'[3]7. beruházás'!K18+'[3]7. beruházás'!K19+'[3]7. beruházás'!K24+'[3]7. beruházás'!K26</f>
        <v>27819</v>
      </c>
      <c r="AF73" s="173"/>
      <c r="AG73" s="172"/>
      <c r="AH73" s="173">
        <f>ROUND((AH67+AH68+AH69+AH70)*0.27,0)</f>
        <v>0</v>
      </c>
      <c r="AI73" s="172"/>
      <c r="AJ73" s="173"/>
      <c r="AK73" s="172"/>
      <c r="AL73" s="173"/>
      <c r="AM73" s="172"/>
      <c r="AN73" s="173"/>
      <c r="AO73" s="172"/>
      <c r="AP73" s="173"/>
      <c r="AQ73" s="172"/>
      <c r="AR73" s="173"/>
      <c r="AS73" s="172"/>
      <c r="AT73" s="173"/>
      <c r="AU73" s="172"/>
      <c r="AV73" s="173"/>
      <c r="AW73" s="172"/>
      <c r="AX73" s="173"/>
      <c r="AY73" s="172"/>
      <c r="AZ73" s="173"/>
      <c r="BA73" s="172"/>
      <c r="BB73" s="173"/>
      <c r="BC73" s="172"/>
      <c r="BD73" s="173"/>
      <c r="BE73" s="172"/>
      <c r="BF73" s="173"/>
      <c r="BG73" s="172"/>
      <c r="BH73" s="173"/>
      <c r="BI73" s="172"/>
      <c r="BJ73" s="173"/>
      <c r="BK73" s="172"/>
      <c r="BL73" s="173"/>
      <c r="BM73" s="172"/>
      <c r="BN73" s="173"/>
      <c r="BO73" s="172"/>
      <c r="BP73" s="173"/>
      <c r="BQ73" s="172"/>
      <c r="BR73" s="173"/>
      <c r="BS73" s="172"/>
      <c r="BT73" s="173"/>
      <c r="BU73" s="172"/>
      <c r="BV73" s="173"/>
      <c r="BW73" s="172"/>
      <c r="BX73" s="173"/>
      <c r="BY73" s="172"/>
      <c r="BZ73" s="173"/>
      <c r="CA73" s="172"/>
      <c r="CB73" s="173"/>
      <c r="CC73" s="172"/>
      <c r="CD73" s="173"/>
      <c r="CE73" s="172"/>
      <c r="CF73" s="173"/>
      <c r="CG73" s="172"/>
      <c r="CH73" s="173"/>
      <c r="CI73" s="172"/>
      <c r="CJ73" s="173"/>
      <c r="CK73" s="172"/>
      <c r="CL73" s="173"/>
      <c r="CM73" s="172"/>
      <c r="CN73" s="173"/>
      <c r="CO73" s="172"/>
      <c r="CP73" s="173"/>
      <c r="CQ73" s="172"/>
      <c r="CR73" s="173"/>
      <c r="CS73" s="172"/>
      <c r="CT73" s="173"/>
      <c r="CU73" s="172"/>
      <c r="CV73" s="173"/>
      <c r="CW73" s="172"/>
      <c r="CX73" s="173"/>
      <c r="CY73" s="172"/>
      <c r="CZ73" s="173"/>
      <c r="DA73" s="172"/>
      <c r="DB73" s="173"/>
      <c r="DC73" s="172"/>
      <c r="DD73" s="173"/>
      <c r="DE73" s="172"/>
      <c r="DF73" s="173"/>
      <c r="DG73" s="172"/>
      <c r="DH73" s="173"/>
      <c r="DI73" s="172">
        <f>'[3]7. beruházás'!K6+'[3]7. beruházás'!K7+'[3]7. beruházás'!K9+'[3]7. beruházás'!K10+'[3]7. beruházás'!K11+'[3]7. beruházás'!K14+'[3]7. beruházás'!K16+'[3]7. beruházás'!K15+'[3]7. beruházás'!K22+'[3]7. beruházás'!K25+'[3]7. beruházás'!K27+'[3]7. beruházás'!K28</f>
        <v>56029</v>
      </c>
      <c r="DJ73" s="173"/>
      <c r="DK73" s="172"/>
      <c r="DL73" s="173"/>
      <c r="DM73" s="172"/>
      <c r="DN73" s="173"/>
      <c r="DO73" s="172"/>
      <c r="DP73" s="173"/>
      <c r="DQ73" s="172"/>
      <c r="DR73" s="173"/>
      <c r="DS73" s="172"/>
      <c r="DT73" s="173"/>
      <c r="DU73" s="172"/>
      <c r="DV73" s="173"/>
    </row>
    <row r="74" spans="1:126" ht="13" x14ac:dyDescent="0.3">
      <c r="A74" s="174" t="s">
        <v>218</v>
      </c>
      <c r="B74" s="174" t="s">
        <v>351</v>
      </c>
      <c r="C74" s="175" t="e">
        <f t="shared" ref="C74:I74" si="45">SUM(C67:C73)</f>
        <v>#REF!</v>
      </c>
      <c r="D74" s="176" t="e">
        <f t="shared" si="45"/>
        <v>#REF!</v>
      </c>
      <c r="E74" s="175">
        <f t="shared" si="45"/>
        <v>139433</v>
      </c>
      <c r="F74" s="176">
        <f t="shared" si="45"/>
        <v>215086</v>
      </c>
      <c r="G74" s="175">
        <f t="shared" si="45"/>
        <v>263547</v>
      </c>
      <c r="H74" s="176" t="e">
        <f t="shared" si="45"/>
        <v>#REF!</v>
      </c>
      <c r="I74" s="175">
        <f t="shared" si="45"/>
        <v>0</v>
      </c>
      <c r="J74" s="176">
        <f t="shared" ref="J74:AO74" si="46">SUM(J67:J73)</f>
        <v>0</v>
      </c>
      <c r="K74" s="175">
        <f t="shared" si="46"/>
        <v>8581</v>
      </c>
      <c r="L74" s="176">
        <f t="shared" si="46"/>
        <v>10000</v>
      </c>
      <c r="M74" s="175">
        <f t="shared" si="46"/>
        <v>0</v>
      </c>
      <c r="N74" s="176">
        <f t="shared" si="46"/>
        <v>1500</v>
      </c>
      <c r="O74" s="175">
        <f t="shared" si="46"/>
        <v>0</v>
      </c>
      <c r="P74" s="176">
        <f t="shared" si="46"/>
        <v>0</v>
      </c>
      <c r="Q74" s="175">
        <f t="shared" si="46"/>
        <v>0</v>
      </c>
      <c r="R74" s="176">
        <f t="shared" si="46"/>
        <v>0</v>
      </c>
      <c r="S74" s="175">
        <f t="shared" si="46"/>
        <v>0</v>
      </c>
      <c r="T74" s="176">
        <f>SUM(T67:T73)</f>
        <v>0</v>
      </c>
      <c r="U74" s="175">
        <f t="shared" si="46"/>
        <v>0</v>
      </c>
      <c r="V74" s="176">
        <f>SUM(V67:V73)</f>
        <v>0</v>
      </c>
      <c r="W74" s="175">
        <f t="shared" si="46"/>
        <v>0</v>
      </c>
      <c r="X74" s="176">
        <f t="shared" si="46"/>
        <v>0</v>
      </c>
      <c r="Y74" s="175">
        <f t="shared" si="46"/>
        <v>0</v>
      </c>
      <c r="Z74" s="176">
        <f t="shared" si="46"/>
        <v>5526</v>
      </c>
      <c r="AA74" s="175">
        <f t="shared" si="46"/>
        <v>0</v>
      </c>
      <c r="AB74" s="176">
        <f>SUM(AB67:AB73)</f>
        <v>1778</v>
      </c>
      <c r="AC74" s="175">
        <f t="shared" si="46"/>
        <v>0</v>
      </c>
      <c r="AD74" s="176">
        <f>SUM(AD67:AD73)</f>
        <v>0</v>
      </c>
      <c r="AE74" s="175">
        <f t="shared" si="46"/>
        <v>130852</v>
      </c>
      <c r="AF74" s="176">
        <f>SUM(AF67:AF73)</f>
        <v>196282</v>
      </c>
      <c r="AG74" s="175"/>
      <c r="AH74" s="176">
        <f>SUM(AH67:AH73)</f>
        <v>0</v>
      </c>
      <c r="AI74" s="175">
        <f>SUM(AI67:AI73)</f>
        <v>0</v>
      </c>
      <c r="AJ74" s="176">
        <f>SUM(AJ67:AJ73)</f>
        <v>0</v>
      </c>
      <c r="AK74" s="175">
        <f t="shared" si="46"/>
        <v>0</v>
      </c>
      <c r="AL74" s="176">
        <f>SUM(AL67:AL73)</f>
        <v>0</v>
      </c>
      <c r="AM74" s="175">
        <f t="shared" si="46"/>
        <v>0</v>
      </c>
      <c r="AN74" s="176"/>
      <c r="AO74" s="175">
        <f t="shared" si="46"/>
        <v>0</v>
      </c>
      <c r="AP74" s="176">
        <f>SUM(AP67:AP73)</f>
        <v>0</v>
      </c>
      <c r="AQ74" s="175">
        <f t="shared" ref="AQ74:DS74" si="47">SUM(AQ67:AQ73)</f>
        <v>0</v>
      </c>
      <c r="AR74" s="176">
        <f>SUM(AR67:AR73)</f>
        <v>0</v>
      </c>
      <c r="AS74" s="175">
        <f t="shared" si="47"/>
        <v>0</v>
      </c>
      <c r="AT74" s="176">
        <f>SUM(AT67:AT73)</f>
        <v>0</v>
      </c>
      <c r="AU74" s="175">
        <f t="shared" si="47"/>
        <v>0</v>
      </c>
      <c r="AV74" s="176">
        <f>SUM(AV67:AV73)</f>
        <v>0</v>
      </c>
      <c r="AW74" s="175">
        <f t="shared" si="47"/>
        <v>0</v>
      </c>
      <c r="AX74" s="176">
        <f>SUM(AX67:AX73)</f>
        <v>0</v>
      </c>
      <c r="AY74" s="175">
        <f t="shared" si="47"/>
        <v>0</v>
      </c>
      <c r="AZ74" s="176">
        <f>SUM(AZ67:AZ73)</f>
        <v>0</v>
      </c>
      <c r="BA74" s="175">
        <f t="shared" si="47"/>
        <v>0</v>
      </c>
      <c r="BB74" s="176">
        <f>SUM(BB67:BB73)</f>
        <v>0</v>
      </c>
      <c r="BC74" s="175">
        <f t="shared" si="47"/>
        <v>0</v>
      </c>
      <c r="BD74" s="176">
        <f>SUM(BD67:BD73)</f>
        <v>0</v>
      </c>
      <c r="BE74" s="175">
        <f t="shared" si="47"/>
        <v>0</v>
      </c>
      <c r="BF74" s="176">
        <f>SUM(BF67:BF73)</f>
        <v>0</v>
      </c>
      <c r="BG74" s="175">
        <f t="shared" si="47"/>
        <v>0</v>
      </c>
      <c r="BH74" s="176">
        <f>SUM(BH67:BH73)</f>
        <v>0</v>
      </c>
      <c r="BI74" s="175">
        <f t="shared" si="47"/>
        <v>0</v>
      </c>
      <c r="BJ74" s="176">
        <f>SUM(BJ67:BJ73)</f>
        <v>0</v>
      </c>
      <c r="BK74" s="175">
        <f t="shared" si="47"/>
        <v>0</v>
      </c>
      <c r="BL74" s="176">
        <f>SUM(BL67:BL73)</f>
        <v>0</v>
      </c>
      <c r="BM74" s="175">
        <f t="shared" si="47"/>
        <v>0</v>
      </c>
      <c r="BN74" s="176">
        <f>SUM(BN67:BN73)</f>
        <v>0</v>
      </c>
      <c r="BO74" s="175">
        <f t="shared" si="47"/>
        <v>0</v>
      </c>
      <c r="BP74" s="176">
        <f>SUM(BP67:BP73)</f>
        <v>0</v>
      </c>
      <c r="BQ74" s="175">
        <f t="shared" si="47"/>
        <v>0</v>
      </c>
      <c r="BR74" s="176">
        <f>SUM(BR67:BR73)</f>
        <v>0</v>
      </c>
      <c r="BS74" s="175">
        <f t="shared" si="47"/>
        <v>0</v>
      </c>
      <c r="BT74" s="176">
        <f>SUM(BT67:BT73)</f>
        <v>0</v>
      </c>
      <c r="BU74" s="175">
        <f t="shared" si="47"/>
        <v>0</v>
      </c>
      <c r="BV74" s="176">
        <f>SUM(BV67:BV73)</f>
        <v>0</v>
      </c>
      <c r="BW74" s="175">
        <f t="shared" si="47"/>
        <v>0</v>
      </c>
      <c r="BX74" s="176">
        <f>SUM(BX67:BX73)</f>
        <v>0</v>
      </c>
      <c r="BY74" s="175">
        <f t="shared" si="47"/>
        <v>0</v>
      </c>
      <c r="BZ74" s="176">
        <f>SUM(BZ67:BZ73)</f>
        <v>0</v>
      </c>
      <c r="CA74" s="175">
        <f t="shared" si="47"/>
        <v>0</v>
      </c>
      <c r="CB74" s="176">
        <f>SUM(CB67:CB73)</f>
        <v>0</v>
      </c>
      <c r="CC74" s="175">
        <f t="shared" si="47"/>
        <v>0</v>
      </c>
      <c r="CD74" s="176">
        <f>SUM(CD67:CD73)</f>
        <v>0</v>
      </c>
      <c r="CE74" s="175">
        <f>SUM(CE67:CE73)</f>
        <v>0</v>
      </c>
      <c r="CF74" s="176">
        <f>SUM(CF67:CF73)</f>
        <v>0</v>
      </c>
      <c r="CG74" s="175">
        <f t="shared" si="47"/>
        <v>0</v>
      </c>
      <c r="CH74" s="176">
        <f>SUM(CH67:CH73)</f>
        <v>0</v>
      </c>
      <c r="CI74" s="175">
        <f t="shared" si="47"/>
        <v>0</v>
      </c>
      <c r="CJ74" s="176">
        <f>SUM(CJ67:CJ73)</f>
        <v>0</v>
      </c>
      <c r="CK74" s="175">
        <f t="shared" si="47"/>
        <v>0</v>
      </c>
      <c r="CL74" s="176">
        <f>SUM(CL67:CL73)</f>
        <v>0</v>
      </c>
      <c r="CM74" s="175">
        <f t="shared" si="47"/>
        <v>0</v>
      </c>
      <c r="CN74" s="176">
        <f>SUM(CN67:CN73)</f>
        <v>0</v>
      </c>
      <c r="CO74" s="175">
        <f t="shared" si="47"/>
        <v>0</v>
      </c>
      <c r="CP74" s="176">
        <f>SUM(CP67:CP73)</f>
        <v>0</v>
      </c>
      <c r="CQ74" s="175">
        <f t="shared" si="47"/>
        <v>0</v>
      </c>
      <c r="CR74" s="176">
        <f>SUM(CR67:CR73)</f>
        <v>0</v>
      </c>
      <c r="CS74" s="175">
        <f t="shared" si="47"/>
        <v>0</v>
      </c>
      <c r="CT74" s="176">
        <f>SUM(CT67:CT73)</f>
        <v>0</v>
      </c>
      <c r="CU74" s="175">
        <f t="shared" si="47"/>
        <v>0</v>
      </c>
      <c r="CV74" s="176">
        <f>SUM(CV67:CV73)</f>
        <v>0</v>
      </c>
      <c r="CW74" s="175">
        <f t="shared" si="47"/>
        <v>0</v>
      </c>
      <c r="CX74" s="176">
        <f>SUM(CX67:CX73)</f>
        <v>0</v>
      </c>
      <c r="CY74" s="175">
        <f t="shared" si="47"/>
        <v>0</v>
      </c>
      <c r="CZ74" s="176"/>
      <c r="DA74" s="175">
        <f t="shared" si="47"/>
        <v>0</v>
      </c>
      <c r="DB74" s="176"/>
      <c r="DC74" s="175">
        <f t="shared" si="47"/>
        <v>0</v>
      </c>
      <c r="DD74" s="176">
        <f>SUM(DD67:DD73)</f>
        <v>0</v>
      </c>
      <c r="DE74" s="175">
        <f t="shared" si="47"/>
        <v>0</v>
      </c>
      <c r="DF74" s="176">
        <f>SUM(DF67:DF73)</f>
        <v>0</v>
      </c>
      <c r="DG74" s="175">
        <f t="shared" si="47"/>
        <v>0</v>
      </c>
      <c r="DH74" s="176">
        <f>SUM(DH67:DH73)</f>
        <v>0</v>
      </c>
      <c r="DI74" s="175">
        <f t="shared" si="47"/>
        <v>263547</v>
      </c>
      <c r="DJ74" s="176" t="e">
        <f>SUM(DJ67:DJ73)</f>
        <v>#REF!</v>
      </c>
      <c r="DK74" s="175">
        <f t="shared" si="47"/>
        <v>0</v>
      </c>
      <c r="DL74" s="176">
        <f>SUM(DL67:DL73)</f>
        <v>0</v>
      </c>
      <c r="DM74" s="175">
        <f t="shared" si="47"/>
        <v>0</v>
      </c>
      <c r="DN74" s="176">
        <f>SUM(DN67:DN73)</f>
        <v>0</v>
      </c>
      <c r="DO74" s="175">
        <f t="shared" si="47"/>
        <v>0</v>
      </c>
      <c r="DP74" s="176">
        <f>SUM(DP67:DP73)</f>
        <v>0</v>
      </c>
      <c r="DQ74" s="175">
        <f t="shared" si="47"/>
        <v>0</v>
      </c>
      <c r="DR74" s="176"/>
      <c r="DS74" s="175">
        <f t="shared" si="47"/>
        <v>0</v>
      </c>
      <c r="DT74" s="176">
        <f>SUM(DT67:DT73)</f>
        <v>0</v>
      </c>
      <c r="DU74" s="175"/>
      <c r="DV74" s="176"/>
    </row>
    <row r="75" spans="1:126" x14ac:dyDescent="0.25">
      <c r="A75" s="171" t="s">
        <v>221</v>
      </c>
      <c r="B75" s="171" t="s">
        <v>223</v>
      </c>
      <c r="C75" s="172">
        <f t="shared" si="32"/>
        <v>327097</v>
      </c>
      <c r="D75" s="173">
        <f t="shared" si="28"/>
        <v>213922</v>
      </c>
      <c r="E75" s="172">
        <f>K75+M75+O74:O75+Q75+S75+U75+W75+Y75+AA75+AC75+AE75+AI75</f>
        <v>90308</v>
      </c>
      <c r="F75" s="173">
        <f>L75+N75+P74:P75+R75+T75+V75+X75+Z75+AB75+AD75+AF75+AJ75+AH75</f>
        <v>196922</v>
      </c>
      <c r="G75" s="172">
        <f t="shared" si="44"/>
        <v>22867</v>
      </c>
      <c r="H75" s="173">
        <f t="shared" si="44"/>
        <v>17000</v>
      </c>
      <c r="I75" s="172"/>
      <c r="J75" s="173"/>
      <c r="K75" s="172"/>
      <c r="L75" s="173"/>
      <c r="M75" s="172"/>
      <c r="N75" s="173"/>
      <c r="O75" s="172"/>
      <c r="P75" s="173"/>
      <c r="Q75" s="172"/>
      <c r="R75" s="173"/>
      <c r="S75" s="172"/>
      <c r="T75" s="173"/>
      <c r="U75" s="172"/>
      <c r="V75" s="173"/>
      <c r="W75" s="172"/>
      <c r="X75" s="173"/>
      <c r="Y75" s="172"/>
      <c r="Z75" s="173"/>
      <c r="AA75" s="172"/>
      <c r="AB75" s="173"/>
      <c r="AC75" s="172"/>
      <c r="AD75" s="173"/>
      <c r="AE75" s="172">
        <f>'[3]8. felújítás'!J6+'[3]8. felújítás'!J12+'[3]8. felújítás'!J13+'[3]8. felújítás'!J14+'[3]8. felújítás'!J8</f>
        <v>90308</v>
      </c>
      <c r="AF75" s="173">
        <v>196922</v>
      </c>
      <c r="AG75" s="172"/>
      <c r="AH75" s="173">
        <v>0</v>
      </c>
      <c r="AI75" s="172"/>
      <c r="AJ75" s="173"/>
      <c r="AK75" s="172"/>
      <c r="AL75" s="173"/>
      <c r="AM75" s="172"/>
      <c r="AN75" s="173"/>
      <c r="AO75" s="172"/>
      <c r="AP75" s="173"/>
      <c r="AQ75" s="172"/>
      <c r="AR75" s="173"/>
      <c r="AS75" s="172"/>
      <c r="AT75" s="173"/>
      <c r="AU75" s="172"/>
      <c r="AV75" s="173"/>
      <c r="AW75" s="172"/>
      <c r="AX75" s="173"/>
      <c r="AY75" s="172"/>
      <c r="AZ75" s="173"/>
      <c r="BA75" s="172"/>
      <c r="BB75" s="173"/>
      <c r="BC75" s="172"/>
      <c r="BD75" s="173"/>
      <c r="BE75" s="172"/>
      <c r="BF75" s="173"/>
      <c r="BG75" s="172"/>
      <c r="BH75" s="173"/>
      <c r="BI75" s="172"/>
      <c r="BJ75" s="173"/>
      <c r="BK75" s="172"/>
      <c r="BL75" s="173"/>
      <c r="BM75" s="172"/>
      <c r="BN75" s="173"/>
      <c r="BO75" s="172"/>
      <c r="BP75" s="173"/>
      <c r="BQ75" s="172"/>
      <c r="BR75" s="173"/>
      <c r="BS75" s="172"/>
      <c r="BT75" s="173"/>
      <c r="BU75" s="172"/>
      <c r="BV75" s="173"/>
      <c r="BW75" s="172"/>
      <c r="BX75" s="173"/>
      <c r="BY75" s="172"/>
      <c r="BZ75" s="173"/>
      <c r="CA75" s="172"/>
      <c r="CB75" s="173"/>
      <c r="CC75" s="172"/>
      <c r="CD75" s="173"/>
      <c r="CE75" s="172"/>
      <c r="CF75" s="173"/>
      <c r="CG75" s="172"/>
      <c r="CH75" s="173"/>
      <c r="CI75" s="172"/>
      <c r="CJ75" s="173"/>
      <c r="CK75" s="172"/>
      <c r="CL75" s="173"/>
      <c r="CM75" s="172"/>
      <c r="CN75" s="173"/>
      <c r="CO75" s="172"/>
      <c r="CP75" s="173"/>
      <c r="CQ75" s="172"/>
      <c r="CR75" s="173"/>
      <c r="CS75" s="172"/>
      <c r="CT75" s="173"/>
      <c r="CU75" s="172"/>
      <c r="CV75" s="173"/>
      <c r="CW75" s="172"/>
      <c r="CX75" s="173"/>
      <c r="CY75" s="172"/>
      <c r="CZ75" s="173"/>
      <c r="DA75" s="172"/>
      <c r="DB75" s="173"/>
      <c r="DC75" s="172"/>
      <c r="DD75" s="173"/>
      <c r="DE75" s="172"/>
      <c r="DF75" s="173"/>
      <c r="DG75" s="172"/>
      <c r="DH75" s="173"/>
      <c r="DI75" s="172"/>
      <c r="DJ75" s="173"/>
      <c r="DK75" s="172">
        <f>'[3]8. felújítás'!J7+'[3]8. felújítás'!J15+'[3]8. felújítás'!J16+'[3]8. felújítás'!J17</f>
        <v>22867</v>
      </c>
      <c r="DL75" s="173">
        <v>17000</v>
      </c>
      <c r="DM75" s="172"/>
      <c r="DN75" s="173"/>
      <c r="DO75" s="172"/>
      <c r="DP75" s="173"/>
      <c r="DQ75" s="172"/>
      <c r="DR75" s="173"/>
      <c r="DS75" s="172"/>
      <c r="DT75" s="173"/>
      <c r="DU75" s="172"/>
      <c r="DV75" s="173"/>
    </row>
    <row r="76" spans="1:126" x14ac:dyDescent="0.25">
      <c r="A76" s="171" t="s">
        <v>224</v>
      </c>
      <c r="B76" s="171" t="s">
        <v>915</v>
      </c>
      <c r="C76" s="172">
        <f t="shared" si="32"/>
        <v>0</v>
      </c>
      <c r="D76" s="173">
        <f t="shared" si="28"/>
        <v>0</v>
      </c>
      <c r="E76" s="172">
        <f>K76+M76+O75:O76+Q76+S76+U76+W76+Y76+AA76+AC76+AE76+AI76</f>
        <v>0</v>
      </c>
      <c r="F76" s="173">
        <f>L76+N76+P75:P76+R76+T76+V76+X76+Z76+AB76+AD76+AF76+AJ76+AH76</f>
        <v>0</v>
      </c>
      <c r="G76" s="172">
        <f t="shared" si="44"/>
        <v>0</v>
      </c>
      <c r="H76" s="173">
        <f t="shared" si="44"/>
        <v>0</v>
      </c>
      <c r="I76" s="172"/>
      <c r="J76" s="173"/>
      <c r="K76" s="172"/>
      <c r="L76" s="173"/>
      <c r="M76" s="172"/>
      <c r="N76" s="173"/>
      <c r="O76" s="172"/>
      <c r="P76" s="173"/>
      <c r="Q76" s="172"/>
      <c r="R76" s="173"/>
      <c r="S76" s="172"/>
      <c r="T76" s="173"/>
      <c r="U76" s="172"/>
      <c r="V76" s="173"/>
      <c r="W76" s="172"/>
      <c r="X76" s="173"/>
      <c r="Y76" s="172"/>
      <c r="Z76" s="173"/>
      <c r="AA76" s="172"/>
      <c r="AB76" s="173"/>
      <c r="AC76" s="172"/>
      <c r="AD76" s="173"/>
      <c r="AE76" s="172"/>
      <c r="AF76" s="173"/>
      <c r="AG76" s="172"/>
      <c r="AH76" s="173"/>
      <c r="AI76" s="172"/>
      <c r="AJ76" s="173"/>
      <c r="AK76" s="172"/>
      <c r="AL76" s="173"/>
      <c r="AM76" s="172"/>
      <c r="AN76" s="173"/>
      <c r="AO76" s="172"/>
      <c r="AP76" s="173"/>
      <c r="AQ76" s="172"/>
      <c r="AR76" s="173"/>
      <c r="AS76" s="172"/>
      <c r="AT76" s="173"/>
      <c r="AU76" s="172"/>
      <c r="AV76" s="173"/>
      <c r="AW76" s="172"/>
      <c r="AX76" s="173"/>
      <c r="AY76" s="172"/>
      <c r="AZ76" s="173"/>
      <c r="BA76" s="172"/>
      <c r="BB76" s="173"/>
      <c r="BC76" s="172"/>
      <c r="BD76" s="173"/>
      <c r="BE76" s="172"/>
      <c r="BF76" s="173"/>
      <c r="BG76" s="172"/>
      <c r="BH76" s="173"/>
      <c r="BI76" s="172"/>
      <c r="BJ76" s="173"/>
      <c r="BK76" s="172"/>
      <c r="BL76" s="173"/>
      <c r="BM76" s="172"/>
      <c r="BN76" s="173"/>
      <c r="BO76" s="172"/>
      <c r="BP76" s="173"/>
      <c r="BQ76" s="172"/>
      <c r="BR76" s="173"/>
      <c r="BS76" s="172"/>
      <c r="BT76" s="173"/>
      <c r="BU76" s="172"/>
      <c r="BV76" s="173"/>
      <c r="BW76" s="172"/>
      <c r="BX76" s="173"/>
      <c r="BY76" s="172"/>
      <c r="BZ76" s="173"/>
      <c r="CA76" s="172"/>
      <c r="CB76" s="173"/>
      <c r="CC76" s="172"/>
      <c r="CD76" s="173"/>
      <c r="CE76" s="172"/>
      <c r="CF76" s="173"/>
      <c r="CG76" s="172"/>
      <c r="CH76" s="173"/>
      <c r="CI76" s="172"/>
      <c r="CJ76" s="173"/>
      <c r="CK76" s="172"/>
      <c r="CL76" s="173"/>
      <c r="CM76" s="172"/>
      <c r="CN76" s="173"/>
      <c r="CO76" s="172"/>
      <c r="CP76" s="173"/>
      <c r="CQ76" s="172"/>
      <c r="CR76" s="173"/>
      <c r="CS76" s="172"/>
      <c r="CT76" s="173"/>
      <c r="CU76" s="172"/>
      <c r="CV76" s="173"/>
      <c r="CW76" s="172"/>
      <c r="CX76" s="173"/>
      <c r="CY76" s="172"/>
      <c r="CZ76" s="173"/>
      <c r="DA76" s="172"/>
      <c r="DB76" s="173"/>
      <c r="DC76" s="172"/>
      <c r="DD76" s="173"/>
      <c r="DE76" s="172"/>
      <c r="DF76" s="173"/>
      <c r="DG76" s="172"/>
      <c r="DH76" s="173"/>
      <c r="DI76" s="172"/>
      <c r="DJ76" s="173"/>
      <c r="DK76" s="172"/>
      <c r="DL76" s="173"/>
      <c r="DM76" s="172"/>
      <c r="DN76" s="173"/>
      <c r="DO76" s="172"/>
      <c r="DP76" s="173"/>
      <c r="DQ76" s="172"/>
      <c r="DR76" s="173"/>
      <c r="DS76" s="172"/>
      <c r="DT76" s="173"/>
      <c r="DU76" s="172"/>
      <c r="DV76" s="173"/>
    </row>
    <row r="77" spans="1:126" x14ac:dyDescent="0.25">
      <c r="A77" s="171" t="s">
        <v>227</v>
      </c>
      <c r="B77" s="171" t="s">
        <v>916</v>
      </c>
      <c r="C77" s="172">
        <f t="shared" si="32"/>
        <v>0</v>
      </c>
      <c r="D77" s="173">
        <f t="shared" si="28"/>
        <v>0</v>
      </c>
      <c r="E77" s="172">
        <f>K77+M77+O76:O77+Q77+S77+U77+W77+Y77+AA77+AC77+AE77+AI77</f>
        <v>0</v>
      </c>
      <c r="F77" s="173">
        <f>L77+N77+P76:P77+R77+T77+V77+X77+Z77+AB77+AD77+AF77+AJ77+AH77</f>
        <v>0</v>
      </c>
      <c r="G77" s="172">
        <f t="shared" si="44"/>
        <v>0</v>
      </c>
      <c r="H77" s="173">
        <f t="shared" si="44"/>
        <v>0</v>
      </c>
      <c r="I77" s="172"/>
      <c r="J77" s="173"/>
      <c r="K77" s="172"/>
      <c r="L77" s="173"/>
      <c r="M77" s="172"/>
      <c r="N77" s="173"/>
      <c r="O77" s="172"/>
      <c r="P77" s="173"/>
      <c r="Q77" s="172"/>
      <c r="R77" s="173"/>
      <c r="S77" s="172"/>
      <c r="T77" s="173"/>
      <c r="U77" s="172"/>
      <c r="V77" s="173"/>
      <c r="W77" s="172"/>
      <c r="X77" s="173"/>
      <c r="Y77" s="172"/>
      <c r="Z77" s="173"/>
      <c r="AA77" s="172"/>
      <c r="AB77" s="173"/>
      <c r="AC77" s="172"/>
      <c r="AD77" s="173"/>
      <c r="AE77" s="172"/>
      <c r="AF77" s="173"/>
      <c r="AG77" s="172"/>
      <c r="AH77" s="173"/>
      <c r="AI77" s="172"/>
      <c r="AJ77" s="173"/>
      <c r="AK77" s="172"/>
      <c r="AL77" s="173"/>
      <c r="AM77" s="172"/>
      <c r="AN77" s="173"/>
      <c r="AO77" s="172"/>
      <c r="AP77" s="173"/>
      <c r="AQ77" s="172"/>
      <c r="AR77" s="173"/>
      <c r="AS77" s="172"/>
      <c r="AT77" s="173"/>
      <c r="AU77" s="172"/>
      <c r="AV77" s="173"/>
      <c r="AW77" s="172"/>
      <c r="AX77" s="173"/>
      <c r="AY77" s="172"/>
      <c r="AZ77" s="173"/>
      <c r="BA77" s="172"/>
      <c r="BB77" s="173"/>
      <c r="BC77" s="172"/>
      <c r="BD77" s="173"/>
      <c r="BE77" s="172"/>
      <c r="BF77" s="173"/>
      <c r="BG77" s="172"/>
      <c r="BH77" s="173"/>
      <c r="BI77" s="172"/>
      <c r="BJ77" s="173"/>
      <c r="BK77" s="172"/>
      <c r="BL77" s="173"/>
      <c r="BM77" s="172"/>
      <c r="BN77" s="173"/>
      <c r="BO77" s="172"/>
      <c r="BP77" s="173"/>
      <c r="BQ77" s="172"/>
      <c r="BR77" s="173"/>
      <c r="BS77" s="172"/>
      <c r="BT77" s="173"/>
      <c r="BU77" s="172"/>
      <c r="BV77" s="173"/>
      <c r="BW77" s="172"/>
      <c r="BX77" s="173"/>
      <c r="BY77" s="172"/>
      <c r="BZ77" s="173"/>
      <c r="CA77" s="172"/>
      <c r="CB77" s="173"/>
      <c r="CC77" s="172"/>
      <c r="CD77" s="173"/>
      <c r="CE77" s="172"/>
      <c r="CF77" s="173"/>
      <c r="CG77" s="172"/>
      <c r="CH77" s="173"/>
      <c r="CI77" s="172"/>
      <c r="CJ77" s="173"/>
      <c r="CK77" s="172"/>
      <c r="CL77" s="173"/>
      <c r="CM77" s="172"/>
      <c r="CN77" s="173"/>
      <c r="CO77" s="172"/>
      <c r="CP77" s="173"/>
      <c r="CQ77" s="172"/>
      <c r="CR77" s="173"/>
      <c r="CS77" s="172"/>
      <c r="CT77" s="173"/>
      <c r="CU77" s="172"/>
      <c r="CV77" s="173"/>
      <c r="CW77" s="172"/>
      <c r="CX77" s="173"/>
      <c r="CY77" s="172"/>
      <c r="CZ77" s="173"/>
      <c r="DA77" s="172"/>
      <c r="DB77" s="173"/>
      <c r="DC77" s="172"/>
      <c r="DD77" s="173"/>
      <c r="DE77" s="172"/>
      <c r="DF77" s="173"/>
      <c r="DG77" s="172"/>
      <c r="DH77" s="173"/>
      <c r="DI77" s="172"/>
      <c r="DJ77" s="173"/>
      <c r="DK77" s="172"/>
      <c r="DL77" s="173"/>
      <c r="DM77" s="172"/>
      <c r="DN77" s="173"/>
      <c r="DO77" s="172"/>
      <c r="DP77" s="173"/>
      <c r="DQ77" s="172"/>
      <c r="DR77" s="173"/>
      <c r="DS77" s="172"/>
      <c r="DT77" s="173"/>
      <c r="DU77" s="172"/>
      <c r="DV77" s="173"/>
    </row>
    <row r="78" spans="1:126" x14ac:dyDescent="0.25">
      <c r="A78" s="171" t="s">
        <v>232</v>
      </c>
      <c r="B78" s="171" t="s">
        <v>917</v>
      </c>
      <c r="C78" s="172">
        <f t="shared" si="32"/>
        <v>30557</v>
      </c>
      <c r="D78" s="173">
        <f t="shared" si="28"/>
        <v>0</v>
      </c>
      <c r="E78" s="172">
        <f>K78+M78+O77:O78+Q78+S78+U78+W78+Y78+AA78+AC78+AE78+AI78</f>
        <v>24384</v>
      </c>
      <c r="F78" s="173">
        <f>L78+N78+P77:P78+R78+T78+V78+X78+Z78+AB78+AD78+AF78+AJ78+AH78</f>
        <v>0</v>
      </c>
      <c r="G78" s="172">
        <f t="shared" si="44"/>
        <v>6173</v>
      </c>
      <c r="H78" s="173">
        <f t="shared" si="44"/>
        <v>0</v>
      </c>
      <c r="I78" s="172"/>
      <c r="J78" s="173"/>
      <c r="K78" s="172"/>
      <c r="L78" s="173"/>
      <c r="M78" s="172"/>
      <c r="N78" s="173"/>
      <c r="O78" s="172"/>
      <c r="P78" s="173"/>
      <c r="Q78" s="172"/>
      <c r="R78" s="173"/>
      <c r="S78" s="172"/>
      <c r="T78" s="173"/>
      <c r="U78" s="172"/>
      <c r="V78" s="173"/>
      <c r="W78" s="172"/>
      <c r="X78" s="173"/>
      <c r="Y78" s="172"/>
      <c r="Z78" s="173"/>
      <c r="AA78" s="172"/>
      <c r="AB78" s="173"/>
      <c r="AC78" s="172"/>
      <c r="AD78" s="173"/>
      <c r="AE78" s="172">
        <f>'[3]8. felújítás'!K6+'[3]8. felújítás'!K12+'[3]8. felújítás'!K13+'[3]8. felújítás'!K14+'[3]8. felújítás'!K8</f>
        <v>24384</v>
      </c>
      <c r="AF78" s="173">
        <v>0</v>
      </c>
      <c r="AG78" s="172"/>
      <c r="AH78" s="173">
        <v>0</v>
      </c>
      <c r="AI78" s="172"/>
      <c r="AJ78" s="173"/>
      <c r="AK78" s="172"/>
      <c r="AL78" s="173"/>
      <c r="AM78" s="172"/>
      <c r="AN78" s="173"/>
      <c r="AO78" s="172"/>
      <c r="AP78" s="173"/>
      <c r="AQ78" s="172"/>
      <c r="AR78" s="173"/>
      <c r="AS78" s="172"/>
      <c r="AT78" s="173"/>
      <c r="AU78" s="172"/>
      <c r="AV78" s="173"/>
      <c r="AW78" s="172"/>
      <c r="AX78" s="173"/>
      <c r="AY78" s="172"/>
      <c r="AZ78" s="173"/>
      <c r="BA78" s="172"/>
      <c r="BB78" s="173"/>
      <c r="BC78" s="172"/>
      <c r="BD78" s="173"/>
      <c r="BE78" s="172"/>
      <c r="BF78" s="173"/>
      <c r="BG78" s="172"/>
      <c r="BH78" s="173"/>
      <c r="BI78" s="172"/>
      <c r="BJ78" s="173"/>
      <c r="BK78" s="172"/>
      <c r="BL78" s="173"/>
      <c r="BM78" s="172"/>
      <c r="BN78" s="173"/>
      <c r="BO78" s="172"/>
      <c r="BP78" s="173"/>
      <c r="BQ78" s="172"/>
      <c r="BR78" s="173"/>
      <c r="BS78" s="172"/>
      <c r="BT78" s="173"/>
      <c r="BU78" s="172"/>
      <c r="BV78" s="173"/>
      <c r="BW78" s="172"/>
      <c r="BX78" s="173"/>
      <c r="BY78" s="172"/>
      <c r="BZ78" s="173"/>
      <c r="CA78" s="172"/>
      <c r="CB78" s="173"/>
      <c r="CC78" s="172"/>
      <c r="CD78" s="173"/>
      <c r="CE78" s="172"/>
      <c r="CF78" s="173"/>
      <c r="CG78" s="172"/>
      <c r="CH78" s="173"/>
      <c r="CI78" s="172"/>
      <c r="CJ78" s="173"/>
      <c r="CK78" s="172"/>
      <c r="CL78" s="173"/>
      <c r="CM78" s="172"/>
      <c r="CN78" s="173"/>
      <c r="CO78" s="172"/>
      <c r="CP78" s="173"/>
      <c r="CQ78" s="172"/>
      <c r="CR78" s="173"/>
      <c r="CS78" s="172"/>
      <c r="CT78" s="173"/>
      <c r="CU78" s="172"/>
      <c r="CV78" s="173"/>
      <c r="CW78" s="172"/>
      <c r="CX78" s="173"/>
      <c r="CY78" s="172"/>
      <c r="CZ78" s="173"/>
      <c r="DA78" s="172"/>
      <c r="DB78" s="173"/>
      <c r="DC78" s="172"/>
      <c r="DD78" s="173"/>
      <c r="DE78" s="172"/>
      <c r="DF78" s="173"/>
      <c r="DG78" s="172"/>
      <c r="DH78" s="173"/>
      <c r="DI78" s="172"/>
      <c r="DJ78" s="173"/>
      <c r="DK78" s="172">
        <f>'[3]8. felújítás'!K7+'[3]8. felújítás'!K15+'[3]8. felújítás'!K16+'[3]8. felújítás'!K17</f>
        <v>6173</v>
      </c>
      <c r="DL78" s="173"/>
      <c r="DM78" s="172"/>
      <c r="DN78" s="173"/>
      <c r="DO78" s="172"/>
      <c r="DP78" s="173"/>
      <c r="DQ78" s="172"/>
      <c r="DR78" s="173"/>
      <c r="DS78" s="172"/>
      <c r="DT78" s="173"/>
      <c r="DU78" s="172"/>
      <c r="DV78" s="173"/>
    </row>
    <row r="79" spans="1:126" ht="13" x14ac:dyDescent="0.3">
      <c r="A79" s="174" t="s">
        <v>235</v>
      </c>
      <c r="B79" s="174" t="s">
        <v>342</v>
      </c>
      <c r="C79" s="175">
        <f t="shared" ref="C79:I79" si="48">SUM(C75:C78)</f>
        <v>357654</v>
      </c>
      <c r="D79" s="176">
        <f t="shared" si="48"/>
        <v>213922</v>
      </c>
      <c r="E79" s="175">
        <f t="shared" si="48"/>
        <v>114692</v>
      </c>
      <c r="F79" s="176">
        <f t="shared" si="48"/>
        <v>196922</v>
      </c>
      <c r="G79" s="175">
        <f t="shared" si="48"/>
        <v>29040</v>
      </c>
      <c r="H79" s="176">
        <f t="shared" si="48"/>
        <v>17000</v>
      </c>
      <c r="I79" s="175">
        <f t="shared" si="48"/>
        <v>0</v>
      </c>
      <c r="J79" s="176">
        <f t="shared" ref="J79:AO79" si="49">SUM(J75:J78)</f>
        <v>0</v>
      </c>
      <c r="K79" s="175">
        <f t="shared" si="49"/>
        <v>0</v>
      </c>
      <c r="L79" s="176">
        <f t="shared" si="49"/>
        <v>0</v>
      </c>
      <c r="M79" s="175">
        <f t="shared" si="49"/>
        <v>0</v>
      </c>
      <c r="N79" s="176">
        <f t="shared" si="49"/>
        <v>0</v>
      </c>
      <c r="O79" s="175">
        <f t="shared" si="49"/>
        <v>0</v>
      </c>
      <c r="P79" s="176">
        <f t="shared" si="49"/>
        <v>0</v>
      </c>
      <c r="Q79" s="175">
        <f t="shared" si="49"/>
        <v>0</v>
      </c>
      <c r="R79" s="176">
        <f t="shared" si="49"/>
        <v>0</v>
      </c>
      <c r="S79" s="175">
        <f t="shared" si="49"/>
        <v>0</v>
      </c>
      <c r="T79" s="176">
        <f>SUM(T75:T78)</f>
        <v>0</v>
      </c>
      <c r="U79" s="175">
        <f t="shared" si="49"/>
        <v>0</v>
      </c>
      <c r="V79" s="176">
        <f>SUM(V75:V78)</f>
        <v>0</v>
      </c>
      <c r="W79" s="175">
        <f t="shared" si="49"/>
        <v>0</v>
      </c>
      <c r="X79" s="176">
        <f t="shared" si="49"/>
        <v>0</v>
      </c>
      <c r="Y79" s="175">
        <f t="shared" si="49"/>
        <v>0</v>
      </c>
      <c r="Z79" s="176">
        <f t="shared" si="49"/>
        <v>0</v>
      </c>
      <c r="AA79" s="175">
        <f t="shared" si="49"/>
        <v>0</v>
      </c>
      <c r="AB79" s="176">
        <f>SUM(AB75:AB78)</f>
        <v>0</v>
      </c>
      <c r="AC79" s="175">
        <f t="shared" si="49"/>
        <v>0</v>
      </c>
      <c r="AD79" s="176">
        <f>SUM(AD75:AD78)</f>
        <v>0</v>
      </c>
      <c r="AE79" s="175">
        <f t="shared" si="49"/>
        <v>114692</v>
      </c>
      <c r="AF79" s="176">
        <f>SUM(AF75:AF78)</f>
        <v>196922</v>
      </c>
      <c r="AG79" s="175"/>
      <c r="AH79" s="176">
        <f>SUM(AH75:AH78)</f>
        <v>0</v>
      </c>
      <c r="AI79" s="175">
        <f>SUM(AI75:AI78)</f>
        <v>0</v>
      </c>
      <c r="AJ79" s="176">
        <f>SUM(AJ75:AJ78)</f>
        <v>0</v>
      </c>
      <c r="AK79" s="175">
        <f t="shared" si="49"/>
        <v>0</v>
      </c>
      <c r="AL79" s="176">
        <f>SUM(AL75:AL78)</f>
        <v>0</v>
      </c>
      <c r="AM79" s="175">
        <f t="shared" si="49"/>
        <v>0</v>
      </c>
      <c r="AN79" s="176"/>
      <c r="AO79" s="175">
        <f t="shared" si="49"/>
        <v>0</v>
      </c>
      <c r="AP79" s="176">
        <f>SUM(AP75:AP78)</f>
        <v>0</v>
      </c>
      <c r="AQ79" s="175">
        <f t="shared" ref="AQ79:DS79" si="50">SUM(AQ75:AQ78)</f>
        <v>0</v>
      </c>
      <c r="AR79" s="176">
        <f>SUM(AR75:AR78)</f>
        <v>0</v>
      </c>
      <c r="AS79" s="175">
        <f t="shared" si="50"/>
        <v>0</v>
      </c>
      <c r="AT79" s="176">
        <f>SUM(AT75:AT78)</f>
        <v>0</v>
      </c>
      <c r="AU79" s="175">
        <f t="shared" si="50"/>
        <v>0</v>
      </c>
      <c r="AV79" s="176">
        <f>SUM(AV75:AV78)</f>
        <v>0</v>
      </c>
      <c r="AW79" s="175">
        <f t="shared" si="50"/>
        <v>0</v>
      </c>
      <c r="AX79" s="176">
        <f>SUM(AX75:AX78)</f>
        <v>0</v>
      </c>
      <c r="AY79" s="175">
        <f t="shared" si="50"/>
        <v>0</v>
      </c>
      <c r="AZ79" s="176">
        <f>SUM(AZ75:AZ78)</f>
        <v>0</v>
      </c>
      <c r="BA79" s="175">
        <f t="shared" si="50"/>
        <v>0</v>
      </c>
      <c r="BB79" s="176">
        <f>SUM(BB75:BB78)</f>
        <v>0</v>
      </c>
      <c r="BC79" s="175">
        <f t="shared" si="50"/>
        <v>0</v>
      </c>
      <c r="BD79" s="176">
        <f>SUM(BD75:BD78)</f>
        <v>0</v>
      </c>
      <c r="BE79" s="175">
        <f t="shared" si="50"/>
        <v>0</v>
      </c>
      <c r="BF79" s="176">
        <f>SUM(BF75:BF78)</f>
        <v>0</v>
      </c>
      <c r="BG79" s="175">
        <f t="shared" si="50"/>
        <v>0</v>
      </c>
      <c r="BH79" s="176">
        <f>SUM(BH75:BH78)</f>
        <v>0</v>
      </c>
      <c r="BI79" s="175">
        <f t="shared" si="50"/>
        <v>0</v>
      </c>
      <c r="BJ79" s="176">
        <f>SUM(BJ75:BJ78)</f>
        <v>0</v>
      </c>
      <c r="BK79" s="175">
        <f t="shared" si="50"/>
        <v>0</v>
      </c>
      <c r="BL79" s="176">
        <f>SUM(BL75:BL78)</f>
        <v>0</v>
      </c>
      <c r="BM79" s="175">
        <f t="shared" si="50"/>
        <v>0</v>
      </c>
      <c r="BN79" s="176">
        <f>SUM(BN75:BN78)</f>
        <v>0</v>
      </c>
      <c r="BO79" s="175">
        <f t="shared" si="50"/>
        <v>0</v>
      </c>
      <c r="BP79" s="176">
        <f>SUM(BP75:BP78)</f>
        <v>0</v>
      </c>
      <c r="BQ79" s="175">
        <f t="shared" si="50"/>
        <v>0</v>
      </c>
      <c r="BR79" s="176">
        <f>SUM(BR75:BR78)</f>
        <v>0</v>
      </c>
      <c r="BS79" s="175">
        <f t="shared" si="50"/>
        <v>0</v>
      </c>
      <c r="BT79" s="176">
        <f>SUM(BT75:BT78)</f>
        <v>0</v>
      </c>
      <c r="BU79" s="175">
        <f t="shared" si="50"/>
        <v>0</v>
      </c>
      <c r="BV79" s="176">
        <f>SUM(BV75:BV78)</f>
        <v>0</v>
      </c>
      <c r="BW79" s="175">
        <f t="shared" si="50"/>
        <v>0</v>
      </c>
      <c r="BX79" s="176">
        <f>SUM(BX75:BX78)</f>
        <v>0</v>
      </c>
      <c r="BY79" s="175">
        <f t="shared" si="50"/>
        <v>0</v>
      </c>
      <c r="BZ79" s="176">
        <f>SUM(BZ75:BZ78)</f>
        <v>0</v>
      </c>
      <c r="CA79" s="175">
        <f t="shared" si="50"/>
        <v>0</v>
      </c>
      <c r="CB79" s="176">
        <f>SUM(CB75:CB78)</f>
        <v>0</v>
      </c>
      <c r="CC79" s="175">
        <f t="shared" si="50"/>
        <v>0</v>
      </c>
      <c r="CD79" s="176">
        <f>SUM(CD75:CD78)</f>
        <v>0</v>
      </c>
      <c r="CE79" s="175">
        <f>SUM(CE75:CE78)</f>
        <v>0</v>
      </c>
      <c r="CF79" s="176">
        <f>SUM(CF75:CF78)</f>
        <v>0</v>
      </c>
      <c r="CG79" s="175">
        <f t="shared" si="50"/>
        <v>0</v>
      </c>
      <c r="CH79" s="176">
        <f>SUM(CH75:CH78)</f>
        <v>0</v>
      </c>
      <c r="CI79" s="175">
        <f t="shared" si="50"/>
        <v>0</v>
      </c>
      <c r="CJ79" s="176">
        <f>SUM(CJ75:CJ78)</f>
        <v>0</v>
      </c>
      <c r="CK79" s="175">
        <f t="shared" si="50"/>
        <v>0</v>
      </c>
      <c r="CL79" s="176">
        <f>SUM(CL75:CL78)</f>
        <v>0</v>
      </c>
      <c r="CM79" s="175">
        <f t="shared" si="50"/>
        <v>0</v>
      </c>
      <c r="CN79" s="176">
        <f>SUM(CN75:CN78)</f>
        <v>0</v>
      </c>
      <c r="CO79" s="175">
        <f t="shared" si="50"/>
        <v>0</v>
      </c>
      <c r="CP79" s="176">
        <f>SUM(CP75:CP78)</f>
        <v>0</v>
      </c>
      <c r="CQ79" s="175">
        <f t="shared" si="50"/>
        <v>0</v>
      </c>
      <c r="CR79" s="176">
        <f>SUM(CR75:CR78)</f>
        <v>0</v>
      </c>
      <c r="CS79" s="175">
        <f t="shared" si="50"/>
        <v>0</v>
      </c>
      <c r="CT79" s="176">
        <f>SUM(CT75:CT78)</f>
        <v>0</v>
      </c>
      <c r="CU79" s="175">
        <f t="shared" si="50"/>
        <v>0</v>
      </c>
      <c r="CV79" s="176">
        <f>SUM(CV75:CV78)</f>
        <v>0</v>
      </c>
      <c r="CW79" s="175">
        <f t="shared" si="50"/>
        <v>0</v>
      </c>
      <c r="CX79" s="176">
        <f>SUM(CX75:CX78)</f>
        <v>0</v>
      </c>
      <c r="CY79" s="175">
        <f t="shared" si="50"/>
        <v>0</v>
      </c>
      <c r="CZ79" s="176"/>
      <c r="DA79" s="175">
        <f t="shared" si="50"/>
        <v>0</v>
      </c>
      <c r="DB79" s="176"/>
      <c r="DC79" s="175">
        <f t="shared" si="50"/>
        <v>0</v>
      </c>
      <c r="DD79" s="176">
        <f>SUM(DD75:DD78)</f>
        <v>0</v>
      </c>
      <c r="DE79" s="175">
        <f t="shared" si="50"/>
        <v>0</v>
      </c>
      <c r="DF79" s="176">
        <f>SUM(DF75:DF78)</f>
        <v>0</v>
      </c>
      <c r="DG79" s="175">
        <f t="shared" si="50"/>
        <v>0</v>
      </c>
      <c r="DH79" s="176">
        <f>SUM(DH75:DH78)</f>
        <v>0</v>
      </c>
      <c r="DI79" s="175">
        <f t="shared" si="50"/>
        <v>0</v>
      </c>
      <c r="DJ79" s="176">
        <f>SUM(DJ75:DJ78)</f>
        <v>0</v>
      </c>
      <c r="DK79" s="175">
        <f t="shared" si="50"/>
        <v>29040</v>
      </c>
      <c r="DL79" s="176">
        <f>SUM(DL75:DL78)</f>
        <v>17000</v>
      </c>
      <c r="DM79" s="175">
        <f t="shared" si="50"/>
        <v>0</v>
      </c>
      <c r="DN79" s="176">
        <f>SUM(DN75:DN78)</f>
        <v>0</v>
      </c>
      <c r="DO79" s="175">
        <f t="shared" si="50"/>
        <v>0</v>
      </c>
      <c r="DP79" s="176">
        <f>SUM(DP75:DP78)</f>
        <v>0</v>
      </c>
      <c r="DQ79" s="175">
        <f t="shared" si="50"/>
        <v>0</v>
      </c>
      <c r="DR79" s="176"/>
      <c r="DS79" s="175">
        <f t="shared" si="50"/>
        <v>0</v>
      </c>
      <c r="DT79" s="176">
        <f>SUM(DT75:DT78)</f>
        <v>0</v>
      </c>
      <c r="DU79" s="175"/>
      <c r="DV79" s="176"/>
    </row>
    <row r="80" spans="1:126" x14ac:dyDescent="0.25">
      <c r="A80" s="171" t="s">
        <v>918</v>
      </c>
      <c r="B80" s="181" t="s">
        <v>919</v>
      </c>
      <c r="C80" s="172">
        <f t="shared" si="32"/>
        <v>0</v>
      </c>
      <c r="D80" s="173">
        <f t="shared" si="28"/>
        <v>0</v>
      </c>
      <c r="E80" s="172">
        <f t="shared" ref="E80:E87" si="51">K80+M80+O79:O80+Q80+S80+U80+W80+Y80+AA80+AC80+AE80+AI80</f>
        <v>0</v>
      </c>
      <c r="F80" s="173">
        <f t="shared" ref="F80:F87" si="52">L80+N80+P79:P80+R80+T80+V80+X80+Z80+AB80+AD80+AF80+AJ80+AH80</f>
        <v>0</v>
      </c>
      <c r="G80" s="172">
        <f t="shared" si="44"/>
        <v>0</v>
      </c>
      <c r="H80" s="173">
        <f t="shared" si="44"/>
        <v>0</v>
      </c>
      <c r="I80" s="172"/>
      <c r="J80" s="173"/>
      <c r="K80" s="172"/>
      <c r="L80" s="173"/>
      <c r="M80" s="172"/>
      <c r="N80" s="173"/>
      <c r="O80" s="172"/>
      <c r="P80" s="173"/>
      <c r="Q80" s="172"/>
      <c r="R80" s="173"/>
      <c r="S80" s="172"/>
      <c r="T80" s="173"/>
      <c r="U80" s="172"/>
      <c r="V80" s="173"/>
      <c r="W80" s="172"/>
      <c r="X80" s="173"/>
      <c r="Y80" s="172"/>
      <c r="Z80" s="173"/>
      <c r="AA80" s="172"/>
      <c r="AB80" s="173"/>
      <c r="AC80" s="172"/>
      <c r="AD80" s="173"/>
      <c r="AE80" s="172"/>
      <c r="AF80" s="173"/>
      <c r="AG80" s="172"/>
      <c r="AH80" s="173"/>
      <c r="AI80" s="172"/>
      <c r="AJ80" s="173"/>
      <c r="AK80" s="172"/>
      <c r="AL80" s="173"/>
      <c r="AM80" s="172"/>
      <c r="AN80" s="173"/>
      <c r="AO80" s="172"/>
      <c r="AP80" s="173"/>
      <c r="AQ80" s="172"/>
      <c r="AR80" s="173"/>
      <c r="AS80" s="172"/>
      <c r="AT80" s="173"/>
      <c r="AU80" s="172"/>
      <c r="AV80" s="173"/>
      <c r="AW80" s="172"/>
      <c r="AX80" s="173"/>
      <c r="AY80" s="172"/>
      <c r="AZ80" s="173"/>
      <c r="BA80" s="172"/>
      <c r="BB80" s="173"/>
      <c r="BC80" s="172"/>
      <c r="BD80" s="173"/>
      <c r="BE80" s="172"/>
      <c r="BF80" s="173"/>
      <c r="BG80" s="172"/>
      <c r="BH80" s="173"/>
      <c r="BI80" s="172"/>
      <c r="BJ80" s="173"/>
      <c r="BK80" s="172"/>
      <c r="BL80" s="173"/>
      <c r="BM80" s="172"/>
      <c r="BN80" s="173"/>
      <c r="BO80" s="172"/>
      <c r="BP80" s="173"/>
      <c r="BQ80" s="172"/>
      <c r="BR80" s="173"/>
      <c r="BS80" s="172"/>
      <c r="BT80" s="173"/>
      <c r="BU80" s="172"/>
      <c r="BV80" s="173"/>
      <c r="BW80" s="172"/>
      <c r="BX80" s="173"/>
      <c r="BY80" s="172"/>
      <c r="BZ80" s="173"/>
      <c r="CA80" s="172"/>
      <c r="CB80" s="173"/>
      <c r="CC80" s="172"/>
      <c r="CD80" s="173"/>
      <c r="CE80" s="172"/>
      <c r="CF80" s="173"/>
      <c r="CG80" s="172"/>
      <c r="CH80" s="173"/>
      <c r="CI80" s="172"/>
      <c r="CJ80" s="173"/>
      <c r="CK80" s="172"/>
      <c r="CL80" s="173"/>
      <c r="CM80" s="172"/>
      <c r="CN80" s="173"/>
      <c r="CO80" s="172"/>
      <c r="CP80" s="173"/>
      <c r="CQ80" s="172"/>
      <c r="CR80" s="173"/>
      <c r="CS80" s="172"/>
      <c r="CT80" s="173"/>
      <c r="CU80" s="172"/>
      <c r="CV80" s="173"/>
      <c r="CW80" s="172"/>
      <c r="CX80" s="173"/>
      <c r="CY80" s="172"/>
      <c r="CZ80" s="173"/>
      <c r="DA80" s="172"/>
      <c r="DB80" s="173"/>
      <c r="DC80" s="172"/>
      <c r="DD80" s="173"/>
      <c r="DE80" s="172"/>
      <c r="DF80" s="173"/>
      <c r="DG80" s="172"/>
      <c r="DH80" s="173"/>
      <c r="DI80" s="172"/>
      <c r="DJ80" s="173"/>
      <c r="DK80" s="172"/>
      <c r="DL80" s="173"/>
      <c r="DM80" s="172"/>
      <c r="DN80" s="173"/>
      <c r="DO80" s="172"/>
      <c r="DP80" s="173"/>
      <c r="DQ80" s="172"/>
      <c r="DR80" s="173"/>
      <c r="DS80" s="172"/>
      <c r="DT80" s="173"/>
      <c r="DU80" s="172"/>
      <c r="DV80" s="173"/>
    </row>
    <row r="81" spans="1:126" x14ac:dyDescent="0.25">
      <c r="A81" s="171" t="s">
        <v>920</v>
      </c>
      <c r="B81" s="181" t="s">
        <v>921</v>
      </c>
      <c r="C81" s="172">
        <f t="shared" si="32"/>
        <v>0</v>
      </c>
      <c r="D81" s="173">
        <f t="shared" si="28"/>
        <v>0</v>
      </c>
      <c r="E81" s="172">
        <f t="shared" si="51"/>
        <v>0</v>
      </c>
      <c r="F81" s="173">
        <f t="shared" si="52"/>
        <v>0</v>
      </c>
      <c r="G81" s="172">
        <f t="shared" si="44"/>
        <v>0</v>
      </c>
      <c r="H81" s="173">
        <f t="shared" si="44"/>
        <v>0</v>
      </c>
      <c r="I81" s="172"/>
      <c r="J81" s="173"/>
      <c r="K81" s="172"/>
      <c r="L81" s="173"/>
      <c r="M81" s="172"/>
      <c r="N81" s="173"/>
      <c r="O81" s="172"/>
      <c r="P81" s="173"/>
      <c r="Q81" s="172"/>
      <c r="R81" s="173"/>
      <c r="S81" s="172"/>
      <c r="T81" s="173"/>
      <c r="U81" s="172"/>
      <c r="V81" s="173"/>
      <c r="W81" s="172"/>
      <c r="X81" s="173"/>
      <c r="Y81" s="172"/>
      <c r="Z81" s="173"/>
      <c r="AA81" s="172"/>
      <c r="AB81" s="173"/>
      <c r="AC81" s="172"/>
      <c r="AD81" s="173"/>
      <c r="AE81" s="172"/>
      <c r="AF81" s="173"/>
      <c r="AG81" s="172"/>
      <c r="AH81" s="173"/>
      <c r="AI81" s="172"/>
      <c r="AJ81" s="173"/>
      <c r="AK81" s="172"/>
      <c r="AL81" s="173"/>
      <c r="AM81" s="172"/>
      <c r="AN81" s="173"/>
      <c r="AO81" s="172"/>
      <c r="AP81" s="173"/>
      <c r="AQ81" s="172"/>
      <c r="AR81" s="173"/>
      <c r="AS81" s="172"/>
      <c r="AT81" s="173"/>
      <c r="AU81" s="172"/>
      <c r="AV81" s="173"/>
      <c r="AW81" s="172"/>
      <c r="AX81" s="173"/>
      <c r="AY81" s="172"/>
      <c r="AZ81" s="173"/>
      <c r="BA81" s="172"/>
      <c r="BB81" s="173"/>
      <c r="BC81" s="172"/>
      <c r="BD81" s="173"/>
      <c r="BE81" s="172"/>
      <c r="BF81" s="173"/>
      <c r="BG81" s="172"/>
      <c r="BH81" s="173"/>
      <c r="BI81" s="172"/>
      <c r="BJ81" s="173"/>
      <c r="BK81" s="172"/>
      <c r="BL81" s="173"/>
      <c r="BM81" s="172"/>
      <c r="BN81" s="173"/>
      <c r="BO81" s="172"/>
      <c r="BP81" s="173"/>
      <c r="BQ81" s="172"/>
      <c r="BR81" s="173"/>
      <c r="BS81" s="172"/>
      <c r="BT81" s="173"/>
      <c r="BU81" s="172"/>
      <c r="BV81" s="173"/>
      <c r="BW81" s="172"/>
      <c r="BX81" s="173"/>
      <c r="BY81" s="172"/>
      <c r="BZ81" s="173"/>
      <c r="CA81" s="172"/>
      <c r="CB81" s="173"/>
      <c r="CC81" s="172"/>
      <c r="CD81" s="173"/>
      <c r="CE81" s="172"/>
      <c r="CF81" s="173"/>
      <c r="CG81" s="172"/>
      <c r="CH81" s="173"/>
      <c r="CI81" s="172"/>
      <c r="CJ81" s="173"/>
      <c r="CK81" s="172"/>
      <c r="CL81" s="173"/>
      <c r="CM81" s="172"/>
      <c r="CN81" s="173"/>
      <c r="CO81" s="172"/>
      <c r="CP81" s="173"/>
      <c r="CQ81" s="172"/>
      <c r="CR81" s="173"/>
      <c r="CS81" s="172"/>
      <c r="CT81" s="173"/>
      <c r="CU81" s="172"/>
      <c r="CV81" s="173"/>
      <c r="CW81" s="172"/>
      <c r="CX81" s="173"/>
      <c r="CY81" s="172"/>
      <c r="CZ81" s="173"/>
      <c r="DA81" s="172"/>
      <c r="DB81" s="173"/>
      <c r="DC81" s="172"/>
      <c r="DD81" s="173"/>
      <c r="DE81" s="172"/>
      <c r="DF81" s="173"/>
      <c r="DG81" s="172"/>
      <c r="DH81" s="173"/>
      <c r="DI81" s="172"/>
      <c r="DJ81" s="173"/>
      <c r="DK81" s="172"/>
      <c r="DL81" s="173"/>
      <c r="DM81" s="172"/>
      <c r="DN81" s="173"/>
      <c r="DO81" s="172"/>
      <c r="DP81" s="173"/>
      <c r="DQ81" s="172"/>
      <c r="DR81" s="173"/>
      <c r="DS81" s="172"/>
      <c r="DT81" s="173"/>
      <c r="DU81" s="172"/>
      <c r="DV81" s="173"/>
    </row>
    <row r="82" spans="1:126" x14ac:dyDescent="0.25">
      <c r="A82" s="171" t="s">
        <v>922</v>
      </c>
      <c r="B82" s="181" t="s">
        <v>923</v>
      </c>
      <c r="C82" s="172">
        <f t="shared" si="32"/>
        <v>0</v>
      </c>
      <c r="D82" s="173">
        <f t="shared" si="28"/>
        <v>0</v>
      </c>
      <c r="E82" s="172">
        <f t="shared" si="51"/>
        <v>0</v>
      </c>
      <c r="F82" s="173">
        <f t="shared" si="52"/>
        <v>0</v>
      </c>
      <c r="G82" s="172">
        <f t="shared" si="44"/>
        <v>0</v>
      </c>
      <c r="H82" s="173">
        <f t="shared" si="44"/>
        <v>0</v>
      </c>
      <c r="I82" s="172"/>
      <c r="J82" s="173"/>
      <c r="K82" s="172"/>
      <c r="L82" s="173"/>
      <c r="M82" s="172"/>
      <c r="N82" s="173"/>
      <c r="O82" s="172"/>
      <c r="P82" s="173"/>
      <c r="Q82" s="172"/>
      <c r="R82" s="173"/>
      <c r="S82" s="172"/>
      <c r="T82" s="173"/>
      <c r="U82" s="172"/>
      <c r="V82" s="173"/>
      <c r="W82" s="172"/>
      <c r="X82" s="173"/>
      <c r="Y82" s="172"/>
      <c r="Z82" s="173"/>
      <c r="AA82" s="172"/>
      <c r="AB82" s="173"/>
      <c r="AC82" s="172"/>
      <c r="AD82" s="173"/>
      <c r="AE82" s="172"/>
      <c r="AF82" s="173"/>
      <c r="AG82" s="172"/>
      <c r="AH82" s="173"/>
      <c r="AI82" s="172"/>
      <c r="AJ82" s="173"/>
      <c r="AK82" s="172"/>
      <c r="AL82" s="173"/>
      <c r="AM82" s="172"/>
      <c r="AN82" s="173"/>
      <c r="AO82" s="172"/>
      <c r="AP82" s="173"/>
      <c r="AQ82" s="172"/>
      <c r="AR82" s="173"/>
      <c r="AS82" s="172"/>
      <c r="AT82" s="173"/>
      <c r="AU82" s="172"/>
      <c r="AV82" s="173"/>
      <c r="AW82" s="172"/>
      <c r="AX82" s="173"/>
      <c r="AY82" s="172"/>
      <c r="AZ82" s="173"/>
      <c r="BA82" s="172"/>
      <c r="BB82" s="173"/>
      <c r="BC82" s="172"/>
      <c r="BD82" s="173"/>
      <c r="BE82" s="172"/>
      <c r="BF82" s="173"/>
      <c r="BG82" s="172"/>
      <c r="BH82" s="173"/>
      <c r="BI82" s="172"/>
      <c r="BJ82" s="173"/>
      <c r="BK82" s="172"/>
      <c r="BL82" s="173"/>
      <c r="BM82" s="172"/>
      <c r="BN82" s="173"/>
      <c r="BO82" s="172"/>
      <c r="BP82" s="173"/>
      <c r="BQ82" s="172"/>
      <c r="BR82" s="173"/>
      <c r="BS82" s="172"/>
      <c r="BT82" s="173"/>
      <c r="BU82" s="172"/>
      <c r="BV82" s="173"/>
      <c r="BW82" s="172"/>
      <c r="BX82" s="173"/>
      <c r="BY82" s="172"/>
      <c r="BZ82" s="173"/>
      <c r="CA82" s="172"/>
      <c r="CB82" s="173"/>
      <c r="CC82" s="172"/>
      <c r="CD82" s="173"/>
      <c r="CE82" s="172"/>
      <c r="CF82" s="173"/>
      <c r="CG82" s="172"/>
      <c r="CH82" s="173"/>
      <c r="CI82" s="172"/>
      <c r="CJ82" s="173"/>
      <c r="CK82" s="172"/>
      <c r="CL82" s="173"/>
      <c r="CM82" s="172"/>
      <c r="CN82" s="173"/>
      <c r="CO82" s="172"/>
      <c r="CP82" s="173"/>
      <c r="CQ82" s="172"/>
      <c r="CR82" s="173"/>
      <c r="CS82" s="172"/>
      <c r="CT82" s="173"/>
      <c r="CU82" s="172"/>
      <c r="CV82" s="173"/>
      <c r="CW82" s="172"/>
      <c r="CX82" s="173"/>
      <c r="CY82" s="172"/>
      <c r="CZ82" s="173"/>
      <c r="DA82" s="172"/>
      <c r="DB82" s="173"/>
      <c r="DC82" s="172"/>
      <c r="DD82" s="173"/>
      <c r="DE82" s="172"/>
      <c r="DF82" s="173"/>
      <c r="DG82" s="172"/>
      <c r="DH82" s="173"/>
      <c r="DI82" s="172"/>
      <c r="DJ82" s="173"/>
      <c r="DK82" s="172"/>
      <c r="DL82" s="173"/>
      <c r="DM82" s="172"/>
      <c r="DN82" s="173"/>
      <c r="DO82" s="172"/>
      <c r="DP82" s="173"/>
      <c r="DQ82" s="172"/>
      <c r="DR82" s="173"/>
      <c r="DS82" s="172"/>
      <c r="DT82" s="173"/>
      <c r="DU82" s="172"/>
      <c r="DV82" s="173"/>
    </row>
    <row r="83" spans="1:126" x14ac:dyDescent="0.25">
      <c r="A83" s="171" t="s">
        <v>924</v>
      </c>
      <c r="B83" s="181" t="s">
        <v>925</v>
      </c>
      <c r="C83" s="172">
        <f t="shared" si="32"/>
        <v>0</v>
      </c>
      <c r="D83" s="173">
        <f t="shared" si="28"/>
        <v>0</v>
      </c>
      <c r="E83" s="172">
        <f t="shared" si="51"/>
        <v>0</v>
      </c>
      <c r="F83" s="173">
        <f t="shared" si="52"/>
        <v>0</v>
      </c>
      <c r="G83" s="172">
        <f t="shared" si="44"/>
        <v>0</v>
      </c>
      <c r="H83" s="173">
        <f t="shared" si="44"/>
        <v>0</v>
      </c>
      <c r="I83" s="172"/>
      <c r="J83" s="173"/>
      <c r="K83" s="172"/>
      <c r="L83" s="173"/>
      <c r="M83" s="172"/>
      <c r="N83" s="173"/>
      <c r="O83" s="172"/>
      <c r="P83" s="173"/>
      <c r="Q83" s="172"/>
      <c r="R83" s="173"/>
      <c r="S83" s="172"/>
      <c r="T83" s="173"/>
      <c r="U83" s="172"/>
      <c r="V83" s="173"/>
      <c r="W83" s="172"/>
      <c r="X83" s="173"/>
      <c r="Y83" s="172"/>
      <c r="Z83" s="173"/>
      <c r="AA83" s="172"/>
      <c r="AB83" s="173"/>
      <c r="AC83" s="172"/>
      <c r="AD83" s="173"/>
      <c r="AE83" s="172"/>
      <c r="AF83" s="173"/>
      <c r="AG83" s="172"/>
      <c r="AH83" s="173"/>
      <c r="AI83" s="172"/>
      <c r="AJ83" s="173"/>
      <c r="AK83" s="172"/>
      <c r="AL83" s="173"/>
      <c r="AM83" s="172"/>
      <c r="AN83" s="173"/>
      <c r="AO83" s="172"/>
      <c r="AP83" s="173"/>
      <c r="AQ83" s="172"/>
      <c r="AR83" s="173"/>
      <c r="AS83" s="172"/>
      <c r="AT83" s="173"/>
      <c r="AU83" s="172"/>
      <c r="AV83" s="173"/>
      <c r="AW83" s="172"/>
      <c r="AX83" s="173"/>
      <c r="AY83" s="172"/>
      <c r="AZ83" s="173"/>
      <c r="BA83" s="172"/>
      <c r="BB83" s="173"/>
      <c r="BC83" s="172"/>
      <c r="BD83" s="173"/>
      <c r="BE83" s="172"/>
      <c r="BF83" s="173"/>
      <c r="BG83" s="172"/>
      <c r="BH83" s="173"/>
      <c r="BI83" s="172"/>
      <c r="BJ83" s="173"/>
      <c r="BK83" s="172"/>
      <c r="BL83" s="173"/>
      <c r="BM83" s="172"/>
      <c r="BN83" s="173"/>
      <c r="BO83" s="172"/>
      <c r="BP83" s="173"/>
      <c r="BQ83" s="172"/>
      <c r="BR83" s="173"/>
      <c r="BS83" s="172"/>
      <c r="BT83" s="173"/>
      <c r="BU83" s="172"/>
      <c r="BV83" s="173"/>
      <c r="BW83" s="172"/>
      <c r="BX83" s="173"/>
      <c r="BY83" s="172"/>
      <c r="BZ83" s="173"/>
      <c r="CA83" s="172"/>
      <c r="CB83" s="173"/>
      <c r="CC83" s="172"/>
      <c r="CD83" s="173"/>
      <c r="CE83" s="172"/>
      <c r="CF83" s="173"/>
      <c r="CG83" s="172"/>
      <c r="CH83" s="173"/>
      <c r="CI83" s="172"/>
      <c r="CJ83" s="173"/>
      <c r="CK83" s="172"/>
      <c r="CL83" s="173"/>
      <c r="CM83" s="172"/>
      <c r="CN83" s="173"/>
      <c r="CO83" s="172"/>
      <c r="CP83" s="173"/>
      <c r="CQ83" s="172"/>
      <c r="CR83" s="173"/>
      <c r="CS83" s="172"/>
      <c r="CT83" s="173"/>
      <c r="CU83" s="172"/>
      <c r="CV83" s="173"/>
      <c r="CW83" s="172"/>
      <c r="CX83" s="173"/>
      <c r="CY83" s="172"/>
      <c r="CZ83" s="173"/>
      <c r="DA83" s="172"/>
      <c r="DB83" s="173"/>
      <c r="DC83" s="172"/>
      <c r="DD83" s="173"/>
      <c r="DE83" s="172"/>
      <c r="DF83" s="173"/>
      <c r="DG83" s="172"/>
      <c r="DH83" s="173"/>
      <c r="DI83" s="172"/>
      <c r="DJ83" s="173"/>
      <c r="DK83" s="172"/>
      <c r="DL83" s="173"/>
      <c r="DM83" s="172"/>
      <c r="DN83" s="173"/>
      <c r="DO83" s="172"/>
      <c r="DP83" s="173"/>
      <c r="DQ83" s="172"/>
      <c r="DR83" s="173"/>
      <c r="DS83" s="172"/>
      <c r="DT83" s="173"/>
      <c r="DU83" s="172"/>
      <c r="DV83" s="173"/>
    </row>
    <row r="84" spans="1:126" x14ac:dyDescent="0.25">
      <c r="A84" s="171" t="s">
        <v>926</v>
      </c>
      <c r="B84" s="181" t="s">
        <v>927</v>
      </c>
      <c r="C84" s="172">
        <f t="shared" si="32"/>
        <v>0</v>
      </c>
      <c r="D84" s="173">
        <f t="shared" si="28"/>
        <v>0</v>
      </c>
      <c r="E84" s="172">
        <f t="shared" si="51"/>
        <v>0</v>
      </c>
      <c r="F84" s="173">
        <f t="shared" si="52"/>
        <v>0</v>
      </c>
      <c r="G84" s="172">
        <f t="shared" si="44"/>
        <v>0</v>
      </c>
      <c r="H84" s="173">
        <f t="shared" si="44"/>
        <v>0</v>
      </c>
      <c r="I84" s="172"/>
      <c r="J84" s="173"/>
      <c r="K84" s="172"/>
      <c r="L84" s="173"/>
      <c r="M84" s="172"/>
      <c r="N84" s="173"/>
      <c r="O84" s="172"/>
      <c r="P84" s="173"/>
      <c r="Q84" s="172"/>
      <c r="R84" s="173"/>
      <c r="S84" s="172"/>
      <c r="T84" s="173"/>
      <c r="U84" s="172"/>
      <c r="V84" s="173"/>
      <c r="W84" s="172"/>
      <c r="X84" s="173"/>
      <c r="Y84" s="172"/>
      <c r="Z84" s="173"/>
      <c r="AA84" s="172"/>
      <c r="AB84" s="173"/>
      <c r="AC84" s="172"/>
      <c r="AD84" s="173"/>
      <c r="AE84" s="172"/>
      <c r="AF84" s="173"/>
      <c r="AG84" s="172"/>
      <c r="AH84" s="173"/>
      <c r="AI84" s="172"/>
      <c r="AJ84" s="173"/>
      <c r="AK84" s="172"/>
      <c r="AL84" s="173"/>
      <c r="AM84" s="172"/>
      <c r="AN84" s="173"/>
      <c r="AO84" s="172"/>
      <c r="AP84" s="173"/>
      <c r="AQ84" s="172"/>
      <c r="AR84" s="173"/>
      <c r="AS84" s="172"/>
      <c r="AT84" s="173"/>
      <c r="AU84" s="172"/>
      <c r="AV84" s="173"/>
      <c r="AW84" s="172"/>
      <c r="AX84" s="173"/>
      <c r="AY84" s="172"/>
      <c r="AZ84" s="173"/>
      <c r="BA84" s="172"/>
      <c r="BB84" s="173"/>
      <c r="BC84" s="172"/>
      <c r="BD84" s="173"/>
      <c r="BE84" s="172"/>
      <c r="BF84" s="173"/>
      <c r="BG84" s="172"/>
      <c r="BH84" s="173"/>
      <c r="BI84" s="172"/>
      <c r="BJ84" s="173"/>
      <c r="BK84" s="172"/>
      <c r="BL84" s="173"/>
      <c r="BM84" s="172"/>
      <c r="BN84" s="173"/>
      <c r="BO84" s="172"/>
      <c r="BP84" s="173"/>
      <c r="BQ84" s="172"/>
      <c r="BR84" s="173"/>
      <c r="BS84" s="172"/>
      <c r="BT84" s="173"/>
      <c r="BU84" s="172"/>
      <c r="BV84" s="173"/>
      <c r="BW84" s="172"/>
      <c r="BX84" s="173"/>
      <c r="BY84" s="172"/>
      <c r="BZ84" s="173"/>
      <c r="CA84" s="172"/>
      <c r="CB84" s="173"/>
      <c r="CC84" s="172"/>
      <c r="CD84" s="173"/>
      <c r="CE84" s="172"/>
      <c r="CF84" s="173"/>
      <c r="CG84" s="172"/>
      <c r="CH84" s="173"/>
      <c r="CI84" s="172"/>
      <c r="CJ84" s="173"/>
      <c r="CK84" s="172"/>
      <c r="CL84" s="173"/>
      <c r="CM84" s="172"/>
      <c r="CN84" s="173"/>
      <c r="CO84" s="172"/>
      <c r="CP84" s="173"/>
      <c r="CQ84" s="172"/>
      <c r="CR84" s="173"/>
      <c r="CS84" s="172"/>
      <c r="CT84" s="173"/>
      <c r="CU84" s="172"/>
      <c r="CV84" s="173"/>
      <c r="CW84" s="172"/>
      <c r="CX84" s="173"/>
      <c r="CY84" s="172"/>
      <c r="CZ84" s="173"/>
      <c r="DA84" s="172"/>
      <c r="DB84" s="173"/>
      <c r="DC84" s="172"/>
      <c r="DD84" s="173"/>
      <c r="DE84" s="172"/>
      <c r="DF84" s="173"/>
      <c r="DG84" s="172"/>
      <c r="DH84" s="173"/>
      <c r="DI84" s="172"/>
      <c r="DJ84" s="173"/>
      <c r="DK84" s="172"/>
      <c r="DL84" s="173"/>
      <c r="DM84" s="172"/>
      <c r="DN84" s="173"/>
      <c r="DO84" s="172"/>
      <c r="DP84" s="173"/>
      <c r="DQ84" s="172"/>
      <c r="DR84" s="173"/>
      <c r="DS84" s="172"/>
      <c r="DT84" s="173"/>
      <c r="DU84" s="172"/>
      <c r="DV84" s="173"/>
    </row>
    <row r="85" spans="1:126" x14ac:dyDescent="0.25">
      <c r="A85" s="171" t="s">
        <v>928</v>
      </c>
      <c r="B85" s="181" t="s">
        <v>929</v>
      </c>
      <c r="C85" s="172">
        <f t="shared" si="32"/>
        <v>0</v>
      </c>
      <c r="D85" s="173">
        <f t="shared" si="28"/>
        <v>0</v>
      </c>
      <c r="E85" s="172">
        <f t="shared" si="51"/>
        <v>0</v>
      </c>
      <c r="F85" s="173">
        <f t="shared" si="52"/>
        <v>0</v>
      </c>
      <c r="G85" s="172">
        <f t="shared" si="44"/>
        <v>0</v>
      </c>
      <c r="H85" s="173">
        <f t="shared" si="44"/>
        <v>0</v>
      </c>
      <c r="I85" s="172"/>
      <c r="J85" s="173"/>
      <c r="K85" s="172"/>
      <c r="L85" s="173"/>
      <c r="M85" s="172"/>
      <c r="N85" s="173"/>
      <c r="O85" s="172"/>
      <c r="P85" s="173"/>
      <c r="Q85" s="172"/>
      <c r="R85" s="173"/>
      <c r="S85" s="172"/>
      <c r="T85" s="173"/>
      <c r="U85" s="172"/>
      <c r="V85" s="173"/>
      <c r="W85" s="172"/>
      <c r="X85" s="173"/>
      <c r="Y85" s="172"/>
      <c r="Z85" s="173"/>
      <c r="AA85" s="172"/>
      <c r="AB85" s="173"/>
      <c r="AC85" s="172"/>
      <c r="AD85" s="173"/>
      <c r="AE85" s="172"/>
      <c r="AF85" s="173"/>
      <c r="AG85" s="172"/>
      <c r="AH85" s="173"/>
      <c r="AI85" s="172"/>
      <c r="AJ85" s="173"/>
      <c r="AK85" s="172"/>
      <c r="AL85" s="173"/>
      <c r="AM85" s="172"/>
      <c r="AN85" s="173"/>
      <c r="AO85" s="172"/>
      <c r="AP85" s="173"/>
      <c r="AQ85" s="172"/>
      <c r="AR85" s="173"/>
      <c r="AS85" s="172"/>
      <c r="AT85" s="173"/>
      <c r="AU85" s="172"/>
      <c r="AV85" s="173"/>
      <c r="AW85" s="172"/>
      <c r="AX85" s="173"/>
      <c r="AY85" s="172"/>
      <c r="AZ85" s="173"/>
      <c r="BA85" s="172"/>
      <c r="BB85" s="173"/>
      <c r="BC85" s="172"/>
      <c r="BD85" s="173"/>
      <c r="BE85" s="172"/>
      <c r="BF85" s="173"/>
      <c r="BG85" s="172"/>
      <c r="BH85" s="173"/>
      <c r="BI85" s="172"/>
      <c r="BJ85" s="173"/>
      <c r="BK85" s="172"/>
      <c r="BL85" s="173"/>
      <c r="BM85" s="172"/>
      <c r="BN85" s="173"/>
      <c r="BO85" s="172"/>
      <c r="BP85" s="173"/>
      <c r="BQ85" s="172"/>
      <c r="BR85" s="173"/>
      <c r="BS85" s="172"/>
      <c r="BT85" s="173"/>
      <c r="BU85" s="172"/>
      <c r="BV85" s="173"/>
      <c r="BW85" s="172"/>
      <c r="BX85" s="173"/>
      <c r="BY85" s="172"/>
      <c r="BZ85" s="173"/>
      <c r="CA85" s="172"/>
      <c r="CB85" s="173"/>
      <c r="CC85" s="172"/>
      <c r="CD85" s="173"/>
      <c r="CE85" s="172"/>
      <c r="CF85" s="173"/>
      <c r="CG85" s="172"/>
      <c r="CH85" s="173"/>
      <c r="CI85" s="172"/>
      <c r="CJ85" s="173"/>
      <c r="CK85" s="172"/>
      <c r="CL85" s="173"/>
      <c r="CM85" s="172"/>
      <c r="CN85" s="173"/>
      <c r="CO85" s="172"/>
      <c r="CP85" s="173"/>
      <c r="CQ85" s="172"/>
      <c r="CR85" s="173"/>
      <c r="CS85" s="172"/>
      <c r="CT85" s="173"/>
      <c r="CU85" s="172"/>
      <c r="CV85" s="173"/>
      <c r="CW85" s="172"/>
      <c r="CX85" s="173"/>
      <c r="CY85" s="172"/>
      <c r="CZ85" s="173"/>
      <c r="DA85" s="172"/>
      <c r="DB85" s="173"/>
      <c r="DC85" s="172"/>
      <c r="DD85" s="173"/>
      <c r="DE85" s="172"/>
      <c r="DF85" s="173"/>
      <c r="DG85" s="172"/>
      <c r="DH85" s="173"/>
      <c r="DI85" s="172"/>
      <c r="DJ85" s="173"/>
      <c r="DK85" s="172"/>
      <c r="DL85" s="173"/>
      <c r="DM85" s="172"/>
      <c r="DN85" s="173"/>
      <c r="DO85" s="172"/>
      <c r="DP85" s="173"/>
      <c r="DQ85" s="172"/>
      <c r="DR85" s="173"/>
      <c r="DS85" s="172"/>
      <c r="DT85" s="173"/>
      <c r="DU85" s="172"/>
      <c r="DV85" s="173"/>
    </row>
    <row r="86" spans="1:126" x14ac:dyDescent="0.25">
      <c r="A86" s="171" t="s">
        <v>930</v>
      </c>
      <c r="B86" s="171" t="s">
        <v>931</v>
      </c>
      <c r="C86" s="172">
        <f t="shared" si="32"/>
        <v>0</v>
      </c>
      <c r="D86" s="173">
        <f t="shared" si="28"/>
        <v>0</v>
      </c>
      <c r="E86" s="172">
        <f t="shared" si="51"/>
        <v>0</v>
      </c>
      <c r="F86" s="173">
        <f t="shared" si="52"/>
        <v>0</v>
      </c>
      <c r="G86" s="172">
        <f t="shared" si="44"/>
        <v>0</v>
      </c>
      <c r="H86" s="173">
        <f t="shared" si="44"/>
        <v>0</v>
      </c>
      <c r="I86" s="172"/>
      <c r="J86" s="173"/>
      <c r="K86" s="172"/>
      <c r="L86" s="173"/>
      <c r="M86" s="172"/>
      <c r="N86" s="173"/>
      <c r="O86" s="172"/>
      <c r="P86" s="173"/>
      <c r="Q86" s="172"/>
      <c r="R86" s="173"/>
      <c r="S86" s="172"/>
      <c r="T86" s="173"/>
      <c r="U86" s="172"/>
      <c r="V86" s="173"/>
      <c r="W86" s="172"/>
      <c r="X86" s="173"/>
      <c r="Y86" s="172"/>
      <c r="Z86" s="173"/>
      <c r="AA86" s="172"/>
      <c r="AB86" s="173"/>
      <c r="AC86" s="172"/>
      <c r="AD86" s="173"/>
      <c r="AE86" s="172"/>
      <c r="AF86" s="173"/>
      <c r="AG86" s="172"/>
      <c r="AH86" s="173"/>
      <c r="AI86" s="172"/>
      <c r="AJ86" s="173"/>
      <c r="AK86" s="172"/>
      <c r="AL86" s="173"/>
      <c r="AM86" s="172"/>
      <c r="AN86" s="173"/>
      <c r="AO86" s="172"/>
      <c r="AP86" s="173"/>
      <c r="AQ86" s="172"/>
      <c r="AR86" s="173"/>
      <c r="AS86" s="172"/>
      <c r="AT86" s="173"/>
      <c r="AU86" s="172"/>
      <c r="AV86" s="173"/>
      <c r="AW86" s="172"/>
      <c r="AX86" s="173"/>
      <c r="AY86" s="172"/>
      <c r="AZ86" s="173"/>
      <c r="BA86" s="172"/>
      <c r="BB86" s="173"/>
      <c r="BC86" s="172"/>
      <c r="BD86" s="173"/>
      <c r="BE86" s="172"/>
      <c r="BF86" s="173"/>
      <c r="BG86" s="172"/>
      <c r="BH86" s="173"/>
      <c r="BI86" s="172"/>
      <c r="BJ86" s="173"/>
      <c r="BK86" s="172"/>
      <c r="BL86" s="173"/>
      <c r="BM86" s="172"/>
      <c r="BN86" s="173"/>
      <c r="BO86" s="172"/>
      <c r="BP86" s="173"/>
      <c r="BQ86" s="172"/>
      <c r="BR86" s="173"/>
      <c r="BS86" s="172"/>
      <c r="BT86" s="173"/>
      <c r="BU86" s="172"/>
      <c r="BV86" s="173"/>
      <c r="BW86" s="172"/>
      <c r="BX86" s="173"/>
      <c r="BY86" s="172"/>
      <c r="BZ86" s="173"/>
      <c r="CA86" s="172"/>
      <c r="CB86" s="173"/>
      <c r="CC86" s="172"/>
      <c r="CD86" s="173"/>
      <c r="CE86" s="172"/>
      <c r="CF86" s="173"/>
      <c r="CG86" s="172"/>
      <c r="CH86" s="173"/>
      <c r="CI86" s="172"/>
      <c r="CJ86" s="173"/>
      <c r="CK86" s="172"/>
      <c r="CL86" s="173"/>
      <c r="CM86" s="172"/>
      <c r="CN86" s="173"/>
      <c r="CO86" s="172"/>
      <c r="CP86" s="173"/>
      <c r="CQ86" s="172"/>
      <c r="CR86" s="173"/>
      <c r="CS86" s="172"/>
      <c r="CT86" s="173"/>
      <c r="CU86" s="172"/>
      <c r="CV86" s="173"/>
      <c r="CW86" s="172"/>
      <c r="CX86" s="173"/>
      <c r="CY86" s="172"/>
      <c r="CZ86" s="173"/>
      <c r="DA86" s="172"/>
      <c r="DB86" s="173"/>
      <c r="DC86" s="172"/>
      <c r="DD86" s="173"/>
      <c r="DE86" s="172"/>
      <c r="DF86" s="173"/>
      <c r="DG86" s="172"/>
      <c r="DH86" s="173"/>
      <c r="DI86" s="172"/>
      <c r="DJ86" s="173"/>
      <c r="DK86" s="172"/>
      <c r="DL86" s="173"/>
      <c r="DM86" s="172"/>
      <c r="DN86" s="173"/>
      <c r="DO86" s="172"/>
      <c r="DP86" s="173"/>
      <c r="DQ86" s="172"/>
      <c r="DR86" s="173"/>
      <c r="DS86" s="172"/>
      <c r="DT86" s="173"/>
      <c r="DU86" s="172"/>
      <c r="DV86" s="173"/>
    </row>
    <row r="87" spans="1:126" x14ac:dyDescent="0.25">
      <c r="A87" s="171" t="s">
        <v>932</v>
      </c>
      <c r="B87" s="171" t="s">
        <v>933</v>
      </c>
      <c r="C87" s="172">
        <f t="shared" si="32"/>
        <v>1800</v>
      </c>
      <c r="D87" s="173">
        <f t="shared" si="28"/>
        <v>1800</v>
      </c>
      <c r="E87" s="172">
        <f t="shared" si="51"/>
        <v>0</v>
      </c>
      <c r="F87" s="173">
        <f t="shared" si="52"/>
        <v>1800</v>
      </c>
      <c r="G87" s="172">
        <f t="shared" si="44"/>
        <v>0</v>
      </c>
      <c r="H87" s="173">
        <f t="shared" si="44"/>
        <v>0</v>
      </c>
      <c r="I87" s="172"/>
      <c r="J87" s="173"/>
      <c r="K87" s="172"/>
      <c r="L87" s="173">
        <v>1800</v>
      </c>
      <c r="M87" s="172"/>
      <c r="N87" s="173"/>
      <c r="O87" s="172"/>
      <c r="P87" s="173"/>
      <c r="Q87" s="172"/>
      <c r="R87" s="173"/>
      <c r="S87" s="172"/>
      <c r="T87" s="173"/>
      <c r="U87" s="172"/>
      <c r="V87" s="173"/>
      <c r="W87" s="172"/>
      <c r="X87" s="173"/>
      <c r="Y87" s="172"/>
      <c r="Z87" s="173"/>
      <c r="AA87" s="172"/>
      <c r="AB87" s="173"/>
      <c r="AC87" s="172"/>
      <c r="AD87" s="173"/>
      <c r="AE87" s="172"/>
      <c r="AF87" s="173"/>
      <c r="AG87" s="172"/>
      <c r="AH87" s="173"/>
      <c r="AI87" s="172"/>
      <c r="AJ87" s="173"/>
      <c r="AK87" s="172"/>
      <c r="AL87" s="173"/>
      <c r="AM87" s="172"/>
      <c r="AN87" s="173"/>
      <c r="AO87" s="172"/>
      <c r="AP87" s="173"/>
      <c r="AQ87" s="172"/>
      <c r="AR87" s="173"/>
      <c r="AS87" s="172"/>
      <c r="AT87" s="173"/>
      <c r="AU87" s="172"/>
      <c r="AV87" s="173"/>
      <c r="AW87" s="172"/>
      <c r="AX87" s="173"/>
      <c r="AY87" s="172"/>
      <c r="AZ87" s="173"/>
      <c r="BA87" s="172"/>
      <c r="BB87" s="173"/>
      <c r="BC87" s="172"/>
      <c r="BD87" s="173"/>
      <c r="BE87" s="172"/>
      <c r="BF87" s="173"/>
      <c r="BG87" s="172"/>
      <c r="BH87" s="173"/>
      <c r="BI87" s="172"/>
      <c r="BJ87" s="173"/>
      <c r="BK87" s="172"/>
      <c r="BL87" s="173"/>
      <c r="BM87" s="172"/>
      <c r="BN87" s="173"/>
      <c r="BO87" s="172"/>
      <c r="BP87" s="173"/>
      <c r="BQ87" s="172"/>
      <c r="BR87" s="173"/>
      <c r="BS87" s="172"/>
      <c r="BT87" s="173"/>
      <c r="BU87" s="172"/>
      <c r="BV87" s="173"/>
      <c r="BW87" s="172"/>
      <c r="BX87" s="173"/>
      <c r="BY87" s="172"/>
      <c r="BZ87" s="173"/>
      <c r="CA87" s="172"/>
      <c r="CB87" s="173"/>
      <c r="CC87" s="172"/>
      <c r="CD87" s="173"/>
      <c r="CE87" s="172"/>
      <c r="CF87" s="173"/>
      <c r="CG87" s="172"/>
      <c r="CH87" s="173"/>
      <c r="CI87" s="172"/>
      <c r="CJ87" s="173"/>
      <c r="CK87" s="172"/>
      <c r="CL87" s="173"/>
      <c r="CM87" s="172"/>
      <c r="CN87" s="173"/>
      <c r="CO87" s="172"/>
      <c r="CP87" s="173"/>
      <c r="CQ87" s="172"/>
      <c r="CR87" s="173"/>
      <c r="CS87" s="172"/>
      <c r="CT87" s="173"/>
      <c r="CU87" s="172"/>
      <c r="CV87" s="173"/>
      <c r="CW87" s="172"/>
      <c r="CX87" s="173"/>
      <c r="CY87" s="172"/>
      <c r="CZ87" s="173"/>
      <c r="DA87" s="172"/>
      <c r="DB87" s="173"/>
      <c r="DC87" s="172"/>
      <c r="DD87" s="173"/>
      <c r="DE87" s="172"/>
      <c r="DF87" s="173"/>
      <c r="DG87" s="172"/>
      <c r="DH87" s="173"/>
      <c r="DI87" s="172"/>
      <c r="DJ87" s="173"/>
      <c r="DK87" s="172"/>
      <c r="DL87" s="173"/>
      <c r="DM87" s="172"/>
      <c r="DN87" s="173"/>
      <c r="DO87" s="172"/>
      <c r="DP87" s="173"/>
      <c r="DQ87" s="172"/>
      <c r="DR87" s="173"/>
      <c r="DS87" s="172"/>
      <c r="DT87" s="173"/>
      <c r="DU87" s="172"/>
      <c r="DV87" s="173"/>
    </row>
    <row r="88" spans="1:126" ht="13" x14ac:dyDescent="0.3">
      <c r="A88" s="174" t="s">
        <v>934</v>
      </c>
      <c r="B88" s="174" t="s">
        <v>343</v>
      </c>
      <c r="C88" s="175">
        <f t="shared" ref="C88:I88" si="53">SUM(C80:C87)</f>
        <v>1800</v>
      </c>
      <c r="D88" s="176">
        <f t="shared" si="53"/>
        <v>1800</v>
      </c>
      <c r="E88" s="175">
        <f t="shared" si="53"/>
        <v>0</v>
      </c>
      <c r="F88" s="176">
        <f t="shared" si="53"/>
        <v>1800</v>
      </c>
      <c r="G88" s="175">
        <f t="shared" si="53"/>
        <v>0</v>
      </c>
      <c r="H88" s="176">
        <f t="shared" si="53"/>
        <v>0</v>
      </c>
      <c r="I88" s="175">
        <f t="shared" si="53"/>
        <v>0</v>
      </c>
      <c r="J88" s="176">
        <f t="shared" ref="J88:AO88" si="54">SUM(J80:J87)</f>
        <v>0</v>
      </c>
      <c r="K88" s="175">
        <f t="shared" si="54"/>
        <v>0</v>
      </c>
      <c r="L88" s="176">
        <f t="shared" si="54"/>
        <v>1800</v>
      </c>
      <c r="M88" s="175">
        <f t="shared" si="54"/>
        <v>0</v>
      </c>
      <c r="N88" s="176">
        <f t="shared" si="54"/>
        <v>0</v>
      </c>
      <c r="O88" s="175">
        <f t="shared" si="54"/>
        <v>0</v>
      </c>
      <c r="P88" s="176">
        <f t="shared" si="54"/>
        <v>0</v>
      </c>
      <c r="Q88" s="175">
        <f t="shared" si="54"/>
        <v>0</v>
      </c>
      <c r="R88" s="176">
        <f t="shared" si="54"/>
        <v>0</v>
      </c>
      <c r="S88" s="175">
        <f t="shared" si="54"/>
        <v>0</v>
      </c>
      <c r="T88" s="176">
        <f>SUM(T80:T87)</f>
        <v>0</v>
      </c>
      <c r="U88" s="175">
        <f t="shared" si="54"/>
        <v>0</v>
      </c>
      <c r="V88" s="176">
        <f>SUM(V80:V87)</f>
        <v>0</v>
      </c>
      <c r="W88" s="175">
        <f t="shared" si="54"/>
        <v>0</v>
      </c>
      <c r="X88" s="176">
        <f t="shared" si="54"/>
        <v>0</v>
      </c>
      <c r="Y88" s="175">
        <f t="shared" si="54"/>
        <v>0</v>
      </c>
      <c r="Z88" s="176">
        <f>SUM(Z80:Z87)</f>
        <v>0</v>
      </c>
      <c r="AA88" s="175">
        <f t="shared" si="54"/>
        <v>0</v>
      </c>
      <c r="AB88" s="176">
        <f>SUM(AB80:AB87)</f>
        <v>0</v>
      </c>
      <c r="AC88" s="175">
        <f t="shared" si="54"/>
        <v>0</v>
      </c>
      <c r="AD88" s="176">
        <f>SUM(AD80:AD87)</f>
        <v>0</v>
      </c>
      <c r="AE88" s="175">
        <f t="shared" si="54"/>
        <v>0</v>
      </c>
      <c r="AF88" s="176">
        <f>SUM(AF80:AF87)</f>
        <v>0</v>
      </c>
      <c r="AG88" s="175"/>
      <c r="AH88" s="176">
        <f>SUM(AH80:AH87)</f>
        <v>0</v>
      </c>
      <c r="AI88" s="175">
        <f>SUM(AI80:AI87)</f>
        <v>0</v>
      </c>
      <c r="AJ88" s="176">
        <f>SUM(AJ80:AJ87)</f>
        <v>0</v>
      </c>
      <c r="AK88" s="175">
        <f t="shared" si="54"/>
        <v>0</v>
      </c>
      <c r="AL88" s="176">
        <f>SUM(AL80:AL87)</f>
        <v>0</v>
      </c>
      <c r="AM88" s="175">
        <f t="shared" si="54"/>
        <v>0</v>
      </c>
      <c r="AN88" s="176"/>
      <c r="AO88" s="175">
        <f t="shared" si="54"/>
        <v>0</v>
      </c>
      <c r="AP88" s="176">
        <f>SUM(AP80:AP87)</f>
        <v>0</v>
      </c>
      <c r="AQ88" s="175">
        <f t="shared" ref="AQ88:DS88" si="55">SUM(AQ80:AQ87)</f>
        <v>0</v>
      </c>
      <c r="AR88" s="176">
        <f>SUM(AR80:AR87)</f>
        <v>0</v>
      </c>
      <c r="AS88" s="175">
        <f t="shared" si="55"/>
        <v>0</v>
      </c>
      <c r="AT88" s="176">
        <f>SUM(AT80:AT87)</f>
        <v>0</v>
      </c>
      <c r="AU88" s="175">
        <f t="shared" si="55"/>
        <v>0</v>
      </c>
      <c r="AV88" s="176">
        <f>SUM(AV80:AV87)</f>
        <v>0</v>
      </c>
      <c r="AW88" s="175">
        <f t="shared" si="55"/>
        <v>0</v>
      </c>
      <c r="AX88" s="176">
        <f>SUM(AX80:AX87)</f>
        <v>0</v>
      </c>
      <c r="AY88" s="175">
        <f t="shared" si="55"/>
        <v>0</v>
      </c>
      <c r="AZ88" s="176">
        <f>SUM(AZ80:AZ87)</f>
        <v>0</v>
      </c>
      <c r="BA88" s="175">
        <f t="shared" si="55"/>
        <v>0</v>
      </c>
      <c r="BB88" s="176">
        <f>SUM(BB80:BB87)</f>
        <v>0</v>
      </c>
      <c r="BC88" s="175">
        <f t="shared" si="55"/>
        <v>0</v>
      </c>
      <c r="BD88" s="176">
        <f>SUM(BD80:BD87)</f>
        <v>0</v>
      </c>
      <c r="BE88" s="175">
        <f t="shared" si="55"/>
        <v>0</v>
      </c>
      <c r="BF88" s="176">
        <f>SUM(BF80:BF87)</f>
        <v>0</v>
      </c>
      <c r="BG88" s="175">
        <f t="shared" si="55"/>
        <v>0</v>
      </c>
      <c r="BH88" s="176">
        <f>SUM(BH80:BH87)</f>
        <v>0</v>
      </c>
      <c r="BI88" s="175">
        <f t="shared" si="55"/>
        <v>0</v>
      </c>
      <c r="BJ88" s="176">
        <f>SUM(BJ80:BJ87)</f>
        <v>0</v>
      </c>
      <c r="BK88" s="175">
        <f t="shared" si="55"/>
        <v>0</v>
      </c>
      <c r="BL88" s="176">
        <f>SUM(BL80:BL87)</f>
        <v>0</v>
      </c>
      <c r="BM88" s="175">
        <f t="shared" si="55"/>
        <v>0</v>
      </c>
      <c r="BN88" s="176">
        <f>SUM(BN80:BN87)</f>
        <v>0</v>
      </c>
      <c r="BO88" s="175">
        <f t="shared" si="55"/>
        <v>0</v>
      </c>
      <c r="BP88" s="176">
        <f>SUM(BP80:BP87)</f>
        <v>0</v>
      </c>
      <c r="BQ88" s="175">
        <f t="shared" si="55"/>
        <v>0</v>
      </c>
      <c r="BR88" s="176">
        <f>SUM(BR80:BR87)</f>
        <v>0</v>
      </c>
      <c r="BS88" s="175">
        <f t="shared" si="55"/>
        <v>0</v>
      </c>
      <c r="BT88" s="176">
        <f>SUM(BT80:BT87)</f>
        <v>0</v>
      </c>
      <c r="BU88" s="175">
        <f t="shared" si="55"/>
        <v>0</v>
      </c>
      <c r="BV88" s="176">
        <f>SUM(BV80:BV87)</f>
        <v>0</v>
      </c>
      <c r="BW88" s="175">
        <f t="shared" si="55"/>
        <v>0</v>
      </c>
      <c r="BX88" s="176">
        <f>SUM(BX80:BX87)</f>
        <v>0</v>
      </c>
      <c r="BY88" s="175">
        <f t="shared" si="55"/>
        <v>0</v>
      </c>
      <c r="BZ88" s="176">
        <f>SUM(BZ80:BZ87)</f>
        <v>0</v>
      </c>
      <c r="CA88" s="175">
        <f t="shared" si="55"/>
        <v>0</v>
      </c>
      <c r="CB88" s="176">
        <f>SUM(CB80:CB87)</f>
        <v>0</v>
      </c>
      <c r="CC88" s="175">
        <f t="shared" si="55"/>
        <v>0</v>
      </c>
      <c r="CD88" s="176">
        <f>SUM(CD80:CD87)</f>
        <v>0</v>
      </c>
      <c r="CE88" s="175">
        <f>SUM(CE80:CE87)</f>
        <v>0</v>
      </c>
      <c r="CF88" s="176">
        <f>SUM(CF80:CF87)</f>
        <v>0</v>
      </c>
      <c r="CG88" s="175">
        <f t="shared" si="55"/>
        <v>0</v>
      </c>
      <c r="CH88" s="176">
        <f>SUM(CH80:CH87)</f>
        <v>0</v>
      </c>
      <c r="CI88" s="175">
        <f t="shared" si="55"/>
        <v>0</v>
      </c>
      <c r="CJ88" s="176">
        <f>SUM(CJ80:CJ87)</f>
        <v>0</v>
      </c>
      <c r="CK88" s="175">
        <f t="shared" si="55"/>
        <v>0</v>
      </c>
      <c r="CL88" s="176">
        <f>SUM(CL80:CL87)</f>
        <v>0</v>
      </c>
      <c r="CM88" s="175">
        <f t="shared" si="55"/>
        <v>0</v>
      </c>
      <c r="CN88" s="176">
        <f>SUM(CN80:CN87)</f>
        <v>0</v>
      </c>
      <c r="CO88" s="175">
        <f t="shared" si="55"/>
        <v>0</v>
      </c>
      <c r="CP88" s="176">
        <f>SUM(CP80:CP87)</f>
        <v>0</v>
      </c>
      <c r="CQ88" s="175">
        <f t="shared" si="55"/>
        <v>0</v>
      </c>
      <c r="CR88" s="176">
        <f>SUM(CR80:CR87)</f>
        <v>0</v>
      </c>
      <c r="CS88" s="175">
        <f t="shared" si="55"/>
        <v>0</v>
      </c>
      <c r="CT88" s="176">
        <f>SUM(CT80:CT87)</f>
        <v>0</v>
      </c>
      <c r="CU88" s="175">
        <f t="shared" si="55"/>
        <v>0</v>
      </c>
      <c r="CV88" s="176">
        <f>SUM(CV80:CV87)</f>
        <v>0</v>
      </c>
      <c r="CW88" s="175">
        <f t="shared" si="55"/>
        <v>0</v>
      </c>
      <c r="CX88" s="176">
        <f>SUM(CX80:CX87)</f>
        <v>0</v>
      </c>
      <c r="CY88" s="175">
        <f t="shared" si="55"/>
        <v>0</v>
      </c>
      <c r="CZ88" s="176"/>
      <c r="DA88" s="175">
        <f t="shared" si="55"/>
        <v>0</v>
      </c>
      <c r="DB88" s="176"/>
      <c r="DC88" s="175">
        <f t="shared" si="55"/>
        <v>0</v>
      </c>
      <c r="DD88" s="176">
        <f>SUM(DD80:DD87)</f>
        <v>0</v>
      </c>
      <c r="DE88" s="175">
        <f t="shared" si="55"/>
        <v>0</v>
      </c>
      <c r="DF88" s="176">
        <f>SUM(DF80:DF87)</f>
        <v>0</v>
      </c>
      <c r="DG88" s="175">
        <f t="shared" si="55"/>
        <v>0</v>
      </c>
      <c r="DH88" s="176">
        <f>SUM(DH80:DH87)</f>
        <v>0</v>
      </c>
      <c r="DI88" s="175">
        <f t="shared" si="55"/>
        <v>0</v>
      </c>
      <c r="DJ88" s="176">
        <f>SUM(DJ80:DJ87)</f>
        <v>0</v>
      </c>
      <c r="DK88" s="175">
        <f t="shared" si="55"/>
        <v>0</v>
      </c>
      <c r="DL88" s="176">
        <f>SUM(DL80:DL87)</f>
        <v>0</v>
      </c>
      <c r="DM88" s="175">
        <f t="shared" si="55"/>
        <v>0</v>
      </c>
      <c r="DN88" s="176">
        <f>SUM(DN80:DN87)</f>
        <v>0</v>
      </c>
      <c r="DO88" s="175">
        <f t="shared" si="55"/>
        <v>0</v>
      </c>
      <c r="DP88" s="176">
        <f>SUM(DP80:DP87)</f>
        <v>0</v>
      </c>
      <c r="DQ88" s="175">
        <f t="shared" si="55"/>
        <v>0</v>
      </c>
      <c r="DR88" s="176"/>
      <c r="DS88" s="175">
        <f t="shared" si="55"/>
        <v>0</v>
      </c>
      <c r="DT88" s="176">
        <f>SUM(DT80:DT87)</f>
        <v>0</v>
      </c>
      <c r="DU88" s="175"/>
      <c r="DV88" s="176"/>
    </row>
    <row r="89" spans="1:126" x14ac:dyDescent="0.25">
      <c r="A89" s="171" t="s">
        <v>935</v>
      </c>
      <c r="B89" s="171" t="s">
        <v>936</v>
      </c>
      <c r="C89" s="172">
        <f t="shared" si="32"/>
        <v>0</v>
      </c>
      <c r="D89" s="173">
        <f t="shared" si="28"/>
        <v>0</v>
      </c>
      <c r="E89" s="172">
        <f t="shared" ref="E89:E105" si="56">K89+M89+O88:O89+Q89+S89+U89+W89+Y89+AA89+AC89+AE89+AI89</f>
        <v>0</v>
      </c>
      <c r="F89" s="173">
        <f t="shared" ref="F89:F105" si="57">L89+N89+P88:P89+R89+T89+V89+X89+Z89+AB89+AD89+AF89+AJ89+AH89</f>
        <v>0</v>
      </c>
      <c r="G89" s="172">
        <f t="shared" si="44"/>
        <v>0</v>
      </c>
      <c r="H89" s="173">
        <f t="shared" si="44"/>
        <v>0</v>
      </c>
      <c r="I89" s="172"/>
      <c r="J89" s="173"/>
      <c r="K89" s="172"/>
      <c r="L89" s="173"/>
      <c r="M89" s="172"/>
      <c r="N89" s="173"/>
      <c r="O89" s="172"/>
      <c r="P89" s="173"/>
      <c r="Q89" s="172"/>
      <c r="R89" s="173"/>
      <c r="S89" s="172"/>
      <c r="T89" s="173"/>
      <c r="U89" s="172"/>
      <c r="V89" s="173"/>
      <c r="W89" s="172"/>
      <c r="X89" s="173"/>
      <c r="Y89" s="172"/>
      <c r="Z89" s="173"/>
      <c r="AA89" s="172"/>
      <c r="AB89" s="173"/>
      <c r="AC89" s="172"/>
      <c r="AD89" s="173"/>
      <c r="AE89" s="172"/>
      <c r="AF89" s="173"/>
      <c r="AG89" s="172"/>
      <c r="AH89" s="173"/>
      <c r="AI89" s="172"/>
      <c r="AJ89" s="173"/>
      <c r="AK89" s="172"/>
      <c r="AL89" s="173"/>
      <c r="AM89" s="172"/>
      <c r="AN89" s="173"/>
      <c r="AO89" s="172"/>
      <c r="AP89" s="173"/>
      <c r="AQ89" s="172"/>
      <c r="AR89" s="173"/>
      <c r="AS89" s="172"/>
      <c r="AT89" s="173"/>
      <c r="AU89" s="172"/>
      <c r="AV89" s="173"/>
      <c r="AW89" s="172"/>
      <c r="AX89" s="173"/>
      <c r="AY89" s="172"/>
      <c r="AZ89" s="173"/>
      <c r="BA89" s="172"/>
      <c r="BB89" s="173"/>
      <c r="BC89" s="172"/>
      <c r="BD89" s="173"/>
      <c r="BE89" s="172"/>
      <c r="BF89" s="173"/>
      <c r="BG89" s="172"/>
      <c r="BH89" s="173"/>
      <c r="BI89" s="172"/>
      <c r="BJ89" s="173"/>
      <c r="BK89" s="172"/>
      <c r="BL89" s="173"/>
      <c r="BM89" s="172"/>
      <c r="BN89" s="173"/>
      <c r="BO89" s="172"/>
      <c r="BP89" s="173"/>
      <c r="BQ89" s="172"/>
      <c r="BR89" s="173"/>
      <c r="BS89" s="172"/>
      <c r="BT89" s="173"/>
      <c r="BU89" s="172"/>
      <c r="BV89" s="173"/>
      <c r="BW89" s="172"/>
      <c r="BX89" s="173"/>
      <c r="BY89" s="172"/>
      <c r="BZ89" s="173"/>
      <c r="CA89" s="172"/>
      <c r="CB89" s="173"/>
      <c r="CC89" s="172"/>
      <c r="CD89" s="173"/>
      <c r="CE89" s="172"/>
      <c r="CF89" s="173"/>
      <c r="CG89" s="172"/>
      <c r="CH89" s="173"/>
      <c r="CI89" s="172"/>
      <c r="CJ89" s="173"/>
      <c r="CK89" s="172"/>
      <c r="CL89" s="173"/>
      <c r="CM89" s="172"/>
      <c r="CN89" s="173"/>
      <c r="CO89" s="172"/>
      <c r="CP89" s="173"/>
      <c r="CQ89" s="172"/>
      <c r="CR89" s="173"/>
      <c r="CS89" s="172"/>
      <c r="CT89" s="173"/>
      <c r="CU89" s="172"/>
      <c r="CV89" s="173"/>
      <c r="CW89" s="172"/>
      <c r="CX89" s="173"/>
      <c r="CY89" s="172"/>
      <c r="CZ89" s="173"/>
      <c r="DA89" s="172"/>
      <c r="DB89" s="173"/>
      <c r="DC89" s="172"/>
      <c r="DD89" s="173"/>
      <c r="DE89" s="172"/>
      <c r="DF89" s="173"/>
      <c r="DG89" s="172"/>
      <c r="DH89" s="173"/>
      <c r="DI89" s="172"/>
      <c r="DJ89" s="173"/>
      <c r="DK89" s="172"/>
      <c r="DL89" s="173"/>
      <c r="DM89" s="172"/>
      <c r="DN89" s="173"/>
      <c r="DO89" s="172"/>
      <c r="DP89" s="173"/>
      <c r="DQ89" s="172"/>
      <c r="DR89" s="173"/>
      <c r="DS89" s="172"/>
      <c r="DT89" s="173"/>
      <c r="DU89" s="172"/>
      <c r="DV89" s="173"/>
    </row>
    <row r="90" spans="1:126" x14ac:dyDescent="0.25">
      <c r="A90" s="171" t="s">
        <v>937</v>
      </c>
      <c r="B90" s="181" t="s">
        <v>938</v>
      </c>
      <c r="C90" s="172">
        <f t="shared" si="32"/>
        <v>0</v>
      </c>
      <c r="D90" s="173">
        <f t="shared" si="28"/>
        <v>0</v>
      </c>
      <c r="E90" s="172">
        <f t="shared" si="56"/>
        <v>0</v>
      </c>
      <c r="F90" s="173">
        <f t="shared" si="57"/>
        <v>0</v>
      </c>
      <c r="G90" s="172">
        <f t="shared" si="44"/>
        <v>0</v>
      </c>
      <c r="H90" s="173">
        <f t="shared" si="44"/>
        <v>0</v>
      </c>
      <c r="I90" s="172"/>
      <c r="J90" s="173"/>
      <c r="K90" s="172"/>
      <c r="L90" s="173"/>
      <c r="M90" s="172"/>
      <c r="N90" s="173"/>
      <c r="O90" s="172"/>
      <c r="P90" s="173"/>
      <c r="Q90" s="172"/>
      <c r="R90" s="173"/>
      <c r="S90" s="172"/>
      <c r="T90" s="173"/>
      <c r="U90" s="172"/>
      <c r="V90" s="173"/>
      <c r="W90" s="172"/>
      <c r="X90" s="173"/>
      <c r="Y90" s="172"/>
      <c r="Z90" s="173"/>
      <c r="AA90" s="172"/>
      <c r="AB90" s="173"/>
      <c r="AC90" s="172"/>
      <c r="AD90" s="173"/>
      <c r="AE90" s="172"/>
      <c r="AF90" s="173"/>
      <c r="AG90" s="172"/>
      <c r="AH90" s="173"/>
      <c r="AI90" s="172"/>
      <c r="AJ90" s="173"/>
      <c r="AK90" s="172"/>
      <c r="AL90" s="173"/>
      <c r="AM90" s="172"/>
      <c r="AN90" s="173"/>
      <c r="AO90" s="172"/>
      <c r="AP90" s="173"/>
      <c r="AQ90" s="172"/>
      <c r="AR90" s="173"/>
      <c r="AS90" s="172"/>
      <c r="AT90" s="173"/>
      <c r="AU90" s="172"/>
      <c r="AV90" s="173"/>
      <c r="AW90" s="172"/>
      <c r="AX90" s="173"/>
      <c r="AY90" s="172"/>
      <c r="AZ90" s="173"/>
      <c r="BA90" s="172"/>
      <c r="BB90" s="173"/>
      <c r="BC90" s="172"/>
      <c r="BD90" s="173"/>
      <c r="BE90" s="172"/>
      <c r="BF90" s="173"/>
      <c r="BG90" s="172"/>
      <c r="BH90" s="173"/>
      <c r="BI90" s="172"/>
      <c r="BJ90" s="173"/>
      <c r="BK90" s="172"/>
      <c r="BL90" s="173"/>
      <c r="BM90" s="172"/>
      <c r="BN90" s="173"/>
      <c r="BO90" s="172"/>
      <c r="BP90" s="173"/>
      <c r="BQ90" s="172"/>
      <c r="BR90" s="173"/>
      <c r="BS90" s="172"/>
      <c r="BT90" s="173"/>
      <c r="BU90" s="172"/>
      <c r="BV90" s="173"/>
      <c r="BW90" s="172"/>
      <c r="BX90" s="173"/>
      <c r="BY90" s="172"/>
      <c r="BZ90" s="173"/>
      <c r="CA90" s="172"/>
      <c r="CB90" s="173"/>
      <c r="CC90" s="172"/>
      <c r="CD90" s="173"/>
      <c r="CE90" s="172"/>
      <c r="CF90" s="173"/>
      <c r="CG90" s="172"/>
      <c r="CH90" s="173"/>
      <c r="CI90" s="172"/>
      <c r="CJ90" s="173"/>
      <c r="CK90" s="172"/>
      <c r="CL90" s="173"/>
      <c r="CM90" s="172"/>
      <c r="CN90" s="173"/>
      <c r="CO90" s="172"/>
      <c r="CP90" s="173"/>
      <c r="CQ90" s="172"/>
      <c r="CR90" s="173"/>
      <c r="CS90" s="172"/>
      <c r="CT90" s="173"/>
      <c r="CU90" s="172"/>
      <c r="CV90" s="173"/>
      <c r="CW90" s="172"/>
      <c r="CX90" s="173"/>
      <c r="CY90" s="172"/>
      <c r="CZ90" s="173"/>
      <c r="DA90" s="172"/>
      <c r="DB90" s="173"/>
      <c r="DC90" s="172"/>
      <c r="DD90" s="173"/>
      <c r="DE90" s="172"/>
      <c r="DF90" s="173"/>
      <c r="DG90" s="172"/>
      <c r="DH90" s="173"/>
      <c r="DI90" s="172"/>
      <c r="DJ90" s="173"/>
      <c r="DK90" s="172"/>
      <c r="DL90" s="173"/>
      <c r="DM90" s="172"/>
      <c r="DN90" s="173"/>
      <c r="DO90" s="172"/>
      <c r="DP90" s="173"/>
      <c r="DQ90" s="172"/>
      <c r="DR90" s="173"/>
      <c r="DS90" s="172"/>
      <c r="DT90" s="173"/>
      <c r="DU90" s="172"/>
      <c r="DV90" s="173"/>
    </row>
    <row r="91" spans="1:126" x14ac:dyDescent="0.25">
      <c r="A91" s="171" t="s">
        <v>939</v>
      </c>
      <c r="B91" s="171" t="s">
        <v>940</v>
      </c>
      <c r="C91" s="172">
        <f t="shared" si="32"/>
        <v>0</v>
      </c>
      <c r="D91" s="173">
        <f t="shared" si="28"/>
        <v>0</v>
      </c>
      <c r="E91" s="172">
        <f t="shared" si="56"/>
        <v>0</v>
      </c>
      <c r="F91" s="173">
        <f t="shared" si="57"/>
        <v>0</v>
      </c>
      <c r="G91" s="172">
        <f t="shared" si="44"/>
        <v>0</v>
      </c>
      <c r="H91" s="173">
        <f t="shared" si="44"/>
        <v>0</v>
      </c>
      <c r="I91" s="172"/>
      <c r="J91" s="173"/>
      <c r="K91" s="172"/>
      <c r="L91" s="173"/>
      <c r="M91" s="172"/>
      <c r="N91" s="173"/>
      <c r="O91" s="172"/>
      <c r="P91" s="173"/>
      <c r="Q91" s="172"/>
      <c r="R91" s="173"/>
      <c r="S91" s="172"/>
      <c r="T91" s="173"/>
      <c r="U91" s="172"/>
      <c r="V91" s="173"/>
      <c r="W91" s="172"/>
      <c r="X91" s="173"/>
      <c r="Y91" s="172"/>
      <c r="Z91" s="173"/>
      <c r="AA91" s="172"/>
      <c r="AB91" s="173"/>
      <c r="AC91" s="172"/>
      <c r="AD91" s="173"/>
      <c r="AE91" s="172"/>
      <c r="AF91" s="173"/>
      <c r="AG91" s="172"/>
      <c r="AH91" s="173"/>
      <c r="AI91" s="172"/>
      <c r="AJ91" s="173"/>
      <c r="AK91" s="172"/>
      <c r="AL91" s="173"/>
      <c r="AM91" s="172"/>
      <c r="AN91" s="173"/>
      <c r="AO91" s="172"/>
      <c r="AP91" s="173"/>
      <c r="AQ91" s="172"/>
      <c r="AR91" s="173"/>
      <c r="AS91" s="172"/>
      <c r="AT91" s="173"/>
      <c r="AU91" s="172"/>
      <c r="AV91" s="173"/>
      <c r="AW91" s="172"/>
      <c r="AX91" s="173"/>
      <c r="AY91" s="172"/>
      <c r="AZ91" s="173"/>
      <c r="BA91" s="172"/>
      <c r="BB91" s="173"/>
      <c r="BC91" s="172"/>
      <c r="BD91" s="173"/>
      <c r="BE91" s="172"/>
      <c r="BF91" s="173"/>
      <c r="BG91" s="172"/>
      <c r="BH91" s="173"/>
      <c r="BI91" s="172"/>
      <c r="BJ91" s="173"/>
      <c r="BK91" s="172"/>
      <c r="BL91" s="173"/>
      <c r="BM91" s="172"/>
      <c r="BN91" s="173"/>
      <c r="BO91" s="172"/>
      <c r="BP91" s="173"/>
      <c r="BQ91" s="172"/>
      <c r="BR91" s="173"/>
      <c r="BS91" s="172"/>
      <c r="BT91" s="173"/>
      <c r="BU91" s="172"/>
      <c r="BV91" s="173"/>
      <c r="BW91" s="172"/>
      <c r="BX91" s="173"/>
      <c r="BY91" s="172"/>
      <c r="BZ91" s="173"/>
      <c r="CA91" s="172"/>
      <c r="CB91" s="173"/>
      <c r="CC91" s="172"/>
      <c r="CD91" s="173"/>
      <c r="CE91" s="172"/>
      <c r="CF91" s="173"/>
      <c r="CG91" s="172"/>
      <c r="CH91" s="173"/>
      <c r="CI91" s="172"/>
      <c r="CJ91" s="173"/>
      <c r="CK91" s="172"/>
      <c r="CL91" s="173"/>
      <c r="CM91" s="172"/>
      <c r="CN91" s="173"/>
      <c r="CO91" s="172"/>
      <c r="CP91" s="173"/>
      <c r="CQ91" s="172"/>
      <c r="CR91" s="173"/>
      <c r="CS91" s="172"/>
      <c r="CT91" s="173"/>
      <c r="CU91" s="172"/>
      <c r="CV91" s="173"/>
      <c r="CW91" s="172"/>
      <c r="CX91" s="173"/>
      <c r="CY91" s="172"/>
      <c r="CZ91" s="173"/>
      <c r="DA91" s="172"/>
      <c r="DB91" s="173"/>
      <c r="DC91" s="172"/>
      <c r="DD91" s="173"/>
      <c r="DE91" s="172"/>
      <c r="DF91" s="173"/>
      <c r="DG91" s="172"/>
      <c r="DH91" s="173"/>
      <c r="DI91" s="172"/>
      <c r="DJ91" s="173"/>
      <c r="DK91" s="172"/>
      <c r="DL91" s="173"/>
      <c r="DM91" s="172"/>
      <c r="DN91" s="173"/>
      <c r="DO91" s="172"/>
      <c r="DP91" s="173"/>
      <c r="DQ91" s="172"/>
      <c r="DR91" s="173"/>
      <c r="DS91" s="172"/>
      <c r="DT91" s="173"/>
      <c r="DU91" s="172"/>
      <c r="DV91" s="173"/>
    </row>
    <row r="92" spans="1:126" x14ac:dyDescent="0.25">
      <c r="A92" s="171" t="s">
        <v>941</v>
      </c>
      <c r="B92" s="171" t="s">
        <v>942</v>
      </c>
      <c r="C92" s="172">
        <f t="shared" si="32"/>
        <v>0</v>
      </c>
      <c r="D92" s="173">
        <f t="shared" si="28"/>
        <v>0</v>
      </c>
      <c r="E92" s="172">
        <f t="shared" si="56"/>
        <v>0</v>
      </c>
      <c r="F92" s="173">
        <f t="shared" si="57"/>
        <v>0</v>
      </c>
      <c r="G92" s="172">
        <f t="shared" si="44"/>
        <v>0</v>
      </c>
      <c r="H92" s="173">
        <f t="shared" si="44"/>
        <v>0</v>
      </c>
      <c r="I92" s="172"/>
      <c r="J92" s="173"/>
      <c r="K92" s="172"/>
      <c r="L92" s="173"/>
      <c r="M92" s="172"/>
      <c r="N92" s="173"/>
      <c r="O92" s="172"/>
      <c r="P92" s="173"/>
      <c r="Q92" s="172"/>
      <c r="R92" s="173"/>
      <c r="S92" s="172"/>
      <c r="T92" s="173"/>
      <c r="U92" s="172"/>
      <c r="V92" s="173"/>
      <c r="W92" s="172"/>
      <c r="X92" s="173"/>
      <c r="Y92" s="172"/>
      <c r="Z92" s="173"/>
      <c r="AA92" s="172"/>
      <c r="AB92" s="173"/>
      <c r="AC92" s="172"/>
      <c r="AD92" s="173"/>
      <c r="AE92" s="172"/>
      <c r="AF92" s="173"/>
      <c r="AG92" s="172"/>
      <c r="AH92" s="173"/>
      <c r="AI92" s="172"/>
      <c r="AJ92" s="173"/>
      <c r="AK92" s="172"/>
      <c r="AL92" s="173"/>
      <c r="AM92" s="172"/>
      <c r="AN92" s="173"/>
      <c r="AO92" s="172"/>
      <c r="AP92" s="173"/>
      <c r="AQ92" s="172"/>
      <c r="AR92" s="173"/>
      <c r="AS92" s="172"/>
      <c r="AT92" s="173"/>
      <c r="AU92" s="172"/>
      <c r="AV92" s="173"/>
      <c r="AW92" s="172"/>
      <c r="AX92" s="173"/>
      <c r="AY92" s="172"/>
      <c r="AZ92" s="173"/>
      <c r="BA92" s="172"/>
      <c r="BB92" s="173"/>
      <c r="BC92" s="172"/>
      <c r="BD92" s="173"/>
      <c r="BE92" s="172"/>
      <c r="BF92" s="173"/>
      <c r="BG92" s="172"/>
      <c r="BH92" s="173"/>
      <c r="BI92" s="172"/>
      <c r="BJ92" s="173"/>
      <c r="BK92" s="172"/>
      <c r="BL92" s="173"/>
      <c r="BM92" s="172"/>
      <c r="BN92" s="173"/>
      <c r="BO92" s="172"/>
      <c r="BP92" s="173"/>
      <c r="BQ92" s="172"/>
      <c r="BR92" s="173"/>
      <c r="BS92" s="172"/>
      <c r="BT92" s="173"/>
      <c r="BU92" s="172"/>
      <c r="BV92" s="173"/>
      <c r="BW92" s="172"/>
      <c r="BX92" s="173"/>
      <c r="BY92" s="172"/>
      <c r="BZ92" s="173"/>
      <c r="CA92" s="172"/>
      <c r="CB92" s="173"/>
      <c r="CC92" s="172"/>
      <c r="CD92" s="173"/>
      <c r="CE92" s="172"/>
      <c r="CF92" s="173"/>
      <c r="CG92" s="172"/>
      <c r="CH92" s="173"/>
      <c r="CI92" s="172"/>
      <c r="CJ92" s="173"/>
      <c r="CK92" s="172"/>
      <c r="CL92" s="173"/>
      <c r="CM92" s="172"/>
      <c r="CN92" s="173"/>
      <c r="CO92" s="172"/>
      <c r="CP92" s="173"/>
      <c r="CQ92" s="172"/>
      <c r="CR92" s="173"/>
      <c r="CS92" s="172"/>
      <c r="CT92" s="173"/>
      <c r="CU92" s="172"/>
      <c r="CV92" s="173"/>
      <c r="CW92" s="172"/>
      <c r="CX92" s="173"/>
      <c r="CY92" s="172"/>
      <c r="CZ92" s="173"/>
      <c r="DA92" s="172"/>
      <c r="DB92" s="173"/>
      <c r="DC92" s="172"/>
      <c r="DD92" s="173"/>
      <c r="DE92" s="172"/>
      <c r="DF92" s="173"/>
      <c r="DG92" s="172"/>
      <c r="DH92" s="173"/>
      <c r="DI92" s="172"/>
      <c r="DJ92" s="173"/>
      <c r="DK92" s="172"/>
      <c r="DL92" s="173"/>
      <c r="DM92" s="172"/>
      <c r="DN92" s="173"/>
      <c r="DO92" s="172"/>
      <c r="DP92" s="173"/>
      <c r="DQ92" s="172"/>
      <c r="DR92" s="173"/>
      <c r="DS92" s="172"/>
      <c r="DT92" s="173"/>
      <c r="DU92" s="172"/>
      <c r="DV92" s="173"/>
    </row>
    <row r="93" spans="1:126" x14ac:dyDescent="0.25">
      <c r="A93" s="171" t="s">
        <v>943</v>
      </c>
      <c r="B93" s="171" t="s">
        <v>944</v>
      </c>
      <c r="C93" s="172">
        <f t="shared" si="32"/>
        <v>0</v>
      </c>
      <c r="D93" s="173">
        <f t="shared" si="28"/>
        <v>0</v>
      </c>
      <c r="E93" s="172">
        <f t="shared" si="56"/>
        <v>0</v>
      </c>
      <c r="F93" s="173">
        <f t="shared" si="57"/>
        <v>0</v>
      </c>
      <c r="G93" s="172">
        <f t="shared" si="44"/>
        <v>0</v>
      </c>
      <c r="H93" s="173">
        <f t="shared" si="44"/>
        <v>0</v>
      </c>
      <c r="I93" s="172"/>
      <c r="J93" s="173"/>
      <c r="K93" s="172"/>
      <c r="L93" s="173"/>
      <c r="M93" s="172"/>
      <c r="N93" s="173"/>
      <c r="O93" s="172"/>
      <c r="P93" s="173"/>
      <c r="Q93" s="172"/>
      <c r="R93" s="173"/>
      <c r="S93" s="172"/>
      <c r="T93" s="173"/>
      <c r="U93" s="172"/>
      <c r="V93" s="173"/>
      <c r="W93" s="172"/>
      <c r="X93" s="173"/>
      <c r="Y93" s="172"/>
      <c r="Z93" s="173"/>
      <c r="AA93" s="172"/>
      <c r="AB93" s="173"/>
      <c r="AC93" s="172"/>
      <c r="AD93" s="173"/>
      <c r="AE93" s="172"/>
      <c r="AF93" s="173"/>
      <c r="AG93" s="172"/>
      <c r="AH93" s="173"/>
      <c r="AI93" s="172"/>
      <c r="AJ93" s="173"/>
      <c r="AK93" s="172"/>
      <c r="AL93" s="173"/>
      <c r="AM93" s="172"/>
      <c r="AN93" s="173"/>
      <c r="AO93" s="172"/>
      <c r="AP93" s="173"/>
      <c r="AQ93" s="172"/>
      <c r="AR93" s="173"/>
      <c r="AS93" s="172"/>
      <c r="AT93" s="173"/>
      <c r="AU93" s="172"/>
      <c r="AV93" s="173"/>
      <c r="AW93" s="172"/>
      <c r="AX93" s="173"/>
      <c r="AY93" s="172"/>
      <c r="AZ93" s="173"/>
      <c r="BA93" s="172"/>
      <c r="BB93" s="173"/>
      <c r="BC93" s="172"/>
      <c r="BD93" s="173"/>
      <c r="BE93" s="172"/>
      <c r="BF93" s="173"/>
      <c r="BG93" s="172"/>
      <c r="BH93" s="173"/>
      <c r="BI93" s="172"/>
      <c r="BJ93" s="173"/>
      <c r="BK93" s="172"/>
      <c r="BL93" s="173"/>
      <c r="BM93" s="172"/>
      <c r="BN93" s="173"/>
      <c r="BO93" s="172"/>
      <c r="BP93" s="173"/>
      <c r="BQ93" s="172"/>
      <c r="BR93" s="173"/>
      <c r="BS93" s="172"/>
      <c r="BT93" s="173"/>
      <c r="BU93" s="172"/>
      <c r="BV93" s="173"/>
      <c r="BW93" s="172"/>
      <c r="BX93" s="173"/>
      <c r="BY93" s="172"/>
      <c r="BZ93" s="173"/>
      <c r="CA93" s="172"/>
      <c r="CB93" s="173"/>
      <c r="CC93" s="172"/>
      <c r="CD93" s="173"/>
      <c r="CE93" s="172"/>
      <c r="CF93" s="173"/>
      <c r="CG93" s="172"/>
      <c r="CH93" s="173"/>
      <c r="CI93" s="172"/>
      <c r="CJ93" s="173"/>
      <c r="CK93" s="172"/>
      <c r="CL93" s="173"/>
      <c r="CM93" s="172"/>
      <c r="CN93" s="173"/>
      <c r="CO93" s="172"/>
      <c r="CP93" s="173"/>
      <c r="CQ93" s="172"/>
      <c r="CR93" s="173"/>
      <c r="CS93" s="172"/>
      <c r="CT93" s="173"/>
      <c r="CU93" s="172"/>
      <c r="CV93" s="173"/>
      <c r="CW93" s="172"/>
      <c r="CX93" s="173"/>
      <c r="CY93" s="172"/>
      <c r="CZ93" s="173"/>
      <c r="DA93" s="172"/>
      <c r="DB93" s="173"/>
      <c r="DC93" s="172"/>
      <c r="DD93" s="173"/>
      <c r="DE93" s="172"/>
      <c r="DF93" s="173"/>
      <c r="DG93" s="172"/>
      <c r="DH93" s="173"/>
      <c r="DI93" s="172"/>
      <c r="DJ93" s="173"/>
      <c r="DK93" s="172"/>
      <c r="DL93" s="173"/>
      <c r="DM93" s="172"/>
      <c r="DN93" s="173"/>
      <c r="DO93" s="172"/>
      <c r="DP93" s="173"/>
      <c r="DQ93" s="172"/>
      <c r="DR93" s="173"/>
      <c r="DS93" s="172"/>
      <c r="DT93" s="173"/>
      <c r="DU93" s="172"/>
      <c r="DV93" s="173"/>
    </row>
    <row r="94" spans="1:126" x14ac:dyDescent="0.25">
      <c r="A94" s="171" t="s">
        <v>945</v>
      </c>
      <c r="B94" s="171" t="s">
        <v>946</v>
      </c>
      <c r="C94" s="172">
        <f t="shared" si="32"/>
        <v>0</v>
      </c>
      <c r="D94" s="173">
        <f t="shared" si="28"/>
        <v>0</v>
      </c>
      <c r="E94" s="172">
        <f t="shared" si="56"/>
        <v>0</v>
      </c>
      <c r="F94" s="173">
        <f t="shared" si="57"/>
        <v>0</v>
      </c>
      <c r="G94" s="172">
        <f t="shared" si="44"/>
        <v>0</v>
      </c>
      <c r="H94" s="173">
        <f t="shared" si="44"/>
        <v>0</v>
      </c>
      <c r="I94" s="172"/>
      <c r="J94" s="173"/>
      <c r="K94" s="172"/>
      <c r="L94" s="173"/>
      <c r="M94" s="172"/>
      <c r="N94" s="173"/>
      <c r="O94" s="172"/>
      <c r="P94" s="173"/>
      <c r="Q94" s="172"/>
      <c r="R94" s="173"/>
      <c r="S94" s="172"/>
      <c r="T94" s="173"/>
      <c r="U94" s="172"/>
      <c r="V94" s="173"/>
      <c r="W94" s="172"/>
      <c r="X94" s="173"/>
      <c r="Y94" s="172"/>
      <c r="Z94" s="173"/>
      <c r="AA94" s="172"/>
      <c r="AB94" s="173"/>
      <c r="AC94" s="172"/>
      <c r="AD94" s="173"/>
      <c r="AE94" s="172"/>
      <c r="AF94" s="173"/>
      <c r="AG94" s="172"/>
      <c r="AH94" s="173"/>
      <c r="AI94" s="172"/>
      <c r="AJ94" s="173"/>
      <c r="AK94" s="172"/>
      <c r="AL94" s="173"/>
      <c r="AM94" s="172"/>
      <c r="AN94" s="173"/>
      <c r="AO94" s="172"/>
      <c r="AP94" s="173"/>
      <c r="AQ94" s="172"/>
      <c r="AR94" s="173"/>
      <c r="AS94" s="172"/>
      <c r="AT94" s="173"/>
      <c r="AU94" s="172"/>
      <c r="AV94" s="173"/>
      <c r="AW94" s="172"/>
      <c r="AX94" s="173"/>
      <c r="AY94" s="172"/>
      <c r="AZ94" s="173"/>
      <c r="BA94" s="172"/>
      <c r="BB94" s="173"/>
      <c r="BC94" s="172"/>
      <c r="BD94" s="173"/>
      <c r="BE94" s="172"/>
      <c r="BF94" s="173"/>
      <c r="BG94" s="172"/>
      <c r="BH94" s="173"/>
      <c r="BI94" s="172"/>
      <c r="BJ94" s="173"/>
      <c r="BK94" s="172"/>
      <c r="BL94" s="173"/>
      <c r="BM94" s="172"/>
      <c r="BN94" s="173"/>
      <c r="BO94" s="172"/>
      <c r="BP94" s="173"/>
      <c r="BQ94" s="172"/>
      <c r="BR94" s="173"/>
      <c r="BS94" s="172"/>
      <c r="BT94" s="173"/>
      <c r="BU94" s="172"/>
      <c r="BV94" s="173"/>
      <c r="BW94" s="172"/>
      <c r="BX94" s="173"/>
      <c r="BY94" s="172"/>
      <c r="BZ94" s="173"/>
      <c r="CA94" s="172"/>
      <c r="CB94" s="173"/>
      <c r="CC94" s="172"/>
      <c r="CD94" s="173"/>
      <c r="CE94" s="172"/>
      <c r="CF94" s="173"/>
      <c r="CG94" s="172"/>
      <c r="CH94" s="173"/>
      <c r="CI94" s="172"/>
      <c r="CJ94" s="173"/>
      <c r="CK94" s="172"/>
      <c r="CL94" s="173"/>
      <c r="CM94" s="172"/>
      <c r="CN94" s="173"/>
      <c r="CO94" s="172"/>
      <c r="CP94" s="173"/>
      <c r="CQ94" s="172"/>
      <c r="CR94" s="173"/>
      <c r="CS94" s="172"/>
      <c r="CT94" s="173"/>
      <c r="CU94" s="172"/>
      <c r="CV94" s="173"/>
      <c r="CW94" s="172"/>
      <c r="CX94" s="173"/>
      <c r="CY94" s="172"/>
      <c r="CZ94" s="173"/>
      <c r="DA94" s="172"/>
      <c r="DB94" s="173"/>
      <c r="DC94" s="172"/>
      <c r="DD94" s="173"/>
      <c r="DE94" s="172"/>
      <c r="DF94" s="173"/>
      <c r="DG94" s="172"/>
      <c r="DH94" s="173"/>
      <c r="DI94" s="172"/>
      <c r="DJ94" s="173"/>
      <c r="DK94" s="172"/>
      <c r="DL94" s="173"/>
      <c r="DM94" s="172"/>
      <c r="DN94" s="173"/>
      <c r="DO94" s="172"/>
      <c r="DP94" s="173"/>
      <c r="DQ94" s="172"/>
      <c r="DR94" s="173"/>
      <c r="DS94" s="172"/>
      <c r="DT94" s="173"/>
      <c r="DU94" s="172"/>
      <c r="DV94" s="173"/>
    </row>
    <row r="95" spans="1:126" x14ac:dyDescent="0.25">
      <c r="A95" s="171" t="s">
        <v>947</v>
      </c>
      <c r="B95" s="171" t="s">
        <v>948</v>
      </c>
      <c r="C95" s="172">
        <f t="shared" si="32"/>
        <v>0</v>
      </c>
      <c r="D95" s="173">
        <f t="shared" si="28"/>
        <v>0</v>
      </c>
      <c r="E95" s="172">
        <f t="shared" si="56"/>
        <v>0</v>
      </c>
      <c r="F95" s="173">
        <f t="shared" si="57"/>
        <v>0</v>
      </c>
      <c r="G95" s="172">
        <f t="shared" si="44"/>
        <v>0</v>
      </c>
      <c r="H95" s="173">
        <f t="shared" si="44"/>
        <v>0</v>
      </c>
      <c r="I95" s="172"/>
      <c r="J95" s="173"/>
      <c r="K95" s="172"/>
      <c r="L95" s="173"/>
      <c r="M95" s="172"/>
      <c r="N95" s="173"/>
      <c r="O95" s="172"/>
      <c r="P95" s="173"/>
      <c r="Q95" s="172"/>
      <c r="R95" s="173"/>
      <c r="S95" s="172"/>
      <c r="T95" s="173"/>
      <c r="U95" s="172"/>
      <c r="V95" s="173"/>
      <c r="W95" s="172"/>
      <c r="X95" s="173"/>
      <c r="Y95" s="172"/>
      <c r="Z95" s="173"/>
      <c r="AA95" s="172"/>
      <c r="AB95" s="173"/>
      <c r="AC95" s="172"/>
      <c r="AD95" s="173"/>
      <c r="AE95" s="172"/>
      <c r="AF95" s="173"/>
      <c r="AG95" s="172"/>
      <c r="AH95" s="173"/>
      <c r="AI95" s="172"/>
      <c r="AJ95" s="173"/>
      <c r="AK95" s="172"/>
      <c r="AL95" s="173"/>
      <c r="AM95" s="172"/>
      <c r="AN95" s="173"/>
      <c r="AO95" s="172"/>
      <c r="AP95" s="173"/>
      <c r="AQ95" s="172"/>
      <c r="AR95" s="173"/>
      <c r="AS95" s="172"/>
      <c r="AT95" s="173"/>
      <c r="AU95" s="172"/>
      <c r="AV95" s="173"/>
      <c r="AW95" s="172"/>
      <c r="AX95" s="173"/>
      <c r="AY95" s="172"/>
      <c r="AZ95" s="173"/>
      <c r="BA95" s="172"/>
      <c r="BB95" s="173"/>
      <c r="BC95" s="172"/>
      <c r="BD95" s="173"/>
      <c r="BE95" s="172"/>
      <c r="BF95" s="173"/>
      <c r="BG95" s="172"/>
      <c r="BH95" s="173"/>
      <c r="BI95" s="172"/>
      <c r="BJ95" s="173"/>
      <c r="BK95" s="172"/>
      <c r="BL95" s="173"/>
      <c r="BM95" s="172"/>
      <c r="BN95" s="173"/>
      <c r="BO95" s="172"/>
      <c r="BP95" s="173"/>
      <c r="BQ95" s="172"/>
      <c r="BR95" s="173"/>
      <c r="BS95" s="172"/>
      <c r="BT95" s="173"/>
      <c r="BU95" s="172"/>
      <c r="BV95" s="173"/>
      <c r="BW95" s="172"/>
      <c r="BX95" s="173"/>
      <c r="BY95" s="172"/>
      <c r="BZ95" s="173"/>
      <c r="CA95" s="172"/>
      <c r="CB95" s="173"/>
      <c r="CC95" s="172"/>
      <c r="CD95" s="173"/>
      <c r="CE95" s="172"/>
      <c r="CF95" s="173"/>
      <c r="CG95" s="172"/>
      <c r="CH95" s="173"/>
      <c r="CI95" s="172"/>
      <c r="CJ95" s="173"/>
      <c r="CK95" s="172"/>
      <c r="CL95" s="173"/>
      <c r="CM95" s="172"/>
      <c r="CN95" s="173"/>
      <c r="CO95" s="172"/>
      <c r="CP95" s="173"/>
      <c r="CQ95" s="172"/>
      <c r="CR95" s="173"/>
      <c r="CS95" s="172"/>
      <c r="CT95" s="173"/>
      <c r="CU95" s="172"/>
      <c r="CV95" s="173"/>
      <c r="CW95" s="172"/>
      <c r="CX95" s="173"/>
      <c r="CY95" s="172"/>
      <c r="CZ95" s="173"/>
      <c r="DA95" s="172"/>
      <c r="DB95" s="173"/>
      <c r="DC95" s="172"/>
      <c r="DD95" s="173"/>
      <c r="DE95" s="172"/>
      <c r="DF95" s="173"/>
      <c r="DG95" s="172"/>
      <c r="DH95" s="173"/>
      <c r="DI95" s="172"/>
      <c r="DJ95" s="173"/>
      <c r="DK95" s="172"/>
      <c r="DL95" s="173"/>
      <c r="DM95" s="172"/>
      <c r="DN95" s="173"/>
      <c r="DO95" s="172"/>
      <c r="DP95" s="173"/>
      <c r="DQ95" s="172"/>
      <c r="DR95" s="173"/>
      <c r="DS95" s="172"/>
      <c r="DT95" s="173"/>
      <c r="DU95" s="172"/>
      <c r="DV95" s="173"/>
    </row>
    <row r="96" spans="1:126" x14ac:dyDescent="0.25">
      <c r="A96" s="171" t="s">
        <v>949</v>
      </c>
      <c r="B96" s="171" t="s">
        <v>950</v>
      </c>
      <c r="C96" s="172">
        <f t="shared" si="32"/>
        <v>0</v>
      </c>
      <c r="D96" s="173">
        <f t="shared" si="28"/>
        <v>0</v>
      </c>
      <c r="E96" s="172">
        <f t="shared" si="56"/>
        <v>0</v>
      </c>
      <c r="F96" s="173">
        <f t="shared" si="57"/>
        <v>0</v>
      </c>
      <c r="G96" s="172">
        <f t="shared" si="44"/>
        <v>0</v>
      </c>
      <c r="H96" s="173">
        <f t="shared" si="44"/>
        <v>0</v>
      </c>
      <c r="I96" s="172"/>
      <c r="J96" s="173"/>
      <c r="K96" s="172"/>
      <c r="L96" s="173"/>
      <c r="M96" s="172"/>
      <c r="N96" s="173"/>
      <c r="O96" s="172"/>
      <c r="P96" s="173"/>
      <c r="Q96" s="172"/>
      <c r="R96" s="173"/>
      <c r="S96" s="172"/>
      <c r="T96" s="173"/>
      <c r="U96" s="172"/>
      <c r="V96" s="173"/>
      <c r="W96" s="172"/>
      <c r="X96" s="173"/>
      <c r="Y96" s="172"/>
      <c r="Z96" s="173"/>
      <c r="AA96" s="172"/>
      <c r="AB96" s="173"/>
      <c r="AC96" s="172"/>
      <c r="AD96" s="173"/>
      <c r="AE96" s="172"/>
      <c r="AF96" s="173"/>
      <c r="AG96" s="172"/>
      <c r="AH96" s="173"/>
      <c r="AI96" s="172"/>
      <c r="AJ96" s="173"/>
      <c r="AK96" s="172"/>
      <c r="AL96" s="173"/>
      <c r="AM96" s="172"/>
      <c r="AN96" s="173"/>
      <c r="AO96" s="172"/>
      <c r="AP96" s="173"/>
      <c r="AQ96" s="172"/>
      <c r="AR96" s="173"/>
      <c r="AS96" s="172"/>
      <c r="AT96" s="173"/>
      <c r="AU96" s="172"/>
      <c r="AV96" s="173"/>
      <c r="AW96" s="172"/>
      <c r="AX96" s="173"/>
      <c r="AY96" s="172"/>
      <c r="AZ96" s="173"/>
      <c r="BA96" s="172"/>
      <c r="BB96" s="173"/>
      <c r="BC96" s="172"/>
      <c r="BD96" s="173"/>
      <c r="BE96" s="172"/>
      <c r="BF96" s="173"/>
      <c r="BG96" s="172"/>
      <c r="BH96" s="173"/>
      <c r="BI96" s="172"/>
      <c r="BJ96" s="173"/>
      <c r="BK96" s="172"/>
      <c r="BL96" s="173"/>
      <c r="BM96" s="172"/>
      <c r="BN96" s="173"/>
      <c r="BO96" s="172"/>
      <c r="BP96" s="173"/>
      <c r="BQ96" s="172"/>
      <c r="BR96" s="173"/>
      <c r="BS96" s="172"/>
      <c r="BT96" s="173"/>
      <c r="BU96" s="172"/>
      <c r="BV96" s="173"/>
      <c r="BW96" s="172"/>
      <c r="BX96" s="173"/>
      <c r="BY96" s="172"/>
      <c r="BZ96" s="173"/>
      <c r="CA96" s="172"/>
      <c r="CB96" s="173"/>
      <c r="CC96" s="172"/>
      <c r="CD96" s="173"/>
      <c r="CE96" s="172"/>
      <c r="CF96" s="173"/>
      <c r="CG96" s="172"/>
      <c r="CH96" s="173"/>
      <c r="CI96" s="172"/>
      <c r="CJ96" s="173"/>
      <c r="CK96" s="172"/>
      <c r="CL96" s="173"/>
      <c r="CM96" s="172"/>
      <c r="CN96" s="173"/>
      <c r="CO96" s="172"/>
      <c r="CP96" s="173"/>
      <c r="CQ96" s="172"/>
      <c r="CR96" s="173"/>
      <c r="CS96" s="172"/>
      <c r="CT96" s="173"/>
      <c r="CU96" s="172"/>
      <c r="CV96" s="173"/>
      <c r="CW96" s="172"/>
      <c r="CX96" s="173"/>
      <c r="CY96" s="172"/>
      <c r="CZ96" s="173"/>
      <c r="DA96" s="172"/>
      <c r="DB96" s="173"/>
      <c r="DC96" s="172"/>
      <c r="DD96" s="173"/>
      <c r="DE96" s="172"/>
      <c r="DF96" s="173"/>
      <c r="DG96" s="172"/>
      <c r="DH96" s="173"/>
      <c r="DI96" s="172"/>
      <c r="DJ96" s="173"/>
      <c r="DK96" s="172"/>
      <c r="DL96" s="173"/>
      <c r="DM96" s="172"/>
      <c r="DN96" s="173"/>
      <c r="DO96" s="172"/>
      <c r="DP96" s="173"/>
      <c r="DQ96" s="172"/>
      <c r="DR96" s="173"/>
      <c r="DS96" s="172"/>
      <c r="DT96" s="173"/>
      <c r="DU96" s="172"/>
      <c r="DV96" s="173"/>
    </row>
    <row r="97" spans="1:126" x14ac:dyDescent="0.25">
      <c r="A97" s="171" t="s">
        <v>951</v>
      </c>
      <c r="B97" s="171" t="s">
        <v>746</v>
      </c>
      <c r="C97" s="172">
        <f t="shared" si="32"/>
        <v>0</v>
      </c>
      <c r="D97" s="173">
        <f t="shared" si="28"/>
        <v>0</v>
      </c>
      <c r="E97" s="172">
        <f t="shared" si="56"/>
        <v>0</v>
      </c>
      <c r="F97" s="173">
        <f t="shared" si="57"/>
        <v>0</v>
      </c>
      <c r="G97" s="172">
        <f t="shared" si="44"/>
        <v>0</v>
      </c>
      <c r="H97" s="173">
        <f t="shared" si="44"/>
        <v>0</v>
      </c>
      <c r="I97" s="172"/>
      <c r="J97" s="173"/>
      <c r="K97" s="172"/>
      <c r="L97" s="173"/>
      <c r="M97" s="172"/>
      <c r="N97" s="173"/>
      <c r="O97" s="172"/>
      <c r="P97" s="173"/>
      <c r="Q97" s="172"/>
      <c r="R97" s="173"/>
      <c r="S97" s="172"/>
      <c r="T97" s="173"/>
      <c r="U97" s="172"/>
      <c r="V97" s="173"/>
      <c r="W97" s="172"/>
      <c r="X97" s="173"/>
      <c r="Y97" s="172"/>
      <c r="Z97" s="173"/>
      <c r="AA97" s="172"/>
      <c r="AB97" s="173"/>
      <c r="AC97" s="172"/>
      <c r="AD97" s="173"/>
      <c r="AE97" s="172"/>
      <c r="AF97" s="173"/>
      <c r="AG97" s="172"/>
      <c r="AH97" s="173"/>
      <c r="AI97" s="172"/>
      <c r="AJ97" s="173"/>
      <c r="AK97" s="172"/>
      <c r="AL97" s="173"/>
      <c r="AM97" s="172"/>
      <c r="AN97" s="173"/>
      <c r="AO97" s="172"/>
      <c r="AP97" s="173"/>
      <c r="AQ97" s="172"/>
      <c r="AR97" s="173"/>
      <c r="AS97" s="172"/>
      <c r="AT97" s="173"/>
      <c r="AU97" s="172"/>
      <c r="AV97" s="173"/>
      <c r="AW97" s="172"/>
      <c r="AX97" s="173"/>
      <c r="AY97" s="172"/>
      <c r="AZ97" s="173"/>
      <c r="BA97" s="172"/>
      <c r="BB97" s="173"/>
      <c r="BC97" s="172"/>
      <c r="BD97" s="173"/>
      <c r="BE97" s="172"/>
      <c r="BF97" s="173"/>
      <c r="BG97" s="172"/>
      <c r="BH97" s="173"/>
      <c r="BI97" s="172"/>
      <c r="BJ97" s="173"/>
      <c r="BK97" s="172"/>
      <c r="BL97" s="173"/>
      <c r="BM97" s="172"/>
      <c r="BN97" s="173"/>
      <c r="BO97" s="172"/>
      <c r="BP97" s="173"/>
      <c r="BQ97" s="172"/>
      <c r="BR97" s="173"/>
      <c r="BS97" s="172"/>
      <c r="BT97" s="173"/>
      <c r="BU97" s="172"/>
      <c r="BV97" s="173"/>
      <c r="BW97" s="172"/>
      <c r="BX97" s="173"/>
      <c r="BY97" s="172"/>
      <c r="BZ97" s="173"/>
      <c r="CA97" s="172"/>
      <c r="CB97" s="173"/>
      <c r="CC97" s="172"/>
      <c r="CD97" s="173"/>
      <c r="CE97" s="172"/>
      <c r="CF97" s="173"/>
      <c r="CG97" s="172"/>
      <c r="CH97" s="173"/>
      <c r="CI97" s="172"/>
      <c r="CJ97" s="173"/>
      <c r="CK97" s="172"/>
      <c r="CL97" s="173"/>
      <c r="CM97" s="172"/>
      <c r="CN97" s="173"/>
      <c r="CO97" s="172"/>
      <c r="CP97" s="173"/>
      <c r="CQ97" s="172"/>
      <c r="CR97" s="173"/>
      <c r="CS97" s="172"/>
      <c r="CT97" s="173"/>
      <c r="CU97" s="172"/>
      <c r="CV97" s="173"/>
      <c r="CW97" s="172"/>
      <c r="CX97" s="173"/>
      <c r="CY97" s="172"/>
      <c r="CZ97" s="173"/>
      <c r="DA97" s="172"/>
      <c r="DB97" s="173"/>
      <c r="DC97" s="172"/>
      <c r="DD97" s="173"/>
      <c r="DE97" s="172"/>
      <c r="DF97" s="173"/>
      <c r="DG97" s="172"/>
      <c r="DH97" s="173"/>
      <c r="DI97" s="172"/>
      <c r="DJ97" s="173"/>
      <c r="DK97" s="172"/>
      <c r="DL97" s="173"/>
      <c r="DM97" s="172"/>
      <c r="DN97" s="173"/>
      <c r="DO97" s="172"/>
      <c r="DP97" s="173"/>
      <c r="DQ97" s="172"/>
      <c r="DR97" s="173"/>
      <c r="DS97" s="172"/>
      <c r="DT97" s="173"/>
      <c r="DU97" s="172"/>
      <c r="DV97" s="173"/>
    </row>
    <row r="98" spans="1:126" x14ac:dyDescent="0.25">
      <c r="A98" s="171" t="s">
        <v>952</v>
      </c>
      <c r="B98" s="171" t="s">
        <v>953</v>
      </c>
      <c r="C98" s="172" t="e">
        <f t="shared" si="32"/>
        <v>#REF!</v>
      </c>
      <c r="D98" s="173" t="e">
        <f t="shared" si="28"/>
        <v>#REF!</v>
      </c>
      <c r="E98" s="172">
        <f t="shared" si="56"/>
        <v>0</v>
      </c>
      <c r="F98" s="173">
        <f t="shared" si="57"/>
        <v>0</v>
      </c>
      <c r="G98" s="172">
        <f t="shared" si="44"/>
        <v>0</v>
      </c>
      <c r="H98" s="173">
        <f t="shared" si="44"/>
        <v>0</v>
      </c>
      <c r="I98" s="172">
        <f>'[3]2B Önk kiad'!D36</f>
        <v>2312651</v>
      </c>
      <c r="J98" s="173" t="e">
        <f>'3.1 melléklet'!#REF!+'4.8 melléklet'!#REF!+'4.1 melléklet'!#REF!+'4.2 melléklet'!#REF!+'4.3 melléklet'!#REF!+'4.4 melléklet'!#REF!+'4.5 melléklet'!#REF!+'4.6 melléklet'!#REF!</f>
        <v>#REF!</v>
      </c>
      <c r="K98" s="172"/>
      <c r="L98" s="173"/>
      <c r="M98" s="172"/>
      <c r="N98" s="173"/>
      <c r="O98" s="172"/>
      <c r="P98" s="173"/>
      <c r="Q98" s="172"/>
      <c r="R98" s="173"/>
      <c r="S98" s="172"/>
      <c r="T98" s="173"/>
      <c r="U98" s="172"/>
      <c r="V98" s="173"/>
      <c r="W98" s="172"/>
      <c r="X98" s="173"/>
      <c r="Y98" s="172"/>
      <c r="Z98" s="173"/>
      <c r="AA98" s="172"/>
      <c r="AB98" s="173"/>
      <c r="AC98" s="172"/>
      <c r="AD98" s="173"/>
      <c r="AE98" s="172"/>
      <c r="AF98" s="173"/>
      <c r="AG98" s="172"/>
      <c r="AH98" s="173"/>
      <c r="AI98" s="172"/>
      <c r="AJ98" s="173"/>
      <c r="AK98" s="172"/>
      <c r="AL98" s="173"/>
      <c r="AM98" s="172"/>
      <c r="AN98" s="173"/>
      <c r="AO98" s="172"/>
      <c r="AP98" s="173"/>
      <c r="AQ98" s="172"/>
      <c r="AR98" s="173"/>
      <c r="AS98" s="172"/>
      <c r="AT98" s="173"/>
      <c r="AU98" s="172"/>
      <c r="AV98" s="173"/>
      <c r="AW98" s="172"/>
      <c r="AX98" s="173"/>
      <c r="AY98" s="172"/>
      <c r="AZ98" s="173"/>
      <c r="BA98" s="172"/>
      <c r="BB98" s="173"/>
      <c r="BC98" s="172"/>
      <c r="BD98" s="173"/>
      <c r="BE98" s="172"/>
      <c r="BF98" s="173"/>
      <c r="BG98" s="172"/>
      <c r="BH98" s="173"/>
      <c r="BI98" s="172"/>
      <c r="BJ98" s="173"/>
      <c r="BK98" s="172"/>
      <c r="BL98" s="173"/>
      <c r="BM98" s="172"/>
      <c r="BN98" s="173"/>
      <c r="BO98" s="172"/>
      <c r="BP98" s="173"/>
      <c r="BQ98" s="172"/>
      <c r="BR98" s="173"/>
      <c r="BS98" s="172"/>
      <c r="BT98" s="173"/>
      <c r="BU98" s="172"/>
      <c r="BV98" s="173"/>
      <c r="BW98" s="172"/>
      <c r="BX98" s="173"/>
      <c r="BY98" s="172"/>
      <c r="BZ98" s="173"/>
      <c r="CA98" s="172"/>
      <c r="CB98" s="173"/>
      <c r="CC98" s="172"/>
      <c r="CD98" s="173"/>
      <c r="CE98" s="172"/>
      <c r="CF98" s="173"/>
      <c r="CG98" s="172"/>
      <c r="CH98" s="173"/>
      <c r="CI98" s="172"/>
      <c r="CJ98" s="173"/>
      <c r="CK98" s="172"/>
      <c r="CL98" s="173"/>
      <c r="CM98" s="172"/>
      <c r="CN98" s="173"/>
      <c r="CO98" s="172"/>
      <c r="CP98" s="173"/>
      <c r="CQ98" s="172"/>
      <c r="CR98" s="173"/>
      <c r="CS98" s="172"/>
      <c r="CT98" s="173"/>
      <c r="CU98" s="172"/>
      <c r="CV98" s="173"/>
      <c r="CW98" s="172"/>
      <c r="CX98" s="173"/>
      <c r="CY98" s="172"/>
      <c r="CZ98" s="173"/>
      <c r="DA98" s="172"/>
      <c r="DB98" s="173"/>
      <c r="DC98" s="172"/>
      <c r="DD98" s="173"/>
      <c r="DE98" s="172"/>
      <c r="DF98" s="173"/>
      <c r="DG98" s="172"/>
      <c r="DH98" s="173"/>
      <c r="DI98" s="172"/>
      <c r="DJ98" s="173"/>
      <c r="DK98" s="172"/>
      <c r="DL98" s="173"/>
      <c r="DM98" s="172"/>
      <c r="DN98" s="173"/>
      <c r="DO98" s="172"/>
      <c r="DP98" s="173"/>
      <c r="DQ98" s="172"/>
      <c r="DR98" s="173"/>
      <c r="DS98" s="172"/>
      <c r="DT98" s="173"/>
      <c r="DU98" s="172"/>
      <c r="DV98" s="173"/>
    </row>
    <row r="99" spans="1:126" x14ac:dyDescent="0.25">
      <c r="A99" s="171" t="s">
        <v>954</v>
      </c>
      <c r="B99" s="171" t="s">
        <v>748</v>
      </c>
      <c r="C99" s="172">
        <f t="shared" si="32"/>
        <v>1050000</v>
      </c>
      <c r="D99" s="173">
        <f t="shared" si="28"/>
        <v>450000</v>
      </c>
      <c r="E99" s="172">
        <f t="shared" si="56"/>
        <v>0</v>
      </c>
      <c r="F99" s="173">
        <f t="shared" si="57"/>
        <v>0</v>
      </c>
      <c r="G99" s="172">
        <f t="shared" si="44"/>
        <v>0</v>
      </c>
      <c r="H99" s="173">
        <f t="shared" si="44"/>
        <v>0</v>
      </c>
      <c r="I99" s="172">
        <v>600000</v>
      </c>
      <c r="J99" s="173">
        <v>450000</v>
      </c>
      <c r="K99" s="172"/>
      <c r="L99" s="173"/>
      <c r="M99" s="172"/>
      <c r="N99" s="173"/>
      <c r="O99" s="172"/>
      <c r="P99" s="173"/>
      <c r="Q99" s="172"/>
      <c r="R99" s="173"/>
      <c r="S99" s="172"/>
      <c r="T99" s="173"/>
      <c r="U99" s="172"/>
      <c r="V99" s="173"/>
      <c r="W99" s="172"/>
      <c r="X99" s="173"/>
      <c r="Y99" s="172"/>
      <c r="Z99" s="173"/>
      <c r="AA99" s="172"/>
      <c r="AB99" s="173"/>
      <c r="AC99" s="172"/>
      <c r="AD99" s="173"/>
      <c r="AE99" s="172"/>
      <c r="AF99" s="173"/>
      <c r="AG99" s="172"/>
      <c r="AH99" s="173"/>
      <c r="AI99" s="172"/>
      <c r="AJ99" s="173"/>
      <c r="AK99" s="172"/>
      <c r="AL99" s="173"/>
      <c r="AM99" s="172"/>
      <c r="AN99" s="173"/>
      <c r="AO99" s="172"/>
      <c r="AP99" s="173"/>
      <c r="AQ99" s="172"/>
      <c r="AR99" s="173"/>
      <c r="AS99" s="172"/>
      <c r="AT99" s="173"/>
      <c r="AU99" s="172"/>
      <c r="AV99" s="173"/>
      <c r="AW99" s="172"/>
      <c r="AX99" s="173"/>
      <c r="AY99" s="172"/>
      <c r="AZ99" s="173"/>
      <c r="BA99" s="172"/>
      <c r="BB99" s="173"/>
      <c r="BC99" s="172"/>
      <c r="BD99" s="173"/>
      <c r="BE99" s="172"/>
      <c r="BF99" s="173"/>
      <c r="BG99" s="172"/>
      <c r="BH99" s="173"/>
      <c r="BI99" s="172"/>
      <c r="BJ99" s="173"/>
      <c r="BK99" s="172"/>
      <c r="BL99" s="173"/>
      <c r="BM99" s="172"/>
      <c r="BN99" s="173"/>
      <c r="BO99" s="172"/>
      <c r="BP99" s="173"/>
      <c r="BQ99" s="172"/>
      <c r="BR99" s="173"/>
      <c r="BS99" s="172"/>
      <c r="BT99" s="173"/>
      <c r="BU99" s="172"/>
      <c r="BV99" s="173"/>
      <c r="BW99" s="172"/>
      <c r="BX99" s="173"/>
      <c r="BY99" s="172"/>
      <c r="BZ99" s="173"/>
      <c r="CA99" s="172"/>
      <c r="CB99" s="173"/>
      <c r="CC99" s="172"/>
      <c r="CD99" s="173"/>
      <c r="CE99" s="172"/>
      <c r="CF99" s="173"/>
      <c r="CG99" s="172"/>
      <c r="CH99" s="173"/>
      <c r="CI99" s="172"/>
      <c r="CJ99" s="173"/>
      <c r="CK99" s="172"/>
      <c r="CL99" s="173"/>
      <c r="CM99" s="172"/>
      <c r="CN99" s="173"/>
      <c r="CO99" s="172"/>
      <c r="CP99" s="173"/>
      <c r="CQ99" s="172"/>
      <c r="CR99" s="173"/>
      <c r="CS99" s="172"/>
      <c r="CT99" s="173"/>
      <c r="CU99" s="172"/>
      <c r="CV99" s="173"/>
      <c r="CW99" s="172"/>
      <c r="CX99" s="173"/>
      <c r="CY99" s="172"/>
      <c r="CZ99" s="173"/>
      <c r="DA99" s="172"/>
      <c r="DB99" s="173"/>
      <c r="DC99" s="172"/>
      <c r="DD99" s="173"/>
      <c r="DE99" s="172"/>
      <c r="DF99" s="173"/>
      <c r="DG99" s="172"/>
      <c r="DH99" s="173"/>
      <c r="DI99" s="172"/>
      <c r="DJ99" s="173"/>
      <c r="DK99" s="172"/>
      <c r="DL99" s="173"/>
      <c r="DM99" s="172"/>
      <c r="DN99" s="173"/>
      <c r="DO99" s="172"/>
      <c r="DP99" s="173"/>
      <c r="DQ99" s="172"/>
      <c r="DR99" s="173"/>
      <c r="DS99" s="172"/>
      <c r="DT99" s="173"/>
      <c r="DU99" s="172"/>
      <c r="DV99" s="173"/>
    </row>
    <row r="100" spans="1:126" x14ac:dyDescent="0.25">
      <c r="A100" s="171" t="s">
        <v>955</v>
      </c>
      <c r="B100" s="171" t="s">
        <v>956</v>
      </c>
      <c r="C100" s="172">
        <f t="shared" si="32"/>
        <v>0</v>
      </c>
      <c r="D100" s="173">
        <f t="shared" si="28"/>
        <v>0</v>
      </c>
      <c r="E100" s="172">
        <f t="shared" si="56"/>
        <v>0</v>
      </c>
      <c r="F100" s="173">
        <f t="shared" si="57"/>
        <v>0</v>
      </c>
      <c r="G100" s="172">
        <f t="shared" si="44"/>
        <v>0</v>
      </c>
      <c r="H100" s="173">
        <f t="shared" si="44"/>
        <v>0</v>
      </c>
      <c r="I100" s="172"/>
      <c r="J100" s="173"/>
      <c r="K100" s="172"/>
      <c r="L100" s="173"/>
      <c r="M100" s="172"/>
      <c r="N100" s="173"/>
      <c r="O100" s="172"/>
      <c r="P100" s="173"/>
      <c r="Q100" s="172"/>
      <c r="R100" s="173"/>
      <c r="S100" s="172"/>
      <c r="T100" s="173"/>
      <c r="U100" s="172"/>
      <c r="V100" s="173"/>
      <c r="W100" s="172"/>
      <c r="X100" s="173"/>
      <c r="Y100" s="172"/>
      <c r="Z100" s="173"/>
      <c r="AA100" s="172"/>
      <c r="AB100" s="173"/>
      <c r="AC100" s="172"/>
      <c r="AD100" s="173"/>
      <c r="AE100" s="172"/>
      <c r="AF100" s="173"/>
      <c r="AG100" s="172"/>
      <c r="AH100" s="173"/>
      <c r="AI100" s="172"/>
      <c r="AJ100" s="173"/>
      <c r="AK100" s="172"/>
      <c r="AL100" s="173"/>
      <c r="AM100" s="172"/>
      <c r="AN100" s="173"/>
      <c r="AO100" s="172"/>
      <c r="AP100" s="173"/>
      <c r="AQ100" s="172"/>
      <c r="AR100" s="173"/>
      <c r="AS100" s="172"/>
      <c r="AT100" s="173"/>
      <c r="AU100" s="172"/>
      <c r="AV100" s="173"/>
      <c r="AW100" s="172"/>
      <c r="AX100" s="173"/>
      <c r="AY100" s="172"/>
      <c r="AZ100" s="173"/>
      <c r="BA100" s="172"/>
      <c r="BB100" s="173"/>
      <c r="BC100" s="172"/>
      <c r="BD100" s="173"/>
      <c r="BE100" s="172"/>
      <c r="BF100" s="173"/>
      <c r="BG100" s="172"/>
      <c r="BH100" s="173"/>
      <c r="BI100" s="172"/>
      <c r="BJ100" s="173"/>
      <c r="BK100" s="172"/>
      <c r="BL100" s="173"/>
      <c r="BM100" s="172"/>
      <c r="BN100" s="173"/>
      <c r="BO100" s="172"/>
      <c r="BP100" s="173"/>
      <c r="BQ100" s="172"/>
      <c r="BR100" s="173"/>
      <c r="BS100" s="172"/>
      <c r="BT100" s="173"/>
      <c r="BU100" s="172"/>
      <c r="BV100" s="173"/>
      <c r="BW100" s="172"/>
      <c r="BX100" s="173"/>
      <c r="BY100" s="172"/>
      <c r="BZ100" s="173"/>
      <c r="CA100" s="172"/>
      <c r="CB100" s="173"/>
      <c r="CC100" s="172"/>
      <c r="CD100" s="173"/>
      <c r="CE100" s="172"/>
      <c r="CF100" s="173"/>
      <c r="CG100" s="172"/>
      <c r="CH100" s="173"/>
      <c r="CI100" s="172"/>
      <c r="CJ100" s="173"/>
      <c r="CK100" s="172"/>
      <c r="CL100" s="173"/>
      <c r="CM100" s="172"/>
      <c r="CN100" s="173"/>
      <c r="CO100" s="172"/>
      <c r="CP100" s="173"/>
      <c r="CQ100" s="172"/>
      <c r="CR100" s="173"/>
      <c r="CS100" s="172"/>
      <c r="CT100" s="173"/>
      <c r="CU100" s="172"/>
      <c r="CV100" s="173"/>
      <c r="CW100" s="172"/>
      <c r="CX100" s="173"/>
      <c r="CY100" s="172"/>
      <c r="CZ100" s="173"/>
      <c r="DA100" s="172"/>
      <c r="DB100" s="173"/>
      <c r="DC100" s="172"/>
      <c r="DD100" s="173"/>
      <c r="DE100" s="172"/>
      <c r="DF100" s="173"/>
      <c r="DG100" s="172"/>
      <c r="DH100" s="173"/>
      <c r="DI100" s="172"/>
      <c r="DJ100" s="173"/>
      <c r="DK100" s="172"/>
      <c r="DL100" s="173"/>
      <c r="DM100" s="172"/>
      <c r="DN100" s="173"/>
      <c r="DO100" s="172"/>
      <c r="DP100" s="173"/>
      <c r="DQ100" s="172"/>
      <c r="DR100" s="173"/>
      <c r="DS100" s="172"/>
      <c r="DT100" s="173"/>
      <c r="DU100" s="172"/>
      <c r="DV100" s="173"/>
    </row>
    <row r="101" spans="1:126" x14ac:dyDescent="0.25">
      <c r="A101" s="171" t="s">
        <v>957</v>
      </c>
      <c r="B101" s="171" t="s">
        <v>958</v>
      </c>
      <c r="C101" s="172">
        <f t="shared" si="32"/>
        <v>0</v>
      </c>
      <c r="D101" s="173">
        <f t="shared" si="28"/>
        <v>0</v>
      </c>
      <c r="E101" s="172">
        <f t="shared" si="56"/>
        <v>0</v>
      </c>
      <c r="F101" s="173">
        <f t="shared" si="57"/>
        <v>0</v>
      </c>
      <c r="G101" s="172">
        <f t="shared" si="44"/>
        <v>0</v>
      </c>
      <c r="H101" s="173">
        <f t="shared" si="44"/>
        <v>0</v>
      </c>
      <c r="I101" s="172"/>
      <c r="J101" s="173"/>
      <c r="K101" s="172"/>
      <c r="L101" s="173"/>
      <c r="M101" s="172"/>
      <c r="N101" s="173"/>
      <c r="O101" s="172"/>
      <c r="P101" s="173"/>
      <c r="Q101" s="172"/>
      <c r="R101" s="173"/>
      <c r="S101" s="172"/>
      <c r="T101" s="173"/>
      <c r="U101" s="172"/>
      <c r="V101" s="173"/>
      <c r="W101" s="172"/>
      <c r="X101" s="173"/>
      <c r="Y101" s="172"/>
      <c r="Z101" s="173"/>
      <c r="AA101" s="172"/>
      <c r="AB101" s="173"/>
      <c r="AC101" s="172"/>
      <c r="AD101" s="173"/>
      <c r="AE101" s="172"/>
      <c r="AF101" s="173"/>
      <c r="AG101" s="172"/>
      <c r="AH101" s="173"/>
      <c r="AI101" s="172"/>
      <c r="AJ101" s="173"/>
      <c r="AK101" s="172"/>
      <c r="AL101" s="173"/>
      <c r="AM101" s="172"/>
      <c r="AN101" s="173"/>
      <c r="AO101" s="172"/>
      <c r="AP101" s="173"/>
      <c r="AQ101" s="172"/>
      <c r="AR101" s="173"/>
      <c r="AS101" s="172"/>
      <c r="AT101" s="173"/>
      <c r="AU101" s="172"/>
      <c r="AV101" s="173"/>
      <c r="AW101" s="172"/>
      <c r="AX101" s="173"/>
      <c r="AY101" s="172"/>
      <c r="AZ101" s="173"/>
      <c r="BA101" s="172"/>
      <c r="BB101" s="173"/>
      <c r="BC101" s="172"/>
      <c r="BD101" s="173"/>
      <c r="BE101" s="172"/>
      <c r="BF101" s="173"/>
      <c r="BG101" s="172"/>
      <c r="BH101" s="173"/>
      <c r="BI101" s="172"/>
      <c r="BJ101" s="173"/>
      <c r="BK101" s="172"/>
      <c r="BL101" s="173"/>
      <c r="BM101" s="172"/>
      <c r="BN101" s="173"/>
      <c r="BO101" s="172"/>
      <c r="BP101" s="173"/>
      <c r="BQ101" s="172"/>
      <c r="BR101" s="173"/>
      <c r="BS101" s="172"/>
      <c r="BT101" s="173"/>
      <c r="BU101" s="172"/>
      <c r="BV101" s="173"/>
      <c r="BW101" s="172"/>
      <c r="BX101" s="173"/>
      <c r="BY101" s="172"/>
      <c r="BZ101" s="173"/>
      <c r="CA101" s="172"/>
      <c r="CB101" s="173"/>
      <c r="CC101" s="172"/>
      <c r="CD101" s="173"/>
      <c r="CE101" s="172"/>
      <c r="CF101" s="173"/>
      <c r="CG101" s="172"/>
      <c r="CH101" s="173"/>
      <c r="CI101" s="172"/>
      <c r="CJ101" s="173"/>
      <c r="CK101" s="172"/>
      <c r="CL101" s="173"/>
      <c r="CM101" s="172"/>
      <c r="CN101" s="173"/>
      <c r="CO101" s="172"/>
      <c r="CP101" s="173"/>
      <c r="CQ101" s="172"/>
      <c r="CR101" s="173"/>
      <c r="CS101" s="172"/>
      <c r="CT101" s="173"/>
      <c r="CU101" s="172"/>
      <c r="CV101" s="173"/>
      <c r="CW101" s="172"/>
      <c r="CX101" s="173"/>
      <c r="CY101" s="172"/>
      <c r="CZ101" s="173"/>
      <c r="DA101" s="172"/>
      <c r="DB101" s="173"/>
      <c r="DC101" s="172"/>
      <c r="DD101" s="173"/>
      <c r="DE101" s="172"/>
      <c r="DF101" s="173"/>
      <c r="DG101" s="172"/>
      <c r="DH101" s="173"/>
      <c r="DI101" s="172"/>
      <c r="DJ101" s="173"/>
      <c r="DK101" s="172"/>
      <c r="DL101" s="173"/>
      <c r="DM101" s="172"/>
      <c r="DN101" s="173"/>
      <c r="DO101" s="172"/>
      <c r="DP101" s="173"/>
      <c r="DQ101" s="172"/>
      <c r="DR101" s="173"/>
      <c r="DS101" s="172"/>
      <c r="DT101" s="173"/>
      <c r="DU101" s="172"/>
      <c r="DV101" s="173"/>
    </row>
    <row r="102" spans="1:126" x14ac:dyDescent="0.25">
      <c r="A102" s="171" t="s">
        <v>959</v>
      </c>
      <c r="B102" s="171" t="s">
        <v>960</v>
      </c>
      <c r="C102" s="172">
        <f t="shared" si="32"/>
        <v>0</v>
      </c>
      <c r="D102" s="173">
        <f t="shared" si="28"/>
        <v>0</v>
      </c>
      <c r="E102" s="172">
        <f t="shared" si="56"/>
        <v>0</v>
      </c>
      <c r="F102" s="173">
        <f t="shared" si="57"/>
        <v>0</v>
      </c>
      <c r="G102" s="172">
        <f t="shared" si="44"/>
        <v>0</v>
      </c>
      <c r="H102" s="173">
        <f t="shared" si="44"/>
        <v>0</v>
      </c>
      <c r="I102" s="172"/>
      <c r="J102" s="173"/>
      <c r="K102" s="172"/>
      <c r="L102" s="173"/>
      <c r="M102" s="172"/>
      <c r="N102" s="173"/>
      <c r="O102" s="172"/>
      <c r="P102" s="173"/>
      <c r="Q102" s="172"/>
      <c r="R102" s="173"/>
      <c r="S102" s="172"/>
      <c r="T102" s="173"/>
      <c r="U102" s="172"/>
      <c r="V102" s="173"/>
      <c r="W102" s="172"/>
      <c r="X102" s="173"/>
      <c r="Y102" s="172"/>
      <c r="Z102" s="173"/>
      <c r="AA102" s="172"/>
      <c r="AB102" s="173"/>
      <c r="AC102" s="172"/>
      <c r="AD102" s="173"/>
      <c r="AE102" s="172"/>
      <c r="AF102" s="173"/>
      <c r="AG102" s="172"/>
      <c r="AH102" s="173"/>
      <c r="AI102" s="172"/>
      <c r="AJ102" s="173"/>
      <c r="AK102" s="172"/>
      <c r="AL102" s="173"/>
      <c r="AM102" s="172"/>
      <c r="AN102" s="173"/>
      <c r="AO102" s="172"/>
      <c r="AP102" s="173"/>
      <c r="AQ102" s="172"/>
      <c r="AR102" s="173"/>
      <c r="AS102" s="172"/>
      <c r="AT102" s="173"/>
      <c r="AU102" s="172"/>
      <c r="AV102" s="173"/>
      <c r="AW102" s="172"/>
      <c r="AX102" s="173"/>
      <c r="AY102" s="172"/>
      <c r="AZ102" s="173"/>
      <c r="BA102" s="172"/>
      <c r="BB102" s="173"/>
      <c r="BC102" s="172"/>
      <c r="BD102" s="173"/>
      <c r="BE102" s="172"/>
      <c r="BF102" s="173"/>
      <c r="BG102" s="172"/>
      <c r="BH102" s="173"/>
      <c r="BI102" s="172"/>
      <c r="BJ102" s="173"/>
      <c r="BK102" s="172"/>
      <c r="BL102" s="173"/>
      <c r="BM102" s="172"/>
      <c r="BN102" s="173"/>
      <c r="BO102" s="172"/>
      <c r="BP102" s="173"/>
      <c r="BQ102" s="172"/>
      <c r="BR102" s="173"/>
      <c r="BS102" s="172"/>
      <c r="BT102" s="173"/>
      <c r="BU102" s="172"/>
      <c r="BV102" s="173"/>
      <c r="BW102" s="172"/>
      <c r="BX102" s="173"/>
      <c r="BY102" s="172"/>
      <c r="BZ102" s="173"/>
      <c r="CA102" s="172"/>
      <c r="CB102" s="173"/>
      <c r="CC102" s="172"/>
      <c r="CD102" s="173"/>
      <c r="CE102" s="172"/>
      <c r="CF102" s="173"/>
      <c r="CG102" s="172"/>
      <c r="CH102" s="173"/>
      <c r="CI102" s="172"/>
      <c r="CJ102" s="173"/>
      <c r="CK102" s="172"/>
      <c r="CL102" s="173"/>
      <c r="CM102" s="172"/>
      <c r="CN102" s="173"/>
      <c r="CO102" s="172"/>
      <c r="CP102" s="173"/>
      <c r="CQ102" s="172"/>
      <c r="CR102" s="173"/>
      <c r="CS102" s="172"/>
      <c r="CT102" s="173"/>
      <c r="CU102" s="172"/>
      <c r="CV102" s="173"/>
      <c r="CW102" s="172"/>
      <c r="CX102" s="173"/>
      <c r="CY102" s="172"/>
      <c r="CZ102" s="173"/>
      <c r="DA102" s="172"/>
      <c r="DB102" s="173"/>
      <c r="DC102" s="172"/>
      <c r="DD102" s="173"/>
      <c r="DE102" s="172"/>
      <c r="DF102" s="173"/>
      <c r="DG102" s="172"/>
      <c r="DH102" s="173"/>
      <c r="DI102" s="172"/>
      <c r="DJ102" s="173"/>
      <c r="DK102" s="172"/>
      <c r="DL102" s="173"/>
      <c r="DM102" s="172"/>
      <c r="DN102" s="173"/>
      <c r="DO102" s="172"/>
      <c r="DP102" s="173"/>
      <c r="DQ102" s="172"/>
      <c r="DR102" s="173"/>
      <c r="DS102" s="172"/>
      <c r="DT102" s="173"/>
      <c r="DU102" s="172"/>
      <c r="DV102" s="173"/>
    </row>
    <row r="103" spans="1:126" x14ac:dyDescent="0.25">
      <c r="A103" s="171" t="s">
        <v>961</v>
      </c>
      <c r="B103" s="171" t="s">
        <v>962</v>
      </c>
      <c r="C103" s="172">
        <f t="shared" si="32"/>
        <v>0</v>
      </c>
      <c r="D103" s="173">
        <f t="shared" si="28"/>
        <v>0</v>
      </c>
      <c r="E103" s="172">
        <f t="shared" si="56"/>
        <v>0</v>
      </c>
      <c r="F103" s="173">
        <f t="shared" si="57"/>
        <v>0</v>
      </c>
      <c r="G103" s="172">
        <f t="shared" si="44"/>
        <v>0</v>
      </c>
      <c r="H103" s="173">
        <f t="shared" si="44"/>
        <v>0</v>
      </c>
      <c r="I103" s="172"/>
      <c r="J103" s="173"/>
      <c r="K103" s="172"/>
      <c r="L103" s="173"/>
      <c r="M103" s="172"/>
      <c r="N103" s="173"/>
      <c r="O103" s="172"/>
      <c r="P103" s="173"/>
      <c r="Q103" s="172"/>
      <c r="R103" s="173"/>
      <c r="S103" s="172"/>
      <c r="T103" s="173"/>
      <c r="U103" s="172"/>
      <c r="V103" s="173"/>
      <c r="W103" s="172"/>
      <c r="X103" s="173"/>
      <c r="Y103" s="172"/>
      <c r="Z103" s="173"/>
      <c r="AA103" s="172"/>
      <c r="AB103" s="173"/>
      <c r="AC103" s="172"/>
      <c r="AD103" s="173"/>
      <c r="AE103" s="172"/>
      <c r="AF103" s="173"/>
      <c r="AG103" s="172"/>
      <c r="AH103" s="173"/>
      <c r="AI103" s="172"/>
      <c r="AJ103" s="173"/>
      <c r="AK103" s="172"/>
      <c r="AL103" s="173"/>
      <c r="AM103" s="172"/>
      <c r="AN103" s="173"/>
      <c r="AO103" s="172"/>
      <c r="AP103" s="173"/>
      <c r="AQ103" s="172"/>
      <c r="AR103" s="173"/>
      <c r="AS103" s="172"/>
      <c r="AT103" s="173"/>
      <c r="AU103" s="172"/>
      <c r="AV103" s="173"/>
      <c r="AW103" s="172"/>
      <c r="AX103" s="173"/>
      <c r="AY103" s="172"/>
      <c r="AZ103" s="173"/>
      <c r="BA103" s="172"/>
      <c r="BB103" s="173"/>
      <c r="BC103" s="172"/>
      <c r="BD103" s="173"/>
      <c r="BE103" s="172"/>
      <c r="BF103" s="173"/>
      <c r="BG103" s="172"/>
      <c r="BH103" s="173"/>
      <c r="BI103" s="172"/>
      <c r="BJ103" s="173"/>
      <c r="BK103" s="172"/>
      <c r="BL103" s="173"/>
      <c r="BM103" s="172"/>
      <c r="BN103" s="173"/>
      <c r="BO103" s="172"/>
      <c r="BP103" s="173"/>
      <c r="BQ103" s="172"/>
      <c r="BR103" s="173"/>
      <c r="BS103" s="172"/>
      <c r="BT103" s="173"/>
      <c r="BU103" s="172"/>
      <c r="BV103" s="173"/>
      <c r="BW103" s="172"/>
      <c r="BX103" s="173"/>
      <c r="BY103" s="172"/>
      <c r="BZ103" s="173"/>
      <c r="CA103" s="172"/>
      <c r="CB103" s="173"/>
      <c r="CC103" s="172"/>
      <c r="CD103" s="173"/>
      <c r="CE103" s="172"/>
      <c r="CF103" s="173"/>
      <c r="CG103" s="172"/>
      <c r="CH103" s="173"/>
      <c r="CI103" s="172"/>
      <c r="CJ103" s="173"/>
      <c r="CK103" s="172"/>
      <c r="CL103" s="173"/>
      <c r="CM103" s="172"/>
      <c r="CN103" s="173"/>
      <c r="CO103" s="172"/>
      <c r="CP103" s="173"/>
      <c r="CQ103" s="172"/>
      <c r="CR103" s="173"/>
      <c r="CS103" s="172"/>
      <c r="CT103" s="173"/>
      <c r="CU103" s="172"/>
      <c r="CV103" s="173"/>
      <c r="CW103" s="172"/>
      <c r="CX103" s="173"/>
      <c r="CY103" s="172"/>
      <c r="CZ103" s="173"/>
      <c r="DA103" s="172"/>
      <c r="DB103" s="173"/>
      <c r="DC103" s="172"/>
      <c r="DD103" s="173"/>
      <c r="DE103" s="172"/>
      <c r="DF103" s="173"/>
      <c r="DG103" s="172"/>
      <c r="DH103" s="173"/>
      <c r="DI103" s="172"/>
      <c r="DJ103" s="173"/>
      <c r="DK103" s="172"/>
      <c r="DL103" s="173"/>
      <c r="DM103" s="172"/>
      <c r="DN103" s="173"/>
      <c r="DO103" s="172"/>
      <c r="DP103" s="173"/>
      <c r="DQ103" s="172"/>
      <c r="DR103" s="173"/>
      <c r="DS103" s="172"/>
      <c r="DT103" s="173"/>
      <c r="DU103" s="172"/>
      <c r="DV103" s="173"/>
    </row>
    <row r="104" spans="1:126" x14ac:dyDescent="0.25">
      <c r="A104" s="171" t="s">
        <v>963</v>
      </c>
      <c r="B104" s="171" t="s">
        <v>964</v>
      </c>
      <c r="C104" s="172">
        <f t="shared" si="32"/>
        <v>0</v>
      </c>
      <c r="D104" s="173">
        <f t="shared" si="28"/>
        <v>0</v>
      </c>
      <c r="E104" s="172">
        <f t="shared" si="56"/>
        <v>0</v>
      </c>
      <c r="F104" s="173">
        <f t="shared" si="57"/>
        <v>0</v>
      </c>
      <c r="G104" s="172">
        <f t="shared" si="44"/>
        <v>0</v>
      </c>
      <c r="H104" s="173">
        <f t="shared" si="44"/>
        <v>0</v>
      </c>
      <c r="I104" s="172"/>
      <c r="J104" s="173"/>
      <c r="K104" s="172"/>
      <c r="L104" s="173"/>
      <c r="M104" s="172"/>
      <c r="N104" s="173"/>
      <c r="O104" s="172"/>
      <c r="P104" s="173"/>
      <c r="Q104" s="172"/>
      <c r="R104" s="173"/>
      <c r="S104" s="172"/>
      <c r="T104" s="173"/>
      <c r="U104" s="172"/>
      <c r="V104" s="173"/>
      <c r="W104" s="172"/>
      <c r="X104" s="173"/>
      <c r="Y104" s="172"/>
      <c r="Z104" s="173"/>
      <c r="AA104" s="172"/>
      <c r="AB104" s="173"/>
      <c r="AC104" s="172"/>
      <c r="AD104" s="173"/>
      <c r="AE104" s="172"/>
      <c r="AF104" s="173"/>
      <c r="AG104" s="172"/>
      <c r="AH104" s="173"/>
      <c r="AI104" s="172"/>
      <c r="AJ104" s="173"/>
      <c r="AK104" s="172"/>
      <c r="AL104" s="173"/>
      <c r="AM104" s="172"/>
      <c r="AN104" s="173"/>
      <c r="AO104" s="172"/>
      <c r="AP104" s="173"/>
      <c r="AQ104" s="172"/>
      <c r="AR104" s="173"/>
      <c r="AS104" s="172"/>
      <c r="AT104" s="173"/>
      <c r="AU104" s="172"/>
      <c r="AV104" s="173"/>
      <c r="AW104" s="172"/>
      <c r="AX104" s="173"/>
      <c r="AY104" s="172"/>
      <c r="AZ104" s="173"/>
      <c r="BA104" s="172"/>
      <c r="BB104" s="173"/>
      <c r="BC104" s="172"/>
      <c r="BD104" s="173"/>
      <c r="BE104" s="172"/>
      <c r="BF104" s="173"/>
      <c r="BG104" s="172"/>
      <c r="BH104" s="173"/>
      <c r="BI104" s="172"/>
      <c r="BJ104" s="173"/>
      <c r="BK104" s="172"/>
      <c r="BL104" s="173"/>
      <c r="BM104" s="172"/>
      <c r="BN104" s="173"/>
      <c r="BO104" s="172"/>
      <c r="BP104" s="173"/>
      <c r="BQ104" s="172"/>
      <c r="BR104" s="173"/>
      <c r="BS104" s="172"/>
      <c r="BT104" s="173"/>
      <c r="BU104" s="172"/>
      <c r="BV104" s="173"/>
      <c r="BW104" s="172"/>
      <c r="BX104" s="173"/>
      <c r="BY104" s="172"/>
      <c r="BZ104" s="173"/>
      <c r="CA104" s="172"/>
      <c r="CB104" s="173"/>
      <c r="CC104" s="172"/>
      <c r="CD104" s="173"/>
      <c r="CE104" s="172"/>
      <c r="CF104" s="173"/>
      <c r="CG104" s="172"/>
      <c r="CH104" s="173"/>
      <c r="CI104" s="172"/>
      <c r="CJ104" s="173"/>
      <c r="CK104" s="172"/>
      <c r="CL104" s="173"/>
      <c r="CM104" s="172"/>
      <c r="CN104" s="173"/>
      <c r="CO104" s="172"/>
      <c r="CP104" s="173"/>
      <c r="CQ104" s="172"/>
      <c r="CR104" s="173"/>
      <c r="CS104" s="172"/>
      <c r="CT104" s="173"/>
      <c r="CU104" s="172"/>
      <c r="CV104" s="173"/>
      <c r="CW104" s="172"/>
      <c r="CX104" s="173"/>
      <c r="CY104" s="172"/>
      <c r="CZ104" s="173"/>
      <c r="DA104" s="172"/>
      <c r="DB104" s="173"/>
      <c r="DC104" s="172"/>
      <c r="DD104" s="173"/>
      <c r="DE104" s="172"/>
      <c r="DF104" s="173"/>
      <c r="DG104" s="172"/>
      <c r="DH104" s="173"/>
      <c r="DI104" s="172"/>
      <c r="DJ104" s="173"/>
      <c r="DK104" s="172"/>
      <c r="DL104" s="173"/>
      <c r="DM104" s="172"/>
      <c r="DN104" s="173"/>
      <c r="DO104" s="172"/>
      <c r="DP104" s="173"/>
      <c r="DQ104" s="172"/>
      <c r="DR104" s="173"/>
      <c r="DS104" s="172"/>
      <c r="DT104" s="173"/>
      <c r="DU104" s="172"/>
      <c r="DV104" s="173"/>
    </row>
    <row r="105" spans="1:126" x14ac:dyDescent="0.25">
      <c r="A105" s="171" t="s">
        <v>965</v>
      </c>
      <c r="B105" s="171" t="s">
        <v>966</v>
      </c>
      <c r="C105" s="172">
        <f t="shared" si="32"/>
        <v>0</v>
      </c>
      <c r="D105" s="173">
        <f t="shared" si="28"/>
        <v>0</v>
      </c>
      <c r="E105" s="172">
        <f t="shared" si="56"/>
        <v>0</v>
      </c>
      <c r="F105" s="173">
        <f t="shared" si="57"/>
        <v>0</v>
      </c>
      <c r="G105" s="172">
        <f t="shared" si="44"/>
        <v>0</v>
      </c>
      <c r="H105" s="173">
        <f t="shared" si="44"/>
        <v>0</v>
      </c>
      <c r="I105" s="172"/>
      <c r="J105" s="173"/>
      <c r="K105" s="172"/>
      <c r="L105" s="173"/>
      <c r="M105" s="172"/>
      <c r="N105" s="173"/>
      <c r="O105" s="172"/>
      <c r="P105" s="173"/>
      <c r="Q105" s="172"/>
      <c r="R105" s="173"/>
      <c r="S105" s="172"/>
      <c r="T105" s="173"/>
      <c r="U105" s="172"/>
      <c r="V105" s="173"/>
      <c r="W105" s="172"/>
      <c r="X105" s="173"/>
      <c r="Y105" s="172"/>
      <c r="Z105" s="173"/>
      <c r="AA105" s="172"/>
      <c r="AB105" s="173"/>
      <c r="AC105" s="172"/>
      <c r="AD105" s="173"/>
      <c r="AE105" s="172"/>
      <c r="AF105" s="173"/>
      <c r="AG105" s="172"/>
      <c r="AH105" s="173"/>
      <c r="AI105" s="172"/>
      <c r="AJ105" s="173"/>
      <c r="AK105" s="172"/>
      <c r="AL105" s="173"/>
      <c r="AM105" s="172"/>
      <c r="AN105" s="173"/>
      <c r="AO105" s="172"/>
      <c r="AP105" s="173"/>
      <c r="AQ105" s="172"/>
      <c r="AR105" s="173"/>
      <c r="AS105" s="172"/>
      <c r="AT105" s="173"/>
      <c r="AU105" s="172"/>
      <c r="AV105" s="173"/>
      <c r="AW105" s="172"/>
      <c r="AX105" s="173"/>
      <c r="AY105" s="172"/>
      <c r="AZ105" s="173"/>
      <c r="BA105" s="172"/>
      <c r="BB105" s="173"/>
      <c r="BC105" s="172"/>
      <c r="BD105" s="173"/>
      <c r="BE105" s="172"/>
      <c r="BF105" s="173"/>
      <c r="BG105" s="172"/>
      <c r="BH105" s="173"/>
      <c r="BI105" s="172"/>
      <c r="BJ105" s="173"/>
      <c r="BK105" s="172"/>
      <c r="BL105" s="173"/>
      <c r="BM105" s="172"/>
      <c r="BN105" s="173"/>
      <c r="BO105" s="172"/>
      <c r="BP105" s="173"/>
      <c r="BQ105" s="172"/>
      <c r="BR105" s="173"/>
      <c r="BS105" s="172"/>
      <c r="BT105" s="173"/>
      <c r="BU105" s="172"/>
      <c r="BV105" s="173"/>
      <c r="BW105" s="172"/>
      <c r="BX105" s="173"/>
      <c r="BY105" s="172"/>
      <c r="BZ105" s="173"/>
      <c r="CA105" s="172"/>
      <c r="CB105" s="173"/>
      <c r="CC105" s="172"/>
      <c r="CD105" s="173"/>
      <c r="CE105" s="172"/>
      <c r="CF105" s="173"/>
      <c r="CG105" s="172"/>
      <c r="CH105" s="173"/>
      <c r="CI105" s="172"/>
      <c r="CJ105" s="173"/>
      <c r="CK105" s="172"/>
      <c r="CL105" s="173"/>
      <c r="CM105" s="172"/>
      <c r="CN105" s="173"/>
      <c r="CO105" s="172"/>
      <c r="CP105" s="173"/>
      <c r="CQ105" s="172"/>
      <c r="CR105" s="173"/>
      <c r="CS105" s="172"/>
      <c r="CT105" s="173"/>
      <c r="CU105" s="172"/>
      <c r="CV105" s="173"/>
      <c r="CW105" s="172"/>
      <c r="CX105" s="173"/>
      <c r="CY105" s="172"/>
      <c r="CZ105" s="173"/>
      <c r="DA105" s="172"/>
      <c r="DB105" s="173"/>
      <c r="DC105" s="172"/>
      <c r="DD105" s="173"/>
      <c r="DE105" s="172"/>
      <c r="DF105" s="173"/>
      <c r="DG105" s="172"/>
      <c r="DH105" s="173"/>
      <c r="DI105" s="172"/>
      <c r="DJ105" s="173"/>
      <c r="DK105" s="172"/>
      <c r="DL105" s="173"/>
      <c r="DM105" s="172"/>
      <c r="DN105" s="173"/>
      <c r="DO105" s="172"/>
      <c r="DP105" s="173"/>
      <c r="DQ105" s="172"/>
      <c r="DR105" s="173"/>
      <c r="DS105" s="172"/>
      <c r="DT105" s="173"/>
      <c r="DU105" s="172"/>
      <c r="DV105" s="173"/>
    </row>
    <row r="106" spans="1:126" ht="13" x14ac:dyDescent="0.3">
      <c r="A106" s="174" t="s">
        <v>967</v>
      </c>
      <c r="B106" s="174" t="s">
        <v>968</v>
      </c>
      <c r="C106" s="175" t="e">
        <f t="shared" ref="C106:I106" si="58">SUM(C89:C105)</f>
        <v>#REF!</v>
      </c>
      <c r="D106" s="176" t="e">
        <f t="shared" si="58"/>
        <v>#REF!</v>
      </c>
      <c r="E106" s="175">
        <f t="shared" si="58"/>
        <v>0</v>
      </c>
      <c r="F106" s="176">
        <f t="shared" si="58"/>
        <v>0</v>
      </c>
      <c r="G106" s="175">
        <f t="shared" si="58"/>
        <v>0</v>
      </c>
      <c r="H106" s="176">
        <f t="shared" si="58"/>
        <v>0</v>
      </c>
      <c r="I106" s="175">
        <f t="shared" si="58"/>
        <v>2912651</v>
      </c>
      <c r="J106" s="176" t="e">
        <f t="shared" ref="J106:AO106" si="59">SUM(J89:J105)</f>
        <v>#REF!</v>
      </c>
      <c r="K106" s="175">
        <f t="shared" si="59"/>
        <v>0</v>
      </c>
      <c r="L106" s="176">
        <f t="shared" si="59"/>
        <v>0</v>
      </c>
      <c r="M106" s="175">
        <f t="shared" si="59"/>
        <v>0</v>
      </c>
      <c r="N106" s="176">
        <f t="shared" si="59"/>
        <v>0</v>
      </c>
      <c r="O106" s="175">
        <f t="shared" si="59"/>
        <v>0</v>
      </c>
      <c r="P106" s="176">
        <f t="shared" si="59"/>
        <v>0</v>
      </c>
      <c r="Q106" s="175">
        <f t="shared" si="59"/>
        <v>0</v>
      </c>
      <c r="R106" s="176">
        <f t="shared" si="59"/>
        <v>0</v>
      </c>
      <c r="S106" s="175">
        <f t="shared" si="59"/>
        <v>0</v>
      </c>
      <c r="T106" s="176">
        <f>SUM(T89:T105)</f>
        <v>0</v>
      </c>
      <c r="U106" s="175">
        <f t="shared" si="59"/>
        <v>0</v>
      </c>
      <c r="V106" s="176">
        <f>SUM(V89:V105)</f>
        <v>0</v>
      </c>
      <c r="W106" s="175">
        <f t="shared" si="59"/>
        <v>0</v>
      </c>
      <c r="X106" s="176">
        <f t="shared" si="59"/>
        <v>0</v>
      </c>
      <c r="Y106" s="175">
        <f t="shared" si="59"/>
        <v>0</v>
      </c>
      <c r="Z106" s="176">
        <f>SUM(Z89:Z105)</f>
        <v>0</v>
      </c>
      <c r="AA106" s="175">
        <f t="shared" si="59"/>
        <v>0</v>
      </c>
      <c r="AB106" s="176">
        <f>SUM(AB89:AB105)</f>
        <v>0</v>
      </c>
      <c r="AC106" s="175">
        <f t="shared" si="59"/>
        <v>0</v>
      </c>
      <c r="AD106" s="176">
        <f>SUM(AD89:AD105)</f>
        <v>0</v>
      </c>
      <c r="AE106" s="175">
        <f t="shared" si="59"/>
        <v>0</v>
      </c>
      <c r="AF106" s="176">
        <f>SUM(AF89:AF105)</f>
        <v>0</v>
      </c>
      <c r="AG106" s="175"/>
      <c r="AH106" s="176">
        <f>SUM(AH89:AH105)</f>
        <v>0</v>
      </c>
      <c r="AI106" s="175">
        <f>SUM(AI89:AI105)</f>
        <v>0</v>
      </c>
      <c r="AJ106" s="176">
        <f>SUM(AJ89:AJ105)</f>
        <v>0</v>
      </c>
      <c r="AK106" s="175">
        <f t="shared" si="59"/>
        <v>0</v>
      </c>
      <c r="AL106" s="176">
        <f>SUM(AL89:AL105)</f>
        <v>0</v>
      </c>
      <c r="AM106" s="175">
        <f t="shared" si="59"/>
        <v>0</v>
      </c>
      <c r="AN106" s="176"/>
      <c r="AO106" s="175">
        <f t="shared" si="59"/>
        <v>0</v>
      </c>
      <c r="AP106" s="176">
        <f>SUM(AP89:AP105)</f>
        <v>0</v>
      </c>
      <c r="AQ106" s="175">
        <f t="shared" ref="AQ106:DS106" si="60">SUM(AQ89:AQ105)</f>
        <v>0</v>
      </c>
      <c r="AR106" s="176">
        <f>SUM(AR89:AR105)</f>
        <v>0</v>
      </c>
      <c r="AS106" s="175">
        <f t="shared" si="60"/>
        <v>0</v>
      </c>
      <c r="AT106" s="176">
        <f>SUM(AT89:AT105)</f>
        <v>0</v>
      </c>
      <c r="AU106" s="175">
        <f t="shared" si="60"/>
        <v>0</v>
      </c>
      <c r="AV106" s="176">
        <f>SUM(AV89:AV105)</f>
        <v>0</v>
      </c>
      <c r="AW106" s="175">
        <f t="shared" si="60"/>
        <v>0</v>
      </c>
      <c r="AX106" s="176">
        <f>SUM(AX89:AX105)</f>
        <v>0</v>
      </c>
      <c r="AY106" s="175">
        <f t="shared" si="60"/>
        <v>0</v>
      </c>
      <c r="AZ106" s="176">
        <f>SUM(AZ89:AZ105)</f>
        <v>0</v>
      </c>
      <c r="BA106" s="175">
        <f t="shared" si="60"/>
        <v>0</v>
      </c>
      <c r="BB106" s="176">
        <f>SUM(BB89:BB105)</f>
        <v>0</v>
      </c>
      <c r="BC106" s="175">
        <f t="shared" si="60"/>
        <v>0</v>
      </c>
      <c r="BD106" s="176">
        <f>SUM(BD89:BD105)</f>
        <v>0</v>
      </c>
      <c r="BE106" s="175">
        <f t="shared" si="60"/>
        <v>0</v>
      </c>
      <c r="BF106" s="176">
        <f>SUM(BF89:BF105)</f>
        <v>0</v>
      </c>
      <c r="BG106" s="175">
        <f t="shared" si="60"/>
        <v>0</v>
      </c>
      <c r="BH106" s="176">
        <f>SUM(BH89:BH105)</f>
        <v>0</v>
      </c>
      <c r="BI106" s="175">
        <f t="shared" si="60"/>
        <v>0</v>
      </c>
      <c r="BJ106" s="176">
        <f>SUM(BJ89:BJ105)</f>
        <v>0</v>
      </c>
      <c r="BK106" s="175">
        <f t="shared" si="60"/>
        <v>0</v>
      </c>
      <c r="BL106" s="176">
        <f>SUM(BL89:BL105)</f>
        <v>0</v>
      </c>
      <c r="BM106" s="175">
        <f t="shared" si="60"/>
        <v>0</v>
      </c>
      <c r="BN106" s="176">
        <f>SUM(BN89:BN105)</f>
        <v>0</v>
      </c>
      <c r="BO106" s="175">
        <f t="shared" si="60"/>
        <v>0</v>
      </c>
      <c r="BP106" s="176">
        <f>SUM(BP89:BP105)</f>
        <v>0</v>
      </c>
      <c r="BQ106" s="175">
        <f t="shared" si="60"/>
        <v>0</v>
      </c>
      <c r="BR106" s="176">
        <f>SUM(BR89:BR105)</f>
        <v>0</v>
      </c>
      <c r="BS106" s="175">
        <f t="shared" si="60"/>
        <v>0</v>
      </c>
      <c r="BT106" s="176">
        <f>SUM(BT89:BT105)</f>
        <v>0</v>
      </c>
      <c r="BU106" s="175">
        <f t="shared" si="60"/>
        <v>0</v>
      </c>
      <c r="BV106" s="176">
        <f>SUM(BV89:BV105)</f>
        <v>0</v>
      </c>
      <c r="BW106" s="175">
        <f t="shared" si="60"/>
        <v>0</v>
      </c>
      <c r="BX106" s="176">
        <f>SUM(BX89:BX105)</f>
        <v>0</v>
      </c>
      <c r="BY106" s="175">
        <f t="shared" si="60"/>
        <v>0</v>
      </c>
      <c r="BZ106" s="176">
        <f>SUM(BZ89:BZ105)</f>
        <v>0</v>
      </c>
      <c r="CA106" s="175">
        <f t="shared" si="60"/>
        <v>0</v>
      </c>
      <c r="CB106" s="176">
        <f>SUM(CB89:CB105)</f>
        <v>0</v>
      </c>
      <c r="CC106" s="175">
        <f t="shared" si="60"/>
        <v>0</v>
      </c>
      <c r="CD106" s="176">
        <f>SUM(CD89:CD105)</f>
        <v>0</v>
      </c>
      <c r="CE106" s="175">
        <f>SUM(CE89:CE105)</f>
        <v>0</v>
      </c>
      <c r="CF106" s="176">
        <f>SUM(CF89:CF105)</f>
        <v>0</v>
      </c>
      <c r="CG106" s="175">
        <f t="shared" si="60"/>
        <v>0</v>
      </c>
      <c r="CH106" s="176">
        <f>SUM(CH89:CH105)</f>
        <v>0</v>
      </c>
      <c r="CI106" s="175">
        <f t="shared" si="60"/>
        <v>0</v>
      </c>
      <c r="CJ106" s="176">
        <f>SUM(CJ89:CJ105)</f>
        <v>0</v>
      </c>
      <c r="CK106" s="175">
        <f t="shared" si="60"/>
        <v>0</v>
      </c>
      <c r="CL106" s="176">
        <f>SUM(CL89:CL105)</f>
        <v>0</v>
      </c>
      <c r="CM106" s="175">
        <f t="shared" si="60"/>
        <v>0</v>
      </c>
      <c r="CN106" s="176">
        <f>SUM(CN89:CN105)</f>
        <v>0</v>
      </c>
      <c r="CO106" s="175">
        <f t="shared" si="60"/>
        <v>0</v>
      </c>
      <c r="CP106" s="176">
        <f>SUM(CP89:CP105)</f>
        <v>0</v>
      </c>
      <c r="CQ106" s="175">
        <f t="shared" si="60"/>
        <v>0</v>
      </c>
      <c r="CR106" s="176">
        <f>SUM(CR89:CR105)</f>
        <v>0</v>
      </c>
      <c r="CS106" s="175">
        <f t="shared" si="60"/>
        <v>0</v>
      </c>
      <c r="CT106" s="176">
        <f>SUM(CT89:CT105)</f>
        <v>0</v>
      </c>
      <c r="CU106" s="175">
        <f t="shared" si="60"/>
        <v>0</v>
      </c>
      <c r="CV106" s="176">
        <f>SUM(CV89:CV105)</f>
        <v>0</v>
      </c>
      <c r="CW106" s="175">
        <f t="shared" si="60"/>
        <v>0</v>
      </c>
      <c r="CX106" s="176">
        <f>SUM(CX89:CX105)</f>
        <v>0</v>
      </c>
      <c r="CY106" s="175">
        <f t="shared" si="60"/>
        <v>0</v>
      </c>
      <c r="CZ106" s="176"/>
      <c r="DA106" s="175">
        <f t="shared" si="60"/>
        <v>0</v>
      </c>
      <c r="DB106" s="176"/>
      <c r="DC106" s="175">
        <f t="shared" si="60"/>
        <v>0</v>
      </c>
      <c r="DD106" s="176">
        <f>SUM(DD89:DD105)</f>
        <v>0</v>
      </c>
      <c r="DE106" s="175">
        <f t="shared" si="60"/>
        <v>0</v>
      </c>
      <c r="DF106" s="176">
        <f>SUM(DF89:DF105)</f>
        <v>0</v>
      </c>
      <c r="DG106" s="175">
        <f t="shared" si="60"/>
        <v>0</v>
      </c>
      <c r="DH106" s="176">
        <f>SUM(DH89:DH105)</f>
        <v>0</v>
      </c>
      <c r="DI106" s="175">
        <f t="shared" si="60"/>
        <v>0</v>
      </c>
      <c r="DJ106" s="176">
        <f>SUM(DJ89:DJ105)</f>
        <v>0</v>
      </c>
      <c r="DK106" s="175">
        <f t="shared" si="60"/>
        <v>0</v>
      </c>
      <c r="DL106" s="176">
        <f>SUM(DL89:DL105)</f>
        <v>0</v>
      </c>
      <c r="DM106" s="175">
        <f t="shared" si="60"/>
        <v>0</v>
      </c>
      <c r="DN106" s="176">
        <f>SUM(DN89:DN105)</f>
        <v>0</v>
      </c>
      <c r="DO106" s="175">
        <f t="shared" si="60"/>
        <v>0</v>
      </c>
      <c r="DP106" s="176">
        <f>SUM(DP89:DP105)</f>
        <v>0</v>
      </c>
      <c r="DQ106" s="175">
        <f t="shared" si="60"/>
        <v>0</v>
      </c>
      <c r="DR106" s="176"/>
      <c r="DS106" s="175">
        <f t="shared" si="60"/>
        <v>0</v>
      </c>
      <c r="DT106" s="176">
        <f>SUM(DT89:DT105)</f>
        <v>0</v>
      </c>
      <c r="DU106" s="175"/>
      <c r="DV106" s="176"/>
    </row>
    <row r="107" spans="1:126" ht="13" x14ac:dyDescent="0.3">
      <c r="A107" s="1155" t="s">
        <v>969</v>
      </c>
      <c r="B107" s="1155"/>
      <c r="C107" s="182" t="e">
        <f t="shared" ref="C107:BO107" si="61">C44+C53+C66+C74+C79+C88+C106+C18+C19</f>
        <v>#REF!</v>
      </c>
      <c r="D107" s="183" t="e">
        <f t="shared" si="61"/>
        <v>#REF!</v>
      </c>
      <c r="E107" s="182">
        <f t="shared" si="61"/>
        <v>823805</v>
      </c>
      <c r="F107" s="183" t="e">
        <f t="shared" si="61"/>
        <v>#REF!</v>
      </c>
      <c r="G107" s="182">
        <f t="shared" si="61"/>
        <v>782823</v>
      </c>
      <c r="H107" s="183" t="e">
        <f>H44+H53+H66+H74+H79+H88+H106+H18+H19</f>
        <v>#REF!</v>
      </c>
      <c r="I107" s="182">
        <f t="shared" si="61"/>
        <v>2912651</v>
      </c>
      <c r="J107" s="183" t="e">
        <f t="shared" si="61"/>
        <v>#REF!</v>
      </c>
      <c r="K107" s="182">
        <f t="shared" si="61"/>
        <v>20986</v>
      </c>
      <c r="L107" s="183">
        <f t="shared" si="61"/>
        <v>21800</v>
      </c>
      <c r="M107" s="182">
        <f t="shared" si="61"/>
        <v>2540</v>
      </c>
      <c r="N107" s="183">
        <f t="shared" si="61"/>
        <v>4040</v>
      </c>
      <c r="O107" s="182">
        <f>O44+O53+O66+O74+O79+O88+O106+O18+O19</f>
        <v>19942</v>
      </c>
      <c r="P107" s="183">
        <f>P44+P53+P66+P74+P79+P88+P106+P18+P19</f>
        <v>18518</v>
      </c>
      <c r="Q107" s="182">
        <f t="shared" si="61"/>
        <v>29069</v>
      </c>
      <c r="R107" s="183">
        <f t="shared" si="61"/>
        <v>31943</v>
      </c>
      <c r="S107" s="182">
        <f t="shared" si="61"/>
        <v>0</v>
      </c>
      <c r="T107" s="183">
        <f>T44+T53+T66+T74+T79+T88+T106+T18+T19</f>
        <v>1000</v>
      </c>
      <c r="U107" s="182">
        <f t="shared" si="61"/>
        <v>0</v>
      </c>
      <c r="V107" s="183">
        <f>V44+V53+V66+V74+V79+V88+V106+V18+V19</f>
        <v>100</v>
      </c>
      <c r="W107" s="182">
        <f t="shared" si="61"/>
        <v>2413</v>
      </c>
      <c r="X107" s="183">
        <f t="shared" si="61"/>
        <v>2713</v>
      </c>
      <c r="Y107" s="182">
        <f t="shared" si="61"/>
        <v>1000</v>
      </c>
      <c r="Z107" s="183">
        <f>Z44+Z53+Z66+Z74+Z79+Z88+Z106+Z18+Z19</f>
        <v>6526</v>
      </c>
      <c r="AA107" s="182">
        <f t="shared" si="61"/>
        <v>5115</v>
      </c>
      <c r="AB107" s="183">
        <f>AB44+AB53+AB66+AB74+AB79+AB88+AB106+AB18+AB19</f>
        <v>4988</v>
      </c>
      <c r="AC107" s="182">
        <f t="shared" si="61"/>
        <v>400</v>
      </c>
      <c r="AD107" s="183">
        <f>AD44+AD53+AD66+AD74+AD79+AD88+AD106+AD18+AD19</f>
        <v>400</v>
      </c>
      <c r="AE107" s="182">
        <f t="shared" si="61"/>
        <v>718340</v>
      </c>
      <c r="AF107" s="183" t="e">
        <f>AF44+AF53+AF66+AF74+AF79+AF88+AF106+AF18+AF19</f>
        <v>#REF!</v>
      </c>
      <c r="AG107" s="182"/>
      <c r="AH107" s="183" t="e">
        <f>AH44+AH53+AH66+AH74+AH79+AH88+AH106+AH18+AH19</f>
        <v>#REF!</v>
      </c>
      <c r="AI107" s="182">
        <f t="shared" si="61"/>
        <v>24000</v>
      </c>
      <c r="AJ107" s="183">
        <f>AJ44+AJ53+AJ66+AJ74+AJ79+AJ88+AJ106+AJ18+AJ19</f>
        <v>21160</v>
      </c>
      <c r="AK107" s="182">
        <f t="shared" si="61"/>
        <v>3744</v>
      </c>
      <c r="AL107" s="183">
        <f>AL44+AL53+AL66+AL74+AL79+AL88+AL106+AL18+AL19</f>
        <v>3744</v>
      </c>
      <c r="AM107" s="182">
        <f t="shared" si="61"/>
        <v>0</v>
      </c>
      <c r="AN107" s="183"/>
      <c r="AO107" s="182">
        <f t="shared" si="61"/>
        <v>4000</v>
      </c>
      <c r="AP107" s="183">
        <f>AP44+AP53+AP66+AP74+AP79+AP88+AP106+AP18+AP19</f>
        <v>8061</v>
      </c>
      <c r="AQ107" s="182">
        <f t="shared" si="61"/>
        <v>1500</v>
      </c>
      <c r="AR107" s="183">
        <f>AR44+AR53+AR66+AR74+AR79+AR88+AR106+AR18+AR19</f>
        <v>3500</v>
      </c>
      <c r="AS107" s="182">
        <f t="shared" si="61"/>
        <v>1000</v>
      </c>
      <c r="AT107" s="183">
        <f>AT44+AT53+AT66+AT74+AT79+AT88+AT106+AT18+AT19</f>
        <v>5200</v>
      </c>
      <c r="AU107" s="182">
        <f t="shared" si="61"/>
        <v>0</v>
      </c>
      <c r="AV107" s="183">
        <f>AV44+AV53+AV66+AV74+AV79+AV88+AV106+AV18+AV19</f>
        <v>0</v>
      </c>
      <c r="AW107" s="182">
        <f t="shared" si="61"/>
        <v>2811</v>
      </c>
      <c r="AX107" s="183">
        <f>AX44+AX53+AX66+AX74+AX79+AX88+AX106+AX18+AX19</f>
        <v>2811</v>
      </c>
      <c r="AY107" s="182">
        <f t="shared" si="61"/>
        <v>1595</v>
      </c>
      <c r="AZ107" s="183">
        <f>AZ44+AZ53+AZ66+AZ74+AZ79+AZ88+AZ106+AZ18+AZ19</f>
        <v>1595</v>
      </c>
      <c r="BA107" s="182">
        <f t="shared" si="61"/>
        <v>6000</v>
      </c>
      <c r="BB107" s="183">
        <f>BB44+BB53+BB66+BB74+BB79+BB88+BB106+BB18+BB19</f>
        <v>7620</v>
      </c>
      <c r="BC107" s="182">
        <f t="shared" si="61"/>
        <v>875</v>
      </c>
      <c r="BD107" s="183">
        <f>BD44+BD53+BD66+BD74+BD79+BD88+BD106+BD18+BD19</f>
        <v>1750</v>
      </c>
      <c r="BE107" s="182">
        <f t="shared" si="61"/>
        <v>914</v>
      </c>
      <c r="BF107" s="183">
        <f>BF44+BF53+BF66+BF74+BF79+BF88+BF106+BF18+BF19</f>
        <v>1829</v>
      </c>
      <c r="BG107" s="182">
        <f t="shared" si="61"/>
        <v>2400</v>
      </c>
      <c r="BH107" s="183">
        <f>BH44+BH53+BH66+BH74+BH79+BH88+BH106+BH18+BH19</f>
        <v>2400</v>
      </c>
      <c r="BI107" s="182">
        <f t="shared" si="61"/>
        <v>2421</v>
      </c>
      <c r="BJ107" s="183">
        <f>BJ44+BJ53+BJ66+BJ74+BJ79+BJ88+BJ106+BJ18+BJ19</f>
        <v>2421</v>
      </c>
      <c r="BK107" s="182">
        <f t="shared" si="61"/>
        <v>2136</v>
      </c>
      <c r="BL107" s="183">
        <f>BL44+BL53+BL66+BL74+BL79+BL88+BL106+BL18+BL19</f>
        <v>0</v>
      </c>
      <c r="BM107" s="182">
        <f t="shared" si="61"/>
        <v>1200</v>
      </c>
      <c r="BN107" s="183">
        <f>BN44+BN53+BN66+BN74+BN79+BN88+BN106+BN18+BN19</f>
        <v>1500</v>
      </c>
      <c r="BO107" s="182">
        <f t="shared" si="61"/>
        <v>15000</v>
      </c>
      <c r="BP107" s="183">
        <f>BP44+BP53+BP66+BP74+BP79+BP88+BP106+BP18+BP19</f>
        <v>18847</v>
      </c>
      <c r="BQ107" s="182">
        <f t="shared" ref="BQ107:DU107" si="62">BQ44+BQ53+BQ66+BQ74+BQ79+BQ88+BQ106+BQ18+BQ19</f>
        <v>11818</v>
      </c>
      <c r="BR107" s="183">
        <f>BR44+BR53+BR66+BR74+BR79+BR88+BR106+BR18+BR19</f>
        <v>8163</v>
      </c>
      <c r="BS107" s="182">
        <f t="shared" si="62"/>
        <v>2000</v>
      </c>
      <c r="BT107" s="183">
        <f>BT44+BT53+BT66+BT74+BT79+BT88+BT106+BT18+BT19</f>
        <v>2623</v>
      </c>
      <c r="BU107" s="182">
        <f t="shared" si="62"/>
        <v>19120</v>
      </c>
      <c r="BV107" s="183">
        <f>BV44+BV53+BV66+BV74+BV79+BV88+BV106+BV18+BV19</f>
        <v>19120</v>
      </c>
      <c r="BW107" s="182">
        <f t="shared" si="62"/>
        <v>2000</v>
      </c>
      <c r="BX107" s="183">
        <f>BX44+BX53+BX66+BX74+BX79+BX88+BX106+BX18+BX19</f>
        <v>2000</v>
      </c>
      <c r="BY107" s="182">
        <f t="shared" si="62"/>
        <v>3766</v>
      </c>
      <c r="BZ107" s="183">
        <f>BZ44+BZ53+BZ66+BZ74+BZ79+BZ88+BZ106+BZ18+BZ19</f>
        <v>1000</v>
      </c>
      <c r="CA107" s="182">
        <f t="shared" si="62"/>
        <v>7560</v>
      </c>
      <c r="CB107" s="183">
        <f>CB44+CB53+CB66+CB74+CB79+CB88+CB106+CB18+CB19</f>
        <v>4440</v>
      </c>
      <c r="CC107" s="182">
        <f t="shared" si="62"/>
        <v>5400</v>
      </c>
      <c r="CD107" s="183">
        <f>CD44+CD53+CD66+CD74+CD79+CD88+CD106+CD18+CD19</f>
        <v>5400</v>
      </c>
      <c r="CE107" s="182">
        <f>CE44+CE53+CE66+CE74+CE79+CE88+CE106+CE18+CE19</f>
        <v>400</v>
      </c>
      <c r="CF107" s="183">
        <f>CF44+CF53+CF66+CF74+CF79+CF88+CF106+CF18+CF19</f>
        <v>400</v>
      </c>
      <c r="CG107" s="182">
        <f t="shared" si="62"/>
        <v>0</v>
      </c>
      <c r="CH107" s="183">
        <f>CH44+CH53+CH66+CH74+CH79+CH88+CH106+CH18+CH19</f>
        <v>0</v>
      </c>
      <c r="CI107" s="182">
        <f t="shared" si="62"/>
        <v>256163</v>
      </c>
      <c r="CJ107" s="183">
        <f>CJ44+CJ53+CJ66+CJ74+CJ79+CJ88+CJ106+CJ18+CJ19</f>
        <v>195415</v>
      </c>
      <c r="CK107" s="182">
        <f t="shared" si="62"/>
        <v>24888</v>
      </c>
      <c r="CL107" s="183">
        <f>CL44+CL53+CL66+CL74+CL79+CL88+CL106+CL18+CL19</f>
        <v>27269</v>
      </c>
      <c r="CM107" s="182">
        <f t="shared" si="62"/>
        <v>3000</v>
      </c>
      <c r="CN107" s="183">
        <f>CN44+CN53+CN66+CN74+CN79+CN88+CN106+CN18+CN19</f>
        <v>1500</v>
      </c>
      <c r="CO107" s="182">
        <f t="shared" si="62"/>
        <v>6500</v>
      </c>
      <c r="CP107" s="183">
        <f>CP44+CP53+CP66+CP74+CP79+CP88+CP106+CP18+CP19</f>
        <v>6500</v>
      </c>
      <c r="CQ107" s="182">
        <f t="shared" si="62"/>
        <v>2572</v>
      </c>
      <c r="CR107" s="183">
        <f>CR44+CR53+CR66+CR74+CR79+CR88+CR106+CR18+CR19</f>
        <v>2572</v>
      </c>
      <c r="CS107" s="182">
        <f t="shared" si="62"/>
        <v>0</v>
      </c>
      <c r="CT107" s="183">
        <f>CT44+CT53+CT66+CT74+CT79+CT88+CT106+CT18+CT19</f>
        <v>15890</v>
      </c>
      <c r="CU107" s="182">
        <f t="shared" si="62"/>
        <v>31500</v>
      </c>
      <c r="CV107" s="183">
        <f>CV44+CV53+CV66+CV74+CV79+CV88+CV106+CV18+CV19</f>
        <v>31500</v>
      </c>
      <c r="CW107" s="182">
        <f t="shared" si="62"/>
        <v>9500</v>
      </c>
      <c r="CX107" s="183">
        <f>CX44+CX53+CX66+CX74+CX79+CX88+CX106+CX18+CX19</f>
        <v>14760</v>
      </c>
      <c r="CY107" s="182">
        <f t="shared" si="62"/>
        <v>0</v>
      </c>
      <c r="CZ107" s="183"/>
      <c r="DA107" s="182">
        <f t="shared" si="62"/>
        <v>0</v>
      </c>
      <c r="DB107" s="183"/>
      <c r="DC107" s="182">
        <f t="shared" si="62"/>
        <v>1710</v>
      </c>
      <c r="DD107" s="183">
        <f>DD44+DD53+DD66+DD74+DD79+DD88+DD106+DD18+DD19</f>
        <v>2470</v>
      </c>
      <c r="DE107" s="182">
        <f t="shared" si="62"/>
        <v>32000</v>
      </c>
      <c r="DF107" s="183">
        <f>DF44+DF53+DF66+DF74+DF79+DF88+DF106+DF18+DF19</f>
        <v>18840</v>
      </c>
      <c r="DG107" s="182">
        <f t="shared" si="62"/>
        <v>6000</v>
      </c>
      <c r="DH107" s="183">
        <f>DH44+DH53+DH66+DH74+DH79+DH88+DH106+DH18+DH19</f>
        <v>40397</v>
      </c>
      <c r="DI107" s="182">
        <f t="shared" si="62"/>
        <v>263547</v>
      </c>
      <c r="DJ107" s="183" t="e">
        <f>DJ44+DJ53+DJ66+DJ74+DJ79+DJ88+DJ106+DJ18+DJ19</f>
        <v>#REF!</v>
      </c>
      <c r="DK107" s="182">
        <f t="shared" si="62"/>
        <v>29040</v>
      </c>
      <c r="DL107" s="183">
        <f>DL44+DL53+DL66+DL74+DL79+DL88+DL106+DL18+DL19</f>
        <v>17000</v>
      </c>
      <c r="DM107" s="182">
        <f t="shared" si="62"/>
        <v>2000</v>
      </c>
      <c r="DN107" s="183">
        <f>DN44+DN53+DN66+DN74+DN79+DN88+DN106+DN18+DN19</f>
        <v>5000</v>
      </c>
      <c r="DO107" s="182">
        <f t="shared" si="62"/>
        <v>1000</v>
      </c>
      <c r="DP107" s="183">
        <f>DP44+DP53+DP66+DP74+DP79+DP88+DP106+DP18+DP19</f>
        <v>1000</v>
      </c>
      <c r="DQ107" s="182">
        <f t="shared" si="62"/>
        <v>0</v>
      </c>
      <c r="DR107" s="183"/>
      <c r="DS107" s="182">
        <f t="shared" si="62"/>
        <v>15543</v>
      </c>
      <c r="DT107" s="183">
        <f>DT44+DT53+DT66+DT74+DT79+DT88+DT106+DT18+DT19</f>
        <v>23314</v>
      </c>
      <c r="DU107" s="182">
        <f t="shared" si="62"/>
        <v>200</v>
      </c>
      <c r="DV107" s="183">
        <f>DV44+DV53+DV66+DV74+DV79+DV88+DV106+DV18+DV19</f>
        <v>200</v>
      </c>
    </row>
  </sheetData>
  <mergeCells count="1">
    <mergeCell ref="A107:B107"/>
  </mergeCells>
  <pageMargins left="0.78749999999999998" right="0.78749999999999998" top="0.78749999999999998" bottom="0.78749999999999998" header="9.8611111111111108E-2" footer="9.8611111111111108E-2"/>
  <pageSetup paperSize="9" fitToHeight="0" orientation="portrait" useFirstPageNumber="1" r:id="rId1"/>
  <headerFooter alignWithMargins="0">
    <oddHeader>&amp;CRovatrend lista</oddHeader>
    <oddFooter>&amp;Coldal: &amp;P/&amp;N
exportálva: 2014-01-13 13:57 (2105 MP)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IT172"/>
  <sheetViews>
    <sheetView topLeftCell="B1" zoomScale="150" zoomScaleNormal="150" zoomScaleSheetLayoutView="100" workbookViewId="0">
      <pane xSplit="2" ySplit="3" topLeftCell="D142" activePane="bottomRight" state="frozen"/>
      <selection activeCell="B1" sqref="B1"/>
      <selection pane="topRight" activeCell="D1" sqref="D1"/>
      <selection pane="bottomLeft" activeCell="B4" sqref="B4"/>
      <selection pane="bottomRight" activeCell="M120" sqref="M120"/>
    </sheetView>
  </sheetViews>
  <sheetFormatPr defaultColWidth="11.7265625" defaultRowHeight="14.15" customHeight="1" x14ac:dyDescent="0.35"/>
  <cols>
    <col min="1" max="1" width="5.7265625" style="4" customWidth="1"/>
    <col min="2" max="2" width="7.7265625" style="4" customWidth="1"/>
    <col min="3" max="3" width="30.7265625" style="5" customWidth="1"/>
    <col min="4" max="5" width="10.81640625" style="6" customWidth="1"/>
    <col min="6" max="6" width="9.81640625" style="6" bestFit="1" customWidth="1"/>
    <col min="7" max="7" width="9.81640625" style="6" customWidth="1"/>
    <col min="8" max="8" width="10.7265625" style="6" customWidth="1"/>
    <col min="9" max="9" width="12" style="6" customWidth="1"/>
    <col min="10" max="10" width="10.7265625" style="6" customWidth="1"/>
    <col min="11" max="11" width="12" style="6" customWidth="1"/>
    <col min="12" max="12" width="10.7265625" style="6" customWidth="1"/>
    <col min="13" max="13" width="12" style="6" customWidth="1"/>
    <col min="14" max="16384" width="11.7265625" style="5"/>
  </cols>
  <sheetData>
    <row r="1" spans="1:13" s="1" customFormat="1" ht="12.75" customHeight="1" x14ac:dyDescent="0.35">
      <c r="A1" s="1158" t="s">
        <v>596</v>
      </c>
      <c r="B1" s="1159"/>
      <c r="C1" s="1159"/>
      <c r="D1" s="1159"/>
      <c r="E1" s="1159"/>
      <c r="F1" s="1159"/>
      <c r="G1" s="1159"/>
      <c r="H1" s="1159"/>
      <c r="I1" s="1159"/>
      <c r="J1" s="1159"/>
      <c r="K1" s="1159"/>
      <c r="L1" s="1159"/>
      <c r="M1" s="1159"/>
    </row>
    <row r="2" spans="1:13" s="1" customFormat="1" ht="14.15" customHeight="1" x14ac:dyDescent="0.35">
      <c r="A2" s="1101" t="s">
        <v>0</v>
      </c>
      <c r="B2" s="1102" t="s">
        <v>1</v>
      </c>
      <c r="C2" s="1101" t="s">
        <v>2</v>
      </c>
      <c r="D2" s="1103" t="s">
        <v>260</v>
      </c>
      <c r="E2" s="1096" t="s">
        <v>259</v>
      </c>
      <c r="F2" s="1098" t="s">
        <v>593</v>
      </c>
      <c r="G2" s="1099"/>
      <c r="H2" s="1098" t="s">
        <v>594</v>
      </c>
      <c r="I2" s="1099"/>
      <c r="J2" s="1098" t="s">
        <v>595</v>
      </c>
      <c r="K2" s="1099"/>
      <c r="L2" s="1156" t="s">
        <v>1255</v>
      </c>
      <c r="M2" s="1157"/>
    </row>
    <row r="3" spans="1:13" s="3" customFormat="1" ht="25.5" customHeight="1" x14ac:dyDescent="0.35">
      <c r="A3" s="1101"/>
      <c r="B3" s="1102"/>
      <c r="C3" s="1101"/>
      <c r="D3" s="1103"/>
      <c r="E3" s="1097"/>
      <c r="F3" s="2" t="s">
        <v>263</v>
      </c>
      <c r="G3" s="2" t="s">
        <v>259</v>
      </c>
      <c r="H3" s="2" t="s">
        <v>260</v>
      </c>
      <c r="I3" s="2" t="s">
        <v>259</v>
      </c>
      <c r="J3" s="2" t="s">
        <v>260</v>
      </c>
      <c r="K3" s="2" t="s">
        <v>259</v>
      </c>
      <c r="L3" s="308" t="s">
        <v>260</v>
      </c>
      <c r="M3" s="308" t="s">
        <v>259</v>
      </c>
    </row>
    <row r="4" spans="1:13" ht="5.65" customHeight="1" x14ac:dyDescent="0.35"/>
    <row r="5" spans="1:13" ht="14.15" customHeight="1" x14ac:dyDescent="0.35">
      <c r="A5" s="1100" t="s">
        <v>3</v>
      </c>
      <c r="B5" s="1100"/>
      <c r="C5" s="1100"/>
      <c r="D5" s="1100"/>
      <c r="E5" s="1100"/>
      <c r="F5" s="1100"/>
      <c r="G5" s="1100"/>
      <c r="H5" s="1100"/>
      <c r="I5" s="1100"/>
      <c r="J5" s="96"/>
      <c r="K5" s="96"/>
      <c r="L5" s="96"/>
      <c r="M5" s="96"/>
    </row>
    <row r="6" spans="1:13" s="3" customFormat="1" ht="12.75" customHeight="1" x14ac:dyDescent="0.35">
      <c r="A6" s="7" t="s">
        <v>4</v>
      </c>
      <c r="B6" s="7" t="s">
        <v>5</v>
      </c>
      <c r="C6" s="8" t="s">
        <v>6</v>
      </c>
      <c r="D6" s="9">
        <f>F6+H6+J6</f>
        <v>26790</v>
      </c>
      <c r="E6" s="9">
        <f>G6+I6+K6</f>
        <v>31757</v>
      </c>
      <c r="F6" s="10">
        <v>0</v>
      </c>
      <c r="G6" s="10">
        <v>0</v>
      </c>
      <c r="H6" s="10">
        <v>26790</v>
      </c>
      <c r="I6" s="10">
        <f>31385+7*3*12+2*5*12</f>
        <v>31757</v>
      </c>
      <c r="J6" s="10">
        <v>0</v>
      </c>
      <c r="K6" s="10">
        <v>0</v>
      </c>
      <c r="L6" s="10">
        <v>0</v>
      </c>
      <c r="M6" s="10">
        <v>0</v>
      </c>
    </row>
    <row r="7" spans="1:13" s="15" customFormat="1" ht="11.5" customHeight="1" x14ac:dyDescent="0.35">
      <c r="A7" s="11"/>
      <c r="B7" s="11"/>
      <c r="C7" s="12"/>
      <c r="D7" s="13"/>
      <c r="E7" s="13"/>
      <c r="F7" s="14"/>
      <c r="G7" s="14"/>
      <c r="H7" s="14"/>
      <c r="I7" s="14"/>
      <c r="J7" s="14"/>
      <c r="K7" s="14"/>
      <c r="L7" s="14"/>
      <c r="M7" s="14"/>
    </row>
    <row r="8" spans="1:13" s="3" customFormat="1" ht="12.75" customHeight="1" x14ac:dyDescent="0.35">
      <c r="A8" s="7" t="s">
        <v>7</v>
      </c>
      <c r="B8" s="7" t="s">
        <v>8</v>
      </c>
      <c r="C8" s="8" t="s">
        <v>9</v>
      </c>
      <c r="D8" s="9">
        <f t="shared" ref="D8:E10" si="0">F8+H8+J8</f>
        <v>0</v>
      </c>
      <c r="E8" s="9">
        <f t="shared" si="0"/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</row>
    <row r="9" spans="1:13" s="3" customFormat="1" ht="12.75" customHeight="1" x14ac:dyDescent="0.35">
      <c r="A9" s="7" t="s">
        <v>10</v>
      </c>
      <c r="B9" s="7" t="s">
        <v>11</v>
      </c>
      <c r="C9" s="8" t="s">
        <v>12</v>
      </c>
      <c r="D9" s="9">
        <f t="shared" si="0"/>
        <v>0</v>
      </c>
      <c r="E9" s="9">
        <f t="shared" si="0"/>
        <v>787</v>
      </c>
      <c r="F9" s="10">
        <v>0</v>
      </c>
      <c r="G9" s="10">
        <v>0</v>
      </c>
      <c r="H9" s="10">
        <v>0</v>
      </c>
      <c r="I9" s="10">
        <v>787</v>
      </c>
      <c r="J9" s="10">
        <v>0</v>
      </c>
      <c r="K9" s="10">
        <v>0</v>
      </c>
      <c r="L9" s="10">
        <v>0</v>
      </c>
      <c r="M9" s="10">
        <v>0</v>
      </c>
    </row>
    <row r="10" spans="1:13" s="3" customFormat="1" ht="12.75" customHeight="1" x14ac:dyDescent="0.35">
      <c r="A10" s="7" t="s">
        <v>13</v>
      </c>
      <c r="B10" s="7" t="s">
        <v>14</v>
      </c>
      <c r="C10" s="8" t="s">
        <v>15</v>
      </c>
      <c r="D10" s="9">
        <f t="shared" si="0"/>
        <v>350</v>
      </c>
      <c r="E10" s="9">
        <f t="shared" si="0"/>
        <v>350</v>
      </c>
      <c r="F10" s="10">
        <f>SUM(F11:F12)</f>
        <v>0</v>
      </c>
      <c r="G10" s="10">
        <f>SUM(G11:G12)</f>
        <v>0</v>
      </c>
      <c r="H10" s="10">
        <f>SUM(H11:H12)</f>
        <v>350</v>
      </c>
      <c r="I10" s="10">
        <f>SUM(I11:I12)</f>
        <v>350</v>
      </c>
      <c r="J10" s="10">
        <v>0</v>
      </c>
      <c r="K10" s="10">
        <v>0</v>
      </c>
      <c r="L10" s="10">
        <v>0</v>
      </c>
      <c r="M10" s="10">
        <v>0</v>
      </c>
    </row>
    <row r="11" spans="1:13" s="15" customFormat="1" ht="11.5" customHeight="1" x14ac:dyDescent="0.35">
      <c r="A11" s="11"/>
      <c r="B11" s="11"/>
      <c r="C11" s="12" t="s">
        <v>16</v>
      </c>
      <c r="D11" s="13"/>
      <c r="E11" s="13"/>
      <c r="F11" s="14"/>
      <c r="G11" s="14"/>
      <c r="H11" s="14">
        <v>0</v>
      </c>
      <c r="I11" s="14"/>
      <c r="J11" s="14"/>
      <c r="K11" s="14"/>
      <c r="L11" s="14"/>
      <c r="M11" s="14"/>
    </row>
    <row r="12" spans="1:13" s="15" customFormat="1" ht="11.5" customHeight="1" x14ac:dyDescent="0.35">
      <c r="A12" s="11"/>
      <c r="B12" s="11"/>
      <c r="C12" s="12" t="s">
        <v>17</v>
      </c>
      <c r="D12" s="13"/>
      <c r="E12" s="13"/>
      <c r="F12" s="14"/>
      <c r="G12" s="14"/>
      <c r="H12" s="14">
        <v>350</v>
      </c>
      <c r="I12" s="14">
        <v>350</v>
      </c>
      <c r="J12" s="14"/>
      <c r="K12" s="14"/>
      <c r="L12" s="14"/>
      <c r="M12" s="14"/>
    </row>
    <row r="13" spans="1:13" s="3" customFormat="1" ht="12.75" customHeight="1" x14ac:dyDescent="0.35">
      <c r="A13" s="7" t="s">
        <v>18</v>
      </c>
      <c r="B13" s="7" t="s">
        <v>19</v>
      </c>
      <c r="C13" s="8" t="s">
        <v>20</v>
      </c>
      <c r="D13" s="9">
        <f t="shared" ref="D13:E15" si="1">F13+H13+J13</f>
        <v>0</v>
      </c>
      <c r="E13" s="9">
        <f t="shared" si="1"/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</row>
    <row r="14" spans="1:13" s="3" customFormat="1" ht="12.75" customHeight="1" x14ac:dyDescent="0.35">
      <c r="A14" s="7" t="s">
        <v>21</v>
      </c>
      <c r="B14" s="7" t="s">
        <v>22</v>
      </c>
      <c r="C14" s="8" t="s">
        <v>23</v>
      </c>
      <c r="D14" s="9">
        <f t="shared" si="1"/>
        <v>0</v>
      </c>
      <c r="E14" s="9">
        <f t="shared" si="1"/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</row>
    <row r="15" spans="1:13" s="3" customFormat="1" ht="12.75" customHeight="1" x14ac:dyDescent="0.35">
      <c r="A15" s="7" t="s">
        <v>24</v>
      </c>
      <c r="B15" s="7" t="s">
        <v>25</v>
      </c>
      <c r="C15" s="8" t="s">
        <v>26</v>
      </c>
      <c r="D15" s="9">
        <f t="shared" si="1"/>
        <v>1200</v>
      </c>
      <c r="E15" s="9">
        <f t="shared" si="1"/>
        <v>1344</v>
      </c>
      <c r="F15" s="10">
        <v>0</v>
      </c>
      <c r="G15" s="10">
        <f>G16</f>
        <v>0</v>
      </c>
      <c r="H15" s="10">
        <f>H16</f>
        <v>1200</v>
      </c>
      <c r="I15" s="10">
        <f>I16</f>
        <v>1344</v>
      </c>
      <c r="J15" s="10">
        <v>0</v>
      </c>
      <c r="K15" s="10">
        <v>0</v>
      </c>
      <c r="L15" s="10">
        <v>0</v>
      </c>
      <c r="M15" s="10">
        <v>0</v>
      </c>
    </row>
    <row r="16" spans="1:13" s="15" customFormat="1" ht="11.5" customHeight="1" x14ac:dyDescent="0.35">
      <c r="A16" s="11"/>
      <c r="B16" s="11"/>
      <c r="C16" s="12" t="s">
        <v>278</v>
      </c>
      <c r="D16" s="13"/>
      <c r="E16" s="13"/>
      <c r="F16" s="14"/>
      <c r="G16" s="14"/>
      <c r="H16" s="14">
        <v>1200</v>
      </c>
      <c r="I16" s="14">
        <v>1344</v>
      </c>
      <c r="J16" s="14"/>
      <c r="K16" s="14"/>
      <c r="L16" s="14"/>
      <c r="M16" s="14"/>
    </row>
    <row r="17" spans="1:13" s="3" customFormat="1" ht="12.75" customHeight="1" x14ac:dyDescent="0.35">
      <c r="A17" s="7" t="s">
        <v>27</v>
      </c>
      <c r="B17" s="7" t="s">
        <v>28</v>
      </c>
      <c r="C17" s="8" t="s">
        <v>29</v>
      </c>
      <c r="D17" s="9">
        <f t="shared" ref="D17:E19" si="2">F17+H17+J17</f>
        <v>0</v>
      </c>
      <c r="E17" s="9">
        <f t="shared" si="2"/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</row>
    <row r="18" spans="1:13" s="3" customFormat="1" ht="12.75" customHeight="1" x14ac:dyDescent="0.35">
      <c r="A18" s="7" t="s">
        <v>30</v>
      </c>
      <c r="B18" s="7" t="s">
        <v>31</v>
      </c>
      <c r="C18" s="8" t="s">
        <v>32</v>
      </c>
      <c r="D18" s="9">
        <f t="shared" si="2"/>
        <v>1222</v>
      </c>
      <c r="E18" s="9">
        <f t="shared" si="2"/>
        <v>1016</v>
      </c>
      <c r="F18" s="10">
        <v>0</v>
      </c>
      <c r="G18" s="10">
        <v>0</v>
      </c>
      <c r="H18" s="10">
        <v>1222</v>
      </c>
      <c r="I18" s="10">
        <v>1016</v>
      </c>
      <c r="J18" s="10">
        <v>0</v>
      </c>
      <c r="K18" s="10">
        <v>0</v>
      </c>
      <c r="L18" s="10">
        <v>0</v>
      </c>
      <c r="M18" s="10">
        <v>0</v>
      </c>
    </row>
    <row r="19" spans="1:13" s="3" customFormat="1" ht="12.75" customHeight="1" x14ac:dyDescent="0.35">
      <c r="A19" s="7" t="s">
        <v>33</v>
      </c>
      <c r="B19" s="7" t="s">
        <v>34</v>
      </c>
      <c r="C19" s="8" t="s">
        <v>35</v>
      </c>
      <c r="D19" s="9">
        <f t="shared" si="2"/>
        <v>0</v>
      </c>
      <c r="E19" s="9">
        <f t="shared" si="2"/>
        <v>168</v>
      </c>
      <c r="F19" s="10">
        <v>0</v>
      </c>
      <c r="G19" s="10">
        <f>G20</f>
        <v>0</v>
      </c>
      <c r="H19" s="10">
        <v>0</v>
      </c>
      <c r="I19" s="10">
        <f>I20</f>
        <v>168</v>
      </c>
      <c r="J19" s="10">
        <v>0</v>
      </c>
      <c r="K19" s="10">
        <v>0</v>
      </c>
      <c r="L19" s="10">
        <v>0</v>
      </c>
      <c r="M19" s="10">
        <v>0</v>
      </c>
    </row>
    <row r="20" spans="1:13" s="3" customFormat="1" ht="12.75" customHeight="1" x14ac:dyDescent="0.35">
      <c r="A20" s="11"/>
      <c r="B20" s="11"/>
      <c r="C20" s="12" t="s">
        <v>1257</v>
      </c>
      <c r="D20" s="13"/>
      <c r="E20" s="13"/>
      <c r="F20" s="14"/>
      <c r="G20" s="14"/>
      <c r="H20" s="14"/>
      <c r="I20" s="14">
        <v>168</v>
      </c>
      <c r="J20" s="14"/>
      <c r="K20" s="14"/>
      <c r="L20" s="14"/>
      <c r="M20" s="14"/>
    </row>
    <row r="21" spans="1:13" s="3" customFormat="1" ht="12.75" customHeight="1" x14ac:dyDescent="0.35">
      <c r="A21" s="7" t="s">
        <v>36</v>
      </c>
      <c r="B21" s="7" t="s">
        <v>37</v>
      </c>
      <c r="C21" s="8" t="s">
        <v>38</v>
      </c>
      <c r="D21" s="9">
        <f>F21+H21+J21</f>
        <v>0</v>
      </c>
      <c r="E21" s="9">
        <f>G21+I21+K21</f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</row>
    <row r="22" spans="1:13" s="3" customFormat="1" ht="12.75" customHeight="1" x14ac:dyDescent="0.35">
      <c r="A22" s="7" t="s">
        <v>39</v>
      </c>
      <c r="B22" s="7" t="s">
        <v>40</v>
      </c>
      <c r="C22" s="8" t="s">
        <v>41</v>
      </c>
      <c r="D22" s="9">
        <f>F22+H22+J22</f>
        <v>0</v>
      </c>
      <c r="E22" s="9">
        <f>G22+I22+K22</f>
        <v>0</v>
      </c>
      <c r="F22" s="10">
        <f>F23</f>
        <v>0</v>
      </c>
      <c r="G22" s="10">
        <f>G23</f>
        <v>0</v>
      </c>
      <c r="H22" s="10">
        <f>H23</f>
        <v>0</v>
      </c>
      <c r="I22" s="10">
        <f>I23</f>
        <v>0</v>
      </c>
      <c r="J22" s="10">
        <v>0</v>
      </c>
      <c r="K22" s="10">
        <v>0</v>
      </c>
      <c r="L22" s="10">
        <v>0</v>
      </c>
      <c r="M22" s="10">
        <v>0</v>
      </c>
    </row>
    <row r="23" spans="1:13" s="3" customFormat="1" ht="12.75" customHeight="1" x14ac:dyDescent="0.35">
      <c r="A23" s="11"/>
      <c r="B23" s="11"/>
      <c r="C23" s="12" t="s">
        <v>280</v>
      </c>
      <c r="D23" s="13"/>
      <c r="E23" s="13"/>
      <c r="F23" s="14">
        <v>0</v>
      </c>
      <c r="G23" s="14">
        <f>ROUND(G6*0.004,0)</f>
        <v>0</v>
      </c>
      <c r="H23" s="14"/>
      <c r="I23" s="14"/>
      <c r="J23" s="14"/>
      <c r="K23" s="14"/>
      <c r="L23" s="14"/>
      <c r="M23" s="14"/>
    </row>
    <row r="24" spans="1:13" s="3" customFormat="1" ht="12.75" customHeight="1" x14ac:dyDescent="0.35">
      <c r="A24" s="7" t="s">
        <v>42</v>
      </c>
      <c r="B24" s="7" t="s">
        <v>43</v>
      </c>
      <c r="C24" s="8" t="s">
        <v>44</v>
      </c>
      <c r="D24" s="9">
        <f>F24+H24+J24</f>
        <v>2959</v>
      </c>
      <c r="E24" s="9">
        <f>G24+I24+K24</f>
        <v>953</v>
      </c>
      <c r="F24" s="10">
        <v>0</v>
      </c>
      <c r="G24" s="10">
        <f>G25</f>
        <v>0</v>
      </c>
      <c r="H24" s="10">
        <v>2959</v>
      </c>
      <c r="I24" s="10">
        <f>I25</f>
        <v>953</v>
      </c>
      <c r="J24" s="10">
        <v>0</v>
      </c>
      <c r="K24" s="10">
        <v>0</v>
      </c>
      <c r="L24" s="10">
        <v>0</v>
      </c>
      <c r="M24" s="10">
        <v>0</v>
      </c>
    </row>
    <row r="25" spans="1:13" s="15" customFormat="1" ht="11.5" customHeight="1" x14ac:dyDescent="0.35">
      <c r="A25" s="11"/>
      <c r="B25" s="11"/>
      <c r="C25" s="12" t="s">
        <v>1259</v>
      </c>
      <c r="D25" s="13"/>
      <c r="E25" s="13"/>
      <c r="F25" s="14"/>
      <c r="G25" s="14"/>
      <c r="H25" s="14"/>
      <c r="I25" s="14">
        <f>ROUND(I6*0.03,0)</f>
        <v>953</v>
      </c>
      <c r="J25" s="14"/>
      <c r="K25" s="14"/>
      <c r="L25" s="14"/>
      <c r="M25" s="14"/>
    </row>
    <row r="26" spans="1:13" s="3" customFormat="1" ht="12.75" customHeight="1" x14ac:dyDescent="0.35">
      <c r="A26" s="16" t="s">
        <v>45</v>
      </c>
      <c r="B26" s="16" t="s">
        <v>46</v>
      </c>
      <c r="C26" s="17" t="s">
        <v>47</v>
      </c>
      <c r="D26" s="18">
        <f t="shared" ref="D26:K26" si="3">D6+D8+D9+D10+D13+D14+D15+D17+D18+D19+D21+D22+D24</f>
        <v>32521</v>
      </c>
      <c r="E26" s="18">
        <f t="shared" si="3"/>
        <v>36375</v>
      </c>
      <c r="F26" s="18">
        <f t="shared" si="3"/>
        <v>0</v>
      </c>
      <c r="G26" s="18">
        <f t="shared" si="3"/>
        <v>0</v>
      </c>
      <c r="H26" s="18">
        <f t="shared" si="3"/>
        <v>32521</v>
      </c>
      <c r="I26" s="18">
        <f t="shared" si="3"/>
        <v>36375</v>
      </c>
      <c r="J26" s="18">
        <f t="shared" si="3"/>
        <v>0</v>
      </c>
      <c r="K26" s="18">
        <f t="shared" si="3"/>
        <v>0</v>
      </c>
      <c r="L26" s="18">
        <f>L6+L8+L9+L10+L13+L14+L15+L17+L18+L19+L21+L22+L24</f>
        <v>0</v>
      </c>
      <c r="M26" s="18">
        <f>M6+M8+M9+M10+M13+M14+M15+M17+M18+M19+M21+M22+M24</f>
        <v>0</v>
      </c>
    </row>
    <row r="27" spans="1:13" s="3" customFormat="1" ht="12.75" customHeight="1" x14ac:dyDescent="0.35">
      <c r="A27" s="7" t="s">
        <v>48</v>
      </c>
      <c r="B27" s="7" t="s">
        <v>49</v>
      </c>
      <c r="C27" s="8" t="s">
        <v>50</v>
      </c>
      <c r="D27" s="9">
        <f>F27+H27+J27</f>
        <v>0</v>
      </c>
      <c r="E27" s="9">
        <f>G27+I27+K27</f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</row>
    <row r="28" spans="1:13" s="3" customFormat="1" ht="12.75" customHeight="1" x14ac:dyDescent="0.35">
      <c r="A28" s="7" t="s">
        <v>51</v>
      </c>
      <c r="B28" s="7" t="s">
        <v>52</v>
      </c>
      <c r="C28" s="8" t="s">
        <v>53</v>
      </c>
      <c r="D28" s="9">
        <f>F28+H28+J28</f>
        <v>1700</v>
      </c>
      <c r="E28" s="9">
        <f>G28+I28+K28</f>
        <v>1700</v>
      </c>
      <c r="F28" s="10">
        <f t="shared" ref="F28:M28" si="4">F29</f>
        <v>0</v>
      </c>
      <c r="G28" s="10">
        <f t="shared" si="4"/>
        <v>0</v>
      </c>
      <c r="H28" s="10">
        <f t="shared" si="4"/>
        <v>1700</v>
      </c>
      <c r="I28" s="10">
        <f t="shared" si="4"/>
        <v>1700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</row>
    <row r="29" spans="1:13" s="15" customFormat="1" ht="11.5" customHeight="1" x14ac:dyDescent="0.35">
      <c r="A29" s="11"/>
      <c r="B29" s="11"/>
      <c r="C29" s="12" t="s">
        <v>282</v>
      </c>
      <c r="D29" s="13"/>
      <c r="E29" s="13"/>
      <c r="F29" s="14"/>
      <c r="G29" s="14"/>
      <c r="H29" s="14">
        <v>1700</v>
      </c>
      <c r="I29" s="14">
        <v>1700</v>
      </c>
      <c r="J29" s="14"/>
      <c r="K29" s="14"/>
      <c r="L29" s="14"/>
      <c r="M29" s="14"/>
    </row>
    <row r="30" spans="1:13" s="3" customFormat="1" ht="12.75" customHeight="1" x14ac:dyDescent="0.35">
      <c r="A30" s="7" t="s">
        <v>54</v>
      </c>
      <c r="B30" s="7" t="s">
        <v>55</v>
      </c>
      <c r="C30" s="8" t="s">
        <v>285</v>
      </c>
      <c r="D30" s="9">
        <f>F30+H30+J30</f>
        <v>250</v>
      </c>
      <c r="E30" s="9">
        <f>G30+I30+K30+M30</f>
        <v>1250</v>
      </c>
      <c r="F30" s="10">
        <f t="shared" ref="F30:M30" si="5">F31</f>
        <v>130</v>
      </c>
      <c r="G30" s="10">
        <f t="shared" si="5"/>
        <v>130</v>
      </c>
      <c r="H30" s="10">
        <f t="shared" si="5"/>
        <v>40</v>
      </c>
      <c r="I30" s="10">
        <f t="shared" si="5"/>
        <v>40</v>
      </c>
      <c r="J30" s="10">
        <f t="shared" si="5"/>
        <v>80</v>
      </c>
      <c r="K30" s="10">
        <f t="shared" si="5"/>
        <v>80</v>
      </c>
      <c r="L30" s="10">
        <f t="shared" si="5"/>
        <v>0</v>
      </c>
      <c r="M30" s="10">
        <f t="shared" si="5"/>
        <v>1000</v>
      </c>
    </row>
    <row r="31" spans="1:13" s="15" customFormat="1" ht="11.5" customHeight="1" x14ac:dyDescent="0.35">
      <c r="A31" s="11"/>
      <c r="B31" s="11"/>
      <c r="C31" s="12" t="s">
        <v>283</v>
      </c>
      <c r="D31" s="13"/>
      <c r="E31" s="13"/>
      <c r="F31" s="14">
        <v>130</v>
      </c>
      <c r="G31" s="14">
        <v>130</v>
      </c>
      <c r="H31" s="14">
        <v>40</v>
      </c>
      <c r="I31" s="14">
        <v>40</v>
      </c>
      <c r="J31" s="14">
        <v>80</v>
      </c>
      <c r="K31" s="14">
        <v>80</v>
      </c>
      <c r="L31" s="14">
        <v>0</v>
      </c>
      <c r="M31" s="14">
        <v>1000</v>
      </c>
    </row>
    <row r="32" spans="1:13" s="3" customFormat="1" ht="12.75" customHeight="1" x14ac:dyDescent="0.35">
      <c r="A32" s="16" t="s">
        <v>56</v>
      </c>
      <c r="B32" s="16" t="s">
        <v>57</v>
      </c>
      <c r="C32" s="17" t="s">
        <v>58</v>
      </c>
      <c r="D32" s="18">
        <f>D27+D28+D30</f>
        <v>1950</v>
      </c>
      <c r="E32" s="18">
        <f t="shared" ref="E32:J32" si="6">E27+E28+E30</f>
        <v>2950</v>
      </c>
      <c r="F32" s="18">
        <f t="shared" si="6"/>
        <v>130</v>
      </c>
      <c r="G32" s="18">
        <f t="shared" si="6"/>
        <v>130</v>
      </c>
      <c r="H32" s="18">
        <f t="shared" si="6"/>
        <v>1740</v>
      </c>
      <c r="I32" s="18">
        <f t="shared" si="6"/>
        <v>1740</v>
      </c>
      <c r="J32" s="18">
        <f t="shared" si="6"/>
        <v>80</v>
      </c>
      <c r="K32" s="18">
        <f>K27+K28+K30</f>
        <v>80</v>
      </c>
      <c r="L32" s="18">
        <f>L27+L28+L30</f>
        <v>0</v>
      </c>
      <c r="M32" s="18">
        <f>M27+M28+M30</f>
        <v>1000</v>
      </c>
    </row>
    <row r="33" spans="1:13" s="3" customFormat="1" ht="12.75" customHeight="1" x14ac:dyDescent="0.35">
      <c r="A33" s="20" t="s">
        <v>59</v>
      </c>
      <c r="B33" s="20" t="s">
        <v>60</v>
      </c>
      <c r="C33" s="21" t="s">
        <v>286</v>
      </c>
      <c r="D33" s="22">
        <f>D26+D32</f>
        <v>34471</v>
      </c>
      <c r="E33" s="22">
        <f t="shared" ref="E33:J33" si="7">E26+E32</f>
        <v>39325</v>
      </c>
      <c r="F33" s="22">
        <f t="shared" si="7"/>
        <v>130</v>
      </c>
      <c r="G33" s="22">
        <f t="shared" si="7"/>
        <v>130</v>
      </c>
      <c r="H33" s="22">
        <f t="shared" si="7"/>
        <v>34261</v>
      </c>
      <c r="I33" s="22">
        <f t="shared" si="7"/>
        <v>38115</v>
      </c>
      <c r="J33" s="22">
        <f t="shared" si="7"/>
        <v>80</v>
      </c>
      <c r="K33" s="22">
        <f>K26+K32</f>
        <v>80</v>
      </c>
      <c r="L33" s="22">
        <f>L26+L32</f>
        <v>0</v>
      </c>
      <c r="M33" s="22">
        <f>M26+M32</f>
        <v>1000</v>
      </c>
    </row>
    <row r="34" spans="1:13" s="15" customFormat="1" ht="11.5" customHeight="1" x14ac:dyDescent="0.35">
      <c r="A34" s="11"/>
      <c r="B34" s="11"/>
      <c r="C34" s="12" t="s">
        <v>284</v>
      </c>
      <c r="D34" s="13">
        <f>H34+F34+J34</f>
        <v>8540</v>
      </c>
      <c r="E34" s="13">
        <f>I34+G34+K34</f>
        <v>9549</v>
      </c>
      <c r="F34" s="13">
        <v>0</v>
      </c>
      <c r="G34" s="13">
        <f>ROUND((G6+G8+G9+G10+G13+G14+G22+G28)*0.27,0)</f>
        <v>0</v>
      </c>
      <c r="H34" s="13">
        <v>8540</v>
      </c>
      <c r="I34" s="13">
        <f>ROUND((I6+I8+I9+I13+I14+I19+I24+I27+I28)*0.27,0)</f>
        <v>9549</v>
      </c>
      <c r="J34" s="13">
        <v>0</v>
      </c>
      <c r="K34" s="13">
        <v>0</v>
      </c>
      <c r="L34" s="13">
        <v>0</v>
      </c>
      <c r="M34" s="13">
        <v>0</v>
      </c>
    </row>
    <row r="35" spans="1:13" s="15" customFormat="1" ht="11.5" customHeight="1" x14ac:dyDescent="0.35">
      <c r="A35" s="11"/>
      <c r="B35" s="11"/>
      <c r="C35" s="12" t="s">
        <v>61</v>
      </c>
      <c r="D35" s="13">
        <f>H35+F35+J35</f>
        <v>281</v>
      </c>
      <c r="E35" s="13">
        <f>I35+G35+K35+M35</f>
        <v>626</v>
      </c>
      <c r="F35" s="14">
        <v>42</v>
      </c>
      <c r="G35" s="13">
        <f>ROUND(G15*1.19*0.14+(G30+G24)*1.19*0.27,0)</f>
        <v>42</v>
      </c>
      <c r="H35" s="14">
        <v>213</v>
      </c>
      <c r="I35" s="13">
        <f>ROUND(I15*1.19*0.14+I31*1.19*0.27,0)</f>
        <v>237</v>
      </c>
      <c r="J35" s="14">
        <v>26</v>
      </c>
      <c r="K35" s="14">
        <v>26</v>
      </c>
      <c r="L35" s="14">
        <v>0</v>
      </c>
      <c r="M35" s="14">
        <v>321</v>
      </c>
    </row>
    <row r="36" spans="1:13" s="15" customFormat="1" ht="11.5" customHeight="1" x14ac:dyDescent="0.35">
      <c r="A36" s="11"/>
      <c r="B36" s="11"/>
      <c r="C36" s="12" t="s">
        <v>62</v>
      </c>
      <c r="D36" s="13">
        <f>H36+F36+J36</f>
        <v>0</v>
      </c>
      <c r="E36" s="13">
        <f>I36+G36+K36</f>
        <v>0</v>
      </c>
      <c r="F36" s="14">
        <v>0</v>
      </c>
      <c r="G36" s="14"/>
      <c r="H36" s="14"/>
      <c r="I36" s="14"/>
      <c r="J36" s="14">
        <v>0</v>
      </c>
      <c r="K36" s="14">
        <v>0</v>
      </c>
      <c r="L36" s="14">
        <v>0</v>
      </c>
      <c r="M36" s="14">
        <v>0</v>
      </c>
    </row>
    <row r="37" spans="1:13" s="15" customFormat="1" ht="11.5" customHeight="1" x14ac:dyDescent="0.35">
      <c r="A37" s="11"/>
      <c r="B37" s="11"/>
      <c r="C37" s="12" t="s">
        <v>63</v>
      </c>
      <c r="D37" s="13">
        <f>H37+F37+J37</f>
        <v>276</v>
      </c>
      <c r="E37" s="13">
        <f>I37+G37+K37+M37</f>
        <v>494</v>
      </c>
      <c r="F37" s="14">
        <v>25</v>
      </c>
      <c r="G37" s="14">
        <f>ROUND((G31+G25+G16)*1.19*0.16,0)</f>
        <v>25</v>
      </c>
      <c r="H37" s="14">
        <v>236</v>
      </c>
      <c r="I37" s="14">
        <f>ROUND((I15+I31)*1.19*0.16,0)</f>
        <v>264</v>
      </c>
      <c r="J37" s="14">
        <v>15</v>
      </c>
      <c r="K37" s="14">
        <v>15</v>
      </c>
      <c r="L37" s="14">
        <v>0</v>
      </c>
      <c r="M37" s="14">
        <v>190</v>
      </c>
    </row>
    <row r="38" spans="1:13" s="3" customFormat="1" ht="12.75" customHeight="1" x14ac:dyDescent="0.35">
      <c r="A38" s="20" t="s">
        <v>64</v>
      </c>
      <c r="B38" s="20" t="s">
        <v>65</v>
      </c>
      <c r="C38" s="21" t="s">
        <v>287</v>
      </c>
      <c r="D38" s="22">
        <f>D34+D35+D36+D37</f>
        <v>9097</v>
      </c>
      <c r="E38" s="22">
        <f t="shared" ref="E38:J38" si="8">E34+E35+E36+E37</f>
        <v>10669</v>
      </c>
      <c r="F38" s="22">
        <f t="shared" si="8"/>
        <v>67</v>
      </c>
      <c r="G38" s="22">
        <f t="shared" si="8"/>
        <v>67</v>
      </c>
      <c r="H38" s="22">
        <f t="shared" si="8"/>
        <v>8989</v>
      </c>
      <c r="I38" s="22">
        <f t="shared" si="8"/>
        <v>10050</v>
      </c>
      <c r="J38" s="22">
        <f t="shared" si="8"/>
        <v>41</v>
      </c>
      <c r="K38" s="22">
        <f>K34+K35+K36+K37</f>
        <v>41</v>
      </c>
      <c r="L38" s="22">
        <f>L34+L35+L36+L37</f>
        <v>0</v>
      </c>
      <c r="M38" s="22">
        <f>M34+M35+M36+M37</f>
        <v>511</v>
      </c>
    </row>
    <row r="39" spans="1:13" s="3" customFormat="1" ht="14.15" customHeight="1" x14ac:dyDescent="0.35">
      <c r="A39" s="1093" t="s">
        <v>66</v>
      </c>
      <c r="B39" s="1094"/>
      <c r="C39" s="1095"/>
      <c r="D39" s="29">
        <f>D33+D38</f>
        <v>43568</v>
      </c>
      <c r="E39" s="29">
        <f t="shared" ref="E39:J39" si="9">E33+E38</f>
        <v>49994</v>
      </c>
      <c r="F39" s="29">
        <f t="shared" si="9"/>
        <v>197</v>
      </c>
      <c r="G39" s="29">
        <f t="shared" si="9"/>
        <v>197</v>
      </c>
      <c r="H39" s="29">
        <f t="shared" si="9"/>
        <v>43250</v>
      </c>
      <c r="I39" s="29">
        <f t="shared" si="9"/>
        <v>48165</v>
      </c>
      <c r="J39" s="29">
        <f t="shared" si="9"/>
        <v>121</v>
      </c>
      <c r="K39" s="29">
        <f>K33+K38</f>
        <v>121</v>
      </c>
      <c r="L39" s="29">
        <f>L33+L38</f>
        <v>0</v>
      </c>
      <c r="M39" s="29">
        <f>M33+M38</f>
        <v>1511</v>
      </c>
    </row>
    <row r="40" spans="1:13" s="1" customFormat="1" ht="12.75" customHeight="1" x14ac:dyDescent="0.35">
      <c r="A40" s="1120" t="s">
        <v>597</v>
      </c>
      <c r="B40" s="1121"/>
      <c r="C40" s="1121"/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</row>
    <row r="41" spans="1:13" s="1" customFormat="1" ht="14.15" customHeight="1" x14ac:dyDescent="0.35">
      <c r="A41" s="1101" t="s">
        <v>0</v>
      </c>
      <c r="B41" s="1102" t="s">
        <v>1</v>
      </c>
      <c r="C41" s="1101" t="s">
        <v>2</v>
      </c>
      <c r="D41" s="1103" t="s">
        <v>260</v>
      </c>
      <c r="E41" s="1096" t="s">
        <v>259</v>
      </c>
      <c r="F41" s="1098" t="s">
        <v>593</v>
      </c>
      <c r="G41" s="1099"/>
      <c r="H41" s="1098" t="s">
        <v>594</v>
      </c>
      <c r="I41" s="1099"/>
      <c r="J41" s="1098" t="s">
        <v>595</v>
      </c>
      <c r="K41" s="1099"/>
      <c r="L41" s="1156" t="s">
        <v>1256</v>
      </c>
      <c r="M41" s="1157"/>
    </row>
    <row r="42" spans="1:13" s="3" customFormat="1" ht="33" customHeight="1" x14ac:dyDescent="0.35">
      <c r="A42" s="1101"/>
      <c r="B42" s="1102"/>
      <c r="C42" s="1101"/>
      <c r="D42" s="1103"/>
      <c r="E42" s="1097"/>
      <c r="F42" s="2" t="s">
        <v>263</v>
      </c>
      <c r="G42" s="2" t="s">
        <v>259</v>
      </c>
      <c r="H42" s="2" t="s">
        <v>260</v>
      </c>
      <c r="I42" s="2" t="s">
        <v>259</v>
      </c>
      <c r="J42" s="2" t="s">
        <v>260</v>
      </c>
      <c r="K42" s="2" t="s">
        <v>259</v>
      </c>
      <c r="L42" s="308" t="s">
        <v>260</v>
      </c>
      <c r="M42" s="308" t="s">
        <v>259</v>
      </c>
    </row>
    <row r="43" spans="1:13" ht="5.65" customHeight="1" x14ac:dyDescent="0.35"/>
    <row r="44" spans="1:13" ht="14.15" customHeight="1" x14ac:dyDescent="0.35">
      <c r="A44" s="1100" t="s">
        <v>288</v>
      </c>
      <c r="B44" s="1100"/>
      <c r="C44" s="1100"/>
      <c r="D44" s="1100"/>
      <c r="E44" s="1100"/>
      <c r="F44" s="1100"/>
      <c r="G44" s="1100"/>
      <c r="H44" s="1100"/>
      <c r="I44" s="1100"/>
      <c r="J44" s="96"/>
      <c r="K44" s="96"/>
      <c r="L44" s="96"/>
      <c r="M44" s="96"/>
    </row>
    <row r="45" spans="1:13" s="3" customFormat="1" ht="14.15" customHeight="1" x14ac:dyDescent="0.35">
      <c r="A45" s="7" t="s">
        <v>67</v>
      </c>
      <c r="B45" s="7" t="s">
        <v>68</v>
      </c>
      <c r="C45" s="8" t="s">
        <v>69</v>
      </c>
      <c r="D45" s="9">
        <f>F45+H45+J45</f>
        <v>25</v>
      </c>
      <c r="E45" s="9">
        <f>G45+I45+K45</f>
        <v>40</v>
      </c>
      <c r="F45" s="10">
        <f t="shared" ref="F45:M45" si="10">SUM(F46:F51)</f>
        <v>0</v>
      </c>
      <c r="G45" s="10">
        <f t="shared" si="10"/>
        <v>0</v>
      </c>
      <c r="H45" s="10">
        <f t="shared" si="10"/>
        <v>25</v>
      </c>
      <c r="I45" s="10">
        <f t="shared" si="10"/>
        <v>40</v>
      </c>
      <c r="J45" s="10">
        <f t="shared" si="10"/>
        <v>0</v>
      </c>
      <c r="K45" s="10">
        <f t="shared" si="10"/>
        <v>0</v>
      </c>
      <c r="L45" s="10">
        <f t="shared" si="10"/>
        <v>0</v>
      </c>
      <c r="M45" s="10">
        <f t="shared" si="10"/>
        <v>0</v>
      </c>
    </row>
    <row r="46" spans="1:13" ht="14.15" customHeight="1" x14ac:dyDescent="0.35">
      <c r="A46" s="24"/>
      <c r="B46" s="24"/>
      <c r="C46" s="25" t="s">
        <v>70</v>
      </c>
      <c r="D46" s="26"/>
      <c r="E46" s="26"/>
      <c r="F46" s="26"/>
      <c r="G46" s="26"/>
      <c r="H46" s="26">
        <v>25</v>
      </c>
      <c r="I46" s="26">
        <v>30</v>
      </c>
      <c r="J46" s="26"/>
      <c r="K46" s="26"/>
      <c r="L46" s="26"/>
      <c r="M46" s="26"/>
    </row>
    <row r="47" spans="1:13" ht="14.15" customHeight="1" x14ac:dyDescent="0.35">
      <c r="A47" s="24"/>
      <c r="B47" s="24"/>
      <c r="C47" s="25" t="s">
        <v>71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3" ht="14.15" customHeight="1" x14ac:dyDescent="0.35">
      <c r="A48" s="24"/>
      <c r="B48" s="24"/>
      <c r="C48" s="25" t="s">
        <v>72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1:13" ht="14.15" customHeight="1" x14ac:dyDescent="0.35">
      <c r="A49" s="24"/>
      <c r="B49" s="24"/>
      <c r="C49" s="25" t="s">
        <v>73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1:13" ht="14.15" customHeight="1" x14ac:dyDescent="0.35">
      <c r="A50" s="24"/>
      <c r="B50" s="24"/>
      <c r="C50" s="25" t="s">
        <v>74</v>
      </c>
      <c r="D50" s="26"/>
      <c r="E50" s="26"/>
      <c r="F50" s="26"/>
      <c r="G50" s="26"/>
      <c r="H50" s="26"/>
      <c r="I50" s="26">
        <v>10</v>
      </c>
      <c r="J50" s="26"/>
      <c r="K50" s="26"/>
      <c r="L50" s="26"/>
      <c r="M50" s="26"/>
    </row>
    <row r="51" spans="1:13" ht="14.15" customHeight="1" x14ac:dyDescent="0.35">
      <c r="A51" s="24"/>
      <c r="B51" s="24"/>
      <c r="C51" s="25" t="s">
        <v>75</v>
      </c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1:13" s="3" customFormat="1" ht="14.15" customHeight="1" x14ac:dyDescent="0.35">
      <c r="A52" s="7" t="s">
        <v>76</v>
      </c>
      <c r="B52" s="7" t="s">
        <v>77</v>
      </c>
      <c r="C52" s="8" t="s">
        <v>78</v>
      </c>
      <c r="D52" s="9">
        <f>F52+H52+J52</f>
        <v>1850</v>
      </c>
      <c r="E52" s="9">
        <f>G52+I52+K52</f>
        <v>1940</v>
      </c>
      <c r="F52" s="10">
        <f t="shared" ref="F52:M52" si="11">SUM(F53:F58)</f>
        <v>325</v>
      </c>
      <c r="G52" s="10">
        <f t="shared" si="11"/>
        <v>350</v>
      </c>
      <c r="H52" s="10">
        <f t="shared" si="11"/>
        <v>1475</v>
      </c>
      <c r="I52" s="10">
        <f t="shared" si="11"/>
        <v>1540</v>
      </c>
      <c r="J52" s="10">
        <f t="shared" si="11"/>
        <v>50</v>
      </c>
      <c r="K52" s="10">
        <f t="shared" si="11"/>
        <v>50</v>
      </c>
      <c r="L52" s="10">
        <f t="shared" si="11"/>
        <v>0</v>
      </c>
      <c r="M52" s="10">
        <f t="shared" si="11"/>
        <v>0</v>
      </c>
    </row>
    <row r="53" spans="1:13" ht="14.15" customHeight="1" x14ac:dyDescent="0.35">
      <c r="A53" s="24"/>
      <c r="B53" s="24"/>
      <c r="C53" s="25" t="s">
        <v>79</v>
      </c>
      <c r="D53" s="26"/>
      <c r="E53" s="26"/>
      <c r="F53" s="26">
        <v>150</v>
      </c>
      <c r="G53" s="26">
        <v>200</v>
      </c>
      <c r="H53" s="26"/>
      <c r="I53" s="26"/>
      <c r="J53" s="26"/>
      <c r="K53" s="26"/>
      <c r="L53" s="26"/>
      <c r="M53" s="26"/>
    </row>
    <row r="54" spans="1:13" ht="14.15" customHeight="1" x14ac:dyDescent="0.35">
      <c r="A54" s="24"/>
      <c r="B54" s="24"/>
      <c r="C54" s="25" t="s">
        <v>80</v>
      </c>
      <c r="D54" s="26"/>
      <c r="E54" s="26"/>
      <c r="F54" s="26"/>
      <c r="G54" s="26"/>
      <c r="H54" s="26">
        <v>525</v>
      </c>
      <c r="I54" s="26">
        <v>400</v>
      </c>
      <c r="J54" s="26"/>
      <c r="K54" s="26"/>
      <c r="L54" s="26"/>
      <c r="M54" s="26"/>
    </row>
    <row r="55" spans="1:13" ht="14.15" customHeight="1" x14ac:dyDescent="0.35">
      <c r="A55" s="24"/>
      <c r="B55" s="24"/>
      <c r="C55" s="25" t="s">
        <v>81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ht="14.15" customHeight="1" x14ac:dyDescent="0.35">
      <c r="A56" s="24"/>
      <c r="B56" s="24"/>
      <c r="C56" s="25" t="s">
        <v>82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1:13" ht="14.15" customHeight="1" x14ac:dyDescent="0.35">
      <c r="A57" s="24"/>
      <c r="B57" s="24"/>
      <c r="C57" s="25" t="s">
        <v>83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1:13" ht="14.15" customHeight="1" x14ac:dyDescent="0.35">
      <c r="A58" s="24"/>
      <c r="B58" s="24"/>
      <c r="C58" s="25" t="s">
        <v>84</v>
      </c>
      <c r="D58" s="26"/>
      <c r="E58" s="26"/>
      <c r="F58" s="26">
        <v>175</v>
      </c>
      <c r="G58" s="26">
        <v>150</v>
      </c>
      <c r="H58" s="26">
        <v>950</v>
      </c>
      <c r="I58" s="26">
        <v>1140</v>
      </c>
      <c r="J58" s="26">
        <v>50</v>
      </c>
      <c r="K58" s="26">
        <v>50</v>
      </c>
      <c r="L58" s="26">
        <v>0</v>
      </c>
      <c r="M58" s="26">
        <v>0</v>
      </c>
    </row>
    <row r="59" spans="1:13" s="3" customFormat="1" ht="14.15" customHeight="1" x14ac:dyDescent="0.35">
      <c r="A59" s="7" t="s">
        <v>85</v>
      </c>
      <c r="B59" s="7" t="s">
        <v>86</v>
      </c>
      <c r="C59" s="8" t="s">
        <v>87</v>
      </c>
      <c r="D59" s="9">
        <f>F59+H59+J59</f>
        <v>0</v>
      </c>
      <c r="E59" s="9">
        <f>G59+I59+K59</f>
        <v>0</v>
      </c>
      <c r="F59" s="10">
        <f t="shared" ref="F59:M59" si="12">SUM(F60:F61)</f>
        <v>0</v>
      </c>
      <c r="G59" s="10">
        <f t="shared" si="12"/>
        <v>0</v>
      </c>
      <c r="H59" s="10">
        <f t="shared" si="12"/>
        <v>0</v>
      </c>
      <c r="I59" s="10">
        <f t="shared" si="12"/>
        <v>0</v>
      </c>
      <c r="J59" s="10">
        <f t="shared" si="12"/>
        <v>0</v>
      </c>
      <c r="K59" s="10">
        <f t="shared" si="12"/>
        <v>0</v>
      </c>
      <c r="L59" s="10">
        <f t="shared" si="12"/>
        <v>0</v>
      </c>
      <c r="M59" s="10">
        <f t="shared" si="12"/>
        <v>0</v>
      </c>
    </row>
    <row r="60" spans="1:13" ht="14.15" customHeight="1" x14ac:dyDescent="0.35">
      <c r="A60" s="24"/>
      <c r="B60" s="24"/>
      <c r="C60" s="25" t="s">
        <v>88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 ht="14.15" customHeight="1" x14ac:dyDescent="0.35">
      <c r="A61" s="24"/>
      <c r="B61" s="24"/>
      <c r="C61" s="25" t="s">
        <v>89</v>
      </c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 s="3" customFormat="1" ht="14.15" customHeight="1" x14ac:dyDescent="0.35">
      <c r="A62" s="16" t="s">
        <v>90</v>
      </c>
      <c r="B62" s="16" t="s">
        <v>91</v>
      </c>
      <c r="C62" s="17" t="s">
        <v>92</v>
      </c>
      <c r="D62" s="19">
        <f>D45+D52</f>
        <v>1875</v>
      </c>
      <c r="E62" s="19">
        <f t="shared" ref="E62:K62" si="13">E45+E52</f>
        <v>1980</v>
      </c>
      <c r="F62" s="19">
        <f t="shared" si="13"/>
        <v>325</v>
      </c>
      <c r="G62" s="19">
        <f t="shared" si="13"/>
        <v>350</v>
      </c>
      <c r="H62" s="19">
        <f t="shared" si="13"/>
        <v>1500</v>
      </c>
      <c r="I62" s="19">
        <f t="shared" si="13"/>
        <v>1580</v>
      </c>
      <c r="J62" s="19">
        <f t="shared" si="13"/>
        <v>50</v>
      </c>
      <c r="K62" s="19">
        <f t="shared" si="13"/>
        <v>50</v>
      </c>
      <c r="L62" s="19">
        <f>L45+L52</f>
        <v>0</v>
      </c>
      <c r="M62" s="19">
        <f>M45+M52</f>
        <v>0</v>
      </c>
    </row>
    <row r="63" spans="1:13" s="3" customFormat="1" ht="14.15" customHeight="1" x14ac:dyDescent="0.35">
      <c r="A63" s="7" t="s">
        <v>93</v>
      </c>
      <c r="B63" s="7" t="s">
        <v>94</v>
      </c>
      <c r="C63" s="8" t="s">
        <v>95</v>
      </c>
      <c r="D63" s="9">
        <f>F63+H63+J63</f>
        <v>1030</v>
      </c>
      <c r="E63" s="9">
        <f>G63+I63+K63</f>
        <v>1260</v>
      </c>
      <c r="F63" s="10">
        <f t="shared" ref="F63:M63" si="14">SUM(F64:F69)</f>
        <v>190</v>
      </c>
      <c r="G63" s="10">
        <f t="shared" si="14"/>
        <v>300</v>
      </c>
      <c r="H63" s="10">
        <f t="shared" si="14"/>
        <v>840</v>
      </c>
      <c r="I63" s="10">
        <f t="shared" si="14"/>
        <v>960</v>
      </c>
      <c r="J63" s="10">
        <f t="shared" si="14"/>
        <v>0</v>
      </c>
      <c r="K63" s="10">
        <f t="shared" si="14"/>
        <v>0</v>
      </c>
      <c r="L63" s="10">
        <f t="shared" si="14"/>
        <v>0</v>
      </c>
      <c r="M63" s="10">
        <f t="shared" si="14"/>
        <v>0</v>
      </c>
    </row>
    <row r="64" spans="1:13" ht="14.15" customHeight="1" x14ac:dyDescent="0.35">
      <c r="A64" s="24"/>
      <c r="B64" s="24"/>
      <c r="C64" s="25" t="s">
        <v>96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1:13" ht="14.15" customHeight="1" x14ac:dyDescent="0.35">
      <c r="A65" s="24"/>
      <c r="B65" s="24"/>
      <c r="C65" s="25" t="s">
        <v>97</v>
      </c>
      <c r="D65" s="26"/>
      <c r="E65" s="26"/>
      <c r="F65" s="26"/>
      <c r="G65" s="26"/>
      <c r="H65" s="26">
        <v>720</v>
      </c>
      <c r="I65" s="26">
        <v>720</v>
      </c>
      <c r="J65" s="26"/>
      <c r="K65" s="26"/>
      <c r="L65" s="26"/>
      <c r="M65" s="26"/>
    </row>
    <row r="66" spans="1:13" ht="14.15" customHeight="1" x14ac:dyDescent="0.35">
      <c r="A66" s="24"/>
      <c r="B66" s="24"/>
      <c r="C66" s="25" t="s">
        <v>98</v>
      </c>
      <c r="D66" s="26"/>
      <c r="E66" s="26"/>
      <c r="F66" s="26"/>
      <c r="G66" s="26"/>
      <c r="H66" s="26"/>
      <c r="I66" s="26">
        <v>40</v>
      </c>
      <c r="J66" s="26"/>
      <c r="K66" s="26"/>
      <c r="L66" s="26"/>
      <c r="M66" s="26"/>
    </row>
    <row r="67" spans="1:13" ht="14.15" customHeight="1" x14ac:dyDescent="0.35">
      <c r="A67" s="24"/>
      <c r="B67" s="24"/>
      <c r="C67" s="25" t="s">
        <v>99</v>
      </c>
      <c r="D67" s="26"/>
      <c r="E67" s="26"/>
      <c r="F67" s="26"/>
      <c r="G67" s="26"/>
      <c r="H67" s="26"/>
      <c r="I67" s="26">
        <v>100</v>
      </c>
      <c r="J67" s="26"/>
      <c r="K67" s="26"/>
      <c r="L67" s="26"/>
      <c r="M67" s="26"/>
    </row>
    <row r="68" spans="1:13" ht="14.15" customHeight="1" x14ac:dyDescent="0.35">
      <c r="A68" s="24"/>
      <c r="B68" s="24"/>
      <c r="C68" s="25" t="s">
        <v>100</v>
      </c>
      <c r="D68" s="26"/>
      <c r="E68" s="26"/>
      <c r="F68" s="26">
        <v>120</v>
      </c>
      <c r="G68" s="26">
        <v>100</v>
      </c>
      <c r="H68" s="26">
        <v>120</v>
      </c>
      <c r="I68" s="26">
        <v>100</v>
      </c>
      <c r="J68" s="26"/>
      <c r="K68" s="26"/>
      <c r="L68" s="26"/>
      <c r="M68" s="26"/>
    </row>
    <row r="69" spans="1:13" ht="14.15" customHeight="1" x14ac:dyDescent="0.35">
      <c r="A69" s="24"/>
      <c r="B69" s="24"/>
      <c r="C69" s="25" t="s">
        <v>101</v>
      </c>
      <c r="D69" s="26"/>
      <c r="E69" s="26"/>
      <c r="F69" s="26">
        <v>70</v>
      </c>
      <c r="G69" s="26">
        <v>200</v>
      </c>
      <c r="H69" s="26"/>
      <c r="I69" s="26"/>
      <c r="J69" s="26"/>
      <c r="K69" s="26"/>
      <c r="L69" s="26"/>
      <c r="M69" s="26"/>
    </row>
    <row r="70" spans="1:13" s="3" customFormat="1" ht="14.15" customHeight="1" x14ac:dyDescent="0.35">
      <c r="A70" s="7" t="s">
        <v>102</v>
      </c>
      <c r="B70" s="7" t="s">
        <v>103</v>
      </c>
      <c r="C70" s="8" t="s">
        <v>104</v>
      </c>
      <c r="D70" s="9">
        <f>F70+H70+J70</f>
        <v>330</v>
      </c>
      <c r="E70" s="9">
        <f>G70+I70+K70</f>
        <v>290</v>
      </c>
      <c r="F70" s="10">
        <f t="shared" ref="F70:M70" si="15">SUM(F71:F72)</f>
        <v>147</v>
      </c>
      <c r="G70" s="10">
        <f t="shared" si="15"/>
        <v>145</v>
      </c>
      <c r="H70" s="10">
        <f t="shared" si="15"/>
        <v>183</v>
      </c>
      <c r="I70" s="10">
        <f t="shared" si="15"/>
        <v>145</v>
      </c>
      <c r="J70" s="10">
        <f t="shared" si="15"/>
        <v>0</v>
      </c>
      <c r="K70" s="10">
        <f t="shared" si="15"/>
        <v>0</v>
      </c>
      <c r="L70" s="10">
        <f t="shared" si="15"/>
        <v>0</v>
      </c>
      <c r="M70" s="10">
        <f t="shared" si="15"/>
        <v>0</v>
      </c>
    </row>
    <row r="71" spans="1:13" ht="14.15" customHeight="1" x14ac:dyDescent="0.35">
      <c r="A71" s="24"/>
      <c r="B71" s="24"/>
      <c r="C71" s="25" t="s">
        <v>105</v>
      </c>
      <c r="D71" s="26"/>
      <c r="E71" s="26"/>
      <c r="F71" s="26">
        <v>147</v>
      </c>
      <c r="G71" s="26">
        <v>145</v>
      </c>
      <c r="H71" s="26">
        <v>183</v>
      </c>
      <c r="I71" s="26">
        <v>145</v>
      </c>
      <c r="J71" s="26"/>
      <c r="K71" s="26"/>
      <c r="L71" s="26"/>
      <c r="M71" s="26"/>
    </row>
    <row r="72" spans="1:13" ht="14.15" customHeight="1" x14ac:dyDescent="0.35">
      <c r="A72" s="24"/>
      <c r="B72" s="24"/>
      <c r="C72" s="25" t="s">
        <v>106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3" s="3" customFormat="1" ht="14.15" customHeight="1" x14ac:dyDescent="0.35">
      <c r="A73" s="16" t="s">
        <v>107</v>
      </c>
      <c r="B73" s="16" t="s">
        <v>108</v>
      </c>
      <c r="C73" s="17" t="s">
        <v>109</v>
      </c>
      <c r="D73" s="19">
        <f>D63+D70</f>
        <v>1360</v>
      </c>
      <c r="E73" s="19">
        <f t="shared" ref="E73:K73" si="16">E63+E70</f>
        <v>1550</v>
      </c>
      <c r="F73" s="19">
        <f t="shared" si="16"/>
        <v>337</v>
      </c>
      <c r="G73" s="19">
        <f t="shared" si="16"/>
        <v>445</v>
      </c>
      <c r="H73" s="19">
        <f t="shared" si="16"/>
        <v>1023</v>
      </c>
      <c r="I73" s="19">
        <f t="shared" si="16"/>
        <v>1105</v>
      </c>
      <c r="J73" s="19">
        <f t="shared" si="16"/>
        <v>0</v>
      </c>
      <c r="K73" s="19">
        <f t="shared" si="16"/>
        <v>0</v>
      </c>
      <c r="L73" s="19">
        <f>L63+L70</f>
        <v>0</v>
      </c>
      <c r="M73" s="19">
        <f>M63+M70</f>
        <v>0</v>
      </c>
    </row>
    <row r="74" spans="1:13" s="3" customFormat="1" ht="14.15" customHeight="1" x14ac:dyDescent="0.35">
      <c r="A74" s="7" t="s">
        <v>110</v>
      </c>
      <c r="B74" s="7" t="s">
        <v>111</v>
      </c>
      <c r="C74" s="8" t="s">
        <v>112</v>
      </c>
      <c r="D74" s="9">
        <f>F74+H74+J74</f>
        <v>18425</v>
      </c>
      <c r="E74" s="9">
        <f>G74+I74+K74</f>
        <v>16180</v>
      </c>
      <c r="F74" s="10">
        <f t="shared" ref="F74:M74" si="17">SUM(F75:F77)</f>
        <v>0</v>
      </c>
      <c r="G74" s="10">
        <f t="shared" si="17"/>
        <v>0</v>
      </c>
      <c r="H74" s="10">
        <f t="shared" si="17"/>
        <v>18425</v>
      </c>
      <c r="I74" s="10">
        <f t="shared" si="17"/>
        <v>16180</v>
      </c>
      <c r="J74" s="10">
        <f t="shared" si="17"/>
        <v>0</v>
      </c>
      <c r="K74" s="10">
        <f t="shared" si="17"/>
        <v>0</v>
      </c>
      <c r="L74" s="10">
        <f t="shared" si="17"/>
        <v>0</v>
      </c>
      <c r="M74" s="10">
        <f t="shared" si="17"/>
        <v>0</v>
      </c>
    </row>
    <row r="75" spans="1:13" ht="14.15" customHeight="1" x14ac:dyDescent="0.35">
      <c r="A75" s="24"/>
      <c r="B75" s="24"/>
      <c r="C75" s="25" t="s">
        <v>113</v>
      </c>
      <c r="D75" s="26"/>
      <c r="E75" s="26"/>
      <c r="F75" s="26"/>
      <c r="G75" s="26"/>
      <c r="H75" s="26">
        <v>10000</v>
      </c>
      <c r="I75" s="26">
        <v>7020</v>
      </c>
      <c r="J75" s="26"/>
      <c r="K75" s="26"/>
      <c r="L75" s="26"/>
      <c r="M75" s="26"/>
    </row>
    <row r="76" spans="1:13" ht="14.15" customHeight="1" x14ac:dyDescent="0.35">
      <c r="A76" s="24"/>
      <c r="B76" s="24"/>
      <c r="C76" s="25" t="s">
        <v>114</v>
      </c>
      <c r="D76" s="26"/>
      <c r="E76" s="26"/>
      <c r="F76" s="26"/>
      <c r="G76" s="26"/>
      <c r="H76" s="26">
        <v>8000</v>
      </c>
      <c r="I76" s="26">
        <v>8660</v>
      </c>
      <c r="J76" s="26"/>
      <c r="K76" s="26"/>
      <c r="L76" s="26"/>
      <c r="M76" s="26"/>
    </row>
    <row r="77" spans="1:13" ht="14.15" customHeight="1" x14ac:dyDescent="0.35">
      <c r="A77" s="24"/>
      <c r="B77" s="24"/>
      <c r="C77" s="25" t="s">
        <v>115</v>
      </c>
      <c r="D77" s="26"/>
      <c r="E77" s="26"/>
      <c r="F77" s="26"/>
      <c r="G77" s="26"/>
      <c r="H77" s="26">
        <v>425</v>
      </c>
      <c r="I77" s="26">
        <v>500</v>
      </c>
      <c r="J77" s="26"/>
      <c r="K77" s="26"/>
      <c r="L77" s="26"/>
      <c r="M77" s="26"/>
    </row>
    <row r="78" spans="1:13" s="3" customFormat="1" ht="14.15" customHeight="1" x14ac:dyDescent="0.35">
      <c r="A78" s="7" t="s">
        <v>116</v>
      </c>
      <c r="B78" s="7" t="s">
        <v>117</v>
      </c>
      <c r="C78" s="8" t="s">
        <v>118</v>
      </c>
      <c r="D78" s="9">
        <f>F78+H78+J78</f>
        <v>0</v>
      </c>
      <c r="E78" s="9">
        <f>G78+I78+K78</f>
        <v>0</v>
      </c>
      <c r="F78" s="10">
        <v>0</v>
      </c>
      <c r="G78" s="10">
        <f>G79</f>
        <v>0</v>
      </c>
      <c r="H78" s="10">
        <v>0</v>
      </c>
      <c r="I78" s="10">
        <f>I79</f>
        <v>0</v>
      </c>
      <c r="J78" s="10">
        <f>J79</f>
        <v>0</v>
      </c>
      <c r="K78" s="10">
        <f>K79</f>
        <v>0</v>
      </c>
      <c r="L78" s="10">
        <f>L79</f>
        <v>0</v>
      </c>
      <c r="M78" s="10">
        <f>M79</f>
        <v>0</v>
      </c>
    </row>
    <row r="79" spans="1:13" s="3" customFormat="1" ht="14.15" customHeight="1" x14ac:dyDescent="0.35">
      <c r="A79" s="24"/>
      <c r="B79" s="24"/>
      <c r="C79" s="25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s="3" customFormat="1" ht="14.15" customHeight="1" x14ac:dyDescent="0.35">
      <c r="A80" s="7" t="s">
        <v>119</v>
      </c>
      <c r="B80" s="7" t="s">
        <v>120</v>
      </c>
      <c r="C80" s="8" t="s">
        <v>121</v>
      </c>
      <c r="D80" s="9">
        <f>F80+H80+J80</f>
        <v>85</v>
      </c>
      <c r="E80" s="9">
        <f>G80+I80+K80</f>
        <v>358</v>
      </c>
      <c r="F80" s="10">
        <f t="shared" ref="F80:M80" si="18">SUM(F81:F82)</f>
        <v>0</v>
      </c>
      <c r="G80" s="10">
        <f t="shared" si="18"/>
        <v>200</v>
      </c>
      <c r="H80" s="10">
        <f t="shared" si="18"/>
        <v>85</v>
      </c>
      <c r="I80" s="10">
        <f t="shared" si="18"/>
        <v>158</v>
      </c>
      <c r="J80" s="10">
        <f t="shared" si="18"/>
        <v>0</v>
      </c>
      <c r="K80" s="10">
        <f t="shared" si="18"/>
        <v>0</v>
      </c>
      <c r="L80" s="10">
        <f t="shared" si="18"/>
        <v>0</v>
      </c>
      <c r="M80" s="10">
        <f t="shared" si="18"/>
        <v>0</v>
      </c>
    </row>
    <row r="81" spans="1:13" ht="14.15" customHeight="1" x14ac:dyDescent="0.35">
      <c r="A81" s="24"/>
      <c r="B81" s="24"/>
      <c r="C81" s="25" t="s">
        <v>122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</row>
    <row r="82" spans="1:13" ht="14.15" customHeight="1" x14ac:dyDescent="0.35">
      <c r="A82" s="24"/>
      <c r="B82" s="24"/>
      <c r="C82" s="25" t="s">
        <v>123</v>
      </c>
      <c r="D82" s="26"/>
      <c r="E82" s="26"/>
      <c r="F82" s="26"/>
      <c r="G82" s="26">
        <v>200</v>
      </c>
      <c r="H82" s="26">
        <v>85</v>
      </c>
      <c r="I82" s="26">
        <v>158</v>
      </c>
      <c r="J82" s="26"/>
      <c r="K82" s="26"/>
      <c r="L82" s="26"/>
      <c r="M82" s="26"/>
    </row>
    <row r="83" spans="1:13" s="3" customFormat="1" ht="14.15" customHeight="1" x14ac:dyDescent="0.35">
      <c r="A83" s="7" t="s">
        <v>124</v>
      </c>
      <c r="B83" s="7" t="s">
        <v>125</v>
      </c>
      <c r="C83" s="8" t="s">
        <v>126</v>
      </c>
      <c r="D83" s="9">
        <f>F83+H83+J83</f>
        <v>9892</v>
      </c>
      <c r="E83" s="9">
        <f>G83+I83+K83</f>
        <v>13082</v>
      </c>
      <c r="F83" s="10">
        <v>0</v>
      </c>
      <c r="G83" s="10">
        <v>0</v>
      </c>
      <c r="H83" s="10">
        <v>9892</v>
      </c>
      <c r="I83" s="10">
        <v>13082</v>
      </c>
      <c r="J83" s="10">
        <v>0</v>
      </c>
      <c r="K83" s="10"/>
      <c r="L83" s="10">
        <v>0</v>
      </c>
      <c r="M83" s="10"/>
    </row>
    <row r="84" spans="1:13" s="3" customFormat="1" ht="14.15" customHeight="1" x14ac:dyDescent="0.35">
      <c r="A84" s="7" t="s">
        <v>127</v>
      </c>
      <c r="B84" s="7" t="s">
        <v>128</v>
      </c>
      <c r="C84" s="8" t="s">
        <v>129</v>
      </c>
      <c r="D84" s="9">
        <f>F84+H84+J84</f>
        <v>2570</v>
      </c>
      <c r="E84" s="9">
        <f>G84+I84+K84</f>
        <v>2520</v>
      </c>
      <c r="F84" s="10">
        <f t="shared" ref="F84:M84" si="19">SUM(F85:F86)</f>
        <v>0</v>
      </c>
      <c r="G84" s="10">
        <f t="shared" si="19"/>
        <v>0</v>
      </c>
      <c r="H84" s="10">
        <f t="shared" si="19"/>
        <v>2570</v>
      </c>
      <c r="I84" s="10">
        <f t="shared" si="19"/>
        <v>2520</v>
      </c>
      <c r="J84" s="10">
        <f t="shared" si="19"/>
        <v>0</v>
      </c>
      <c r="K84" s="10">
        <f t="shared" si="19"/>
        <v>0</v>
      </c>
      <c r="L84" s="10">
        <f t="shared" si="19"/>
        <v>0</v>
      </c>
      <c r="M84" s="10">
        <f t="shared" si="19"/>
        <v>0</v>
      </c>
    </row>
    <row r="85" spans="1:13" ht="14.15" customHeight="1" x14ac:dyDescent="0.35">
      <c r="A85" s="24"/>
      <c r="B85" s="24"/>
      <c r="C85" s="25" t="s">
        <v>130</v>
      </c>
      <c r="D85" s="26"/>
      <c r="E85" s="26"/>
      <c r="F85" s="26"/>
      <c r="G85" s="26"/>
      <c r="H85" s="26">
        <v>2120</v>
      </c>
      <c r="I85" s="26">
        <v>2120</v>
      </c>
      <c r="J85" s="26"/>
      <c r="K85" s="26"/>
      <c r="L85" s="26"/>
      <c r="M85" s="26"/>
    </row>
    <row r="86" spans="1:13" ht="14.15" customHeight="1" x14ac:dyDescent="0.35">
      <c r="A86" s="24"/>
      <c r="B86" s="24"/>
      <c r="C86" s="25" t="s">
        <v>131</v>
      </c>
      <c r="D86" s="26"/>
      <c r="E86" s="26"/>
      <c r="F86" s="26"/>
      <c r="G86" s="26"/>
      <c r="H86" s="26">
        <v>450</v>
      </c>
      <c r="I86" s="26">
        <v>400</v>
      </c>
      <c r="J86" s="26"/>
      <c r="K86" s="26"/>
      <c r="L86" s="26"/>
      <c r="M86" s="26"/>
    </row>
    <row r="87" spans="1:13" s="3" customFormat="1" ht="14.15" customHeight="1" x14ac:dyDescent="0.35">
      <c r="A87" s="7" t="s">
        <v>132</v>
      </c>
      <c r="B87" s="7" t="s">
        <v>133</v>
      </c>
      <c r="C87" s="8" t="s">
        <v>134</v>
      </c>
      <c r="D87" s="9">
        <f>F87+H87+J87</f>
        <v>14845</v>
      </c>
      <c r="E87" s="9">
        <f>G87+I87+K87+M87</f>
        <v>15845</v>
      </c>
      <c r="F87" s="10">
        <f t="shared" ref="F87:M87" si="20">SUM(F88:F90)</f>
        <v>11845</v>
      </c>
      <c r="G87" s="10">
        <f t="shared" si="20"/>
        <v>11845</v>
      </c>
      <c r="H87" s="10">
        <f t="shared" si="20"/>
        <v>0</v>
      </c>
      <c r="I87" s="10">
        <f t="shared" si="20"/>
        <v>0</v>
      </c>
      <c r="J87" s="10">
        <f t="shared" si="20"/>
        <v>3000</v>
      </c>
      <c r="K87" s="10">
        <f t="shared" si="20"/>
        <v>3000</v>
      </c>
      <c r="L87" s="10">
        <f t="shared" si="20"/>
        <v>0</v>
      </c>
      <c r="M87" s="10">
        <f t="shared" si="20"/>
        <v>1000</v>
      </c>
    </row>
    <row r="88" spans="1:13" ht="14.15" customHeight="1" x14ac:dyDescent="0.35">
      <c r="A88" s="24"/>
      <c r="B88" s="24"/>
      <c r="C88" s="25" t="s">
        <v>135</v>
      </c>
      <c r="D88" s="26"/>
      <c r="E88" s="26"/>
      <c r="F88" s="26">
        <v>0</v>
      </c>
      <c r="G88" s="26">
        <v>0</v>
      </c>
      <c r="H88" s="26">
        <v>0</v>
      </c>
      <c r="I88" s="26">
        <v>0</v>
      </c>
      <c r="J88" s="26"/>
      <c r="K88" s="26"/>
      <c r="L88" s="26"/>
      <c r="M88" s="26"/>
    </row>
    <row r="89" spans="1:13" ht="14.15" customHeight="1" x14ac:dyDescent="0.35">
      <c r="A89" s="24"/>
      <c r="B89" s="24"/>
      <c r="C89" s="25" t="s">
        <v>136</v>
      </c>
      <c r="D89" s="26"/>
      <c r="E89" s="26"/>
      <c r="F89" s="26">
        <v>5345</v>
      </c>
      <c r="G89" s="26">
        <v>5345</v>
      </c>
      <c r="H89" s="26">
        <v>0</v>
      </c>
      <c r="I89" s="26">
        <v>0</v>
      </c>
      <c r="J89" s="26">
        <v>1500</v>
      </c>
      <c r="K89" s="26">
        <v>1500</v>
      </c>
      <c r="L89" s="26">
        <v>0</v>
      </c>
      <c r="M89" s="26">
        <v>1000</v>
      </c>
    </row>
    <row r="90" spans="1:13" ht="14.15" customHeight="1" x14ac:dyDescent="0.35">
      <c r="A90" s="24"/>
      <c r="B90" s="24"/>
      <c r="C90" s="25" t="s">
        <v>137</v>
      </c>
      <c r="D90" s="26"/>
      <c r="E90" s="26"/>
      <c r="F90" s="26">
        <v>6500</v>
      </c>
      <c r="G90" s="26">
        <v>6500</v>
      </c>
      <c r="H90" s="26">
        <v>0</v>
      </c>
      <c r="I90" s="26">
        <v>0</v>
      </c>
      <c r="J90" s="26">
        <v>1500</v>
      </c>
      <c r="K90" s="26">
        <v>1500</v>
      </c>
      <c r="L90" s="26">
        <v>0</v>
      </c>
      <c r="M90" s="26">
        <v>0</v>
      </c>
    </row>
    <row r="91" spans="1:13" s="3" customFormat="1" ht="14.15" customHeight="1" x14ac:dyDescent="0.35">
      <c r="A91" s="7" t="s">
        <v>138</v>
      </c>
      <c r="B91" s="7" t="s">
        <v>139</v>
      </c>
      <c r="C91" s="8" t="s">
        <v>140</v>
      </c>
      <c r="D91" s="9">
        <f>F91+H91+J91</f>
        <v>11608</v>
      </c>
      <c r="E91" s="9">
        <f>G91+I91+K91+M91</f>
        <v>15965</v>
      </c>
      <c r="F91" s="10">
        <f t="shared" ref="F91:M91" si="21">SUM(F92:F95)</f>
        <v>140</v>
      </c>
      <c r="G91" s="10">
        <f t="shared" si="21"/>
        <v>100</v>
      </c>
      <c r="H91" s="10">
        <f t="shared" si="21"/>
        <v>11468</v>
      </c>
      <c r="I91" s="10">
        <f t="shared" si="21"/>
        <v>11865</v>
      </c>
      <c r="J91" s="10">
        <f t="shared" si="21"/>
        <v>0</v>
      </c>
      <c r="K91" s="10">
        <f t="shared" si="21"/>
        <v>0</v>
      </c>
      <c r="L91" s="10">
        <f t="shared" si="21"/>
        <v>0</v>
      </c>
      <c r="M91" s="10">
        <f t="shared" si="21"/>
        <v>4000</v>
      </c>
    </row>
    <row r="92" spans="1:13" ht="14.15" customHeight="1" x14ac:dyDescent="0.35">
      <c r="A92" s="24"/>
      <c r="B92" s="24"/>
      <c r="C92" s="25" t="s">
        <v>141</v>
      </c>
      <c r="D92" s="26"/>
      <c r="E92" s="26"/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</row>
    <row r="93" spans="1:13" ht="14.15" customHeight="1" x14ac:dyDescent="0.35">
      <c r="A93" s="24"/>
      <c r="B93" s="24"/>
      <c r="C93" s="25" t="s">
        <v>142</v>
      </c>
      <c r="D93" s="26"/>
      <c r="E93" s="26"/>
      <c r="F93" s="26">
        <v>0</v>
      </c>
      <c r="G93" s="26">
        <v>0</v>
      </c>
      <c r="H93" s="26">
        <v>300</v>
      </c>
      <c r="I93" s="26">
        <v>300</v>
      </c>
      <c r="J93" s="26">
        <v>0</v>
      </c>
      <c r="K93" s="26">
        <v>0</v>
      </c>
      <c r="L93" s="26">
        <v>0</v>
      </c>
      <c r="M93" s="26">
        <v>0</v>
      </c>
    </row>
    <row r="94" spans="1:13" ht="14.15" customHeight="1" x14ac:dyDescent="0.35">
      <c r="A94" s="24"/>
      <c r="B94" s="24"/>
      <c r="C94" s="25" t="s">
        <v>143</v>
      </c>
      <c r="D94" s="26"/>
      <c r="E94" s="26"/>
      <c r="F94" s="26">
        <v>140</v>
      </c>
      <c r="G94" s="26">
        <v>100</v>
      </c>
      <c r="H94" s="26">
        <v>30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</row>
    <row r="95" spans="1:13" ht="14.15" customHeight="1" x14ac:dyDescent="0.35">
      <c r="A95" s="24"/>
      <c r="B95" s="24"/>
      <c r="C95" s="25" t="s">
        <v>144</v>
      </c>
      <c r="D95" s="26"/>
      <c r="E95" s="26"/>
      <c r="F95" s="26">
        <v>0</v>
      </c>
      <c r="G95" s="26">
        <v>0</v>
      </c>
      <c r="H95" s="26">
        <v>11138</v>
      </c>
      <c r="I95" s="26">
        <v>11565</v>
      </c>
      <c r="J95" s="26">
        <v>0</v>
      </c>
      <c r="K95" s="26">
        <v>0</v>
      </c>
      <c r="L95" s="26">
        <v>0</v>
      </c>
      <c r="M95" s="26">
        <v>4000</v>
      </c>
    </row>
    <row r="96" spans="1:13" s="3" customFormat="1" ht="14.15" customHeight="1" x14ac:dyDescent="0.35">
      <c r="A96" s="16" t="s">
        <v>145</v>
      </c>
      <c r="B96" s="16" t="s">
        <v>146</v>
      </c>
      <c r="C96" s="17" t="s">
        <v>147</v>
      </c>
      <c r="D96" s="19">
        <f>D74+D78+D80+D83+D84+D87+D91</f>
        <v>57425</v>
      </c>
      <c r="E96" s="19">
        <f t="shared" ref="E96:K96" si="22">E74+E78+E80+E83+E84+E87+E91</f>
        <v>63950</v>
      </c>
      <c r="F96" s="19">
        <f t="shared" si="22"/>
        <v>11985</v>
      </c>
      <c r="G96" s="19">
        <f t="shared" si="22"/>
        <v>12145</v>
      </c>
      <c r="H96" s="19">
        <f t="shared" si="22"/>
        <v>42440</v>
      </c>
      <c r="I96" s="19">
        <f t="shared" si="22"/>
        <v>43805</v>
      </c>
      <c r="J96" s="19">
        <f t="shared" si="22"/>
        <v>3000</v>
      </c>
      <c r="K96" s="19">
        <f t="shared" si="22"/>
        <v>3000</v>
      </c>
      <c r="L96" s="19">
        <f>L74+L78+L80+L83+L84+L87+L91</f>
        <v>0</v>
      </c>
      <c r="M96" s="19">
        <f>M74+M78+M80+M83+M84+M87+M91</f>
        <v>5000</v>
      </c>
    </row>
    <row r="97" spans="1:13" s="3" customFormat="1" ht="14.15" customHeight="1" x14ac:dyDescent="0.35">
      <c r="A97" s="7" t="s">
        <v>148</v>
      </c>
      <c r="B97" s="7" t="s">
        <v>149</v>
      </c>
      <c r="C97" s="8" t="s">
        <v>150</v>
      </c>
      <c r="D97" s="9">
        <f>F97+H97+J97</f>
        <v>55</v>
      </c>
      <c r="E97" s="9">
        <f>G97+I97+K97</f>
        <v>60</v>
      </c>
      <c r="F97" s="10">
        <f t="shared" ref="F97:M97" si="23">SUM(F98:F99)</f>
        <v>15</v>
      </c>
      <c r="G97" s="10">
        <f t="shared" si="23"/>
        <v>0</v>
      </c>
      <c r="H97" s="10">
        <f t="shared" si="23"/>
        <v>40</v>
      </c>
      <c r="I97" s="10">
        <f t="shared" si="23"/>
        <v>60</v>
      </c>
      <c r="J97" s="10">
        <f t="shared" si="23"/>
        <v>0</v>
      </c>
      <c r="K97" s="10">
        <f t="shared" si="23"/>
        <v>0</v>
      </c>
      <c r="L97" s="10">
        <f t="shared" si="23"/>
        <v>0</v>
      </c>
      <c r="M97" s="10">
        <f t="shared" si="23"/>
        <v>0</v>
      </c>
    </row>
    <row r="98" spans="1:13" ht="14.15" customHeight="1" x14ac:dyDescent="0.35">
      <c r="A98" s="24"/>
      <c r="B98" s="24"/>
      <c r="C98" s="25" t="s">
        <v>151</v>
      </c>
      <c r="D98" s="26"/>
      <c r="E98" s="26"/>
      <c r="F98" s="26">
        <v>15</v>
      </c>
      <c r="G98" s="26"/>
      <c r="H98" s="26">
        <v>40</v>
      </c>
      <c r="I98" s="26">
        <v>60</v>
      </c>
      <c r="J98" s="26"/>
      <c r="K98" s="26"/>
      <c r="L98" s="26"/>
      <c r="M98" s="26"/>
    </row>
    <row r="99" spans="1:13" ht="14.15" customHeight="1" x14ac:dyDescent="0.35">
      <c r="A99" s="24"/>
      <c r="B99" s="24"/>
      <c r="C99" s="25" t="s">
        <v>152</v>
      </c>
      <c r="D99" s="26"/>
      <c r="E99" s="26"/>
      <c r="F99" s="26"/>
      <c r="G99" s="26"/>
      <c r="H99" s="26"/>
      <c r="I99" s="26"/>
      <c r="J99" s="26"/>
      <c r="K99" s="26"/>
      <c r="L99" s="26"/>
      <c r="M99" s="26"/>
    </row>
    <row r="100" spans="1:13" s="3" customFormat="1" ht="14.15" customHeight="1" x14ac:dyDescent="0.35">
      <c r="A100" s="7" t="s">
        <v>153</v>
      </c>
      <c r="B100" s="7" t="s">
        <v>154</v>
      </c>
      <c r="C100" s="8" t="s">
        <v>155</v>
      </c>
      <c r="D100" s="9">
        <f>F100+H100+J100</f>
        <v>1500</v>
      </c>
      <c r="E100" s="9">
        <f>G100+I100+K100+M100</f>
        <v>2748</v>
      </c>
      <c r="F100" s="10">
        <v>1500</v>
      </c>
      <c r="G100" s="10">
        <v>2548</v>
      </c>
      <c r="H100" s="10">
        <v>0</v>
      </c>
      <c r="I100" s="10">
        <v>0</v>
      </c>
      <c r="J100" s="10">
        <v>0</v>
      </c>
      <c r="K100" s="10">
        <v>100</v>
      </c>
      <c r="L100" s="10">
        <v>0</v>
      </c>
      <c r="M100" s="10">
        <v>100</v>
      </c>
    </row>
    <row r="101" spans="1:13" s="3" customFormat="1" ht="14.15" customHeight="1" x14ac:dyDescent="0.35">
      <c r="A101" s="16" t="s">
        <v>156</v>
      </c>
      <c r="B101" s="16" t="s">
        <v>157</v>
      </c>
      <c r="C101" s="17" t="s">
        <v>158</v>
      </c>
      <c r="D101" s="19">
        <f>D97+D100</f>
        <v>1555</v>
      </c>
      <c r="E101" s="19">
        <f t="shared" ref="E101:K101" si="24">E97+E100</f>
        <v>2808</v>
      </c>
      <c r="F101" s="19">
        <f t="shared" si="24"/>
        <v>1515</v>
      </c>
      <c r="G101" s="19">
        <f t="shared" si="24"/>
        <v>2548</v>
      </c>
      <c r="H101" s="19">
        <f t="shared" si="24"/>
        <v>40</v>
      </c>
      <c r="I101" s="19">
        <f t="shared" si="24"/>
        <v>60</v>
      </c>
      <c r="J101" s="19">
        <f t="shared" si="24"/>
        <v>0</v>
      </c>
      <c r="K101" s="19">
        <f t="shared" si="24"/>
        <v>100</v>
      </c>
      <c r="L101" s="19">
        <f>L97+L100</f>
        <v>0</v>
      </c>
      <c r="M101" s="19">
        <f>M97+M100</f>
        <v>100</v>
      </c>
    </row>
    <row r="102" spans="1:13" s="3" customFormat="1" ht="14.15" customHeight="1" x14ac:dyDescent="0.35">
      <c r="A102" s="7" t="s">
        <v>159</v>
      </c>
      <c r="B102" s="7" t="s">
        <v>160</v>
      </c>
      <c r="C102" s="8" t="s">
        <v>161</v>
      </c>
      <c r="D102" s="9">
        <f>F102+H102+J102</f>
        <v>14856</v>
      </c>
      <c r="E102" s="9">
        <f>G102+I102+K102+M102</f>
        <v>16924</v>
      </c>
      <c r="F102" s="10">
        <f t="shared" ref="F102:M102" si="25">SUM(F103:F104)</f>
        <v>1878</v>
      </c>
      <c r="G102" s="10">
        <f t="shared" si="25"/>
        <v>2236</v>
      </c>
      <c r="H102" s="10">
        <f t="shared" si="25"/>
        <v>12141</v>
      </c>
      <c r="I102" s="10">
        <f t="shared" si="25"/>
        <v>12487</v>
      </c>
      <c r="J102" s="10">
        <f t="shared" si="25"/>
        <v>837</v>
      </c>
      <c r="K102" s="10">
        <f t="shared" si="25"/>
        <v>851</v>
      </c>
      <c r="L102" s="10">
        <f t="shared" si="25"/>
        <v>0</v>
      </c>
      <c r="M102" s="10">
        <f t="shared" si="25"/>
        <v>1350</v>
      </c>
    </row>
    <row r="103" spans="1:13" ht="14.15" customHeight="1" x14ac:dyDescent="0.35">
      <c r="A103" s="24"/>
      <c r="B103" s="24"/>
      <c r="C103" s="25" t="s">
        <v>162</v>
      </c>
      <c r="D103" s="26"/>
      <c r="E103" s="26"/>
      <c r="F103" s="26">
        <v>1239</v>
      </c>
      <c r="G103" s="26">
        <v>1252</v>
      </c>
      <c r="H103" s="26">
        <v>701</v>
      </c>
      <c r="I103" s="26">
        <v>691</v>
      </c>
      <c r="J103" s="26">
        <v>810</v>
      </c>
      <c r="K103" s="26">
        <v>810</v>
      </c>
      <c r="L103" s="26">
        <v>0</v>
      </c>
      <c r="M103" s="26"/>
    </row>
    <row r="104" spans="1:13" ht="14.15" customHeight="1" x14ac:dyDescent="0.35">
      <c r="A104" s="24"/>
      <c r="B104" s="24"/>
      <c r="C104" s="25" t="s">
        <v>163</v>
      </c>
      <c r="D104" s="26"/>
      <c r="E104" s="26"/>
      <c r="F104" s="26">
        <v>639</v>
      </c>
      <c r="G104" s="26">
        <v>984</v>
      </c>
      <c r="H104" s="26">
        <v>11440</v>
      </c>
      <c r="I104" s="26">
        <v>11796</v>
      </c>
      <c r="J104" s="26">
        <v>27</v>
      </c>
      <c r="K104" s="26">
        <v>41</v>
      </c>
      <c r="L104" s="26">
        <v>0</v>
      </c>
      <c r="M104" s="26">
        <f>ROUND(M96*0.27,0)</f>
        <v>1350</v>
      </c>
    </row>
    <row r="105" spans="1:13" s="3" customFormat="1" ht="14.15" customHeight="1" x14ac:dyDescent="0.35">
      <c r="A105" s="7" t="s">
        <v>164</v>
      </c>
      <c r="B105" s="7" t="s">
        <v>165</v>
      </c>
      <c r="C105" s="8" t="s">
        <v>166</v>
      </c>
      <c r="D105" s="9">
        <f>F105+H105+J105</f>
        <v>4000</v>
      </c>
      <c r="E105" s="9">
        <f>G105+I105+K105</f>
        <v>4500</v>
      </c>
      <c r="F105" s="10">
        <f t="shared" ref="F105:M105" si="26">SUM(F106:F108)</f>
        <v>2000</v>
      </c>
      <c r="G105" s="10">
        <f t="shared" si="26"/>
        <v>0</v>
      </c>
      <c r="H105" s="10">
        <f t="shared" si="26"/>
        <v>2000</v>
      </c>
      <c r="I105" s="10">
        <f t="shared" si="26"/>
        <v>4500</v>
      </c>
      <c r="J105" s="10">
        <f t="shared" si="26"/>
        <v>0</v>
      </c>
      <c r="K105" s="10">
        <f t="shared" si="26"/>
        <v>0</v>
      </c>
      <c r="L105" s="10">
        <f t="shared" si="26"/>
        <v>0</v>
      </c>
      <c r="M105" s="10">
        <f t="shared" si="26"/>
        <v>0</v>
      </c>
    </row>
    <row r="106" spans="1:13" ht="14.15" customHeight="1" x14ac:dyDescent="0.35">
      <c r="A106" s="24"/>
      <c r="B106" s="24"/>
      <c r="C106" s="25" t="s">
        <v>167</v>
      </c>
      <c r="D106" s="26"/>
      <c r="E106" s="26"/>
      <c r="F106" s="26">
        <v>2000</v>
      </c>
      <c r="G106" s="26"/>
      <c r="H106" s="26">
        <v>2000</v>
      </c>
      <c r="I106" s="26">
        <v>4500</v>
      </c>
      <c r="J106" s="26"/>
      <c r="K106" s="26"/>
      <c r="L106" s="26"/>
      <c r="M106" s="26"/>
    </row>
    <row r="107" spans="1:13" ht="14.15" customHeight="1" x14ac:dyDescent="0.35">
      <c r="A107" s="24"/>
      <c r="B107" s="24"/>
      <c r="C107" s="25" t="s">
        <v>168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</row>
    <row r="108" spans="1:13" ht="14.15" customHeight="1" x14ac:dyDescent="0.35">
      <c r="A108" s="24"/>
      <c r="B108" s="24"/>
      <c r="C108" s="25" t="s">
        <v>169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1:13" s="3" customFormat="1" ht="14.15" customHeight="1" x14ac:dyDescent="0.35">
      <c r="A109" s="7" t="s">
        <v>170</v>
      </c>
      <c r="B109" s="7" t="s">
        <v>171</v>
      </c>
      <c r="C109" s="8" t="s">
        <v>172</v>
      </c>
      <c r="D109" s="9">
        <f>F109+H109+J109</f>
        <v>0</v>
      </c>
      <c r="E109" s="9">
        <f>G109+I109+K109</f>
        <v>0</v>
      </c>
      <c r="F109" s="10">
        <f t="shared" ref="F109:M109" si="27">SUM(F110:F113)</f>
        <v>0</v>
      </c>
      <c r="G109" s="10">
        <f t="shared" si="27"/>
        <v>0</v>
      </c>
      <c r="H109" s="10">
        <f t="shared" si="27"/>
        <v>0</v>
      </c>
      <c r="I109" s="10">
        <f t="shared" si="27"/>
        <v>0</v>
      </c>
      <c r="J109" s="10">
        <f t="shared" si="27"/>
        <v>0</v>
      </c>
      <c r="K109" s="10">
        <f t="shared" si="27"/>
        <v>0</v>
      </c>
      <c r="L109" s="10">
        <f t="shared" si="27"/>
        <v>0</v>
      </c>
      <c r="M109" s="10">
        <f t="shared" si="27"/>
        <v>0</v>
      </c>
    </row>
    <row r="110" spans="1:13" ht="14.15" customHeight="1" x14ac:dyDescent="0.35">
      <c r="A110" s="24"/>
      <c r="B110" s="24"/>
      <c r="C110" s="25" t="s">
        <v>173</v>
      </c>
      <c r="D110" s="26"/>
      <c r="E110" s="26"/>
      <c r="F110" s="26"/>
      <c r="G110" s="26"/>
      <c r="H110" s="26"/>
      <c r="I110" s="26"/>
      <c r="J110" s="26"/>
      <c r="K110" s="26"/>
      <c r="L110" s="26"/>
      <c r="M110" s="26"/>
    </row>
    <row r="111" spans="1:13" ht="14.15" customHeight="1" x14ac:dyDescent="0.35">
      <c r="A111" s="24"/>
      <c r="B111" s="24"/>
      <c r="C111" s="25" t="s">
        <v>174</v>
      </c>
      <c r="D111" s="26"/>
      <c r="E111" s="26"/>
      <c r="F111" s="26"/>
      <c r="G111" s="26"/>
      <c r="H111" s="26"/>
      <c r="I111" s="26"/>
      <c r="J111" s="26"/>
      <c r="K111" s="26"/>
      <c r="L111" s="26"/>
      <c r="M111" s="26"/>
    </row>
    <row r="112" spans="1:13" ht="14.15" customHeight="1" x14ac:dyDescent="0.35">
      <c r="A112" s="24"/>
      <c r="B112" s="24"/>
      <c r="C112" s="25" t="s">
        <v>175</v>
      </c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254" ht="14.15" customHeight="1" x14ac:dyDescent="0.35">
      <c r="A113" s="24"/>
      <c r="B113" s="24"/>
      <c r="C113" s="25" t="s">
        <v>176</v>
      </c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254" s="3" customFormat="1" ht="14.15" customHeight="1" x14ac:dyDescent="0.35">
      <c r="A114" s="7" t="s">
        <v>177</v>
      </c>
      <c r="B114" s="7" t="s">
        <v>178</v>
      </c>
      <c r="C114" s="8" t="s">
        <v>179</v>
      </c>
      <c r="D114" s="9">
        <f>F114+H114+J114</f>
        <v>0</v>
      </c>
      <c r="E114" s="9">
        <f>G114+I114+K114</f>
        <v>0</v>
      </c>
      <c r="F114" s="10">
        <f t="shared" ref="F114:M114" si="28">SUM(F115:F116)</f>
        <v>0</v>
      </c>
      <c r="G114" s="10">
        <f t="shared" si="28"/>
        <v>0</v>
      </c>
      <c r="H114" s="10">
        <f t="shared" si="28"/>
        <v>0</v>
      </c>
      <c r="I114" s="10">
        <f t="shared" si="28"/>
        <v>0</v>
      </c>
      <c r="J114" s="10">
        <f t="shared" si="28"/>
        <v>0</v>
      </c>
      <c r="K114" s="10">
        <f t="shared" si="28"/>
        <v>0</v>
      </c>
      <c r="L114" s="10">
        <f t="shared" si="28"/>
        <v>0</v>
      </c>
      <c r="M114" s="10">
        <f t="shared" si="28"/>
        <v>0</v>
      </c>
    </row>
    <row r="115" spans="1:254" ht="14.15" customHeight="1" x14ac:dyDescent="0.35">
      <c r="A115" s="24"/>
      <c r="B115" s="24"/>
      <c r="C115" s="25" t="s">
        <v>180</v>
      </c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254" ht="14.15" customHeight="1" x14ac:dyDescent="0.35">
      <c r="A116" s="24"/>
      <c r="B116" s="24"/>
      <c r="C116" s="25" t="s">
        <v>181</v>
      </c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254" s="3" customFormat="1" ht="14.15" customHeight="1" x14ac:dyDescent="0.35">
      <c r="A117" s="7" t="s">
        <v>182</v>
      </c>
      <c r="B117" s="7" t="s">
        <v>183</v>
      </c>
      <c r="C117" s="8" t="s">
        <v>184</v>
      </c>
      <c r="D117" s="9">
        <f>F117+H117+J117</f>
        <v>300</v>
      </c>
      <c r="E117" s="9">
        <f>G117+I117+K117+M117</f>
        <v>239</v>
      </c>
      <c r="F117" s="10">
        <f t="shared" ref="F117:M117" si="29">SUM(F118:F121)</f>
        <v>200</v>
      </c>
      <c r="G117" s="10">
        <f t="shared" si="29"/>
        <v>200</v>
      </c>
      <c r="H117" s="10">
        <f t="shared" si="29"/>
        <v>50</v>
      </c>
      <c r="I117" s="10">
        <f t="shared" si="29"/>
        <v>0</v>
      </c>
      <c r="J117" s="10">
        <f t="shared" si="29"/>
        <v>50</v>
      </c>
      <c r="K117" s="10">
        <f t="shared" si="29"/>
        <v>0</v>
      </c>
      <c r="L117" s="10">
        <f t="shared" si="29"/>
        <v>0</v>
      </c>
      <c r="M117" s="10">
        <f t="shared" si="29"/>
        <v>39</v>
      </c>
    </row>
    <row r="118" spans="1:254" ht="14.15" customHeight="1" x14ac:dyDescent="0.35">
      <c r="A118" s="24"/>
      <c r="B118" s="24"/>
      <c r="C118" s="25" t="s">
        <v>185</v>
      </c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254" ht="14.15" customHeight="1" x14ac:dyDescent="0.35">
      <c r="A119" s="24"/>
      <c r="B119" s="24"/>
      <c r="C119" s="25" t="s">
        <v>186</v>
      </c>
      <c r="D119" s="26"/>
      <c r="E119" s="26"/>
      <c r="F119" s="26">
        <v>200</v>
      </c>
      <c r="G119" s="26">
        <v>200</v>
      </c>
      <c r="H119" s="26">
        <v>50</v>
      </c>
      <c r="I119" s="26"/>
      <c r="J119" s="26">
        <v>50</v>
      </c>
      <c r="K119" s="26"/>
      <c r="L119" s="26">
        <v>0</v>
      </c>
      <c r="M119" s="26"/>
    </row>
    <row r="120" spans="1:254" ht="14.15" customHeight="1" x14ac:dyDescent="0.35">
      <c r="A120" s="24"/>
      <c r="B120" s="24"/>
      <c r="C120" s="25" t="s">
        <v>187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254" ht="14.15" customHeight="1" x14ac:dyDescent="0.35">
      <c r="A121" s="24"/>
      <c r="B121" s="24"/>
      <c r="C121" s="25" t="s">
        <v>188</v>
      </c>
      <c r="D121" s="26"/>
      <c r="E121" s="26"/>
      <c r="F121" s="26"/>
      <c r="G121" s="26"/>
      <c r="H121" s="26"/>
      <c r="I121" s="26"/>
      <c r="J121" s="26"/>
      <c r="K121" s="26"/>
      <c r="L121" s="26"/>
      <c r="M121" s="26">
        <v>39</v>
      </c>
    </row>
    <row r="122" spans="1:254" s="3" customFormat="1" ht="14.15" customHeight="1" x14ac:dyDescent="0.35">
      <c r="A122" s="16" t="s">
        <v>189</v>
      </c>
      <c r="B122" s="16" t="s">
        <v>190</v>
      </c>
      <c r="C122" s="17" t="s">
        <v>191</v>
      </c>
      <c r="D122" s="19">
        <f>D102+D105+D109+D114+D117</f>
        <v>19156</v>
      </c>
      <c r="E122" s="19">
        <f t="shared" ref="E122:K122" si="30">E102+E105+E109+E114+E117</f>
        <v>21663</v>
      </c>
      <c r="F122" s="19">
        <f t="shared" si="30"/>
        <v>4078</v>
      </c>
      <c r="G122" s="19">
        <f t="shared" si="30"/>
        <v>2436</v>
      </c>
      <c r="H122" s="19">
        <f t="shared" si="30"/>
        <v>14191</v>
      </c>
      <c r="I122" s="19">
        <f t="shared" si="30"/>
        <v>16987</v>
      </c>
      <c r="J122" s="19">
        <f t="shared" si="30"/>
        <v>887</v>
      </c>
      <c r="K122" s="19">
        <f t="shared" si="30"/>
        <v>851</v>
      </c>
      <c r="L122" s="19">
        <f>L102+L105+L109+L114+L117</f>
        <v>0</v>
      </c>
      <c r="M122" s="19">
        <f>M102+M105+M109+M114+M117</f>
        <v>1389</v>
      </c>
    </row>
    <row r="123" spans="1:254" s="3" customFormat="1" ht="14.15" customHeight="1" x14ac:dyDescent="0.35">
      <c r="A123" s="20" t="s">
        <v>192</v>
      </c>
      <c r="B123" s="20" t="s">
        <v>193</v>
      </c>
      <c r="C123" s="21" t="s">
        <v>292</v>
      </c>
      <c r="D123" s="23">
        <f>D62+D73+D96+D101+D122</f>
        <v>81371</v>
      </c>
      <c r="E123" s="23">
        <f t="shared" ref="E123:K123" si="31">E62+E73+E96+E101+E122</f>
        <v>91951</v>
      </c>
      <c r="F123" s="23">
        <f t="shared" si="31"/>
        <v>18240</v>
      </c>
      <c r="G123" s="23">
        <f t="shared" si="31"/>
        <v>17924</v>
      </c>
      <c r="H123" s="23">
        <f t="shared" si="31"/>
        <v>59194</v>
      </c>
      <c r="I123" s="23">
        <f t="shared" si="31"/>
        <v>63537</v>
      </c>
      <c r="J123" s="23">
        <f t="shared" si="31"/>
        <v>3937</v>
      </c>
      <c r="K123" s="23">
        <f t="shared" si="31"/>
        <v>4001</v>
      </c>
      <c r="L123" s="23">
        <f>L62+L73+L96+L101+L122</f>
        <v>0</v>
      </c>
      <c r="M123" s="23">
        <f>M62+M73+M96+M101+M122</f>
        <v>6489</v>
      </c>
    </row>
    <row r="124" spans="1:254" ht="14.15" customHeight="1" x14ac:dyDescent="0.25">
      <c r="A124" s="1104" t="s">
        <v>291</v>
      </c>
      <c r="B124" s="1105"/>
      <c r="C124" s="1106"/>
      <c r="D124" s="28">
        <f>D39+D123</f>
        <v>124939</v>
      </c>
      <c r="E124" s="28">
        <f t="shared" ref="E124:K124" si="32">E39+E123</f>
        <v>141945</v>
      </c>
      <c r="F124" s="28">
        <f t="shared" si="32"/>
        <v>18437</v>
      </c>
      <c r="G124" s="28">
        <f t="shared" si="32"/>
        <v>18121</v>
      </c>
      <c r="H124" s="28">
        <f t="shared" si="32"/>
        <v>102444</v>
      </c>
      <c r="I124" s="28">
        <f t="shared" si="32"/>
        <v>111702</v>
      </c>
      <c r="J124" s="28">
        <f t="shared" si="32"/>
        <v>4058</v>
      </c>
      <c r="K124" s="28">
        <f t="shared" si="32"/>
        <v>4122</v>
      </c>
      <c r="L124" s="28">
        <f>L39+L123</f>
        <v>0</v>
      </c>
      <c r="M124" s="28">
        <f>M39+M123</f>
        <v>8000</v>
      </c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</row>
    <row r="125" spans="1:254" ht="12.75" customHeight="1" x14ac:dyDescent="0.2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</row>
    <row r="126" spans="1:254" ht="14.15" customHeight="1" x14ac:dyDescent="0.2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</row>
    <row r="128" spans="1:254" s="1" customFormat="1" ht="12.75" customHeight="1" x14ac:dyDescent="0.35">
      <c r="A128" s="1158" t="s">
        <v>598</v>
      </c>
      <c r="B128" s="1159"/>
      <c r="C128" s="1159"/>
      <c r="D128" s="1159"/>
      <c r="E128" s="1159"/>
      <c r="F128" s="1159"/>
      <c r="G128" s="1159"/>
      <c r="H128" s="1159"/>
      <c r="I128" s="1159"/>
      <c r="J128" s="1159"/>
      <c r="K128" s="1159"/>
      <c r="L128" s="1159"/>
      <c r="M128" s="1159"/>
    </row>
    <row r="129" spans="1:13" s="1" customFormat="1" ht="14.15" customHeight="1" x14ac:dyDescent="0.35">
      <c r="A129" s="1101" t="s">
        <v>0</v>
      </c>
      <c r="B129" s="1102" t="s">
        <v>1</v>
      </c>
      <c r="C129" s="1101" t="s">
        <v>2</v>
      </c>
      <c r="D129" s="1103" t="s">
        <v>260</v>
      </c>
      <c r="E129" s="1096" t="s">
        <v>259</v>
      </c>
      <c r="F129" s="1098" t="s">
        <v>593</v>
      </c>
      <c r="G129" s="1099"/>
      <c r="H129" s="1098" t="s">
        <v>594</v>
      </c>
      <c r="I129" s="1099"/>
      <c r="J129" s="1098" t="s">
        <v>595</v>
      </c>
      <c r="K129" s="1099"/>
      <c r="L129" s="1156" t="s">
        <v>1256</v>
      </c>
      <c r="M129" s="1157"/>
    </row>
    <row r="130" spans="1:13" s="3" customFormat="1" ht="27" customHeight="1" x14ac:dyDescent="0.35">
      <c r="A130" s="1101"/>
      <c r="B130" s="1102"/>
      <c r="C130" s="1101"/>
      <c r="D130" s="1103"/>
      <c r="E130" s="1097"/>
      <c r="F130" s="2" t="s">
        <v>263</v>
      </c>
      <c r="G130" s="2" t="s">
        <v>259</v>
      </c>
      <c r="H130" s="2" t="s">
        <v>260</v>
      </c>
      <c r="I130" s="2" t="s">
        <v>259</v>
      </c>
      <c r="J130" s="2" t="s">
        <v>260</v>
      </c>
      <c r="K130" s="2" t="s">
        <v>259</v>
      </c>
      <c r="L130" s="308" t="s">
        <v>260</v>
      </c>
      <c r="M130" s="308" t="s">
        <v>259</v>
      </c>
    </row>
    <row r="131" spans="1:13" ht="5.65" customHeight="1" x14ac:dyDescent="0.35"/>
    <row r="132" spans="1:13" ht="14.15" customHeight="1" x14ac:dyDescent="0.35">
      <c r="A132" s="1100" t="s">
        <v>194</v>
      </c>
      <c r="B132" s="1100"/>
      <c r="C132" s="1100"/>
      <c r="D132" s="1100"/>
      <c r="E132" s="1100"/>
      <c r="F132" s="1100"/>
      <c r="G132" s="1100"/>
      <c r="H132" s="1100"/>
      <c r="I132" s="1100"/>
      <c r="J132" s="96"/>
      <c r="K132" s="96"/>
      <c r="L132" s="96"/>
      <c r="M132" s="96"/>
    </row>
    <row r="133" spans="1:13" ht="14.15" customHeight="1" x14ac:dyDescent="0.35">
      <c r="A133" s="24" t="s">
        <v>195</v>
      </c>
      <c r="B133" s="24" t="s">
        <v>196</v>
      </c>
      <c r="C133" s="25" t="s">
        <v>197</v>
      </c>
      <c r="D133" s="26">
        <f>F133+H133+J133</f>
        <v>0</v>
      </c>
      <c r="E133" s="26">
        <f>G133+I133+K133</f>
        <v>380</v>
      </c>
      <c r="F133" s="26"/>
      <c r="G133" s="26"/>
      <c r="H133" s="26"/>
      <c r="I133" s="26">
        <v>380</v>
      </c>
      <c r="J133" s="26"/>
      <c r="K133" s="26"/>
      <c r="L133" s="26"/>
      <c r="M133" s="26"/>
    </row>
    <row r="134" spans="1:13" ht="14.15" customHeight="1" x14ac:dyDescent="0.35">
      <c r="A134" s="24" t="s">
        <v>198</v>
      </c>
      <c r="B134" s="24" t="s">
        <v>199</v>
      </c>
      <c r="C134" s="25" t="s">
        <v>200</v>
      </c>
      <c r="D134" s="26">
        <f t="shared" ref="D134:D146" si="33">F134+H134+J134</f>
        <v>0</v>
      </c>
      <c r="E134" s="26">
        <f t="shared" ref="E134:E145" si="34">G134+I134+K134</f>
        <v>0</v>
      </c>
      <c r="F134" s="26"/>
      <c r="G134" s="26"/>
      <c r="H134" s="26"/>
      <c r="I134" s="26"/>
      <c r="J134" s="26"/>
      <c r="K134" s="26"/>
      <c r="L134" s="26"/>
      <c r="M134" s="26"/>
    </row>
    <row r="135" spans="1:13" ht="14.15" customHeight="1" x14ac:dyDescent="0.35">
      <c r="A135" s="24" t="s">
        <v>201</v>
      </c>
      <c r="B135" s="24" t="s">
        <v>202</v>
      </c>
      <c r="C135" s="25" t="s">
        <v>203</v>
      </c>
      <c r="D135" s="26">
        <f t="shared" si="33"/>
        <v>0</v>
      </c>
      <c r="E135" s="26">
        <f t="shared" si="34"/>
        <v>0</v>
      </c>
      <c r="F135" s="26"/>
      <c r="G135" s="26"/>
      <c r="H135" s="26"/>
      <c r="I135" s="26"/>
      <c r="J135" s="26"/>
      <c r="K135" s="26"/>
      <c r="L135" s="26"/>
      <c r="M135" s="26"/>
    </row>
    <row r="136" spans="1:13" ht="14.15" customHeight="1" x14ac:dyDescent="0.35">
      <c r="A136" s="24" t="s">
        <v>204</v>
      </c>
      <c r="B136" s="24" t="s">
        <v>205</v>
      </c>
      <c r="C136" s="25" t="s">
        <v>206</v>
      </c>
      <c r="D136" s="26">
        <f t="shared" si="33"/>
        <v>1100</v>
      </c>
      <c r="E136" s="26">
        <f t="shared" si="34"/>
        <v>670</v>
      </c>
      <c r="F136" s="26">
        <v>1100</v>
      </c>
      <c r="G136" s="26"/>
      <c r="H136" s="26"/>
      <c r="I136" s="26">
        <v>670</v>
      </c>
      <c r="J136" s="26"/>
      <c r="K136" s="26"/>
      <c r="L136" s="26"/>
      <c r="M136" s="26"/>
    </row>
    <row r="137" spans="1:13" ht="14.15" customHeight="1" x14ac:dyDescent="0.35">
      <c r="A137" s="24"/>
      <c r="B137" s="24" t="s">
        <v>207</v>
      </c>
      <c r="C137" s="25" t="s">
        <v>208</v>
      </c>
      <c r="D137" s="26">
        <f t="shared" si="33"/>
        <v>0</v>
      </c>
      <c r="E137" s="26">
        <f t="shared" si="34"/>
        <v>0</v>
      </c>
      <c r="F137" s="26"/>
      <c r="G137" s="26"/>
      <c r="H137" s="26"/>
      <c r="I137" s="26"/>
      <c r="J137" s="26"/>
      <c r="K137" s="26"/>
      <c r="L137" s="26"/>
      <c r="M137" s="26"/>
    </row>
    <row r="138" spans="1:13" ht="14.15" customHeight="1" x14ac:dyDescent="0.35">
      <c r="A138" s="24" t="s">
        <v>209</v>
      </c>
      <c r="B138" s="24" t="s">
        <v>210</v>
      </c>
      <c r="C138" s="25" t="s">
        <v>211</v>
      </c>
      <c r="D138" s="26">
        <f t="shared" si="33"/>
        <v>0</v>
      </c>
      <c r="E138" s="26">
        <f t="shared" si="34"/>
        <v>0</v>
      </c>
      <c r="F138" s="26"/>
      <c r="G138" s="26"/>
      <c r="H138" s="26"/>
      <c r="I138" s="26"/>
      <c r="J138" s="26"/>
      <c r="K138" s="26"/>
      <c r="L138" s="26"/>
      <c r="M138" s="26"/>
    </row>
    <row r="139" spans="1:13" ht="14.15" customHeight="1" x14ac:dyDescent="0.35">
      <c r="A139" s="24" t="s">
        <v>212</v>
      </c>
      <c r="B139" s="24" t="s">
        <v>213</v>
      </c>
      <c r="C139" s="25" t="s">
        <v>214</v>
      </c>
      <c r="D139" s="26">
        <f t="shared" si="33"/>
        <v>0</v>
      </c>
      <c r="E139" s="26">
        <f t="shared" si="34"/>
        <v>0</v>
      </c>
      <c r="F139" s="26"/>
      <c r="G139" s="26"/>
      <c r="H139" s="26"/>
      <c r="I139" s="26"/>
      <c r="J139" s="26"/>
      <c r="K139" s="26"/>
      <c r="L139" s="26"/>
      <c r="M139" s="26"/>
    </row>
    <row r="140" spans="1:13" ht="14.15" customHeight="1" x14ac:dyDescent="0.35">
      <c r="A140" s="24" t="s">
        <v>215</v>
      </c>
      <c r="B140" s="24" t="s">
        <v>216</v>
      </c>
      <c r="C140" s="25" t="s">
        <v>217</v>
      </c>
      <c r="D140" s="26">
        <f t="shared" si="33"/>
        <v>297</v>
      </c>
      <c r="E140" s="26">
        <f t="shared" si="34"/>
        <v>284</v>
      </c>
      <c r="F140" s="26">
        <v>297</v>
      </c>
      <c r="G140" s="26">
        <f>ROUND((G133+G134+G135+G136+G137)*0.27,0)</f>
        <v>0</v>
      </c>
      <c r="H140" s="26">
        <v>0</v>
      </c>
      <c r="I140" s="26">
        <f>ROUND((I133+I134+I135+I136+I137)*0.27,0)</f>
        <v>284</v>
      </c>
      <c r="J140" s="26"/>
      <c r="K140" s="26"/>
      <c r="L140" s="26"/>
      <c r="M140" s="26"/>
    </row>
    <row r="141" spans="1:13" s="3" customFormat="1" ht="14.15" customHeight="1" x14ac:dyDescent="0.35">
      <c r="A141" s="20" t="s">
        <v>218</v>
      </c>
      <c r="B141" s="21" t="s">
        <v>219</v>
      </c>
      <c r="C141" s="23" t="s">
        <v>220</v>
      </c>
      <c r="D141" s="23">
        <f>SUM(D133:D140)</f>
        <v>1397</v>
      </c>
      <c r="E141" s="23">
        <f t="shared" ref="E141:K141" si="35">SUM(E133:E140)</f>
        <v>1334</v>
      </c>
      <c r="F141" s="23">
        <f t="shared" si="35"/>
        <v>1397</v>
      </c>
      <c r="G141" s="23">
        <f t="shared" si="35"/>
        <v>0</v>
      </c>
      <c r="H141" s="23">
        <f t="shared" si="35"/>
        <v>0</v>
      </c>
      <c r="I141" s="23">
        <f t="shared" si="35"/>
        <v>1334</v>
      </c>
      <c r="J141" s="23">
        <f t="shared" si="35"/>
        <v>0</v>
      </c>
      <c r="K141" s="23">
        <f t="shared" si="35"/>
        <v>0</v>
      </c>
      <c r="L141" s="23">
        <f>SUM(L133:L140)</f>
        <v>0</v>
      </c>
      <c r="M141" s="23">
        <f>SUM(M133:M140)</f>
        <v>0</v>
      </c>
    </row>
    <row r="142" spans="1:13" ht="14.15" customHeight="1" x14ac:dyDescent="0.35">
      <c r="A142" s="24" t="s">
        <v>221</v>
      </c>
      <c r="B142" s="24" t="s">
        <v>222</v>
      </c>
      <c r="C142" s="25" t="s">
        <v>223</v>
      </c>
      <c r="D142" s="26">
        <f t="shared" si="33"/>
        <v>0</v>
      </c>
      <c r="E142" s="26">
        <f t="shared" si="34"/>
        <v>0</v>
      </c>
      <c r="F142" s="26"/>
      <c r="G142" s="26"/>
      <c r="H142" s="26"/>
      <c r="I142" s="26"/>
      <c r="J142" s="26"/>
      <c r="K142" s="26"/>
      <c r="L142" s="26"/>
      <c r="M142" s="26"/>
    </row>
    <row r="143" spans="1:13" ht="14.15" customHeight="1" x14ac:dyDescent="0.35">
      <c r="A143" s="24" t="s">
        <v>224</v>
      </c>
      <c r="B143" s="24" t="s">
        <v>225</v>
      </c>
      <c r="C143" s="25" t="s">
        <v>226</v>
      </c>
      <c r="D143" s="26">
        <f t="shared" si="33"/>
        <v>0</v>
      </c>
      <c r="E143" s="26">
        <f t="shared" si="34"/>
        <v>0</v>
      </c>
      <c r="F143" s="26"/>
      <c r="G143" s="26"/>
      <c r="H143" s="26"/>
      <c r="I143" s="26"/>
      <c r="J143" s="26"/>
      <c r="K143" s="26"/>
      <c r="L143" s="26"/>
      <c r="M143" s="26"/>
    </row>
    <row r="144" spans="1:13" ht="14.15" customHeight="1" x14ac:dyDescent="0.35">
      <c r="A144" s="24" t="s">
        <v>227</v>
      </c>
      <c r="B144" s="24" t="s">
        <v>228</v>
      </c>
      <c r="C144" s="25" t="s">
        <v>229</v>
      </c>
      <c r="D144" s="26">
        <f t="shared" si="33"/>
        <v>0</v>
      </c>
      <c r="E144" s="26">
        <f t="shared" si="34"/>
        <v>0</v>
      </c>
      <c r="F144" s="26"/>
      <c r="G144" s="26"/>
      <c r="H144" s="26"/>
      <c r="I144" s="26"/>
      <c r="J144" s="26"/>
      <c r="K144" s="26"/>
      <c r="L144" s="26"/>
      <c r="M144" s="26"/>
    </row>
    <row r="145" spans="1:13" ht="14.15" customHeight="1" x14ac:dyDescent="0.35">
      <c r="A145" s="24"/>
      <c r="B145" s="24" t="s">
        <v>230</v>
      </c>
      <c r="C145" s="25" t="s">
        <v>231</v>
      </c>
      <c r="D145" s="26">
        <f t="shared" si="33"/>
        <v>0</v>
      </c>
      <c r="E145" s="26">
        <f t="shared" si="34"/>
        <v>0</v>
      </c>
      <c r="F145" s="26"/>
      <c r="G145" s="26"/>
      <c r="H145" s="26"/>
      <c r="I145" s="26"/>
      <c r="J145" s="26"/>
      <c r="K145" s="26"/>
      <c r="L145" s="26"/>
      <c r="M145" s="26"/>
    </row>
    <row r="146" spans="1:13" ht="14.15" customHeight="1" x14ac:dyDescent="0.35">
      <c r="A146" s="24" t="s">
        <v>232</v>
      </c>
      <c r="B146" s="24" t="s">
        <v>233</v>
      </c>
      <c r="C146" s="25" t="s">
        <v>234</v>
      </c>
      <c r="D146" s="26">
        <f t="shared" si="33"/>
        <v>0</v>
      </c>
      <c r="E146" s="26">
        <f>G146+I146</f>
        <v>0</v>
      </c>
      <c r="F146" s="26">
        <v>0</v>
      </c>
      <c r="G146" s="26">
        <f>ROUND((G142+G143+G144+G145)*0.27,0)</f>
        <v>0</v>
      </c>
      <c r="H146" s="26">
        <v>0</v>
      </c>
      <c r="I146" s="26">
        <f>ROUND((I142+I143+I144+I145)*0.27,0)</f>
        <v>0</v>
      </c>
      <c r="J146" s="26"/>
      <c r="K146" s="26"/>
      <c r="L146" s="26"/>
      <c r="M146" s="26"/>
    </row>
    <row r="147" spans="1:13" s="3" customFormat="1" ht="14.15" customHeight="1" x14ac:dyDescent="0.35">
      <c r="A147" s="20" t="s">
        <v>235</v>
      </c>
      <c r="B147" s="21" t="s">
        <v>236</v>
      </c>
      <c r="C147" s="23" t="s">
        <v>237</v>
      </c>
      <c r="D147" s="23">
        <f>SUM(D142:D146)</f>
        <v>0</v>
      </c>
      <c r="E147" s="23">
        <f t="shared" ref="E147:K147" si="36">SUM(E142:E146)</f>
        <v>0</v>
      </c>
      <c r="F147" s="23">
        <f t="shared" si="36"/>
        <v>0</v>
      </c>
      <c r="G147" s="23">
        <f t="shared" si="36"/>
        <v>0</v>
      </c>
      <c r="H147" s="23">
        <f t="shared" si="36"/>
        <v>0</v>
      </c>
      <c r="I147" s="23">
        <f t="shared" si="36"/>
        <v>0</v>
      </c>
      <c r="J147" s="23">
        <f t="shared" si="36"/>
        <v>0</v>
      </c>
      <c r="K147" s="23">
        <f t="shared" si="36"/>
        <v>0</v>
      </c>
      <c r="L147" s="23">
        <f>SUM(L142:L146)</f>
        <v>0</v>
      </c>
      <c r="M147" s="23">
        <f>SUM(M142:M146)</f>
        <v>0</v>
      </c>
    </row>
    <row r="148" spans="1:13" s="3" customFormat="1" ht="14.15" customHeight="1" x14ac:dyDescent="0.35">
      <c r="A148" s="1104" t="s">
        <v>293</v>
      </c>
      <c r="B148" s="1105"/>
      <c r="C148" s="1106" t="s">
        <v>238</v>
      </c>
      <c r="D148" s="28">
        <f>D141+D147</f>
        <v>1397</v>
      </c>
      <c r="E148" s="28">
        <f t="shared" ref="E148:K148" si="37">E141+E147</f>
        <v>1334</v>
      </c>
      <c r="F148" s="28">
        <f t="shared" si="37"/>
        <v>1397</v>
      </c>
      <c r="G148" s="28">
        <f t="shared" si="37"/>
        <v>0</v>
      </c>
      <c r="H148" s="28">
        <f t="shared" si="37"/>
        <v>0</v>
      </c>
      <c r="I148" s="28">
        <f t="shared" si="37"/>
        <v>1334</v>
      </c>
      <c r="J148" s="28">
        <f t="shared" si="37"/>
        <v>0</v>
      </c>
      <c r="K148" s="28">
        <f t="shared" si="37"/>
        <v>0</v>
      </c>
      <c r="L148" s="28">
        <f>L141+L147</f>
        <v>0</v>
      </c>
      <c r="M148" s="28">
        <f>M141+M147</f>
        <v>0</v>
      </c>
    </row>
    <row r="149" spans="1:13" ht="6.75" customHeight="1" x14ac:dyDescent="0.35"/>
    <row r="150" spans="1:13" ht="14.15" customHeight="1" x14ac:dyDescent="0.35">
      <c r="A150" s="1093" t="s">
        <v>294</v>
      </c>
      <c r="B150" s="1094"/>
      <c r="C150" s="1095"/>
      <c r="D150" s="29">
        <f>D148+D124</f>
        <v>126336</v>
      </c>
      <c r="E150" s="29">
        <f t="shared" ref="E150:K150" si="38">E148+E124</f>
        <v>143279</v>
      </c>
      <c r="F150" s="29">
        <f t="shared" si="38"/>
        <v>19834</v>
      </c>
      <c r="G150" s="29">
        <f t="shared" si="38"/>
        <v>18121</v>
      </c>
      <c r="H150" s="29">
        <f t="shared" si="38"/>
        <v>102444</v>
      </c>
      <c r="I150" s="29">
        <f t="shared" si="38"/>
        <v>113036</v>
      </c>
      <c r="J150" s="29">
        <f t="shared" si="38"/>
        <v>4058</v>
      </c>
      <c r="K150" s="29">
        <f t="shared" si="38"/>
        <v>4122</v>
      </c>
      <c r="L150" s="29">
        <f>L148+L124</f>
        <v>0</v>
      </c>
      <c r="M150" s="29">
        <f>M148+M124</f>
        <v>8000</v>
      </c>
    </row>
    <row r="155" spans="1:13" s="1" customFormat="1" ht="12.75" customHeight="1" x14ac:dyDescent="0.35">
      <c r="A155" s="1158" t="s">
        <v>597</v>
      </c>
      <c r="B155" s="1159"/>
      <c r="C155" s="1159"/>
      <c r="D155" s="1159"/>
      <c r="E155" s="1159"/>
      <c r="F155" s="1159"/>
      <c r="G155" s="1159"/>
      <c r="H155" s="1159"/>
      <c r="I155" s="1159"/>
      <c r="J155" s="1159"/>
      <c r="K155" s="1159"/>
      <c r="L155" s="1159"/>
      <c r="M155" s="1159"/>
    </row>
    <row r="156" spans="1:13" s="1" customFormat="1" ht="14.15" customHeight="1" x14ac:dyDescent="0.35">
      <c r="A156" s="1101" t="s">
        <v>0</v>
      </c>
      <c r="B156" s="1102" t="s">
        <v>1</v>
      </c>
      <c r="C156" s="1101" t="s">
        <v>2</v>
      </c>
      <c r="D156" s="1103" t="s">
        <v>260</v>
      </c>
      <c r="E156" s="1096" t="s">
        <v>259</v>
      </c>
      <c r="F156" s="1098" t="s">
        <v>593</v>
      </c>
      <c r="G156" s="1099"/>
      <c r="H156" s="1098" t="s">
        <v>594</v>
      </c>
      <c r="I156" s="1099"/>
      <c r="J156" s="1098" t="s">
        <v>595</v>
      </c>
      <c r="K156" s="1099"/>
      <c r="L156" s="1156" t="s">
        <v>1256</v>
      </c>
      <c r="M156" s="1157"/>
    </row>
    <row r="157" spans="1:13" s="3" customFormat="1" ht="23.25" customHeight="1" x14ac:dyDescent="0.35">
      <c r="A157" s="1101"/>
      <c r="B157" s="1102"/>
      <c r="C157" s="1101"/>
      <c r="D157" s="1103"/>
      <c r="E157" s="1097"/>
      <c r="F157" s="2" t="s">
        <v>263</v>
      </c>
      <c r="G157" s="2" t="s">
        <v>259</v>
      </c>
      <c r="H157" s="2" t="s">
        <v>260</v>
      </c>
      <c r="I157" s="2" t="s">
        <v>259</v>
      </c>
      <c r="J157" s="2" t="s">
        <v>260</v>
      </c>
      <c r="K157" s="2" t="s">
        <v>259</v>
      </c>
      <c r="L157" s="308" t="s">
        <v>260</v>
      </c>
      <c r="M157" s="308" t="s">
        <v>259</v>
      </c>
    </row>
    <row r="158" spans="1:13" ht="5.65" customHeight="1" x14ac:dyDescent="0.35"/>
    <row r="159" spans="1:13" ht="14.15" customHeight="1" x14ac:dyDescent="0.35">
      <c r="A159" s="1100" t="s">
        <v>239</v>
      </c>
      <c r="B159" s="1100"/>
      <c r="C159" s="1100"/>
      <c r="D159" s="1100"/>
      <c r="E159" s="1100"/>
      <c r="F159" s="1100"/>
      <c r="G159" s="1100"/>
      <c r="H159" s="1100"/>
      <c r="I159" s="1100"/>
      <c r="J159" s="96"/>
      <c r="K159" s="96"/>
      <c r="L159" s="96"/>
      <c r="M159" s="96"/>
    </row>
    <row r="160" spans="1:13" s="3" customFormat="1" ht="14.15" customHeight="1" x14ac:dyDescent="0.35">
      <c r="A160" s="20" t="s">
        <v>240</v>
      </c>
      <c r="B160" s="20"/>
      <c r="C160" s="21" t="s">
        <v>241</v>
      </c>
      <c r="D160" s="23">
        <f>SUM(D161:D170)</f>
        <v>34002</v>
      </c>
      <c r="E160" s="23">
        <f t="shared" ref="E160:K160" si="39">SUM(E161:E170)</f>
        <v>34002</v>
      </c>
      <c r="F160" s="23">
        <f t="shared" si="39"/>
        <v>14991</v>
      </c>
      <c r="G160" s="23">
        <f t="shared" si="39"/>
        <v>14991</v>
      </c>
      <c r="H160" s="23">
        <f t="shared" si="39"/>
        <v>19011</v>
      </c>
      <c r="I160" s="23">
        <f t="shared" si="39"/>
        <v>19011</v>
      </c>
      <c r="J160" s="23">
        <f t="shared" si="39"/>
        <v>0</v>
      </c>
      <c r="K160" s="23">
        <f t="shared" si="39"/>
        <v>0</v>
      </c>
      <c r="L160" s="23">
        <f>SUM(L161:L170)</f>
        <v>0</v>
      </c>
      <c r="M160" s="23">
        <f>SUM(M161:M170)</f>
        <v>0</v>
      </c>
    </row>
    <row r="161" spans="1:13" ht="14.15" customHeight="1" x14ac:dyDescent="0.35">
      <c r="A161" s="24" t="s">
        <v>242</v>
      </c>
      <c r="B161" s="24"/>
      <c r="C161" s="25" t="s">
        <v>243</v>
      </c>
      <c r="D161" s="26">
        <f t="shared" ref="D161:D170" si="40">F161+H161+J161</f>
        <v>0</v>
      </c>
      <c r="E161" s="26">
        <f>G161+I161+K161</f>
        <v>0</v>
      </c>
      <c r="F161" s="26"/>
      <c r="G161" s="26"/>
      <c r="H161" s="26"/>
      <c r="I161" s="26"/>
      <c r="J161" s="26"/>
      <c r="K161" s="26"/>
      <c r="L161" s="26"/>
      <c r="M161" s="26"/>
    </row>
    <row r="162" spans="1:13" ht="14.15" customHeight="1" x14ac:dyDescent="0.35">
      <c r="A162" s="24" t="s">
        <v>244</v>
      </c>
      <c r="B162" s="24"/>
      <c r="C162" s="25" t="s">
        <v>245</v>
      </c>
      <c r="D162" s="26">
        <f t="shared" si="40"/>
        <v>22340</v>
      </c>
      <c r="E162" s="26">
        <f t="shared" ref="E162:E170" si="41">G162+I162+K162</f>
        <v>22340</v>
      </c>
      <c r="F162" s="26">
        <v>11410</v>
      </c>
      <c r="G162" s="26">
        <v>11410</v>
      </c>
      <c r="H162" s="26">
        <v>10930</v>
      </c>
      <c r="I162" s="26">
        <v>10930</v>
      </c>
      <c r="J162" s="26"/>
      <c r="K162" s="26"/>
      <c r="L162" s="26"/>
      <c r="M162" s="26"/>
    </row>
    <row r="163" spans="1:13" ht="14.15" customHeight="1" x14ac:dyDescent="0.35">
      <c r="A163" s="24" t="s">
        <v>246</v>
      </c>
      <c r="B163" s="24"/>
      <c r="C163" s="25" t="s">
        <v>247</v>
      </c>
      <c r="D163" s="26">
        <f t="shared" si="40"/>
        <v>4000</v>
      </c>
      <c r="E163" s="26">
        <f t="shared" si="41"/>
        <v>4000</v>
      </c>
      <c r="F163" s="26"/>
      <c r="G163" s="26"/>
      <c r="H163" s="26">
        <v>4000</v>
      </c>
      <c r="I163" s="26">
        <v>4000</v>
      </c>
      <c r="J163" s="26"/>
      <c r="K163" s="26"/>
      <c r="L163" s="26"/>
      <c r="M163" s="26"/>
    </row>
    <row r="164" spans="1:13" ht="14.15" customHeight="1" x14ac:dyDescent="0.35">
      <c r="A164" s="24" t="s">
        <v>248</v>
      </c>
      <c r="B164" s="24"/>
      <c r="C164" s="25" t="s">
        <v>249</v>
      </c>
      <c r="D164" s="26">
        <f t="shared" si="40"/>
        <v>0</v>
      </c>
      <c r="E164" s="26">
        <f t="shared" si="41"/>
        <v>0</v>
      </c>
      <c r="F164" s="26"/>
      <c r="G164" s="26"/>
      <c r="H164" s="26"/>
      <c r="I164" s="26"/>
      <c r="J164" s="26"/>
      <c r="K164" s="26"/>
      <c r="L164" s="26"/>
      <c r="M164" s="26"/>
    </row>
    <row r="165" spans="1:13" ht="14.15" customHeight="1" x14ac:dyDescent="0.35">
      <c r="A165" s="24" t="s">
        <v>296</v>
      </c>
      <c r="B165" s="24"/>
      <c r="C165" s="25" t="s">
        <v>297</v>
      </c>
      <c r="D165" s="26">
        <f t="shared" si="40"/>
        <v>0</v>
      </c>
      <c r="E165" s="26">
        <f t="shared" si="41"/>
        <v>0</v>
      </c>
      <c r="F165" s="26"/>
      <c r="G165" s="26"/>
      <c r="H165" s="26"/>
      <c r="I165" s="26"/>
      <c r="J165" s="26"/>
      <c r="K165" s="26"/>
      <c r="L165" s="26"/>
      <c r="M165" s="26"/>
    </row>
    <row r="166" spans="1:13" ht="14.15" customHeight="1" x14ac:dyDescent="0.35">
      <c r="A166" s="24" t="s">
        <v>250</v>
      </c>
      <c r="B166" s="24"/>
      <c r="C166" s="25" t="s">
        <v>251</v>
      </c>
      <c r="D166" s="26">
        <f t="shared" si="40"/>
        <v>7112</v>
      </c>
      <c r="E166" s="26">
        <f t="shared" si="41"/>
        <v>7112</v>
      </c>
      <c r="F166" s="26">
        <v>3081</v>
      </c>
      <c r="G166" s="26">
        <f>ROUND((G161+G162+G163+G164+G165)*0.27,0)</f>
        <v>3081</v>
      </c>
      <c r="H166" s="26">
        <v>4031</v>
      </c>
      <c r="I166" s="26">
        <f>ROUND((I161+I162+I163+I164+I165)*0.27,0)</f>
        <v>4031</v>
      </c>
      <c r="J166" s="26"/>
      <c r="K166" s="26"/>
      <c r="L166" s="26"/>
      <c r="M166" s="26"/>
    </row>
    <row r="167" spans="1:13" ht="14.15" customHeight="1" x14ac:dyDescent="0.35">
      <c r="A167" s="24" t="s">
        <v>298</v>
      </c>
      <c r="B167" s="24"/>
      <c r="C167" s="25" t="s">
        <v>299</v>
      </c>
      <c r="D167" s="26">
        <f t="shared" si="40"/>
        <v>0</v>
      </c>
      <c r="E167" s="26">
        <f t="shared" si="41"/>
        <v>0</v>
      </c>
      <c r="F167" s="26"/>
      <c r="G167" s="26"/>
      <c r="H167" s="26"/>
      <c r="I167" s="26"/>
      <c r="J167" s="26"/>
      <c r="K167" s="26"/>
      <c r="L167" s="26"/>
      <c r="M167" s="26"/>
    </row>
    <row r="168" spans="1:13" ht="14.15" customHeight="1" x14ac:dyDescent="0.35">
      <c r="A168" s="24" t="s">
        <v>252</v>
      </c>
      <c r="B168" s="24"/>
      <c r="C168" s="25" t="s">
        <v>253</v>
      </c>
      <c r="D168" s="26">
        <f t="shared" si="40"/>
        <v>50</v>
      </c>
      <c r="E168" s="26">
        <f t="shared" si="41"/>
        <v>50</v>
      </c>
      <c r="F168" s="26"/>
      <c r="G168" s="26"/>
      <c r="H168" s="26">
        <v>50</v>
      </c>
      <c r="I168" s="26">
        <v>50</v>
      </c>
      <c r="J168" s="26"/>
      <c r="K168" s="26"/>
      <c r="L168" s="26"/>
      <c r="M168" s="26"/>
    </row>
    <row r="169" spans="1:13" ht="14.15" customHeight="1" x14ac:dyDescent="0.35">
      <c r="A169" s="24" t="s">
        <v>300</v>
      </c>
      <c r="B169" s="24"/>
      <c r="C169" s="25" t="s">
        <v>301</v>
      </c>
      <c r="D169" s="26">
        <f t="shared" si="40"/>
        <v>0</v>
      </c>
      <c r="E169" s="26">
        <f t="shared" si="41"/>
        <v>0</v>
      </c>
      <c r="F169" s="26"/>
      <c r="G169" s="26"/>
      <c r="H169" s="26"/>
      <c r="I169" s="26"/>
      <c r="J169" s="26"/>
      <c r="K169" s="26"/>
      <c r="L169" s="26"/>
      <c r="M169" s="26"/>
    </row>
    <row r="170" spans="1:13" ht="14.15" customHeight="1" x14ac:dyDescent="0.35">
      <c r="A170" s="24" t="s">
        <v>254</v>
      </c>
      <c r="B170" s="24"/>
      <c r="C170" s="25" t="s">
        <v>255</v>
      </c>
      <c r="D170" s="26">
        <f t="shared" si="40"/>
        <v>500</v>
      </c>
      <c r="E170" s="26">
        <f t="shared" si="41"/>
        <v>500</v>
      </c>
      <c r="F170" s="26">
        <v>500</v>
      </c>
      <c r="G170" s="26">
        <v>500</v>
      </c>
      <c r="H170" s="26"/>
      <c r="I170" s="26"/>
      <c r="J170" s="26"/>
      <c r="K170" s="26"/>
      <c r="L170" s="26"/>
      <c r="M170" s="26"/>
    </row>
    <row r="171" spans="1:13" s="3" customFormat="1" ht="14.15" customHeight="1" x14ac:dyDescent="0.35">
      <c r="A171" s="20" t="s">
        <v>256</v>
      </c>
      <c r="B171" s="20"/>
      <c r="C171" s="21" t="s">
        <v>257</v>
      </c>
      <c r="D171" s="23">
        <f>F171+H171</f>
        <v>0</v>
      </c>
      <c r="E171" s="23">
        <f>G171+I171</f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</row>
    <row r="172" spans="1:13" s="3" customFormat="1" ht="14.15" customHeight="1" x14ac:dyDescent="0.35">
      <c r="A172" s="1093" t="s">
        <v>295</v>
      </c>
      <c r="B172" s="1094"/>
      <c r="C172" s="1095"/>
      <c r="D172" s="29">
        <f>D160+D171</f>
        <v>34002</v>
      </c>
      <c r="E172" s="29">
        <f t="shared" ref="E172:K172" si="42">E160+E171</f>
        <v>34002</v>
      </c>
      <c r="F172" s="29">
        <f t="shared" si="42"/>
        <v>14991</v>
      </c>
      <c r="G172" s="29">
        <f t="shared" si="42"/>
        <v>14991</v>
      </c>
      <c r="H172" s="29">
        <f t="shared" si="42"/>
        <v>19011</v>
      </c>
      <c r="I172" s="29">
        <f t="shared" si="42"/>
        <v>19011</v>
      </c>
      <c r="J172" s="29">
        <f t="shared" si="42"/>
        <v>0</v>
      </c>
      <c r="K172" s="29">
        <f t="shared" si="42"/>
        <v>0</v>
      </c>
      <c r="L172" s="29">
        <f>L160+L171</f>
        <v>0</v>
      </c>
      <c r="M172" s="29">
        <f>M160+M171</f>
        <v>0</v>
      </c>
    </row>
  </sheetData>
  <sheetProtection selectLockedCells="1" selectUnlockedCells="1"/>
  <mergeCells count="49">
    <mergeCell ref="A172:C172"/>
    <mergeCell ref="A156:A157"/>
    <mergeCell ref="B156:B157"/>
    <mergeCell ref="C156:C157"/>
    <mergeCell ref="D156:D157"/>
    <mergeCell ref="A124:C124"/>
    <mergeCell ref="A129:A130"/>
    <mergeCell ref="B129:B130"/>
    <mergeCell ref="A159:I159"/>
    <mergeCell ref="E156:E157"/>
    <mergeCell ref="F156:G156"/>
    <mergeCell ref="A132:I132"/>
    <mergeCell ref="A148:C148"/>
    <mergeCell ref="A150:C150"/>
    <mergeCell ref="H156:I156"/>
    <mergeCell ref="D129:D130"/>
    <mergeCell ref="E129:E130"/>
    <mergeCell ref="F129:G129"/>
    <mergeCell ref="H129:I129"/>
    <mergeCell ref="C129:C130"/>
    <mergeCell ref="A1:M1"/>
    <mergeCell ref="A40:M40"/>
    <mergeCell ref="A128:M128"/>
    <mergeCell ref="A155:M155"/>
    <mergeCell ref="A2:A3"/>
    <mergeCell ref="B2:B3"/>
    <mergeCell ref="A5:I5"/>
    <mergeCell ref="A39:C39"/>
    <mergeCell ref="A41:A42"/>
    <mergeCell ref="B41:B42"/>
    <mergeCell ref="C41:C42"/>
    <mergeCell ref="D41:D42"/>
    <mergeCell ref="E41:E42"/>
    <mergeCell ref="F41:G41"/>
    <mergeCell ref="H41:I41"/>
    <mergeCell ref="A44:I44"/>
    <mergeCell ref="J2:K2"/>
    <mergeCell ref="L2:M2"/>
    <mergeCell ref="L41:M41"/>
    <mergeCell ref="L129:M129"/>
    <mergeCell ref="L156:M156"/>
    <mergeCell ref="J41:K41"/>
    <mergeCell ref="J156:K156"/>
    <mergeCell ref="J129:K129"/>
    <mergeCell ref="C2:C3"/>
    <mergeCell ref="D2:D3"/>
    <mergeCell ref="E2:E3"/>
    <mergeCell ref="F2:G2"/>
    <mergeCell ref="H2:I2"/>
  </mergeCells>
  <printOptions horizontalCentered="1"/>
  <pageMargins left="0.15748031496062992" right="0.15748031496062992" top="0.19685039370078741" bottom="0.15748031496062992" header="0.31496062992125984" footer="0.31496062992125984"/>
  <pageSetup paperSize="8" fitToHeight="0" orientation="portrait" useFirstPageNumber="1" copies="2" r:id="rId1"/>
  <headerFooter alignWithMargins="0"/>
  <rowBreaks count="1" manualBreakCount="1">
    <brk id="154" max="16383" man="1"/>
  </rowBreaks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IR211"/>
  <sheetViews>
    <sheetView view="pageBreakPreview" topLeftCell="B1" zoomScale="150" zoomScaleNormal="100" zoomScaleSheetLayoutView="150" workbookViewId="0">
      <pane ySplit="4" topLeftCell="A26" activePane="bottomLeft" state="frozen"/>
      <selection pane="bottomLeft" activeCell="G70" sqref="G70"/>
    </sheetView>
  </sheetViews>
  <sheetFormatPr defaultColWidth="11.7265625" defaultRowHeight="14.15" customHeight="1" x14ac:dyDescent="0.35"/>
  <cols>
    <col min="1" max="1" width="5.7265625" style="4" customWidth="1"/>
    <col min="2" max="2" width="7.7265625" style="4" customWidth="1"/>
    <col min="3" max="3" width="31.7265625" style="5" customWidth="1"/>
    <col min="4" max="5" width="10.81640625" style="6" customWidth="1"/>
    <col min="6" max="6" width="9.81640625" style="6" bestFit="1" customWidth="1"/>
    <col min="7" max="7" width="9.81640625" style="6" customWidth="1"/>
    <col min="8" max="8" width="10.7265625" style="6" customWidth="1"/>
    <col min="9" max="9" width="12" style="6" customWidth="1"/>
    <col min="10" max="16384" width="11.7265625" style="5"/>
  </cols>
  <sheetData>
    <row r="1" spans="1:9" s="1" customFormat="1" ht="12.75" customHeight="1" x14ac:dyDescent="0.35">
      <c r="A1" s="1101" t="s">
        <v>369</v>
      </c>
      <c r="B1" s="1101"/>
      <c r="C1" s="1101"/>
      <c r="D1" s="1101"/>
      <c r="E1" s="1101"/>
      <c r="F1" s="1101"/>
      <c r="G1" s="1101"/>
      <c r="H1" s="1101"/>
      <c r="I1" s="1101"/>
    </row>
    <row r="2" spans="1:9" s="1" customFormat="1" ht="14.15" customHeight="1" x14ac:dyDescent="0.35">
      <c r="A2" s="1101" t="s">
        <v>0</v>
      </c>
      <c r="B2" s="1102" t="s">
        <v>1</v>
      </c>
      <c r="C2" s="1101" t="s">
        <v>2</v>
      </c>
      <c r="D2" s="1103" t="s">
        <v>260</v>
      </c>
      <c r="E2" s="1096" t="s">
        <v>259</v>
      </c>
      <c r="F2" s="1098" t="s">
        <v>261</v>
      </c>
      <c r="G2" s="1099"/>
      <c r="H2" s="1098" t="s">
        <v>262</v>
      </c>
      <c r="I2" s="1099"/>
    </row>
    <row r="3" spans="1:9" s="3" customFormat="1" ht="25.5" customHeight="1" x14ac:dyDescent="0.35">
      <c r="A3" s="1101"/>
      <c r="B3" s="1102"/>
      <c r="C3" s="1101"/>
      <c r="D3" s="1103"/>
      <c r="E3" s="1097"/>
      <c r="F3" s="2" t="s">
        <v>263</v>
      </c>
      <c r="G3" s="2" t="s">
        <v>259</v>
      </c>
      <c r="H3" s="2" t="s">
        <v>260</v>
      </c>
      <c r="I3" s="2" t="s">
        <v>259</v>
      </c>
    </row>
    <row r="4" spans="1:9" ht="5.65" customHeight="1" x14ac:dyDescent="0.35"/>
    <row r="5" spans="1:9" ht="14.15" customHeight="1" x14ac:dyDescent="0.35">
      <c r="A5" s="1100" t="s">
        <v>3</v>
      </c>
      <c r="B5" s="1100"/>
      <c r="C5" s="1100"/>
      <c r="D5" s="1100"/>
      <c r="E5" s="1100"/>
      <c r="F5" s="1100"/>
      <c r="G5" s="1100"/>
      <c r="H5" s="1100"/>
      <c r="I5" s="1100"/>
    </row>
    <row r="6" spans="1:9" s="3" customFormat="1" ht="12.75" customHeight="1" x14ac:dyDescent="0.35">
      <c r="A6" s="7" t="s">
        <v>4</v>
      </c>
      <c r="B6" s="7" t="s">
        <v>5</v>
      </c>
      <c r="C6" s="8" t="s">
        <v>6</v>
      </c>
      <c r="D6" s="9">
        <f>F6+H6</f>
        <v>84832</v>
      </c>
      <c r="E6" s="9">
        <f>G6+I6</f>
        <v>83501</v>
      </c>
      <c r="F6" s="10">
        <v>84832</v>
      </c>
      <c r="G6" s="10">
        <f>SUM(G7:G39)</f>
        <v>83501</v>
      </c>
      <c r="H6" s="10">
        <v>0</v>
      </c>
      <c r="I6" s="10">
        <f>SUM(I7:I19)</f>
        <v>0</v>
      </c>
    </row>
    <row r="7" spans="1:9" s="15" customFormat="1" ht="11.5" customHeight="1" x14ac:dyDescent="0.35">
      <c r="A7" s="11"/>
      <c r="B7" s="11"/>
      <c r="C7" s="12" t="s">
        <v>372</v>
      </c>
      <c r="D7" s="13"/>
      <c r="E7" s="13"/>
      <c r="F7" s="14"/>
      <c r="G7" s="14">
        <v>3996</v>
      </c>
      <c r="H7" s="14"/>
      <c r="I7" s="14"/>
    </row>
    <row r="8" spans="1:9" s="15" customFormat="1" ht="11.5" customHeight="1" x14ac:dyDescent="0.35">
      <c r="A8" s="11"/>
      <c r="B8" s="11"/>
      <c r="C8" s="12" t="s">
        <v>373</v>
      </c>
      <c r="D8" s="13"/>
      <c r="E8" s="13"/>
      <c r="F8" s="14"/>
      <c r="G8" s="14">
        <v>4012</v>
      </c>
      <c r="H8" s="14"/>
      <c r="I8" s="14"/>
    </row>
    <row r="9" spans="1:9" s="15" customFormat="1" ht="11.5" customHeight="1" x14ac:dyDescent="0.35">
      <c r="A9" s="11"/>
      <c r="B9" s="11"/>
      <c r="C9" s="12" t="s">
        <v>374</v>
      </c>
      <c r="D9" s="13"/>
      <c r="E9" s="13"/>
      <c r="F9" s="14"/>
      <c r="G9" s="14">
        <v>3180</v>
      </c>
      <c r="H9" s="14"/>
      <c r="I9" s="14"/>
    </row>
    <row r="10" spans="1:9" s="15" customFormat="1" ht="11.5" customHeight="1" x14ac:dyDescent="0.35">
      <c r="A10" s="11"/>
      <c r="B10" s="11"/>
      <c r="C10" s="12" t="s">
        <v>375</v>
      </c>
      <c r="D10" s="13"/>
      <c r="E10" s="13"/>
      <c r="F10" s="14"/>
      <c r="G10" s="14">
        <v>1541</v>
      </c>
      <c r="H10" s="14"/>
      <c r="I10" s="14"/>
    </row>
    <row r="11" spans="1:9" s="15" customFormat="1" ht="11.5" customHeight="1" x14ac:dyDescent="0.35">
      <c r="A11" s="11"/>
      <c r="B11" s="11"/>
      <c r="C11" s="12" t="s">
        <v>376</v>
      </c>
      <c r="D11" s="13"/>
      <c r="E11" s="13"/>
      <c r="F11" s="14"/>
      <c r="G11" s="14">
        <v>2865</v>
      </c>
      <c r="H11" s="14"/>
      <c r="I11" s="14"/>
    </row>
    <row r="12" spans="1:9" s="15" customFormat="1" ht="11.5" customHeight="1" x14ac:dyDescent="0.35">
      <c r="A12" s="11"/>
      <c r="B12" s="11"/>
      <c r="C12" s="12" t="s">
        <v>377</v>
      </c>
      <c r="D12" s="13"/>
      <c r="E12" s="13"/>
      <c r="F12" s="14"/>
      <c r="G12" s="14">
        <v>4937</v>
      </c>
      <c r="H12" s="14"/>
      <c r="I12" s="14"/>
    </row>
    <row r="13" spans="1:9" s="15" customFormat="1" ht="11.5" customHeight="1" x14ac:dyDescent="0.35">
      <c r="A13" s="11"/>
      <c r="B13" s="11"/>
      <c r="C13" s="12" t="s">
        <v>378</v>
      </c>
      <c r="D13" s="13"/>
      <c r="E13" s="13"/>
      <c r="F13" s="14"/>
      <c r="G13" s="14">
        <f>1615+7*12</f>
        <v>1699</v>
      </c>
      <c r="H13" s="14"/>
      <c r="I13" s="14"/>
    </row>
    <row r="14" spans="1:9" s="15" customFormat="1" ht="11.5" customHeight="1" x14ac:dyDescent="0.35">
      <c r="A14" s="11"/>
      <c r="B14" s="11"/>
      <c r="C14" s="12" t="s">
        <v>379</v>
      </c>
      <c r="D14" s="13"/>
      <c r="E14" s="13"/>
      <c r="F14" s="14"/>
      <c r="G14" s="14">
        <v>3188</v>
      </c>
      <c r="H14" s="14"/>
      <c r="I14" s="14"/>
    </row>
    <row r="15" spans="1:9" s="15" customFormat="1" ht="11.5" customHeight="1" x14ac:dyDescent="0.35">
      <c r="A15" s="11"/>
      <c r="B15" s="11"/>
      <c r="C15" s="12" t="s">
        <v>380</v>
      </c>
      <c r="D15" s="13"/>
      <c r="E15" s="13"/>
      <c r="F15" s="14"/>
      <c r="G15" s="14">
        <v>3901</v>
      </c>
      <c r="H15" s="14"/>
      <c r="I15" s="14"/>
    </row>
    <row r="16" spans="1:9" s="15" customFormat="1" ht="11.5" customHeight="1" x14ac:dyDescent="0.35">
      <c r="A16" s="11"/>
      <c r="B16" s="11"/>
      <c r="C16" s="12" t="s">
        <v>381</v>
      </c>
      <c r="D16" s="13"/>
      <c r="E16" s="13"/>
      <c r="F16" s="14"/>
      <c r="G16" s="14">
        <v>4115</v>
      </c>
      <c r="H16" s="14"/>
      <c r="I16" s="14"/>
    </row>
    <row r="17" spans="1:9" s="15" customFormat="1" ht="11.5" customHeight="1" x14ac:dyDescent="0.35">
      <c r="A17" s="11"/>
      <c r="B17" s="11"/>
      <c r="C17" s="12" t="s">
        <v>382</v>
      </c>
      <c r="D17" s="13"/>
      <c r="E17" s="13"/>
      <c r="F17" s="14"/>
      <c r="G17" s="14">
        <v>1541</v>
      </c>
      <c r="H17" s="14"/>
      <c r="I17" s="14"/>
    </row>
    <row r="18" spans="1:9" s="15" customFormat="1" ht="11.5" customHeight="1" x14ac:dyDescent="0.35">
      <c r="A18" s="11"/>
      <c r="B18" s="11"/>
      <c r="C18" s="12" t="s">
        <v>383</v>
      </c>
      <c r="D18" s="13"/>
      <c r="E18" s="13"/>
      <c r="F18" s="14"/>
      <c r="G18" s="14">
        <v>1541</v>
      </c>
      <c r="H18" s="14"/>
      <c r="I18" s="14"/>
    </row>
    <row r="19" spans="1:9" s="15" customFormat="1" ht="11.5" customHeight="1" x14ac:dyDescent="0.35">
      <c r="A19" s="11"/>
      <c r="B19" s="11"/>
      <c r="C19" s="12" t="s">
        <v>384</v>
      </c>
      <c r="D19" s="13"/>
      <c r="E19" s="13"/>
      <c r="F19" s="14"/>
      <c r="G19" s="14">
        <f>1624+7*12</f>
        <v>1708</v>
      </c>
      <c r="H19" s="14"/>
      <c r="I19" s="14"/>
    </row>
    <row r="20" spans="1:9" s="15" customFormat="1" ht="11.5" customHeight="1" x14ac:dyDescent="0.35">
      <c r="A20" s="11"/>
      <c r="B20" s="11"/>
      <c r="C20" s="12" t="s">
        <v>385</v>
      </c>
      <c r="D20" s="13"/>
      <c r="E20" s="13"/>
      <c r="F20" s="14"/>
      <c r="G20" s="14">
        <v>3900</v>
      </c>
      <c r="H20" s="14"/>
      <c r="I20" s="14"/>
    </row>
    <row r="21" spans="1:9" s="15" customFormat="1" ht="11.5" customHeight="1" x14ac:dyDescent="0.35">
      <c r="A21" s="11"/>
      <c r="B21" s="11"/>
      <c r="C21" s="12" t="s">
        <v>386</v>
      </c>
      <c r="D21" s="13"/>
      <c r="E21" s="13"/>
      <c r="F21" s="14"/>
      <c r="G21" s="14">
        <v>1541</v>
      </c>
      <c r="H21" s="14"/>
      <c r="I21" s="14"/>
    </row>
    <row r="22" spans="1:9" s="15" customFormat="1" ht="11.5" customHeight="1" x14ac:dyDescent="0.35">
      <c r="A22" s="11"/>
      <c r="B22" s="11"/>
      <c r="C22" s="12" t="s">
        <v>387</v>
      </c>
      <c r="D22" s="13"/>
      <c r="E22" s="13"/>
      <c r="F22" s="14"/>
      <c r="G22" s="14">
        <v>2769</v>
      </c>
      <c r="H22" s="14"/>
      <c r="I22" s="14"/>
    </row>
    <row r="23" spans="1:9" s="15" customFormat="1" ht="11.5" customHeight="1" x14ac:dyDescent="0.35">
      <c r="A23" s="11"/>
      <c r="B23" s="11"/>
      <c r="C23" s="12" t="s">
        <v>388</v>
      </c>
      <c r="D23" s="13"/>
      <c r="E23" s="13"/>
      <c r="F23" s="14"/>
      <c r="G23" s="14">
        <f>1572+7*12</f>
        <v>1656</v>
      </c>
      <c r="H23" s="14"/>
      <c r="I23" s="14"/>
    </row>
    <row r="24" spans="1:9" s="15" customFormat="1" ht="11.5" customHeight="1" x14ac:dyDescent="0.35">
      <c r="A24" s="11"/>
      <c r="B24" s="11"/>
      <c r="C24" s="12" t="s">
        <v>389</v>
      </c>
      <c r="D24" s="13"/>
      <c r="E24" s="13"/>
      <c r="F24" s="14"/>
      <c r="G24" s="14">
        <f>1592+7*12</f>
        <v>1676</v>
      </c>
      <c r="H24" s="14"/>
      <c r="I24" s="14"/>
    </row>
    <row r="25" spans="1:9" s="15" customFormat="1" ht="11.5" customHeight="1" x14ac:dyDescent="0.35">
      <c r="A25" s="11"/>
      <c r="B25" s="11"/>
      <c r="C25" s="12" t="s">
        <v>390</v>
      </c>
      <c r="D25" s="13"/>
      <c r="E25" s="13"/>
      <c r="F25" s="14"/>
      <c r="G25" s="14">
        <v>3695</v>
      </c>
      <c r="H25" s="14"/>
      <c r="I25" s="14"/>
    </row>
    <row r="26" spans="1:9" s="15" customFormat="1" ht="11.5" customHeight="1" x14ac:dyDescent="0.35">
      <c r="A26" s="11"/>
      <c r="B26" s="11"/>
      <c r="C26" s="12" t="s">
        <v>391</v>
      </c>
      <c r="D26" s="13"/>
      <c r="E26" s="13"/>
      <c r="F26" s="14"/>
      <c r="G26" s="14">
        <f>1572+7*12</f>
        <v>1656</v>
      </c>
      <c r="H26" s="14"/>
      <c r="I26" s="14"/>
    </row>
    <row r="27" spans="1:9" s="15" customFormat="1" ht="11.5" customHeight="1" x14ac:dyDescent="0.35">
      <c r="A27" s="11"/>
      <c r="B27" s="11"/>
      <c r="C27" s="12" t="s">
        <v>392</v>
      </c>
      <c r="D27" s="13"/>
      <c r="E27" s="13"/>
      <c r="F27" s="14"/>
      <c r="G27" s="14">
        <v>2057</v>
      </c>
      <c r="H27" s="14"/>
      <c r="I27" s="14"/>
    </row>
    <row r="28" spans="1:9" s="15" customFormat="1" ht="11.5" customHeight="1" x14ac:dyDescent="0.35">
      <c r="A28" s="11"/>
      <c r="B28" s="11"/>
      <c r="C28" s="12" t="s">
        <v>393</v>
      </c>
      <c r="D28" s="13"/>
      <c r="E28" s="13"/>
      <c r="F28" s="14"/>
      <c r="G28" s="14">
        <v>3292</v>
      </c>
      <c r="H28" s="14"/>
      <c r="I28" s="14"/>
    </row>
    <row r="29" spans="1:9" s="15" customFormat="1" ht="11.5" customHeight="1" x14ac:dyDescent="0.35">
      <c r="A29" s="11"/>
      <c r="B29" s="11"/>
      <c r="C29" s="12" t="s">
        <v>394</v>
      </c>
      <c r="D29" s="13"/>
      <c r="E29" s="13"/>
      <c r="F29" s="14"/>
      <c r="G29" s="14">
        <v>1541</v>
      </c>
      <c r="H29" s="14"/>
      <c r="I29" s="14"/>
    </row>
    <row r="30" spans="1:9" s="15" customFormat="1" ht="11.5" customHeight="1" x14ac:dyDescent="0.35">
      <c r="A30" s="11"/>
      <c r="B30" s="11"/>
      <c r="C30" s="12" t="s">
        <v>395</v>
      </c>
      <c r="D30" s="13"/>
      <c r="E30" s="13"/>
      <c r="F30" s="14"/>
      <c r="G30" s="14">
        <v>771</v>
      </c>
      <c r="H30" s="14"/>
      <c r="I30" s="14"/>
    </row>
    <row r="31" spans="1:9" s="15" customFormat="1" ht="11.5" customHeight="1" x14ac:dyDescent="0.35">
      <c r="A31" s="11"/>
      <c r="B31" s="11"/>
      <c r="C31" s="12" t="s">
        <v>396</v>
      </c>
      <c r="D31" s="13"/>
      <c r="E31" s="13"/>
      <c r="F31" s="14"/>
      <c r="G31" s="14">
        <v>4620</v>
      </c>
      <c r="H31" s="14"/>
      <c r="I31" s="14"/>
    </row>
    <row r="32" spans="1:9" s="15" customFormat="1" ht="11.5" customHeight="1" x14ac:dyDescent="0.35">
      <c r="A32" s="11"/>
      <c r="B32" s="11"/>
      <c r="C32" s="12" t="s">
        <v>397</v>
      </c>
      <c r="D32" s="13"/>
      <c r="E32" s="13"/>
      <c r="F32" s="14"/>
      <c r="G32" s="14">
        <f>1572+7*12</f>
        <v>1656</v>
      </c>
      <c r="H32" s="14"/>
      <c r="I32" s="14"/>
    </row>
    <row r="33" spans="1:9" s="15" customFormat="1" ht="11.5" customHeight="1" x14ac:dyDescent="0.35">
      <c r="A33" s="11"/>
      <c r="B33" s="11"/>
      <c r="C33" s="12" t="s">
        <v>398</v>
      </c>
      <c r="D33" s="13"/>
      <c r="E33" s="13"/>
      <c r="F33" s="14"/>
      <c r="G33" s="14">
        <f>1632+7*12</f>
        <v>1716</v>
      </c>
      <c r="H33" s="14"/>
      <c r="I33" s="14"/>
    </row>
    <row r="34" spans="1:9" s="15" customFormat="1" ht="11.5" customHeight="1" x14ac:dyDescent="0.35">
      <c r="A34" s="11"/>
      <c r="B34" s="11"/>
      <c r="C34" s="12" t="s">
        <v>399</v>
      </c>
      <c r="D34" s="13"/>
      <c r="E34" s="13"/>
      <c r="F34" s="14"/>
      <c r="G34" s="14">
        <v>1541</v>
      </c>
      <c r="H34" s="14"/>
      <c r="I34" s="14"/>
    </row>
    <row r="35" spans="1:9" s="15" customFormat="1" ht="11.5" customHeight="1" x14ac:dyDescent="0.35">
      <c r="A35" s="11"/>
      <c r="B35" s="11"/>
      <c r="C35" s="12" t="s">
        <v>400</v>
      </c>
      <c r="D35" s="13"/>
      <c r="E35" s="13"/>
      <c r="F35" s="14"/>
      <c r="G35" s="14">
        <v>3789</v>
      </c>
      <c r="H35" s="14"/>
      <c r="I35" s="14"/>
    </row>
    <row r="36" spans="1:9" s="15" customFormat="1" ht="11.5" customHeight="1" x14ac:dyDescent="0.35">
      <c r="A36" s="11"/>
      <c r="B36" s="11"/>
      <c r="C36" s="12" t="s">
        <v>401</v>
      </c>
      <c r="D36" s="13"/>
      <c r="E36" s="13"/>
      <c r="F36" s="14"/>
      <c r="G36" s="14">
        <v>1632</v>
      </c>
      <c r="H36" s="14"/>
      <c r="I36" s="14"/>
    </row>
    <row r="37" spans="1:9" s="15" customFormat="1" ht="11.5" customHeight="1" x14ac:dyDescent="0.35">
      <c r="A37" s="11"/>
      <c r="B37" s="11"/>
      <c r="C37" s="12" t="s">
        <v>402</v>
      </c>
      <c r="D37" s="13"/>
      <c r="E37" s="13"/>
      <c r="F37" s="14"/>
      <c r="G37" s="14">
        <v>3511</v>
      </c>
      <c r="H37" s="14"/>
      <c r="I37" s="14"/>
    </row>
    <row r="38" spans="1:9" s="15" customFormat="1" ht="11.5" customHeight="1" x14ac:dyDescent="0.35">
      <c r="A38" s="11"/>
      <c r="B38" s="11"/>
      <c r="C38" s="12" t="s">
        <v>1147</v>
      </c>
      <c r="D38" s="13"/>
      <c r="E38" s="13"/>
      <c r="F38" s="14"/>
      <c r="G38" s="14">
        <v>710</v>
      </c>
      <c r="H38" s="14"/>
      <c r="I38" s="14"/>
    </row>
    <row r="39" spans="1:9" s="15" customFormat="1" ht="11.5" customHeight="1" x14ac:dyDescent="0.35">
      <c r="A39" s="11"/>
      <c r="B39" s="11"/>
      <c r="C39" s="12" t="s">
        <v>1239</v>
      </c>
      <c r="D39" s="13"/>
      <c r="E39" s="13"/>
      <c r="F39" s="14"/>
      <c r="G39" s="14">
        <f>129*12</f>
        <v>1548</v>
      </c>
      <c r="H39" s="14"/>
      <c r="I39" s="14"/>
    </row>
    <row r="40" spans="1:9" s="3" customFormat="1" ht="12.75" customHeight="1" x14ac:dyDescent="0.35">
      <c r="A40" s="7" t="s">
        <v>7</v>
      </c>
      <c r="B40" s="7" t="s">
        <v>8</v>
      </c>
      <c r="C40" s="8" t="s">
        <v>9</v>
      </c>
      <c r="D40" s="9">
        <f t="shared" ref="D40:E42" si="0">F40+H40</f>
        <v>0</v>
      </c>
      <c r="E40" s="9">
        <f t="shared" si="0"/>
        <v>0</v>
      </c>
      <c r="F40" s="10">
        <v>0</v>
      </c>
      <c r="G40" s="10">
        <v>0</v>
      </c>
      <c r="H40" s="10">
        <v>0</v>
      </c>
      <c r="I40" s="10">
        <v>0</v>
      </c>
    </row>
    <row r="41" spans="1:9" s="3" customFormat="1" ht="12.75" customHeight="1" x14ac:dyDescent="0.35">
      <c r="A41" s="7" t="s">
        <v>10</v>
      </c>
      <c r="B41" s="7" t="s">
        <v>11</v>
      </c>
      <c r="C41" s="8" t="s">
        <v>12</v>
      </c>
      <c r="D41" s="9">
        <f t="shared" si="0"/>
        <v>0</v>
      </c>
      <c r="E41" s="9">
        <f t="shared" si="0"/>
        <v>0</v>
      </c>
      <c r="F41" s="10">
        <v>0</v>
      </c>
      <c r="G41" s="10">
        <v>0</v>
      </c>
      <c r="H41" s="10">
        <v>0</v>
      </c>
      <c r="I41" s="10">
        <v>0</v>
      </c>
    </row>
    <row r="42" spans="1:9" s="3" customFormat="1" ht="12.75" customHeight="1" x14ac:dyDescent="0.35">
      <c r="A42" s="7" t="s">
        <v>13</v>
      </c>
      <c r="B42" s="7" t="s">
        <v>14</v>
      </c>
      <c r="C42" s="8" t="s">
        <v>15</v>
      </c>
      <c r="D42" s="9">
        <f t="shared" si="0"/>
        <v>700</v>
      </c>
      <c r="E42" s="9">
        <f t="shared" si="0"/>
        <v>1500</v>
      </c>
      <c r="F42" s="10">
        <f>SUM(F43:F44)</f>
        <v>700</v>
      </c>
      <c r="G42" s="10">
        <f>SUM(G43:G44)</f>
        <v>1500</v>
      </c>
      <c r="H42" s="10">
        <v>0</v>
      </c>
      <c r="I42" s="10">
        <f>SUM(I43:I44)</f>
        <v>0</v>
      </c>
    </row>
    <row r="43" spans="1:9" s="15" customFormat="1" ht="11.5" customHeight="1" x14ac:dyDescent="0.35">
      <c r="A43" s="11"/>
      <c r="B43" s="11"/>
      <c r="C43" s="12" t="s">
        <v>16</v>
      </c>
      <c r="D43" s="13"/>
      <c r="E43" s="13"/>
      <c r="F43" s="14">
        <v>700</v>
      </c>
      <c r="G43" s="14">
        <v>1500</v>
      </c>
      <c r="H43" s="14"/>
      <c r="I43" s="14"/>
    </row>
    <row r="44" spans="1:9" s="15" customFormat="1" ht="11.5" customHeight="1" x14ac:dyDescent="0.35">
      <c r="A44" s="11"/>
      <c r="B44" s="11"/>
      <c r="C44" s="12" t="s">
        <v>17</v>
      </c>
      <c r="D44" s="13"/>
      <c r="E44" s="13"/>
      <c r="F44" s="14"/>
      <c r="G44" s="14"/>
      <c r="H44" s="14"/>
      <c r="I44" s="14"/>
    </row>
    <row r="45" spans="1:9" s="3" customFormat="1" ht="12.75" customHeight="1" x14ac:dyDescent="0.35">
      <c r="A45" s="7" t="s">
        <v>18</v>
      </c>
      <c r="B45" s="7" t="s">
        <v>19</v>
      </c>
      <c r="C45" s="8" t="s">
        <v>20</v>
      </c>
      <c r="D45" s="9">
        <f t="shared" ref="D45:E49" si="1">F45+H45</f>
        <v>0</v>
      </c>
      <c r="E45" s="9">
        <f t="shared" si="1"/>
        <v>0</v>
      </c>
      <c r="F45" s="10">
        <v>0</v>
      </c>
      <c r="G45" s="10">
        <v>0</v>
      </c>
      <c r="H45" s="10">
        <v>0</v>
      </c>
      <c r="I45" s="10">
        <v>0</v>
      </c>
    </row>
    <row r="46" spans="1:9" s="3" customFormat="1" ht="12.75" customHeight="1" x14ac:dyDescent="0.35">
      <c r="A46" s="7" t="s">
        <v>21</v>
      </c>
      <c r="B46" s="7" t="s">
        <v>22</v>
      </c>
      <c r="C46" s="8" t="s">
        <v>23</v>
      </c>
      <c r="D46" s="9">
        <f t="shared" si="1"/>
        <v>4038</v>
      </c>
      <c r="E46" s="9">
        <f t="shared" si="1"/>
        <v>1683</v>
      </c>
      <c r="F46" s="10">
        <v>4038</v>
      </c>
      <c r="G46" s="10">
        <f>SUM(G47:G48)</f>
        <v>1683</v>
      </c>
      <c r="H46" s="10">
        <v>0</v>
      </c>
      <c r="I46" s="10">
        <v>0</v>
      </c>
    </row>
    <row r="47" spans="1:9" s="3" customFormat="1" ht="12.75" customHeight="1" x14ac:dyDescent="0.35">
      <c r="A47" s="11"/>
      <c r="B47" s="11"/>
      <c r="C47" s="12" t="s">
        <v>1241</v>
      </c>
      <c r="D47" s="13"/>
      <c r="E47" s="13"/>
      <c r="F47" s="14"/>
      <c r="G47" s="14">
        <f>ROUND(5*336500/1000,0)</f>
        <v>1683</v>
      </c>
      <c r="H47" s="14"/>
      <c r="I47" s="14"/>
    </row>
    <row r="48" spans="1:9" s="3" customFormat="1" ht="12.75" customHeight="1" x14ac:dyDescent="0.35">
      <c r="A48" s="11"/>
      <c r="B48" s="11"/>
      <c r="C48" s="12"/>
      <c r="D48" s="13"/>
      <c r="E48" s="13"/>
      <c r="F48" s="14"/>
      <c r="G48" s="14"/>
      <c r="H48" s="14"/>
      <c r="I48" s="14"/>
    </row>
    <row r="49" spans="1:9" s="3" customFormat="1" ht="12.75" customHeight="1" x14ac:dyDescent="0.35">
      <c r="A49" s="7" t="s">
        <v>24</v>
      </c>
      <c r="B49" s="7" t="s">
        <v>25</v>
      </c>
      <c r="C49" s="8" t="s">
        <v>26</v>
      </c>
      <c r="D49" s="9">
        <f t="shared" si="1"/>
        <v>2976</v>
      </c>
      <c r="E49" s="9">
        <f t="shared" si="1"/>
        <v>2976</v>
      </c>
      <c r="F49" s="10">
        <v>2976</v>
      </c>
      <c r="G49" s="10">
        <f>G50</f>
        <v>2976</v>
      </c>
      <c r="H49" s="10">
        <v>0</v>
      </c>
      <c r="I49" s="10">
        <f>I50</f>
        <v>0</v>
      </c>
    </row>
    <row r="50" spans="1:9" s="15" customFormat="1" ht="11.5" customHeight="1" x14ac:dyDescent="0.35">
      <c r="A50" s="11"/>
      <c r="B50" s="11"/>
      <c r="C50" s="12" t="s">
        <v>403</v>
      </c>
      <c r="D50" s="13"/>
      <c r="E50" s="13"/>
      <c r="F50" s="14">
        <v>2976</v>
      </c>
      <c r="G50" s="14">
        <v>2976</v>
      </c>
      <c r="H50" s="14"/>
      <c r="I50" s="14"/>
    </row>
    <row r="51" spans="1:9" s="3" customFormat="1" ht="12.75" customHeight="1" x14ac:dyDescent="0.35">
      <c r="A51" s="7" t="s">
        <v>27</v>
      </c>
      <c r="B51" s="7" t="s">
        <v>28</v>
      </c>
      <c r="C51" s="8" t="s">
        <v>29</v>
      </c>
      <c r="D51" s="9">
        <f t="shared" ref="D51:E53" si="2">F51+H51</f>
        <v>0</v>
      </c>
      <c r="E51" s="9">
        <f t="shared" si="2"/>
        <v>0</v>
      </c>
      <c r="F51" s="10">
        <v>0</v>
      </c>
      <c r="G51" s="10">
        <v>0</v>
      </c>
      <c r="H51" s="10">
        <v>0</v>
      </c>
      <c r="I51" s="10">
        <v>0</v>
      </c>
    </row>
    <row r="52" spans="1:9" s="3" customFormat="1" ht="12.75" customHeight="1" x14ac:dyDescent="0.35">
      <c r="A52" s="7" t="s">
        <v>30</v>
      </c>
      <c r="B52" s="7" t="s">
        <v>31</v>
      </c>
      <c r="C52" s="8" t="s">
        <v>32</v>
      </c>
      <c r="D52" s="9">
        <f t="shared" si="2"/>
        <v>400</v>
      </c>
      <c r="E52" s="9">
        <f t="shared" si="2"/>
        <v>440</v>
      </c>
      <c r="F52" s="10">
        <v>400</v>
      </c>
      <c r="G52" s="10">
        <v>440</v>
      </c>
      <c r="H52" s="10">
        <v>0</v>
      </c>
      <c r="I52" s="10">
        <v>0</v>
      </c>
    </row>
    <row r="53" spans="1:9" s="3" customFormat="1" ht="12.75" customHeight="1" x14ac:dyDescent="0.35">
      <c r="A53" s="7" t="s">
        <v>33</v>
      </c>
      <c r="B53" s="7" t="s">
        <v>34</v>
      </c>
      <c r="C53" s="8" t="s">
        <v>35</v>
      </c>
      <c r="D53" s="9">
        <f t="shared" si="2"/>
        <v>0</v>
      </c>
      <c r="E53" s="9">
        <f t="shared" si="2"/>
        <v>492</v>
      </c>
      <c r="F53" s="10">
        <v>0</v>
      </c>
      <c r="G53" s="10">
        <f>G54+G55</f>
        <v>492</v>
      </c>
      <c r="H53" s="10">
        <v>0</v>
      </c>
      <c r="I53" s="10">
        <f>I54</f>
        <v>0</v>
      </c>
    </row>
    <row r="54" spans="1:9" s="3" customFormat="1" ht="12.75" customHeight="1" x14ac:dyDescent="0.35">
      <c r="A54" s="11"/>
      <c r="B54" s="11"/>
      <c r="C54" s="12" t="s">
        <v>279</v>
      </c>
      <c r="D54" s="13"/>
      <c r="E54" s="13"/>
      <c r="F54" s="14"/>
      <c r="G54" s="14">
        <v>120</v>
      </c>
      <c r="H54" s="14"/>
      <c r="I54" s="14"/>
    </row>
    <row r="55" spans="1:9" s="3" customFormat="1" ht="12.75" customHeight="1" x14ac:dyDescent="0.35">
      <c r="A55" s="11"/>
      <c r="B55" s="11"/>
      <c r="C55" s="12" t="s">
        <v>1257</v>
      </c>
      <c r="D55" s="13"/>
      <c r="E55" s="13"/>
      <c r="F55" s="14"/>
      <c r="G55" s="14">
        <v>372</v>
      </c>
      <c r="H55" s="14"/>
      <c r="I55" s="14"/>
    </row>
    <row r="56" spans="1:9" s="3" customFormat="1" ht="12.75" customHeight="1" x14ac:dyDescent="0.35">
      <c r="A56" s="7" t="s">
        <v>36</v>
      </c>
      <c r="B56" s="7" t="s">
        <v>37</v>
      </c>
      <c r="C56" s="8" t="s">
        <v>38</v>
      </c>
      <c r="D56" s="9">
        <f>F56+H56</f>
        <v>0</v>
      </c>
      <c r="E56" s="9">
        <f>G56+I56</f>
        <v>0</v>
      </c>
      <c r="F56" s="10">
        <v>0</v>
      </c>
      <c r="G56" s="10">
        <v>0</v>
      </c>
      <c r="H56" s="10">
        <v>0</v>
      </c>
      <c r="I56" s="10">
        <v>0</v>
      </c>
    </row>
    <row r="57" spans="1:9" s="3" customFormat="1" ht="12.75" customHeight="1" x14ac:dyDescent="0.35">
      <c r="A57" s="7" t="s">
        <v>39</v>
      </c>
      <c r="B57" s="7" t="s">
        <v>40</v>
      </c>
      <c r="C57" s="8" t="s">
        <v>41</v>
      </c>
      <c r="D57" s="9">
        <f>F57+H57</f>
        <v>380</v>
      </c>
      <c r="E57" s="9">
        <f>G57+I57</f>
        <v>334</v>
      </c>
      <c r="F57" s="10">
        <f>F58</f>
        <v>380</v>
      </c>
      <c r="G57" s="10">
        <f>G58</f>
        <v>334</v>
      </c>
      <c r="H57" s="10">
        <f>H58</f>
        <v>0</v>
      </c>
      <c r="I57" s="10">
        <f>I58</f>
        <v>0</v>
      </c>
    </row>
    <row r="58" spans="1:9" s="3" customFormat="1" ht="12.75" customHeight="1" x14ac:dyDescent="0.35">
      <c r="A58" s="11"/>
      <c r="B58" s="11"/>
      <c r="C58" s="12" t="s">
        <v>280</v>
      </c>
      <c r="D58" s="13"/>
      <c r="E58" s="13"/>
      <c r="F58" s="14">
        <v>380</v>
      </c>
      <c r="G58" s="14">
        <f>ROUND(G6*0.004,0)</f>
        <v>334</v>
      </c>
      <c r="H58" s="14"/>
      <c r="I58" s="14"/>
    </row>
    <row r="59" spans="1:9" s="3" customFormat="1" ht="12.75" customHeight="1" x14ac:dyDescent="0.35">
      <c r="A59" s="7" t="s">
        <v>42</v>
      </c>
      <c r="B59" s="7" t="s">
        <v>43</v>
      </c>
      <c r="C59" s="8" t="s">
        <v>44</v>
      </c>
      <c r="D59" s="9">
        <f>F59+H59</f>
        <v>340</v>
      </c>
      <c r="E59" s="9">
        <f>G59+I59</f>
        <v>2707</v>
      </c>
      <c r="F59" s="10">
        <v>340</v>
      </c>
      <c r="G59" s="10">
        <f>G60+G61</f>
        <v>2707</v>
      </c>
      <c r="H59" s="10">
        <v>0</v>
      </c>
      <c r="I59" s="10">
        <f>I60</f>
        <v>0</v>
      </c>
    </row>
    <row r="60" spans="1:9" s="15" customFormat="1" ht="11.5" customHeight="1" x14ac:dyDescent="0.35">
      <c r="A60" s="11"/>
      <c r="B60" s="11"/>
      <c r="C60" s="12" t="s">
        <v>1148</v>
      </c>
      <c r="D60" s="13"/>
      <c r="E60" s="13"/>
      <c r="F60" s="14"/>
      <c r="G60" s="14">
        <v>220</v>
      </c>
      <c r="H60" s="14"/>
      <c r="I60" s="14"/>
    </row>
    <row r="61" spans="1:9" s="15" customFormat="1" ht="11.5" customHeight="1" x14ac:dyDescent="0.35">
      <c r="A61" s="11"/>
      <c r="B61" s="11"/>
      <c r="C61" s="12" t="s">
        <v>1259</v>
      </c>
      <c r="D61" s="13"/>
      <c r="E61" s="13"/>
      <c r="F61" s="14"/>
      <c r="G61" s="14">
        <v>2487</v>
      </c>
      <c r="H61" s="14"/>
      <c r="I61" s="14"/>
    </row>
    <row r="62" spans="1:9" s="3" customFormat="1" ht="12.75" customHeight="1" x14ac:dyDescent="0.35">
      <c r="A62" s="16" t="s">
        <v>45</v>
      </c>
      <c r="B62" s="16" t="s">
        <v>46</v>
      </c>
      <c r="C62" s="17" t="s">
        <v>47</v>
      </c>
      <c r="D62" s="18">
        <f t="shared" ref="D62:I62" si="3">D6+D40+D41+D42+D45+D46+D49+D51+D52+D53+D56+D57+D59</f>
        <v>93666</v>
      </c>
      <c r="E62" s="18">
        <f t="shared" si="3"/>
        <v>93633</v>
      </c>
      <c r="F62" s="18">
        <f t="shared" si="3"/>
        <v>93666</v>
      </c>
      <c r="G62" s="18">
        <f t="shared" si="3"/>
        <v>93633</v>
      </c>
      <c r="H62" s="18">
        <f t="shared" si="3"/>
        <v>0</v>
      </c>
      <c r="I62" s="18">
        <f t="shared" si="3"/>
        <v>0</v>
      </c>
    </row>
    <row r="63" spans="1:9" s="3" customFormat="1" ht="12.75" customHeight="1" x14ac:dyDescent="0.35">
      <c r="A63" s="7" t="s">
        <v>48</v>
      </c>
      <c r="B63" s="7" t="s">
        <v>49</v>
      </c>
      <c r="C63" s="8" t="s">
        <v>50</v>
      </c>
      <c r="D63" s="9">
        <f>F63+H63</f>
        <v>0</v>
      </c>
      <c r="E63" s="9">
        <f>G63+I63</f>
        <v>0</v>
      </c>
      <c r="F63" s="10">
        <v>0</v>
      </c>
      <c r="G63" s="10">
        <v>0</v>
      </c>
      <c r="H63" s="10">
        <v>0</v>
      </c>
      <c r="I63" s="10">
        <v>0</v>
      </c>
    </row>
    <row r="64" spans="1:9" s="3" customFormat="1" ht="12.75" customHeight="1" x14ac:dyDescent="0.35">
      <c r="A64" s="7" t="s">
        <v>51</v>
      </c>
      <c r="B64" s="7" t="s">
        <v>52</v>
      </c>
      <c r="C64" s="8" t="s">
        <v>53</v>
      </c>
      <c r="D64" s="9">
        <f>F64+H64</f>
        <v>0</v>
      </c>
      <c r="E64" s="9">
        <f>G64+I64</f>
        <v>120</v>
      </c>
      <c r="F64" s="10">
        <f>F65</f>
        <v>0</v>
      </c>
      <c r="G64" s="10">
        <f>G65</f>
        <v>120</v>
      </c>
      <c r="H64" s="10">
        <f>H65</f>
        <v>0</v>
      </c>
      <c r="I64" s="10">
        <f>I65</f>
        <v>0</v>
      </c>
    </row>
    <row r="65" spans="1:9" s="15" customFormat="1" ht="11.5" customHeight="1" x14ac:dyDescent="0.35">
      <c r="A65" s="11"/>
      <c r="B65" s="11"/>
      <c r="C65" s="12" t="s">
        <v>282</v>
      </c>
      <c r="D65" s="13"/>
      <c r="E65" s="13"/>
      <c r="F65" s="14">
        <v>0</v>
      </c>
      <c r="G65" s="14">
        <v>120</v>
      </c>
      <c r="H65" s="14"/>
      <c r="I65" s="14"/>
    </row>
    <row r="66" spans="1:9" s="3" customFormat="1" ht="12.75" customHeight="1" x14ac:dyDescent="0.35">
      <c r="A66" s="7" t="s">
        <v>54</v>
      </c>
      <c r="B66" s="7" t="s">
        <v>55</v>
      </c>
      <c r="C66" s="8" t="s">
        <v>285</v>
      </c>
      <c r="D66" s="9">
        <f>F66+H66</f>
        <v>70</v>
      </c>
      <c r="E66" s="9">
        <f>G66+I66</f>
        <v>60</v>
      </c>
      <c r="F66" s="10">
        <f>F67</f>
        <v>70</v>
      </c>
      <c r="G66" s="10">
        <f>G67</f>
        <v>60</v>
      </c>
      <c r="H66" s="10">
        <f>H67</f>
        <v>0</v>
      </c>
      <c r="I66" s="10">
        <f>I67</f>
        <v>0</v>
      </c>
    </row>
    <row r="67" spans="1:9" s="15" customFormat="1" ht="11.5" customHeight="1" x14ac:dyDescent="0.35">
      <c r="A67" s="11"/>
      <c r="B67" s="11"/>
      <c r="C67" s="12" t="s">
        <v>283</v>
      </c>
      <c r="D67" s="13"/>
      <c r="E67" s="13"/>
      <c r="F67" s="14">
        <v>70</v>
      </c>
      <c r="G67" s="14">
        <v>60</v>
      </c>
      <c r="H67" s="14"/>
      <c r="I67" s="14"/>
    </row>
    <row r="68" spans="1:9" s="3" customFormat="1" ht="12.75" customHeight="1" x14ac:dyDescent="0.35">
      <c r="A68" s="16" t="s">
        <v>56</v>
      </c>
      <c r="B68" s="16" t="s">
        <v>57</v>
      </c>
      <c r="C68" s="17" t="s">
        <v>58</v>
      </c>
      <c r="D68" s="18">
        <f t="shared" ref="D68:I68" si="4">D63+D64+D66</f>
        <v>70</v>
      </c>
      <c r="E68" s="18">
        <f t="shared" si="4"/>
        <v>180</v>
      </c>
      <c r="F68" s="18">
        <f t="shared" si="4"/>
        <v>70</v>
      </c>
      <c r="G68" s="18">
        <f t="shared" si="4"/>
        <v>180</v>
      </c>
      <c r="H68" s="18">
        <f t="shared" si="4"/>
        <v>0</v>
      </c>
      <c r="I68" s="18">
        <f t="shared" si="4"/>
        <v>0</v>
      </c>
    </row>
    <row r="69" spans="1:9" s="3" customFormat="1" ht="12.75" customHeight="1" x14ac:dyDescent="0.35">
      <c r="A69" s="20" t="s">
        <v>59</v>
      </c>
      <c r="B69" s="20" t="s">
        <v>60</v>
      </c>
      <c r="C69" s="21" t="s">
        <v>286</v>
      </c>
      <c r="D69" s="22">
        <f t="shared" ref="D69:I69" si="5">D62+D68</f>
        <v>93736</v>
      </c>
      <c r="E69" s="22">
        <f t="shared" si="5"/>
        <v>93813</v>
      </c>
      <c r="F69" s="22">
        <f t="shared" si="5"/>
        <v>93736</v>
      </c>
      <c r="G69" s="22">
        <f t="shared" si="5"/>
        <v>93813</v>
      </c>
      <c r="H69" s="22">
        <f t="shared" si="5"/>
        <v>0</v>
      </c>
      <c r="I69" s="22">
        <f t="shared" si="5"/>
        <v>0</v>
      </c>
    </row>
    <row r="70" spans="1:9" s="15" customFormat="1" ht="11.5" customHeight="1" x14ac:dyDescent="0.35">
      <c r="A70" s="11"/>
      <c r="B70" s="11"/>
      <c r="C70" s="12" t="s">
        <v>284</v>
      </c>
      <c r="D70" s="13">
        <f>H70+F70</f>
        <v>24276</v>
      </c>
      <c r="E70" s="13">
        <f>I70+G70</f>
        <v>23527</v>
      </c>
      <c r="F70" s="13">
        <v>24276</v>
      </c>
      <c r="G70" s="13">
        <f>ROUND((G6+G40+G41+G42+G45+G46+G57+G64)*0.27,0)</f>
        <v>23527</v>
      </c>
      <c r="H70" s="13">
        <f>ROUND((H6+H40+H41+H42+H45+H46+H64)*0.27,0)</f>
        <v>0</v>
      </c>
      <c r="I70" s="13">
        <f>ROUND((I6+I40+I41+I42+I45+I46+I64)*0.27,0)</f>
        <v>0</v>
      </c>
    </row>
    <row r="71" spans="1:9" s="15" customFormat="1" ht="11.5" customHeight="1" x14ac:dyDescent="0.35">
      <c r="A71" s="11"/>
      <c r="B71" s="11"/>
      <c r="C71" s="12" t="s">
        <v>61</v>
      </c>
      <c r="D71" s="13">
        <f t="shared" ref="D71:E73" si="6">H71+F71</f>
        <v>518</v>
      </c>
      <c r="E71" s="13">
        <f t="shared" si="6"/>
        <v>1385</v>
      </c>
      <c r="F71" s="14">
        <v>518</v>
      </c>
      <c r="G71" s="13">
        <f>ROUND(G49*1.19*0.14+(G66+G59)*1.19*0.27,0)</f>
        <v>1385</v>
      </c>
      <c r="H71" s="14"/>
      <c r="I71" s="14"/>
    </row>
    <row r="72" spans="1:9" s="15" customFormat="1" ht="11.5" customHeight="1" x14ac:dyDescent="0.35">
      <c r="A72" s="11"/>
      <c r="B72" s="11"/>
      <c r="C72" s="12" t="s">
        <v>62</v>
      </c>
      <c r="D72" s="13">
        <f t="shared" si="6"/>
        <v>1475</v>
      </c>
      <c r="E72" s="13">
        <f t="shared" si="6"/>
        <v>1475</v>
      </c>
      <c r="F72" s="14">
        <v>1475</v>
      </c>
      <c r="G72" s="14">
        <v>1475</v>
      </c>
      <c r="H72" s="14"/>
      <c r="I72" s="14"/>
    </row>
    <row r="73" spans="1:9" s="15" customFormat="1" ht="11.5" customHeight="1" x14ac:dyDescent="0.35">
      <c r="A73" s="11"/>
      <c r="B73" s="11"/>
      <c r="C73" s="12" t="s">
        <v>63</v>
      </c>
      <c r="D73" s="13">
        <f t="shared" si="6"/>
        <v>580</v>
      </c>
      <c r="E73" s="13">
        <f t="shared" si="6"/>
        <v>620</v>
      </c>
      <c r="F73" s="14">
        <v>580</v>
      </c>
      <c r="G73" s="14">
        <f>ROUND((G67+G60+G50)*1.19*0.16,0)</f>
        <v>620</v>
      </c>
      <c r="H73" s="14"/>
      <c r="I73" s="14"/>
    </row>
    <row r="74" spans="1:9" s="3" customFormat="1" ht="12.75" customHeight="1" x14ac:dyDescent="0.35">
      <c r="A74" s="20" t="s">
        <v>64</v>
      </c>
      <c r="B74" s="20" t="s">
        <v>65</v>
      </c>
      <c r="C74" s="21" t="s">
        <v>287</v>
      </c>
      <c r="D74" s="22">
        <f t="shared" ref="D74:I74" si="7">D70+D71+D72+D73</f>
        <v>26849</v>
      </c>
      <c r="E74" s="22">
        <f t="shared" si="7"/>
        <v>27007</v>
      </c>
      <c r="F74" s="22">
        <f t="shared" si="7"/>
        <v>26849</v>
      </c>
      <c r="G74" s="22">
        <f t="shared" si="7"/>
        <v>27007</v>
      </c>
      <c r="H74" s="22">
        <f t="shared" si="7"/>
        <v>0</v>
      </c>
      <c r="I74" s="22">
        <f t="shared" si="7"/>
        <v>0</v>
      </c>
    </row>
    <row r="75" spans="1:9" s="3" customFormat="1" ht="14.15" customHeight="1" x14ac:dyDescent="0.35">
      <c r="A75" s="1093" t="s">
        <v>66</v>
      </c>
      <c r="B75" s="1094"/>
      <c r="C75" s="1095"/>
      <c r="D75" s="29">
        <f t="shared" ref="D75:I75" si="8">D69+D74</f>
        <v>120585</v>
      </c>
      <c r="E75" s="29">
        <f t="shared" si="8"/>
        <v>120820</v>
      </c>
      <c r="F75" s="29">
        <f t="shared" si="8"/>
        <v>120585</v>
      </c>
      <c r="G75" s="29">
        <f t="shared" si="8"/>
        <v>120820</v>
      </c>
      <c r="H75" s="29">
        <f t="shared" si="8"/>
        <v>0</v>
      </c>
      <c r="I75" s="29">
        <f t="shared" si="8"/>
        <v>0</v>
      </c>
    </row>
    <row r="76" spans="1:9" s="3" customFormat="1" ht="14.15" customHeight="1" x14ac:dyDescent="0.25">
      <c r="A76" s="27"/>
      <c r="B76" s="27"/>
      <c r="C76" s="27"/>
      <c r="D76" s="27"/>
      <c r="E76" s="27"/>
      <c r="F76" s="27"/>
      <c r="G76" s="27"/>
      <c r="H76" s="27"/>
      <c r="I76" s="27"/>
    </row>
    <row r="77" spans="1:9" s="3" customFormat="1" ht="14.15" customHeight="1" x14ac:dyDescent="0.25">
      <c r="A77" s="27"/>
      <c r="B77" s="27"/>
      <c r="C77" s="27"/>
      <c r="D77" s="27"/>
      <c r="E77" s="27"/>
      <c r="F77" s="27"/>
      <c r="G77" s="27"/>
      <c r="H77" s="27"/>
      <c r="I77" s="27"/>
    </row>
    <row r="78" spans="1:9" s="3" customFormat="1" ht="14.15" customHeight="1" x14ac:dyDescent="0.25">
      <c r="A78" s="27"/>
      <c r="B78" s="27"/>
      <c r="C78" s="27"/>
      <c r="D78" s="27"/>
      <c r="E78" s="27"/>
      <c r="F78" s="27"/>
      <c r="G78" s="27"/>
      <c r="H78" s="27"/>
      <c r="I78" s="27"/>
    </row>
    <row r="79" spans="1:9" s="1" customFormat="1" ht="12.75" customHeight="1" x14ac:dyDescent="0.35">
      <c r="A79" s="1101" t="s">
        <v>370</v>
      </c>
      <c r="B79" s="1101"/>
      <c r="C79" s="1101"/>
      <c r="D79" s="1101"/>
      <c r="E79" s="1101"/>
      <c r="F79" s="1101"/>
      <c r="G79" s="1101"/>
      <c r="H79" s="1101"/>
      <c r="I79" s="1101"/>
    </row>
    <row r="80" spans="1:9" s="1" customFormat="1" ht="14.15" customHeight="1" x14ac:dyDescent="0.35">
      <c r="A80" s="1101" t="s">
        <v>0</v>
      </c>
      <c r="B80" s="1102" t="s">
        <v>1</v>
      </c>
      <c r="C80" s="1101" t="s">
        <v>2</v>
      </c>
      <c r="D80" s="1103" t="s">
        <v>260</v>
      </c>
      <c r="E80" s="1096" t="s">
        <v>259</v>
      </c>
      <c r="F80" s="1098" t="s">
        <v>261</v>
      </c>
      <c r="G80" s="1099"/>
      <c r="H80" s="1098" t="s">
        <v>262</v>
      </c>
      <c r="I80" s="1099"/>
    </row>
    <row r="81" spans="1:9" s="3" customFormat="1" ht="33" customHeight="1" x14ac:dyDescent="0.35">
      <c r="A81" s="1101"/>
      <c r="B81" s="1102"/>
      <c r="C81" s="1101"/>
      <c r="D81" s="1103"/>
      <c r="E81" s="1097"/>
      <c r="F81" s="2" t="s">
        <v>260</v>
      </c>
      <c r="G81" s="2" t="s">
        <v>259</v>
      </c>
      <c r="H81" s="2" t="s">
        <v>260</v>
      </c>
      <c r="I81" s="2" t="s">
        <v>259</v>
      </c>
    </row>
    <row r="82" spans="1:9" ht="5.65" customHeight="1" x14ac:dyDescent="0.35"/>
    <row r="83" spans="1:9" ht="14.15" customHeight="1" x14ac:dyDescent="0.35">
      <c r="A83" s="1100" t="s">
        <v>288</v>
      </c>
      <c r="B83" s="1100"/>
      <c r="C83" s="1100"/>
      <c r="D83" s="1100"/>
      <c r="E83" s="1100"/>
      <c r="F83" s="1100"/>
      <c r="G83" s="1100"/>
      <c r="H83" s="1100"/>
      <c r="I83" s="1100"/>
    </row>
    <row r="84" spans="1:9" s="3" customFormat="1" ht="14.15" customHeight="1" x14ac:dyDescent="0.35">
      <c r="A84" s="7" t="s">
        <v>67</v>
      </c>
      <c r="B84" s="7" t="s">
        <v>68</v>
      </c>
      <c r="C84" s="8" t="s">
        <v>69</v>
      </c>
      <c r="D84" s="9">
        <f>F84+H84</f>
        <v>235</v>
      </c>
      <c r="E84" s="9">
        <f>G84+I84</f>
        <v>320</v>
      </c>
      <c r="F84" s="10">
        <f>SUM(F85:F90)</f>
        <v>235</v>
      </c>
      <c r="G84" s="10">
        <f>SUM(G85:G90)</f>
        <v>320</v>
      </c>
      <c r="H84" s="10">
        <f>SUM(H85:H90)</f>
        <v>0</v>
      </c>
      <c r="I84" s="10">
        <f>SUM(I85:I90)</f>
        <v>0</v>
      </c>
    </row>
    <row r="85" spans="1:9" ht="14.15" customHeight="1" x14ac:dyDescent="0.35">
      <c r="A85" s="24"/>
      <c r="B85" s="24"/>
      <c r="C85" s="25" t="s">
        <v>70</v>
      </c>
      <c r="D85" s="26"/>
      <c r="E85" s="26"/>
      <c r="F85" s="26">
        <v>10</v>
      </c>
      <c r="G85" s="26"/>
      <c r="H85" s="26"/>
      <c r="I85" s="26"/>
    </row>
    <row r="86" spans="1:9" ht="14.15" customHeight="1" x14ac:dyDescent="0.35">
      <c r="A86" s="24"/>
      <c r="B86" s="24"/>
      <c r="C86" s="25" t="s">
        <v>71</v>
      </c>
      <c r="D86" s="26"/>
      <c r="E86" s="26"/>
      <c r="F86" s="26"/>
      <c r="G86" s="26"/>
      <c r="H86" s="26"/>
      <c r="I86" s="26"/>
    </row>
    <row r="87" spans="1:9" ht="14.15" customHeight="1" x14ac:dyDescent="0.35">
      <c r="A87" s="24"/>
      <c r="B87" s="24"/>
      <c r="C87" s="25" t="s">
        <v>72</v>
      </c>
      <c r="D87" s="26"/>
      <c r="E87" s="26"/>
      <c r="F87" s="26">
        <v>100</v>
      </c>
      <c r="G87" s="26">
        <v>180</v>
      </c>
      <c r="H87" s="26"/>
      <c r="I87" s="26"/>
    </row>
    <row r="88" spans="1:9" ht="14.15" customHeight="1" x14ac:dyDescent="0.35">
      <c r="A88" s="24"/>
      <c r="B88" s="24"/>
      <c r="C88" s="25" t="s">
        <v>73</v>
      </c>
      <c r="D88" s="26"/>
      <c r="E88" s="26"/>
      <c r="F88" s="26">
        <v>55</v>
      </c>
      <c r="G88" s="26">
        <v>40</v>
      </c>
      <c r="H88" s="26"/>
      <c r="I88" s="26"/>
    </row>
    <row r="89" spans="1:9" ht="14.15" customHeight="1" x14ac:dyDescent="0.35">
      <c r="A89" s="24"/>
      <c r="B89" s="24"/>
      <c r="C89" s="25" t="s">
        <v>74</v>
      </c>
      <c r="D89" s="26"/>
      <c r="E89" s="26"/>
      <c r="F89" s="26">
        <v>10</v>
      </c>
      <c r="G89" s="26"/>
      <c r="H89" s="26"/>
      <c r="I89" s="26"/>
    </row>
    <row r="90" spans="1:9" ht="14.15" customHeight="1" x14ac:dyDescent="0.35">
      <c r="A90" s="24"/>
      <c r="B90" s="24"/>
      <c r="C90" s="25" t="s">
        <v>75</v>
      </c>
      <c r="D90" s="26"/>
      <c r="E90" s="26"/>
      <c r="F90" s="26">
        <v>60</v>
      </c>
      <c r="G90" s="26">
        <v>100</v>
      </c>
      <c r="H90" s="26"/>
      <c r="I90" s="26"/>
    </row>
    <row r="91" spans="1:9" s="3" customFormat="1" ht="14.15" customHeight="1" x14ac:dyDescent="0.35">
      <c r="A91" s="7" t="s">
        <v>76</v>
      </c>
      <c r="B91" s="7" t="s">
        <v>77</v>
      </c>
      <c r="C91" s="8" t="s">
        <v>78</v>
      </c>
      <c r="D91" s="9">
        <f>F91+H91</f>
        <v>3195</v>
      </c>
      <c r="E91" s="9">
        <f>G91+I91</f>
        <v>3375</v>
      </c>
      <c r="F91" s="10">
        <f>SUM(F92:F97)</f>
        <v>3195</v>
      </c>
      <c r="G91" s="10">
        <f>SUM(G92:G97)</f>
        <v>3375</v>
      </c>
      <c r="H91" s="10">
        <f>SUM(H92:H97)</f>
        <v>0</v>
      </c>
      <c r="I91" s="10">
        <f>SUM(I92:I97)</f>
        <v>0</v>
      </c>
    </row>
    <row r="92" spans="1:9" ht="14.15" customHeight="1" x14ac:dyDescent="0.35">
      <c r="A92" s="24"/>
      <c r="B92" s="24"/>
      <c r="C92" s="25" t="s">
        <v>79</v>
      </c>
      <c r="D92" s="26"/>
      <c r="E92" s="26"/>
      <c r="F92" s="26"/>
      <c r="G92" s="26"/>
      <c r="H92" s="26"/>
      <c r="I92" s="26"/>
    </row>
    <row r="93" spans="1:9" ht="14.15" customHeight="1" x14ac:dyDescent="0.35">
      <c r="A93" s="24"/>
      <c r="B93" s="24"/>
      <c r="C93" s="25" t="s">
        <v>80</v>
      </c>
      <c r="D93" s="26"/>
      <c r="E93" s="26"/>
      <c r="F93" s="26">
        <v>185</v>
      </c>
      <c r="G93" s="26">
        <v>120</v>
      </c>
      <c r="H93" s="26"/>
      <c r="I93" s="26"/>
    </row>
    <row r="94" spans="1:9" ht="14.15" customHeight="1" x14ac:dyDescent="0.35">
      <c r="A94" s="24"/>
      <c r="B94" s="24"/>
      <c r="C94" s="25" t="s">
        <v>81</v>
      </c>
      <c r="D94" s="26"/>
      <c r="E94" s="26"/>
      <c r="F94" s="26"/>
      <c r="G94" s="26"/>
      <c r="H94" s="26"/>
      <c r="I94" s="26"/>
    </row>
    <row r="95" spans="1:9" ht="14.15" customHeight="1" x14ac:dyDescent="0.35">
      <c r="A95" s="24"/>
      <c r="B95" s="24"/>
      <c r="C95" s="25" t="s">
        <v>82</v>
      </c>
      <c r="D95" s="26"/>
      <c r="E95" s="26"/>
      <c r="F95" s="26">
        <v>45</v>
      </c>
      <c r="G95" s="26">
        <v>40</v>
      </c>
      <c r="H95" s="26"/>
      <c r="I95" s="26"/>
    </row>
    <row r="96" spans="1:9" ht="14.15" customHeight="1" x14ac:dyDescent="0.35">
      <c r="A96" s="24"/>
      <c r="B96" s="24"/>
      <c r="C96" s="25" t="s">
        <v>83</v>
      </c>
      <c r="D96" s="26"/>
      <c r="E96" s="26"/>
      <c r="F96" s="26">
        <v>465</v>
      </c>
      <c r="G96" s="26">
        <v>465</v>
      </c>
      <c r="H96" s="26"/>
      <c r="I96" s="26"/>
    </row>
    <row r="97" spans="1:9" ht="14.15" customHeight="1" x14ac:dyDescent="0.35">
      <c r="A97" s="24"/>
      <c r="B97" s="24"/>
      <c r="C97" s="25" t="s">
        <v>84</v>
      </c>
      <c r="D97" s="26"/>
      <c r="E97" s="26"/>
      <c r="F97" s="26">
        <v>2500</v>
      </c>
      <c r="G97" s="26">
        <v>2750</v>
      </c>
      <c r="H97" s="26"/>
      <c r="I97" s="26"/>
    </row>
    <row r="98" spans="1:9" s="3" customFormat="1" ht="14.15" customHeight="1" x14ac:dyDescent="0.35">
      <c r="A98" s="7" t="s">
        <v>85</v>
      </c>
      <c r="B98" s="7" t="s">
        <v>86</v>
      </c>
      <c r="C98" s="8" t="s">
        <v>87</v>
      </c>
      <c r="D98" s="9">
        <f>F98+H98</f>
        <v>0</v>
      </c>
      <c r="E98" s="9">
        <f>G98+I98</f>
        <v>0</v>
      </c>
      <c r="F98" s="10">
        <f>SUM(F99:F100)</f>
        <v>0</v>
      </c>
      <c r="G98" s="10">
        <f>SUM(G99:G100)</f>
        <v>0</v>
      </c>
      <c r="H98" s="10">
        <f>SUM(H99:H100)</f>
        <v>0</v>
      </c>
      <c r="I98" s="10">
        <f>SUM(I99:I100)</f>
        <v>0</v>
      </c>
    </row>
    <row r="99" spans="1:9" ht="14.15" customHeight="1" x14ac:dyDescent="0.35">
      <c r="A99" s="24"/>
      <c r="B99" s="24"/>
      <c r="C99" s="25" t="s">
        <v>88</v>
      </c>
      <c r="D99" s="26"/>
      <c r="E99" s="26"/>
      <c r="F99" s="26"/>
      <c r="G99" s="26"/>
      <c r="H99" s="26"/>
      <c r="I99" s="26"/>
    </row>
    <row r="100" spans="1:9" ht="14.15" customHeight="1" x14ac:dyDescent="0.35">
      <c r="A100" s="24"/>
      <c r="B100" s="24"/>
      <c r="C100" s="25" t="s">
        <v>89</v>
      </c>
      <c r="D100" s="26"/>
      <c r="E100" s="26"/>
      <c r="F100" s="26"/>
      <c r="G100" s="26"/>
      <c r="H100" s="26"/>
      <c r="I100" s="26"/>
    </row>
    <row r="101" spans="1:9" s="3" customFormat="1" ht="14.15" customHeight="1" x14ac:dyDescent="0.35">
      <c r="A101" s="16" t="s">
        <v>90</v>
      </c>
      <c r="B101" s="16" t="s">
        <v>91</v>
      </c>
      <c r="C101" s="17" t="s">
        <v>92</v>
      </c>
      <c r="D101" s="19">
        <f t="shared" ref="D101:I101" si="9">D84+D91</f>
        <v>3430</v>
      </c>
      <c r="E101" s="19">
        <f t="shared" si="9"/>
        <v>3695</v>
      </c>
      <c r="F101" s="19">
        <f t="shared" si="9"/>
        <v>3430</v>
      </c>
      <c r="G101" s="19">
        <f t="shared" si="9"/>
        <v>3695</v>
      </c>
      <c r="H101" s="19">
        <f t="shared" si="9"/>
        <v>0</v>
      </c>
      <c r="I101" s="19">
        <f t="shared" si="9"/>
        <v>0</v>
      </c>
    </row>
    <row r="102" spans="1:9" s="3" customFormat="1" ht="14.15" customHeight="1" x14ac:dyDescent="0.35">
      <c r="A102" s="7" t="s">
        <v>93</v>
      </c>
      <c r="B102" s="7" t="s">
        <v>94</v>
      </c>
      <c r="C102" s="8" t="s">
        <v>95</v>
      </c>
      <c r="D102" s="9">
        <f>F102+H102</f>
        <v>192</v>
      </c>
      <c r="E102" s="9">
        <f>G102+I102</f>
        <v>257</v>
      </c>
      <c r="F102" s="10">
        <f>SUM(F103:F108)</f>
        <v>192</v>
      </c>
      <c r="G102" s="10">
        <f>SUM(G103:G108)</f>
        <v>257</v>
      </c>
      <c r="H102" s="10">
        <f>SUM(H103:H108)</f>
        <v>0</v>
      </c>
      <c r="I102" s="10">
        <f>SUM(I103:I108)</f>
        <v>0</v>
      </c>
    </row>
    <row r="103" spans="1:9" ht="14.15" customHeight="1" x14ac:dyDescent="0.35">
      <c r="A103" s="24"/>
      <c r="B103" s="24"/>
      <c r="C103" s="25" t="s">
        <v>96</v>
      </c>
      <c r="D103" s="26"/>
      <c r="E103" s="26"/>
      <c r="F103" s="26"/>
      <c r="G103" s="26"/>
      <c r="H103" s="26"/>
      <c r="I103" s="26"/>
    </row>
    <row r="104" spans="1:9" ht="14.15" customHeight="1" x14ac:dyDescent="0.35">
      <c r="A104" s="24"/>
      <c r="B104" s="24"/>
      <c r="C104" s="25" t="s">
        <v>97</v>
      </c>
      <c r="D104" s="26"/>
      <c r="E104" s="26"/>
      <c r="F104" s="26">
        <v>192</v>
      </c>
      <c r="G104" s="26">
        <v>192</v>
      </c>
      <c r="H104" s="26"/>
      <c r="I104" s="26"/>
    </row>
    <row r="105" spans="1:9" ht="14.15" customHeight="1" x14ac:dyDescent="0.35">
      <c r="A105" s="24"/>
      <c r="B105" s="24"/>
      <c r="C105" s="25" t="s">
        <v>98</v>
      </c>
      <c r="D105" s="26"/>
      <c r="E105" s="26"/>
      <c r="F105" s="26"/>
      <c r="G105" s="26"/>
      <c r="H105" s="26"/>
      <c r="I105" s="26"/>
    </row>
    <row r="106" spans="1:9" ht="14.15" customHeight="1" x14ac:dyDescent="0.35">
      <c r="A106" s="24"/>
      <c r="B106" s="24"/>
      <c r="C106" s="25" t="s">
        <v>99</v>
      </c>
      <c r="D106" s="26"/>
      <c r="E106" s="26"/>
      <c r="F106" s="26"/>
      <c r="G106" s="26">
        <v>65</v>
      </c>
      <c r="H106" s="26"/>
      <c r="I106" s="26"/>
    </row>
    <row r="107" spans="1:9" ht="14.15" customHeight="1" x14ac:dyDescent="0.35">
      <c r="A107" s="24"/>
      <c r="B107" s="24"/>
      <c r="C107" s="25" t="s">
        <v>100</v>
      </c>
      <c r="D107" s="26"/>
      <c r="E107" s="26"/>
      <c r="F107" s="26"/>
      <c r="G107" s="26"/>
      <c r="H107" s="26"/>
      <c r="I107" s="26"/>
    </row>
    <row r="108" spans="1:9" ht="14.15" customHeight="1" x14ac:dyDescent="0.35">
      <c r="A108" s="24"/>
      <c r="B108" s="24"/>
      <c r="C108" s="25" t="s">
        <v>101</v>
      </c>
      <c r="D108" s="26"/>
      <c r="E108" s="26"/>
      <c r="F108" s="26"/>
      <c r="G108" s="26"/>
      <c r="H108" s="26"/>
      <c r="I108" s="26"/>
    </row>
    <row r="109" spans="1:9" s="3" customFormat="1" ht="14.15" customHeight="1" x14ac:dyDescent="0.35">
      <c r="A109" s="7" t="s">
        <v>102</v>
      </c>
      <c r="B109" s="7" t="s">
        <v>103</v>
      </c>
      <c r="C109" s="8" t="s">
        <v>104</v>
      </c>
      <c r="D109" s="9">
        <f>F109+H109</f>
        <v>230</v>
      </c>
      <c r="E109" s="9">
        <f>G109+I109</f>
        <v>275</v>
      </c>
      <c r="F109" s="10">
        <f>SUM(F110:F111)</f>
        <v>230</v>
      </c>
      <c r="G109" s="10">
        <f>SUM(G110:G111)</f>
        <v>275</v>
      </c>
      <c r="H109" s="10">
        <f>SUM(H110:H111)</f>
        <v>0</v>
      </c>
      <c r="I109" s="10">
        <f>SUM(I110:I111)</f>
        <v>0</v>
      </c>
    </row>
    <row r="110" spans="1:9" ht="14.15" customHeight="1" x14ac:dyDescent="0.35">
      <c r="A110" s="24"/>
      <c r="B110" s="24"/>
      <c r="C110" s="25" t="s">
        <v>105</v>
      </c>
      <c r="D110" s="26"/>
      <c r="E110" s="26"/>
      <c r="F110" s="26">
        <v>200</v>
      </c>
      <c r="G110" s="26">
        <v>275</v>
      </c>
      <c r="H110" s="26"/>
      <c r="I110" s="26"/>
    </row>
    <row r="111" spans="1:9" ht="14.15" customHeight="1" x14ac:dyDescent="0.35">
      <c r="A111" s="24"/>
      <c r="B111" s="24"/>
      <c r="C111" s="25" t="s">
        <v>106</v>
      </c>
      <c r="D111" s="26"/>
      <c r="E111" s="26"/>
      <c r="F111" s="26">
        <v>30</v>
      </c>
      <c r="G111" s="26"/>
      <c r="H111" s="26"/>
      <c r="I111" s="26"/>
    </row>
    <row r="112" spans="1:9" s="3" customFormat="1" ht="14.15" customHeight="1" x14ac:dyDescent="0.35">
      <c r="A112" s="16" t="s">
        <v>107</v>
      </c>
      <c r="B112" s="16" t="s">
        <v>108</v>
      </c>
      <c r="C112" s="17" t="s">
        <v>109</v>
      </c>
      <c r="D112" s="19">
        <f t="shared" ref="D112:I112" si="10">D102+D109</f>
        <v>422</v>
      </c>
      <c r="E112" s="19">
        <f t="shared" si="10"/>
        <v>532</v>
      </c>
      <c r="F112" s="19">
        <f t="shared" si="10"/>
        <v>422</v>
      </c>
      <c r="G112" s="19">
        <f t="shared" si="10"/>
        <v>532</v>
      </c>
      <c r="H112" s="19">
        <f t="shared" si="10"/>
        <v>0</v>
      </c>
      <c r="I112" s="19">
        <f t="shared" si="10"/>
        <v>0</v>
      </c>
    </row>
    <row r="113" spans="1:9" s="3" customFormat="1" ht="14.15" customHeight="1" x14ac:dyDescent="0.35">
      <c r="A113" s="7" t="s">
        <v>110</v>
      </c>
      <c r="B113" s="7" t="s">
        <v>111</v>
      </c>
      <c r="C113" s="8" t="s">
        <v>112</v>
      </c>
      <c r="D113" s="9">
        <f>F113+H113</f>
        <v>4700</v>
      </c>
      <c r="E113" s="9">
        <f>G113+I113</f>
        <v>5450</v>
      </c>
      <c r="F113" s="10">
        <f>SUM(F114:F116)</f>
        <v>4700</v>
      </c>
      <c r="G113" s="10">
        <f>SUM(G114:G116)</f>
        <v>5450</v>
      </c>
      <c r="H113" s="10">
        <f>SUM(H114:H116)</f>
        <v>0</v>
      </c>
      <c r="I113" s="10">
        <f>SUM(I114:I116)</f>
        <v>0</v>
      </c>
    </row>
    <row r="114" spans="1:9" ht="14.15" customHeight="1" x14ac:dyDescent="0.35">
      <c r="A114" s="24"/>
      <c r="B114" s="24"/>
      <c r="C114" s="25" t="s">
        <v>113</v>
      </c>
      <c r="D114" s="26"/>
      <c r="E114" s="26"/>
      <c r="F114" s="26">
        <v>900</v>
      </c>
      <c r="G114" s="26">
        <v>900</v>
      </c>
      <c r="H114" s="26"/>
      <c r="I114" s="26"/>
    </row>
    <row r="115" spans="1:9" ht="14.15" customHeight="1" x14ac:dyDescent="0.35">
      <c r="A115" s="24"/>
      <c r="B115" s="24"/>
      <c r="C115" s="25" t="s">
        <v>114</v>
      </c>
      <c r="D115" s="26"/>
      <c r="E115" s="26"/>
      <c r="F115" s="26">
        <v>3100</v>
      </c>
      <c r="G115" s="26">
        <v>3600</v>
      </c>
      <c r="H115" s="26"/>
      <c r="I115" s="26"/>
    </row>
    <row r="116" spans="1:9" ht="14.15" customHeight="1" x14ac:dyDescent="0.35">
      <c r="A116" s="24"/>
      <c r="B116" s="24"/>
      <c r="C116" s="25" t="s">
        <v>115</v>
      </c>
      <c r="D116" s="26"/>
      <c r="E116" s="26"/>
      <c r="F116" s="26">
        <v>700</v>
      </c>
      <c r="G116" s="26">
        <v>950</v>
      </c>
      <c r="H116" s="26"/>
      <c r="I116" s="26"/>
    </row>
    <row r="117" spans="1:9" s="3" customFormat="1" ht="14.15" customHeight="1" x14ac:dyDescent="0.35">
      <c r="A117" s="7" t="s">
        <v>116</v>
      </c>
      <c r="B117" s="7" t="s">
        <v>117</v>
      </c>
      <c r="C117" s="8" t="s">
        <v>118</v>
      </c>
      <c r="D117" s="9">
        <f>F117+H117</f>
        <v>12440</v>
      </c>
      <c r="E117" s="9">
        <f>G117+I117</f>
        <v>12440</v>
      </c>
      <c r="F117" s="10">
        <v>0</v>
      </c>
      <c r="G117" s="10">
        <f>G118</f>
        <v>0</v>
      </c>
      <c r="H117" s="10">
        <v>12440</v>
      </c>
      <c r="I117" s="10">
        <f>I118</f>
        <v>12440</v>
      </c>
    </row>
    <row r="118" spans="1:9" s="3" customFormat="1" ht="14.15" customHeight="1" x14ac:dyDescent="0.35">
      <c r="A118" s="24"/>
      <c r="B118" s="24"/>
      <c r="C118" s="25" t="s">
        <v>289</v>
      </c>
      <c r="D118" s="26"/>
      <c r="E118" s="26"/>
      <c r="F118" s="26"/>
      <c r="G118" s="26"/>
      <c r="H118" s="26"/>
      <c r="I118" s="26">
        <v>12440</v>
      </c>
    </row>
    <row r="119" spans="1:9" s="3" customFormat="1" ht="14.15" customHeight="1" x14ac:dyDescent="0.35">
      <c r="A119" s="7" t="s">
        <v>119</v>
      </c>
      <c r="B119" s="7" t="s">
        <v>120</v>
      </c>
      <c r="C119" s="8" t="s">
        <v>121</v>
      </c>
      <c r="D119" s="9">
        <f>F119+H119</f>
        <v>0</v>
      </c>
      <c r="E119" s="9">
        <f>G119+I119</f>
        <v>0</v>
      </c>
      <c r="F119" s="10">
        <f>SUM(F120:F121)</f>
        <v>0</v>
      </c>
      <c r="G119" s="10">
        <f>SUM(G120:G121)</f>
        <v>0</v>
      </c>
      <c r="H119" s="10">
        <f>SUM(H120:H121)</f>
        <v>0</v>
      </c>
      <c r="I119" s="10">
        <f>SUM(I120:I121)</f>
        <v>0</v>
      </c>
    </row>
    <row r="120" spans="1:9" ht="14.15" customHeight="1" x14ac:dyDescent="0.35">
      <c r="A120" s="24"/>
      <c r="B120" s="24"/>
      <c r="C120" s="25" t="s">
        <v>122</v>
      </c>
      <c r="D120" s="26"/>
      <c r="E120" s="26"/>
      <c r="F120" s="26"/>
      <c r="G120" s="26"/>
      <c r="H120" s="26"/>
      <c r="I120" s="26"/>
    </row>
    <row r="121" spans="1:9" ht="14.15" customHeight="1" x14ac:dyDescent="0.35">
      <c r="A121" s="24"/>
      <c r="B121" s="24"/>
      <c r="C121" s="25" t="s">
        <v>123</v>
      </c>
      <c r="D121" s="26"/>
      <c r="E121" s="26"/>
      <c r="F121" s="26"/>
      <c r="G121" s="26"/>
      <c r="H121" s="26"/>
      <c r="I121" s="26"/>
    </row>
    <row r="122" spans="1:9" s="3" customFormat="1" ht="14.15" customHeight="1" x14ac:dyDescent="0.35">
      <c r="A122" s="7" t="s">
        <v>124</v>
      </c>
      <c r="B122" s="7" t="s">
        <v>125</v>
      </c>
      <c r="C122" s="8" t="s">
        <v>126</v>
      </c>
      <c r="D122" s="9">
        <f>F122+H122</f>
        <v>4340</v>
      </c>
      <c r="E122" s="9">
        <f>G122+I122</f>
        <v>1500</v>
      </c>
      <c r="F122" s="10">
        <v>4340</v>
      </c>
      <c r="G122" s="10">
        <v>1500</v>
      </c>
      <c r="H122" s="10">
        <v>0</v>
      </c>
      <c r="I122" s="10">
        <v>0</v>
      </c>
    </row>
    <row r="123" spans="1:9" s="3" customFormat="1" ht="14.15" customHeight="1" x14ac:dyDescent="0.35">
      <c r="A123" s="7" t="s">
        <v>127</v>
      </c>
      <c r="B123" s="7" t="s">
        <v>128</v>
      </c>
      <c r="C123" s="8" t="s">
        <v>129</v>
      </c>
      <c r="D123" s="9">
        <f>F123+H123</f>
        <v>0</v>
      </c>
      <c r="E123" s="9">
        <f>G123+I123</f>
        <v>0</v>
      </c>
      <c r="F123" s="10">
        <v>0</v>
      </c>
      <c r="G123" s="10">
        <f>SUM(G124:G125)</f>
        <v>0</v>
      </c>
      <c r="H123" s="10">
        <v>0</v>
      </c>
      <c r="I123" s="10">
        <f>SUM(I124:I125)</f>
        <v>0</v>
      </c>
    </row>
    <row r="124" spans="1:9" ht="14.15" customHeight="1" x14ac:dyDescent="0.35">
      <c r="A124" s="24"/>
      <c r="B124" s="24"/>
      <c r="C124" s="25" t="s">
        <v>130</v>
      </c>
      <c r="D124" s="26"/>
      <c r="E124" s="26"/>
      <c r="F124" s="26"/>
      <c r="G124" s="26"/>
      <c r="H124" s="26"/>
      <c r="I124" s="26"/>
    </row>
    <row r="125" spans="1:9" ht="14.15" customHeight="1" x14ac:dyDescent="0.35">
      <c r="A125" s="24"/>
      <c r="B125" s="24"/>
      <c r="C125" s="25" t="s">
        <v>131</v>
      </c>
      <c r="D125" s="26"/>
      <c r="E125" s="26"/>
      <c r="F125" s="26"/>
      <c r="G125" s="26"/>
      <c r="H125" s="26"/>
      <c r="I125" s="26"/>
    </row>
    <row r="126" spans="1:9" s="3" customFormat="1" ht="14.15" customHeight="1" x14ac:dyDescent="0.35">
      <c r="A126" s="7" t="s">
        <v>132</v>
      </c>
      <c r="B126" s="7" t="s">
        <v>133</v>
      </c>
      <c r="C126" s="8" t="s">
        <v>134</v>
      </c>
      <c r="D126" s="9">
        <f>F126+H126</f>
        <v>250</v>
      </c>
      <c r="E126" s="9">
        <f>G126+I126</f>
        <v>50</v>
      </c>
      <c r="F126" s="10">
        <f>SUM(F127:F129)</f>
        <v>250</v>
      </c>
      <c r="G126" s="10">
        <f>SUM(G127:G129)</f>
        <v>50</v>
      </c>
      <c r="H126" s="10">
        <f>SUM(H127:H129)</f>
        <v>0</v>
      </c>
      <c r="I126" s="10">
        <f>SUM(I127:I129)</f>
        <v>0</v>
      </c>
    </row>
    <row r="127" spans="1:9" ht="14.15" customHeight="1" x14ac:dyDescent="0.35">
      <c r="A127" s="24"/>
      <c r="B127" s="24"/>
      <c r="C127" s="25" t="s">
        <v>135</v>
      </c>
      <c r="D127" s="26"/>
      <c r="E127" s="26"/>
      <c r="F127" s="26">
        <v>0</v>
      </c>
      <c r="G127" s="26">
        <v>0</v>
      </c>
      <c r="H127" s="26">
        <v>0</v>
      </c>
      <c r="I127" s="26">
        <v>0</v>
      </c>
    </row>
    <row r="128" spans="1:9" ht="14.15" customHeight="1" x14ac:dyDescent="0.35">
      <c r="A128" s="24"/>
      <c r="B128" s="24"/>
      <c r="C128" s="25" t="s">
        <v>136</v>
      </c>
      <c r="D128" s="26"/>
      <c r="E128" s="26"/>
      <c r="F128" s="26">
        <v>50</v>
      </c>
      <c r="G128" s="26">
        <v>0</v>
      </c>
      <c r="H128" s="26">
        <v>0</v>
      </c>
      <c r="I128" s="26">
        <v>0</v>
      </c>
    </row>
    <row r="129" spans="1:9" ht="14.15" customHeight="1" x14ac:dyDescent="0.35">
      <c r="A129" s="24"/>
      <c r="B129" s="24"/>
      <c r="C129" s="25" t="s">
        <v>137</v>
      </c>
      <c r="D129" s="26"/>
      <c r="E129" s="26"/>
      <c r="F129" s="26">
        <v>200</v>
      </c>
      <c r="G129" s="26">
        <v>50</v>
      </c>
      <c r="H129" s="26">
        <v>0</v>
      </c>
      <c r="I129" s="26">
        <v>0</v>
      </c>
    </row>
    <row r="130" spans="1:9" s="3" customFormat="1" ht="14.15" customHeight="1" x14ac:dyDescent="0.35">
      <c r="A130" s="7" t="s">
        <v>138</v>
      </c>
      <c r="B130" s="7" t="s">
        <v>139</v>
      </c>
      <c r="C130" s="8" t="s">
        <v>140</v>
      </c>
      <c r="D130" s="9">
        <f>F130+H130</f>
        <v>1200</v>
      </c>
      <c r="E130" s="9">
        <f>G130+I130</f>
        <v>1400</v>
      </c>
      <c r="F130" s="10">
        <f>SUM(F131:F134)</f>
        <v>1200</v>
      </c>
      <c r="G130" s="10">
        <f>SUM(G131:G134)</f>
        <v>1400</v>
      </c>
      <c r="H130" s="10">
        <f>SUM(H131:H134)</f>
        <v>0</v>
      </c>
      <c r="I130" s="10">
        <f>SUM(I131:I134)</f>
        <v>0</v>
      </c>
    </row>
    <row r="131" spans="1:9" ht="14.15" customHeight="1" x14ac:dyDescent="0.35">
      <c r="A131" s="24"/>
      <c r="B131" s="24"/>
      <c r="C131" s="25" t="s">
        <v>141</v>
      </c>
      <c r="D131" s="26"/>
      <c r="E131" s="26"/>
      <c r="F131" s="26">
        <v>0</v>
      </c>
      <c r="G131" s="26"/>
      <c r="H131" s="26"/>
      <c r="I131" s="26"/>
    </row>
    <row r="132" spans="1:9" ht="14.15" customHeight="1" x14ac:dyDescent="0.35">
      <c r="A132" s="24"/>
      <c r="B132" s="24"/>
      <c r="C132" s="25" t="s">
        <v>142</v>
      </c>
      <c r="D132" s="26"/>
      <c r="E132" s="26"/>
      <c r="F132" s="26">
        <v>150</v>
      </c>
      <c r="G132" s="26">
        <v>200</v>
      </c>
      <c r="H132" s="26"/>
      <c r="I132" s="26"/>
    </row>
    <row r="133" spans="1:9" ht="14.15" customHeight="1" x14ac:dyDescent="0.35">
      <c r="A133" s="24"/>
      <c r="B133" s="24"/>
      <c r="C133" s="25" t="s">
        <v>143</v>
      </c>
      <c r="D133" s="26"/>
      <c r="E133" s="26"/>
      <c r="F133" s="26">
        <v>50</v>
      </c>
      <c r="G133" s="26"/>
      <c r="H133" s="26"/>
      <c r="I133" s="26"/>
    </row>
    <row r="134" spans="1:9" ht="14.15" customHeight="1" x14ac:dyDescent="0.35">
      <c r="A134" s="24"/>
      <c r="B134" s="24"/>
      <c r="C134" s="25" t="s">
        <v>144</v>
      </c>
      <c r="D134" s="26"/>
      <c r="E134" s="26"/>
      <c r="F134" s="26">
        <v>1000</v>
      </c>
      <c r="G134" s="26">
        <v>1200</v>
      </c>
      <c r="H134" s="26"/>
      <c r="I134" s="26"/>
    </row>
    <row r="135" spans="1:9" s="3" customFormat="1" ht="14.15" customHeight="1" x14ac:dyDescent="0.35">
      <c r="A135" s="16" t="s">
        <v>145</v>
      </c>
      <c r="B135" s="16" t="s">
        <v>146</v>
      </c>
      <c r="C135" s="17" t="s">
        <v>147</v>
      </c>
      <c r="D135" s="19">
        <f t="shared" ref="D135:I135" si="11">D113+D117+D119+D122+D123+D126+D130</f>
        <v>22930</v>
      </c>
      <c r="E135" s="19">
        <f t="shared" si="11"/>
        <v>20840</v>
      </c>
      <c r="F135" s="19">
        <f t="shared" si="11"/>
        <v>10490</v>
      </c>
      <c r="G135" s="19">
        <f t="shared" si="11"/>
        <v>8400</v>
      </c>
      <c r="H135" s="19">
        <f t="shared" si="11"/>
        <v>12440</v>
      </c>
      <c r="I135" s="19">
        <f t="shared" si="11"/>
        <v>12440</v>
      </c>
    </row>
    <row r="136" spans="1:9" s="3" customFormat="1" ht="14.15" customHeight="1" x14ac:dyDescent="0.35">
      <c r="A136" s="7" t="s">
        <v>148</v>
      </c>
      <c r="B136" s="7" t="s">
        <v>149</v>
      </c>
      <c r="C136" s="8" t="s">
        <v>150</v>
      </c>
      <c r="D136" s="9">
        <f>F136+H136</f>
        <v>50</v>
      </c>
      <c r="E136" s="9">
        <f>G136+I136</f>
        <v>50</v>
      </c>
      <c r="F136" s="10">
        <f>SUM(F137:F138)</f>
        <v>50</v>
      </c>
      <c r="G136" s="10">
        <f>SUM(G137:G138)</f>
        <v>50</v>
      </c>
      <c r="H136" s="10">
        <f>SUM(H137:H138)</f>
        <v>0</v>
      </c>
      <c r="I136" s="10">
        <f>SUM(I137:I138)</f>
        <v>0</v>
      </c>
    </row>
    <row r="137" spans="1:9" ht="14.15" customHeight="1" x14ac:dyDescent="0.35">
      <c r="A137" s="24"/>
      <c r="B137" s="24"/>
      <c r="C137" s="25" t="s">
        <v>151</v>
      </c>
      <c r="D137" s="26"/>
      <c r="E137" s="26"/>
      <c r="F137" s="26">
        <v>50</v>
      </c>
      <c r="G137" s="26">
        <v>50</v>
      </c>
      <c r="H137" s="26"/>
      <c r="I137" s="26"/>
    </row>
    <row r="138" spans="1:9" ht="14.15" customHeight="1" x14ac:dyDescent="0.35">
      <c r="A138" s="24"/>
      <c r="B138" s="24"/>
      <c r="C138" s="25" t="s">
        <v>152</v>
      </c>
      <c r="D138" s="26"/>
      <c r="E138" s="26"/>
      <c r="F138" s="26"/>
      <c r="G138" s="26"/>
      <c r="H138" s="26"/>
      <c r="I138" s="26"/>
    </row>
    <row r="139" spans="1:9" s="3" customFormat="1" ht="14.15" customHeight="1" x14ac:dyDescent="0.35">
      <c r="A139" s="7" t="s">
        <v>153</v>
      </c>
      <c r="B139" s="7" t="s">
        <v>154</v>
      </c>
      <c r="C139" s="8" t="s">
        <v>155</v>
      </c>
      <c r="D139" s="9">
        <f>F139+H139</f>
        <v>0</v>
      </c>
      <c r="E139" s="9">
        <f>G139+I139</f>
        <v>0</v>
      </c>
      <c r="F139" s="10">
        <v>0</v>
      </c>
      <c r="G139" s="10">
        <v>0</v>
      </c>
      <c r="H139" s="10">
        <v>0</v>
      </c>
      <c r="I139" s="10">
        <v>0</v>
      </c>
    </row>
    <row r="140" spans="1:9" s="3" customFormat="1" ht="14.15" customHeight="1" x14ac:dyDescent="0.35">
      <c r="A140" s="16" t="s">
        <v>156</v>
      </c>
      <c r="B140" s="16" t="s">
        <v>157</v>
      </c>
      <c r="C140" s="17" t="s">
        <v>158</v>
      </c>
      <c r="D140" s="19">
        <f t="shared" ref="D140:I140" si="12">D136+D139</f>
        <v>50</v>
      </c>
      <c r="E140" s="19">
        <f t="shared" si="12"/>
        <v>50</v>
      </c>
      <c r="F140" s="19">
        <f t="shared" si="12"/>
        <v>50</v>
      </c>
      <c r="G140" s="19">
        <f t="shared" si="12"/>
        <v>50</v>
      </c>
      <c r="H140" s="19">
        <f t="shared" si="12"/>
        <v>0</v>
      </c>
      <c r="I140" s="19">
        <f t="shared" si="12"/>
        <v>0</v>
      </c>
    </row>
    <row r="141" spans="1:9" s="3" customFormat="1" ht="14.15" customHeight="1" x14ac:dyDescent="0.35">
      <c r="A141" s="7" t="s">
        <v>159</v>
      </c>
      <c r="B141" s="7" t="s">
        <v>160</v>
      </c>
      <c r="C141" s="8" t="s">
        <v>161</v>
      </c>
      <c r="D141" s="9">
        <f>F141+H141</f>
        <v>7231</v>
      </c>
      <c r="E141" s="9">
        <f>G141+I141</f>
        <v>6768</v>
      </c>
      <c r="F141" s="10">
        <f>SUM(F142:F143)</f>
        <v>3872</v>
      </c>
      <c r="G141" s="10">
        <f>SUM(G142:G143)</f>
        <v>3409</v>
      </c>
      <c r="H141" s="10">
        <f>SUM(H142:H143)</f>
        <v>3359</v>
      </c>
      <c r="I141" s="10">
        <f>SUM(I142:I143)</f>
        <v>3359</v>
      </c>
    </row>
    <row r="142" spans="1:9" ht="14.15" customHeight="1" x14ac:dyDescent="0.35">
      <c r="A142" s="24"/>
      <c r="B142" s="24"/>
      <c r="C142" s="25" t="s">
        <v>162</v>
      </c>
      <c r="D142" s="26"/>
      <c r="E142" s="26"/>
      <c r="F142" s="26"/>
      <c r="G142" s="26"/>
      <c r="H142" s="26"/>
      <c r="I142" s="26"/>
    </row>
    <row r="143" spans="1:9" ht="14.15" customHeight="1" x14ac:dyDescent="0.35">
      <c r="A143" s="24"/>
      <c r="B143" s="24"/>
      <c r="C143" s="25" t="s">
        <v>163</v>
      </c>
      <c r="D143" s="26"/>
      <c r="E143" s="26"/>
      <c r="F143" s="26">
        <v>3872</v>
      </c>
      <c r="G143" s="26">
        <f>ROUND((G101+G112+G135+G139)*0.27,0)</f>
        <v>3409</v>
      </c>
      <c r="H143" s="26">
        <v>3359</v>
      </c>
      <c r="I143" s="26">
        <f>ROUND((I101+I112+I135+I139)*0.27,0)</f>
        <v>3359</v>
      </c>
    </row>
    <row r="144" spans="1:9" s="3" customFormat="1" ht="14.15" customHeight="1" x14ac:dyDescent="0.35">
      <c r="A144" s="7" t="s">
        <v>164</v>
      </c>
      <c r="B144" s="7" t="s">
        <v>165</v>
      </c>
      <c r="C144" s="8" t="s">
        <v>166</v>
      </c>
      <c r="D144" s="9">
        <f>F144+H144</f>
        <v>0</v>
      </c>
      <c r="E144" s="9">
        <f>G144+I144</f>
        <v>0</v>
      </c>
      <c r="F144" s="10">
        <f>SUM(F145:F147)</f>
        <v>0</v>
      </c>
      <c r="G144" s="10">
        <f>SUM(G145:G147)</f>
        <v>0</v>
      </c>
      <c r="H144" s="10">
        <f>SUM(H145:H147)</f>
        <v>0</v>
      </c>
      <c r="I144" s="10">
        <f>SUM(I145:I147)</f>
        <v>0</v>
      </c>
    </row>
    <row r="145" spans="1:9" ht="14.15" customHeight="1" x14ac:dyDescent="0.35">
      <c r="A145" s="24"/>
      <c r="B145" s="24"/>
      <c r="C145" s="25" t="s">
        <v>167</v>
      </c>
      <c r="D145" s="26"/>
      <c r="E145" s="26"/>
      <c r="F145" s="26"/>
      <c r="G145" s="26"/>
      <c r="H145" s="26"/>
      <c r="I145" s="26"/>
    </row>
    <row r="146" spans="1:9" ht="14.15" customHeight="1" x14ac:dyDescent="0.35">
      <c r="A146" s="24"/>
      <c r="B146" s="24"/>
      <c r="C146" s="25" t="s">
        <v>168</v>
      </c>
      <c r="D146" s="26"/>
      <c r="E146" s="26"/>
      <c r="F146" s="26"/>
      <c r="G146" s="26"/>
      <c r="H146" s="26"/>
      <c r="I146" s="26"/>
    </row>
    <row r="147" spans="1:9" ht="14.15" customHeight="1" x14ac:dyDescent="0.35">
      <c r="A147" s="24"/>
      <c r="B147" s="24"/>
      <c r="C147" s="25" t="s">
        <v>169</v>
      </c>
      <c r="D147" s="26"/>
      <c r="E147" s="26"/>
      <c r="F147" s="26"/>
      <c r="G147" s="26"/>
      <c r="H147" s="26"/>
      <c r="I147" s="26"/>
    </row>
    <row r="148" spans="1:9" s="3" customFormat="1" ht="14.15" customHeight="1" x14ac:dyDescent="0.35">
      <c r="A148" s="7" t="s">
        <v>170</v>
      </c>
      <c r="B148" s="7" t="s">
        <v>171</v>
      </c>
      <c r="C148" s="8" t="s">
        <v>172</v>
      </c>
      <c r="D148" s="9">
        <f>F148+H148</f>
        <v>0</v>
      </c>
      <c r="E148" s="9">
        <f>G148+I148</f>
        <v>0</v>
      </c>
      <c r="F148" s="10">
        <f>SUM(F149:F152)</f>
        <v>0</v>
      </c>
      <c r="G148" s="10">
        <f>SUM(G149:G152)</f>
        <v>0</v>
      </c>
      <c r="H148" s="10">
        <f>SUM(H149:H152)</f>
        <v>0</v>
      </c>
      <c r="I148" s="10">
        <f>SUM(I149:I152)</f>
        <v>0</v>
      </c>
    </row>
    <row r="149" spans="1:9" ht="14.15" customHeight="1" x14ac:dyDescent="0.35">
      <c r="A149" s="24"/>
      <c r="B149" s="24"/>
      <c r="C149" s="25" t="s">
        <v>173</v>
      </c>
      <c r="D149" s="26"/>
      <c r="E149" s="26"/>
      <c r="F149" s="26"/>
      <c r="G149" s="26"/>
      <c r="H149" s="26"/>
      <c r="I149" s="26"/>
    </row>
    <row r="150" spans="1:9" ht="14.15" customHeight="1" x14ac:dyDescent="0.35">
      <c r="A150" s="24"/>
      <c r="B150" s="24"/>
      <c r="C150" s="25" t="s">
        <v>174</v>
      </c>
      <c r="D150" s="26"/>
      <c r="E150" s="26"/>
      <c r="F150" s="26"/>
      <c r="G150" s="26"/>
      <c r="H150" s="26"/>
      <c r="I150" s="26"/>
    </row>
    <row r="151" spans="1:9" ht="14.15" customHeight="1" x14ac:dyDescent="0.35">
      <c r="A151" s="24"/>
      <c r="B151" s="24"/>
      <c r="C151" s="25" t="s">
        <v>175</v>
      </c>
      <c r="D151" s="26"/>
      <c r="E151" s="26"/>
      <c r="F151" s="26"/>
      <c r="G151" s="26"/>
      <c r="H151" s="26"/>
      <c r="I151" s="26"/>
    </row>
    <row r="152" spans="1:9" ht="14.15" customHeight="1" x14ac:dyDescent="0.35">
      <c r="A152" s="24"/>
      <c r="B152" s="24"/>
      <c r="C152" s="25" t="s">
        <v>176</v>
      </c>
      <c r="D152" s="26"/>
      <c r="E152" s="26"/>
      <c r="F152" s="26"/>
      <c r="G152" s="26"/>
      <c r="H152" s="26"/>
      <c r="I152" s="26"/>
    </row>
    <row r="153" spans="1:9" s="3" customFormat="1" ht="14.15" customHeight="1" x14ac:dyDescent="0.35">
      <c r="A153" s="7" t="s">
        <v>177</v>
      </c>
      <c r="B153" s="7" t="s">
        <v>178</v>
      </c>
      <c r="C153" s="8" t="s">
        <v>179</v>
      </c>
      <c r="D153" s="9">
        <f>F153+H153</f>
        <v>0</v>
      </c>
      <c r="E153" s="9">
        <f>G153+I153</f>
        <v>0</v>
      </c>
      <c r="F153" s="10">
        <f>SUM(F154:F155)</f>
        <v>0</v>
      </c>
      <c r="G153" s="10">
        <f>SUM(G154:G155)</f>
        <v>0</v>
      </c>
      <c r="H153" s="10">
        <f>SUM(H154:H155)</f>
        <v>0</v>
      </c>
      <c r="I153" s="10">
        <f>SUM(I154:I155)</f>
        <v>0</v>
      </c>
    </row>
    <row r="154" spans="1:9" ht="14.15" customHeight="1" x14ac:dyDescent="0.35">
      <c r="A154" s="24"/>
      <c r="B154" s="24"/>
      <c r="C154" s="25" t="s">
        <v>180</v>
      </c>
      <c r="D154" s="26"/>
      <c r="E154" s="26"/>
      <c r="F154" s="26"/>
      <c r="G154" s="26"/>
      <c r="H154" s="26"/>
      <c r="I154" s="26"/>
    </row>
    <row r="155" spans="1:9" ht="14.15" customHeight="1" x14ac:dyDescent="0.35">
      <c r="A155" s="24"/>
      <c r="B155" s="24"/>
      <c r="C155" s="25" t="s">
        <v>181</v>
      </c>
      <c r="D155" s="26"/>
      <c r="E155" s="26"/>
      <c r="F155" s="26"/>
      <c r="G155" s="26"/>
      <c r="H155" s="26"/>
      <c r="I155" s="26"/>
    </row>
    <row r="156" spans="1:9" s="3" customFormat="1" ht="14.15" customHeight="1" x14ac:dyDescent="0.35">
      <c r="A156" s="7" t="s">
        <v>182</v>
      </c>
      <c r="B156" s="7" t="s">
        <v>183</v>
      </c>
      <c r="C156" s="8" t="s">
        <v>184</v>
      </c>
      <c r="D156" s="9">
        <f>F156+H156</f>
        <v>10</v>
      </c>
      <c r="E156" s="9">
        <f>G156+I156</f>
        <v>300</v>
      </c>
      <c r="F156" s="10">
        <f>SUM(F157:F160)</f>
        <v>10</v>
      </c>
      <c r="G156" s="10">
        <f>SUM(G157:G160)</f>
        <v>300</v>
      </c>
      <c r="H156" s="10">
        <f>SUM(H157:H160)</f>
        <v>0</v>
      </c>
      <c r="I156" s="10">
        <f>SUM(I157:I160)</f>
        <v>0</v>
      </c>
    </row>
    <row r="157" spans="1:9" ht="14.15" customHeight="1" x14ac:dyDescent="0.35">
      <c r="A157" s="24"/>
      <c r="B157" s="24"/>
      <c r="C157" s="25" t="s">
        <v>185</v>
      </c>
      <c r="D157" s="26"/>
      <c r="E157" s="26"/>
      <c r="F157" s="26"/>
      <c r="G157" s="26"/>
      <c r="H157" s="26"/>
      <c r="I157" s="26"/>
    </row>
    <row r="158" spans="1:9" ht="14.15" customHeight="1" x14ac:dyDescent="0.35">
      <c r="A158" s="24"/>
      <c r="B158" s="24"/>
      <c r="C158" s="25" t="s">
        <v>186</v>
      </c>
      <c r="D158" s="26"/>
      <c r="E158" s="26"/>
      <c r="F158" s="26"/>
      <c r="G158" s="26"/>
      <c r="H158" s="26"/>
      <c r="I158" s="26"/>
    </row>
    <row r="159" spans="1:9" ht="14.15" customHeight="1" x14ac:dyDescent="0.35">
      <c r="A159" s="24"/>
      <c r="B159" s="24"/>
      <c r="C159" s="25" t="s">
        <v>187</v>
      </c>
      <c r="D159" s="26"/>
      <c r="E159" s="26"/>
      <c r="F159" s="26"/>
      <c r="G159" s="26"/>
      <c r="H159" s="26"/>
      <c r="I159" s="26"/>
    </row>
    <row r="160" spans="1:9" ht="14.15" customHeight="1" x14ac:dyDescent="0.35">
      <c r="A160" s="24"/>
      <c r="B160" s="24"/>
      <c r="C160" s="25" t="s">
        <v>188</v>
      </c>
      <c r="D160" s="26"/>
      <c r="E160" s="26"/>
      <c r="F160" s="26">
        <v>10</v>
      </c>
      <c r="G160" s="26">
        <v>300</v>
      </c>
      <c r="H160" s="26"/>
      <c r="I160" s="26"/>
    </row>
    <row r="161" spans="1:252" s="3" customFormat="1" ht="14.15" customHeight="1" x14ac:dyDescent="0.35">
      <c r="A161" s="16" t="s">
        <v>189</v>
      </c>
      <c r="B161" s="16" t="s">
        <v>190</v>
      </c>
      <c r="C161" s="17" t="s">
        <v>191</v>
      </c>
      <c r="D161" s="19">
        <f t="shared" ref="D161:I161" si="13">D141+D144+D148+D153+D156</f>
        <v>7241</v>
      </c>
      <c r="E161" s="19">
        <f t="shared" si="13"/>
        <v>7068</v>
      </c>
      <c r="F161" s="19">
        <f t="shared" si="13"/>
        <v>3882</v>
      </c>
      <c r="G161" s="19">
        <f t="shared" si="13"/>
        <v>3709</v>
      </c>
      <c r="H161" s="19">
        <f t="shared" si="13"/>
        <v>3359</v>
      </c>
      <c r="I161" s="19">
        <f t="shared" si="13"/>
        <v>3359</v>
      </c>
    </row>
    <row r="162" spans="1:252" s="3" customFormat="1" ht="14.15" customHeight="1" x14ac:dyDescent="0.35">
      <c r="A162" s="20" t="s">
        <v>192</v>
      </c>
      <c r="B162" s="20" t="s">
        <v>193</v>
      </c>
      <c r="C162" s="21" t="s">
        <v>292</v>
      </c>
      <c r="D162" s="23">
        <f t="shared" ref="D162:I162" si="14">D101+D112+D135+D140+D161</f>
        <v>34073</v>
      </c>
      <c r="E162" s="23">
        <f t="shared" si="14"/>
        <v>32185</v>
      </c>
      <c r="F162" s="23">
        <f t="shared" si="14"/>
        <v>18274</v>
      </c>
      <c r="G162" s="23">
        <f t="shared" si="14"/>
        <v>16386</v>
      </c>
      <c r="H162" s="23">
        <f t="shared" si="14"/>
        <v>15799</v>
      </c>
      <c r="I162" s="23">
        <f t="shared" si="14"/>
        <v>15799</v>
      </c>
    </row>
    <row r="163" spans="1:252" ht="14.15" customHeight="1" x14ac:dyDescent="0.25">
      <c r="A163" s="1104" t="s">
        <v>291</v>
      </c>
      <c r="B163" s="1105"/>
      <c r="C163" s="1106"/>
      <c r="D163" s="28">
        <f t="shared" ref="D163:I163" si="15">D75+D162</f>
        <v>154658</v>
      </c>
      <c r="E163" s="28">
        <f t="shared" si="15"/>
        <v>153005</v>
      </c>
      <c r="F163" s="28">
        <f t="shared" si="15"/>
        <v>138859</v>
      </c>
      <c r="G163" s="28">
        <f t="shared" si="15"/>
        <v>137206</v>
      </c>
      <c r="H163" s="28">
        <f t="shared" si="15"/>
        <v>15799</v>
      </c>
      <c r="I163" s="28">
        <f t="shared" si="15"/>
        <v>15799</v>
      </c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</row>
    <row r="164" spans="1:252" ht="12.75" customHeight="1" x14ac:dyDescent="0.25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</row>
    <row r="165" spans="1:252" ht="14.15" customHeight="1" x14ac:dyDescent="0.2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</row>
    <row r="167" spans="1:252" s="1" customFormat="1" ht="12.75" customHeight="1" x14ac:dyDescent="0.35">
      <c r="A167" s="1101" t="s">
        <v>371</v>
      </c>
      <c r="B167" s="1101"/>
      <c r="C167" s="1101"/>
      <c r="D167" s="1101"/>
      <c r="E167" s="1101"/>
      <c r="F167" s="1101"/>
      <c r="G167" s="1101"/>
      <c r="H167" s="1101"/>
      <c r="I167" s="1101"/>
    </row>
    <row r="168" spans="1:252" s="1" customFormat="1" ht="14.15" customHeight="1" x14ac:dyDescent="0.35">
      <c r="A168" s="1101" t="s">
        <v>0</v>
      </c>
      <c r="B168" s="1102" t="s">
        <v>1</v>
      </c>
      <c r="C168" s="1101" t="s">
        <v>2</v>
      </c>
      <c r="D168" s="1103" t="s">
        <v>260</v>
      </c>
      <c r="E168" s="1096" t="s">
        <v>259</v>
      </c>
      <c r="F168" s="1098" t="s">
        <v>261</v>
      </c>
      <c r="G168" s="1099"/>
      <c r="H168" s="1098" t="s">
        <v>262</v>
      </c>
      <c r="I168" s="1099"/>
    </row>
    <row r="169" spans="1:252" s="3" customFormat="1" ht="27" customHeight="1" x14ac:dyDescent="0.35">
      <c r="A169" s="1101"/>
      <c r="B169" s="1102"/>
      <c r="C169" s="1101"/>
      <c r="D169" s="1103"/>
      <c r="E169" s="1097"/>
      <c r="F169" s="2" t="s">
        <v>260</v>
      </c>
      <c r="G169" s="2" t="s">
        <v>259</v>
      </c>
      <c r="H169" s="2" t="s">
        <v>260</v>
      </c>
      <c r="I169" s="2" t="s">
        <v>259</v>
      </c>
    </row>
    <row r="170" spans="1:252" ht="5.65" customHeight="1" x14ac:dyDescent="0.35"/>
    <row r="171" spans="1:252" ht="14.15" customHeight="1" x14ac:dyDescent="0.35">
      <c r="A171" s="1100" t="s">
        <v>194</v>
      </c>
      <c r="B171" s="1100"/>
      <c r="C171" s="1100"/>
      <c r="D171" s="1100"/>
      <c r="E171" s="1100"/>
      <c r="F171" s="1100"/>
      <c r="G171" s="1100"/>
      <c r="H171" s="1100"/>
      <c r="I171" s="1100"/>
    </row>
    <row r="172" spans="1:252" ht="14.15" customHeight="1" x14ac:dyDescent="0.35">
      <c r="A172" s="24" t="s">
        <v>195</v>
      </c>
      <c r="B172" s="24" t="s">
        <v>196</v>
      </c>
      <c r="C172" s="25" t="s">
        <v>197</v>
      </c>
      <c r="D172" s="26">
        <f>F172+H172</f>
        <v>0</v>
      </c>
      <c r="E172" s="26">
        <f>G172+I172</f>
        <v>0</v>
      </c>
      <c r="F172" s="26"/>
      <c r="G172" s="26"/>
      <c r="H172" s="26"/>
      <c r="I172" s="26"/>
    </row>
    <row r="173" spans="1:252" ht="14.15" customHeight="1" x14ac:dyDescent="0.35">
      <c r="A173" s="24" t="s">
        <v>198</v>
      </c>
      <c r="B173" s="24" t="s">
        <v>199</v>
      </c>
      <c r="C173" s="25" t="s">
        <v>200</v>
      </c>
      <c r="D173" s="26">
        <f t="shared" ref="D173:E179" si="16">F173+H173</f>
        <v>0</v>
      </c>
      <c r="E173" s="26">
        <f t="shared" si="16"/>
        <v>0</v>
      </c>
      <c r="F173" s="26"/>
      <c r="G173" s="26"/>
      <c r="H173" s="26"/>
      <c r="I173" s="26"/>
    </row>
    <row r="174" spans="1:252" ht="14.15" customHeight="1" x14ac:dyDescent="0.35">
      <c r="A174" s="24" t="s">
        <v>201</v>
      </c>
      <c r="B174" s="24" t="s">
        <v>202</v>
      </c>
      <c r="C174" s="25" t="s">
        <v>203</v>
      </c>
      <c r="D174" s="26">
        <f t="shared" si="16"/>
        <v>150</v>
      </c>
      <c r="E174" s="26">
        <f t="shared" si="16"/>
        <v>0</v>
      </c>
      <c r="F174" s="26">
        <v>150</v>
      </c>
      <c r="G174" s="26"/>
      <c r="H174" s="26"/>
      <c r="I174" s="26"/>
    </row>
    <row r="175" spans="1:252" ht="14.15" customHeight="1" x14ac:dyDescent="0.35">
      <c r="A175" s="24" t="s">
        <v>204</v>
      </c>
      <c r="B175" s="24" t="s">
        <v>205</v>
      </c>
      <c r="C175" s="25" t="s">
        <v>206</v>
      </c>
      <c r="D175" s="26">
        <f t="shared" si="16"/>
        <v>200</v>
      </c>
      <c r="E175" s="26">
        <f t="shared" si="16"/>
        <v>320</v>
      </c>
      <c r="F175" s="26">
        <v>200</v>
      </c>
      <c r="G175" s="26">
        <v>320</v>
      </c>
      <c r="H175" s="26"/>
      <c r="I175" s="26"/>
    </row>
    <row r="176" spans="1:252" ht="14.15" customHeight="1" x14ac:dyDescent="0.35">
      <c r="A176" s="24"/>
      <c r="B176" s="24" t="s">
        <v>207</v>
      </c>
      <c r="C176" s="25" t="s">
        <v>208</v>
      </c>
      <c r="D176" s="26">
        <f t="shared" si="16"/>
        <v>0</v>
      </c>
      <c r="E176" s="26">
        <f t="shared" si="16"/>
        <v>0</v>
      </c>
      <c r="F176" s="26"/>
      <c r="G176" s="26"/>
      <c r="H176" s="26"/>
      <c r="I176" s="26"/>
    </row>
    <row r="177" spans="1:9" ht="14.15" customHeight="1" x14ac:dyDescent="0.35">
      <c r="A177" s="24" t="s">
        <v>209</v>
      </c>
      <c r="B177" s="24" t="s">
        <v>210</v>
      </c>
      <c r="C177" s="25" t="s">
        <v>211</v>
      </c>
      <c r="D177" s="26">
        <f t="shared" si="16"/>
        <v>0</v>
      </c>
      <c r="E177" s="26">
        <f t="shared" si="16"/>
        <v>0</v>
      </c>
      <c r="F177" s="26"/>
      <c r="G177" s="26"/>
      <c r="H177" s="26"/>
      <c r="I177" s="26"/>
    </row>
    <row r="178" spans="1:9" ht="14.15" customHeight="1" x14ac:dyDescent="0.35">
      <c r="A178" s="24" t="s">
        <v>212</v>
      </c>
      <c r="B178" s="24" t="s">
        <v>213</v>
      </c>
      <c r="C178" s="25" t="s">
        <v>214</v>
      </c>
      <c r="D178" s="26">
        <f t="shared" si="16"/>
        <v>0</v>
      </c>
      <c r="E178" s="26">
        <f t="shared" si="16"/>
        <v>0</v>
      </c>
      <c r="F178" s="26"/>
      <c r="G178" s="26"/>
      <c r="H178" s="26"/>
      <c r="I178" s="26"/>
    </row>
    <row r="179" spans="1:9" ht="14.15" customHeight="1" x14ac:dyDescent="0.35">
      <c r="A179" s="24" t="s">
        <v>215</v>
      </c>
      <c r="B179" s="24" t="s">
        <v>216</v>
      </c>
      <c r="C179" s="25" t="s">
        <v>217</v>
      </c>
      <c r="D179" s="26">
        <f t="shared" si="16"/>
        <v>95</v>
      </c>
      <c r="E179" s="26">
        <f t="shared" si="16"/>
        <v>86</v>
      </c>
      <c r="F179" s="26">
        <v>95</v>
      </c>
      <c r="G179" s="26">
        <f>ROUND((G172+G173+G174+G175+G176)*0.27,0)</f>
        <v>86</v>
      </c>
      <c r="H179" s="26">
        <v>0</v>
      </c>
      <c r="I179" s="26">
        <f>ROUND((I172+I173+I174+I175+I176)*0.27,0)</f>
        <v>0</v>
      </c>
    </row>
    <row r="180" spans="1:9" s="3" customFormat="1" ht="14.15" customHeight="1" x14ac:dyDescent="0.35">
      <c r="A180" s="20" t="s">
        <v>218</v>
      </c>
      <c r="B180" s="20" t="s">
        <v>219</v>
      </c>
      <c r="C180" s="21" t="s">
        <v>220</v>
      </c>
      <c r="D180" s="23">
        <f t="shared" ref="D180:I180" si="17">SUM(D172:D179)</f>
        <v>445</v>
      </c>
      <c r="E180" s="23">
        <f t="shared" si="17"/>
        <v>406</v>
      </c>
      <c r="F180" s="23">
        <f t="shared" si="17"/>
        <v>445</v>
      </c>
      <c r="G180" s="23">
        <f t="shared" si="17"/>
        <v>406</v>
      </c>
      <c r="H180" s="23">
        <f t="shared" si="17"/>
        <v>0</v>
      </c>
      <c r="I180" s="23">
        <f t="shared" si="17"/>
        <v>0</v>
      </c>
    </row>
    <row r="181" spans="1:9" ht="14.15" customHeight="1" x14ac:dyDescent="0.35">
      <c r="A181" s="24" t="s">
        <v>221</v>
      </c>
      <c r="B181" s="24" t="s">
        <v>222</v>
      </c>
      <c r="C181" s="25" t="s">
        <v>223</v>
      </c>
      <c r="D181" s="26">
        <f t="shared" ref="D181:E185" si="18">F181+H181</f>
        <v>0</v>
      </c>
      <c r="E181" s="26">
        <f t="shared" si="18"/>
        <v>0</v>
      </c>
      <c r="F181" s="26"/>
      <c r="G181" s="26"/>
      <c r="H181" s="26"/>
      <c r="I181" s="26"/>
    </row>
    <row r="182" spans="1:9" ht="14.15" customHeight="1" x14ac:dyDescent="0.35">
      <c r="A182" s="24" t="s">
        <v>224</v>
      </c>
      <c r="B182" s="24" t="s">
        <v>225</v>
      </c>
      <c r="C182" s="25" t="s">
        <v>226</v>
      </c>
      <c r="D182" s="26">
        <f t="shared" si="18"/>
        <v>0</v>
      </c>
      <c r="E182" s="26">
        <f t="shared" si="18"/>
        <v>0</v>
      </c>
      <c r="F182" s="26"/>
      <c r="G182" s="26"/>
      <c r="H182" s="26"/>
      <c r="I182" s="26"/>
    </row>
    <row r="183" spans="1:9" ht="14.15" customHeight="1" x14ac:dyDescent="0.35">
      <c r="A183" s="24" t="s">
        <v>227</v>
      </c>
      <c r="B183" s="24" t="s">
        <v>228</v>
      </c>
      <c r="C183" s="25" t="s">
        <v>229</v>
      </c>
      <c r="D183" s="26">
        <f t="shared" si="18"/>
        <v>0</v>
      </c>
      <c r="E183" s="26">
        <f t="shared" si="18"/>
        <v>0</v>
      </c>
      <c r="F183" s="26"/>
      <c r="G183" s="26"/>
      <c r="H183" s="26"/>
      <c r="I183" s="26"/>
    </row>
    <row r="184" spans="1:9" ht="14.15" customHeight="1" x14ac:dyDescent="0.35">
      <c r="A184" s="24"/>
      <c r="B184" s="24" t="s">
        <v>230</v>
      </c>
      <c r="C184" s="25" t="s">
        <v>231</v>
      </c>
      <c r="D184" s="26">
        <f t="shared" si="18"/>
        <v>0</v>
      </c>
      <c r="E184" s="26">
        <f t="shared" si="18"/>
        <v>0</v>
      </c>
      <c r="F184" s="26"/>
      <c r="G184" s="26"/>
      <c r="H184" s="26"/>
      <c r="I184" s="26"/>
    </row>
    <row r="185" spans="1:9" ht="14.15" customHeight="1" x14ac:dyDescent="0.35">
      <c r="A185" s="24" t="s">
        <v>232</v>
      </c>
      <c r="B185" s="24" t="s">
        <v>233</v>
      </c>
      <c r="C185" s="25" t="s">
        <v>234</v>
      </c>
      <c r="D185" s="26">
        <f t="shared" si="18"/>
        <v>0</v>
      </c>
      <c r="E185" s="26">
        <f t="shared" si="18"/>
        <v>0</v>
      </c>
      <c r="F185" s="26">
        <v>0</v>
      </c>
      <c r="G185" s="26">
        <f>ROUND((G181+G182+G183+G184)*0.27,0)</f>
        <v>0</v>
      </c>
      <c r="H185" s="26">
        <v>0</v>
      </c>
      <c r="I185" s="26">
        <f>ROUND((I181+I182+I183+I184)*0.27,0)</f>
        <v>0</v>
      </c>
    </row>
    <row r="186" spans="1:9" s="3" customFormat="1" ht="14.15" customHeight="1" x14ac:dyDescent="0.35">
      <c r="A186" s="20" t="s">
        <v>235</v>
      </c>
      <c r="B186" s="20" t="s">
        <v>236</v>
      </c>
      <c r="C186" s="21" t="s">
        <v>237</v>
      </c>
      <c r="D186" s="23">
        <f t="shared" ref="D186:I186" si="19">SUM(D181:D185)</f>
        <v>0</v>
      </c>
      <c r="E186" s="23">
        <f t="shared" si="19"/>
        <v>0</v>
      </c>
      <c r="F186" s="23">
        <f t="shared" si="19"/>
        <v>0</v>
      </c>
      <c r="G186" s="23">
        <f t="shared" si="19"/>
        <v>0</v>
      </c>
      <c r="H186" s="23">
        <f t="shared" si="19"/>
        <v>0</v>
      </c>
      <c r="I186" s="23">
        <f t="shared" si="19"/>
        <v>0</v>
      </c>
    </row>
    <row r="187" spans="1:9" s="3" customFormat="1" ht="14.15" customHeight="1" x14ac:dyDescent="0.35">
      <c r="A187" s="1104" t="s">
        <v>293</v>
      </c>
      <c r="B187" s="1105"/>
      <c r="C187" s="1106" t="s">
        <v>238</v>
      </c>
      <c r="D187" s="28">
        <f t="shared" ref="D187:I187" si="20">D180+D186</f>
        <v>445</v>
      </c>
      <c r="E187" s="28">
        <f t="shared" si="20"/>
        <v>406</v>
      </c>
      <c r="F187" s="28">
        <f t="shared" si="20"/>
        <v>445</v>
      </c>
      <c r="G187" s="28">
        <f t="shared" si="20"/>
        <v>406</v>
      </c>
      <c r="H187" s="28">
        <f t="shared" si="20"/>
        <v>0</v>
      </c>
      <c r="I187" s="28">
        <f t="shared" si="20"/>
        <v>0</v>
      </c>
    </row>
    <row r="188" spans="1:9" ht="6.75" customHeight="1" x14ac:dyDescent="0.35"/>
    <row r="189" spans="1:9" ht="14.15" customHeight="1" x14ac:dyDescent="0.35">
      <c r="A189" s="1093" t="s">
        <v>294</v>
      </c>
      <c r="B189" s="1094"/>
      <c r="C189" s="1095"/>
      <c r="D189" s="29">
        <f t="shared" ref="D189:I189" si="21">D187+D163</f>
        <v>155103</v>
      </c>
      <c r="E189" s="29">
        <f t="shared" si="21"/>
        <v>153411</v>
      </c>
      <c r="F189" s="29">
        <f t="shared" si="21"/>
        <v>139304</v>
      </c>
      <c r="G189" s="29">
        <f t="shared" si="21"/>
        <v>137612</v>
      </c>
      <c r="H189" s="29">
        <f t="shared" si="21"/>
        <v>15799</v>
      </c>
      <c r="I189" s="29">
        <f t="shared" si="21"/>
        <v>15799</v>
      </c>
    </row>
    <row r="194" spans="1:9" s="1" customFormat="1" ht="12.75" customHeight="1" x14ac:dyDescent="0.35">
      <c r="A194" s="1101" t="s">
        <v>370</v>
      </c>
      <c r="B194" s="1101"/>
      <c r="C194" s="1101"/>
      <c r="D194" s="1101"/>
      <c r="E194" s="1101"/>
      <c r="F194" s="1101"/>
      <c r="G194" s="1101"/>
      <c r="H194" s="1101"/>
      <c r="I194" s="1101"/>
    </row>
    <row r="195" spans="1:9" s="1" customFormat="1" ht="14.15" customHeight="1" x14ac:dyDescent="0.35">
      <c r="A195" s="1101" t="s">
        <v>0</v>
      </c>
      <c r="B195" s="1102" t="s">
        <v>1</v>
      </c>
      <c r="C195" s="1101" t="s">
        <v>2</v>
      </c>
      <c r="D195" s="1103" t="s">
        <v>260</v>
      </c>
      <c r="E195" s="1096" t="s">
        <v>259</v>
      </c>
      <c r="F195" s="1098" t="s">
        <v>261</v>
      </c>
      <c r="G195" s="1099"/>
      <c r="H195" s="1098" t="s">
        <v>262</v>
      </c>
      <c r="I195" s="1099"/>
    </row>
    <row r="196" spans="1:9" s="3" customFormat="1" ht="23.25" customHeight="1" x14ac:dyDescent="0.35">
      <c r="A196" s="1101"/>
      <c r="B196" s="1102"/>
      <c r="C196" s="1101"/>
      <c r="D196" s="1103"/>
      <c r="E196" s="1097"/>
      <c r="F196" s="2" t="s">
        <v>260</v>
      </c>
      <c r="G196" s="2" t="s">
        <v>259</v>
      </c>
      <c r="H196" s="2" t="s">
        <v>260</v>
      </c>
      <c r="I196" s="2" t="s">
        <v>259</v>
      </c>
    </row>
    <row r="197" spans="1:9" ht="5.65" customHeight="1" x14ac:dyDescent="0.35"/>
    <row r="198" spans="1:9" ht="14.15" customHeight="1" x14ac:dyDescent="0.35">
      <c r="A198" s="1100" t="s">
        <v>239</v>
      </c>
      <c r="B198" s="1100"/>
      <c r="C198" s="1100"/>
      <c r="D198" s="1100"/>
      <c r="E198" s="1100"/>
      <c r="F198" s="1100"/>
      <c r="G198" s="1100"/>
      <c r="H198" s="1100"/>
      <c r="I198" s="1100"/>
    </row>
    <row r="199" spans="1:9" s="3" customFormat="1" ht="14.15" customHeight="1" x14ac:dyDescent="0.35">
      <c r="A199" s="20" t="s">
        <v>240</v>
      </c>
      <c r="B199" s="20"/>
      <c r="C199" s="21" t="s">
        <v>241</v>
      </c>
      <c r="D199" s="23">
        <f t="shared" ref="D199:I199" si="22">SUM(D200:D209)</f>
        <v>10088</v>
      </c>
      <c r="E199" s="23">
        <f t="shared" si="22"/>
        <v>3759</v>
      </c>
      <c r="F199" s="23">
        <f t="shared" si="22"/>
        <v>0</v>
      </c>
      <c r="G199" s="23">
        <f t="shared" si="22"/>
        <v>0</v>
      </c>
      <c r="H199" s="23">
        <f t="shared" si="22"/>
        <v>10088</v>
      </c>
      <c r="I199" s="23">
        <f t="shared" si="22"/>
        <v>3759</v>
      </c>
    </row>
    <row r="200" spans="1:9" ht="14.15" customHeight="1" x14ac:dyDescent="0.35">
      <c r="A200" s="24" t="s">
        <v>242</v>
      </c>
      <c r="B200" s="24"/>
      <c r="C200" s="25" t="s">
        <v>243</v>
      </c>
      <c r="D200" s="26">
        <f>F200+H200</f>
        <v>0</v>
      </c>
      <c r="E200" s="26">
        <f>G200+I200</f>
        <v>0</v>
      </c>
      <c r="F200" s="26"/>
      <c r="G200" s="26"/>
      <c r="H200" s="26"/>
      <c r="I200" s="26"/>
    </row>
    <row r="201" spans="1:9" ht="14.15" customHeight="1" x14ac:dyDescent="0.35">
      <c r="A201" s="24" t="s">
        <v>244</v>
      </c>
      <c r="B201" s="24"/>
      <c r="C201" s="25" t="s">
        <v>245</v>
      </c>
      <c r="D201" s="26">
        <f t="shared" ref="D201:E209" si="23">F201+H201</f>
        <v>0</v>
      </c>
      <c r="E201" s="26">
        <f t="shared" si="23"/>
        <v>0</v>
      </c>
      <c r="F201" s="26"/>
      <c r="G201" s="26"/>
      <c r="H201" s="26"/>
      <c r="I201" s="26"/>
    </row>
    <row r="202" spans="1:9" ht="14.15" customHeight="1" x14ac:dyDescent="0.35">
      <c r="A202" s="24" t="s">
        <v>246</v>
      </c>
      <c r="B202" s="24"/>
      <c r="C202" s="25" t="s">
        <v>247</v>
      </c>
      <c r="D202" s="26">
        <f t="shared" si="23"/>
        <v>0</v>
      </c>
      <c r="E202" s="26">
        <f t="shared" si="23"/>
        <v>0</v>
      </c>
      <c r="F202" s="26"/>
      <c r="G202" s="26"/>
      <c r="H202" s="26"/>
      <c r="I202" s="26"/>
    </row>
    <row r="203" spans="1:9" ht="14.15" customHeight="1" x14ac:dyDescent="0.35">
      <c r="A203" s="24" t="s">
        <v>248</v>
      </c>
      <c r="B203" s="24"/>
      <c r="C203" s="25" t="s">
        <v>249</v>
      </c>
      <c r="D203" s="26">
        <f t="shared" si="23"/>
        <v>0</v>
      </c>
      <c r="E203" s="26">
        <f t="shared" si="23"/>
        <v>0</v>
      </c>
      <c r="F203" s="26"/>
      <c r="G203" s="26"/>
      <c r="H203" s="26"/>
      <c r="I203" s="26"/>
    </row>
    <row r="204" spans="1:9" ht="14.15" customHeight="1" x14ac:dyDescent="0.35">
      <c r="A204" s="24" t="s">
        <v>296</v>
      </c>
      <c r="B204" s="24"/>
      <c r="C204" s="25" t="s">
        <v>297</v>
      </c>
      <c r="D204" s="26">
        <f t="shared" si="23"/>
        <v>7628</v>
      </c>
      <c r="E204" s="26">
        <f t="shared" si="23"/>
        <v>2960</v>
      </c>
      <c r="F204" s="26"/>
      <c r="G204" s="26"/>
      <c r="H204" s="26">
        <v>7628</v>
      </c>
      <c r="I204" s="26">
        <v>2960</v>
      </c>
    </row>
    <row r="205" spans="1:9" ht="14.15" customHeight="1" x14ac:dyDescent="0.35">
      <c r="A205" s="24" t="s">
        <v>250</v>
      </c>
      <c r="B205" s="24"/>
      <c r="C205" s="25" t="s">
        <v>251</v>
      </c>
      <c r="D205" s="26">
        <f t="shared" si="23"/>
        <v>2060</v>
      </c>
      <c r="E205" s="26">
        <f t="shared" si="23"/>
        <v>799</v>
      </c>
      <c r="F205" s="26"/>
      <c r="G205" s="26">
        <f>ROUND((G200+G201+G202+G203+G204)*0.27,0)</f>
        <v>0</v>
      </c>
      <c r="H205" s="26">
        <v>2060</v>
      </c>
      <c r="I205" s="26">
        <f>ROUND((I200+I201+I202+I203+I204)*0.27,0)</f>
        <v>799</v>
      </c>
    </row>
    <row r="206" spans="1:9" ht="14.15" customHeight="1" x14ac:dyDescent="0.35">
      <c r="A206" s="24" t="s">
        <v>298</v>
      </c>
      <c r="B206" s="24"/>
      <c r="C206" s="25" t="s">
        <v>299</v>
      </c>
      <c r="D206" s="26">
        <f t="shared" si="23"/>
        <v>400</v>
      </c>
      <c r="E206" s="26">
        <f t="shared" si="23"/>
        <v>0</v>
      </c>
      <c r="F206" s="26"/>
      <c r="G206" s="26"/>
      <c r="H206" s="26">
        <v>400</v>
      </c>
      <c r="I206" s="26"/>
    </row>
    <row r="207" spans="1:9" ht="14.15" customHeight="1" x14ac:dyDescent="0.35">
      <c r="A207" s="24" t="s">
        <v>252</v>
      </c>
      <c r="B207" s="24"/>
      <c r="C207" s="25" t="s">
        <v>253</v>
      </c>
      <c r="D207" s="26">
        <f t="shared" si="23"/>
        <v>0</v>
      </c>
      <c r="E207" s="26">
        <f t="shared" si="23"/>
        <v>0</v>
      </c>
      <c r="F207" s="26"/>
      <c r="G207" s="26"/>
      <c r="H207" s="26"/>
      <c r="I207" s="26"/>
    </row>
    <row r="208" spans="1:9" ht="14.15" customHeight="1" x14ac:dyDescent="0.35">
      <c r="A208" s="24" t="s">
        <v>300</v>
      </c>
      <c r="B208" s="24"/>
      <c r="C208" s="25" t="s">
        <v>301</v>
      </c>
      <c r="D208" s="26">
        <f t="shared" si="23"/>
        <v>0</v>
      </c>
      <c r="E208" s="26">
        <f t="shared" si="23"/>
        <v>0</v>
      </c>
      <c r="F208" s="26"/>
      <c r="G208" s="26"/>
      <c r="H208" s="26"/>
      <c r="I208" s="26"/>
    </row>
    <row r="209" spans="1:9" ht="14.15" customHeight="1" x14ac:dyDescent="0.35">
      <c r="A209" s="24" t="s">
        <v>254</v>
      </c>
      <c r="B209" s="24"/>
      <c r="C209" s="25" t="s">
        <v>255</v>
      </c>
      <c r="D209" s="26">
        <f t="shared" si="23"/>
        <v>0</v>
      </c>
      <c r="E209" s="26">
        <f t="shared" si="23"/>
        <v>0</v>
      </c>
      <c r="F209" s="26"/>
      <c r="G209" s="26"/>
      <c r="H209" s="26"/>
      <c r="I209" s="26"/>
    </row>
    <row r="210" spans="1:9" s="3" customFormat="1" ht="14.15" customHeight="1" x14ac:dyDescent="0.35">
      <c r="A210" s="20" t="s">
        <v>256</v>
      </c>
      <c r="B210" s="20"/>
      <c r="C210" s="21" t="s">
        <v>257</v>
      </c>
      <c r="D210" s="23">
        <f>F210+H210</f>
        <v>0</v>
      </c>
      <c r="E210" s="23">
        <f>G210+I210</f>
        <v>0</v>
      </c>
      <c r="F210" s="23">
        <v>0</v>
      </c>
      <c r="G210" s="23">
        <v>0</v>
      </c>
      <c r="H210" s="23">
        <v>0</v>
      </c>
      <c r="I210" s="23">
        <v>0</v>
      </c>
    </row>
    <row r="211" spans="1:9" s="3" customFormat="1" ht="14.15" customHeight="1" x14ac:dyDescent="0.35">
      <c r="A211" s="1093" t="s">
        <v>295</v>
      </c>
      <c r="B211" s="1094"/>
      <c r="C211" s="1095"/>
      <c r="D211" s="29">
        <f t="shared" ref="D211:I211" si="24">D199+D210</f>
        <v>10088</v>
      </c>
      <c r="E211" s="29">
        <f t="shared" si="24"/>
        <v>3759</v>
      </c>
      <c r="F211" s="29">
        <f t="shared" si="24"/>
        <v>0</v>
      </c>
      <c r="G211" s="29">
        <f t="shared" si="24"/>
        <v>0</v>
      </c>
      <c r="H211" s="29">
        <f t="shared" si="24"/>
        <v>10088</v>
      </c>
      <c r="I211" s="29">
        <f t="shared" si="24"/>
        <v>3759</v>
      </c>
    </row>
  </sheetData>
  <sheetProtection selectLockedCells="1" selectUnlockedCells="1"/>
  <mergeCells count="41">
    <mergeCell ref="A5:I5"/>
    <mergeCell ref="A75:C75"/>
    <mergeCell ref="A168:A169"/>
    <mergeCell ref="A1:I1"/>
    <mergeCell ref="A2:A3"/>
    <mergeCell ref="B2:B3"/>
    <mergeCell ref="C2:C3"/>
    <mergeCell ref="D2:D3"/>
    <mergeCell ref="F2:G2"/>
    <mergeCell ref="H2:I2"/>
    <mergeCell ref="E2:E3"/>
    <mergeCell ref="A79:I79"/>
    <mergeCell ref="A80:A81"/>
    <mergeCell ref="D80:D81"/>
    <mergeCell ref="B168:B169"/>
    <mergeCell ref="E168:E169"/>
    <mergeCell ref="A211:C211"/>
    <mergeCell ref="A171:I171"/>
    <mergeCell ref="A187:C187"/>
    <mergeCell ref="A189:C189"/>
    <mergeCell ref="A194:I194"/>
    <mergeCell ref="H195:I195"/>
    <mergeCell ref="A198:I198"/>
    <mergeCell ref="F195:G195"/>
    <mergeCell ref="B195:B196"/>
    <mergeCell ref="D195:D196"/>
    <mergeCell ref="E195:E196"/>
    <mergeCell ref="A195:A196"/>
    <mergeCell ref="C195:C196"/>
    <mergeCell ref="F168:G168"/>
    <mergeCell ref="H168:I168"/>
    <mergeCell ref="F80:G80"/>
    <mergeCell ref="H80:I80"/>
    <mergeCell ref="A83:I83"/>
    <mergeCell ref="A163:C163"/>
    <mergeCell ref="C80:C81"/>
    <mergeCell ref="B80:B81"/>
    <mergeCell ref="A167:I167"/>
    <mergeCell ref="D168:D169"/>
    <mergeCell ref="C168:C169"/>
    <mergeCell ref="E80:E81"/>
  </mergeCells>
  <printOptions horizontalCentered="1"/>
  <pageMargins left="0.15748031496062992" right="0.15748031496062992" top="0.19685039370078741" bottom="0.15748031496062992" header="0.31496062992125984" footer="0.31496062992125984"/>
  <pageSetup paperSize="8" fitToHeight="0" orientation="portrait" useFirstPageNumber="1" copies="2" r:id="rId1"/>
  <headerFooter alignWithMargins="0"/>
  <rowBreaks count="2" manualBreakCount="2">
    <brk id="75" max="16383" man="1"/>
    <brk id="140" max="16383" man="1"/>
  </rowBreaks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IR180"/>
  <sheetViews>
    <sheetView view="pageBreakPreview" zoomScale="150" zoomScaleNormal="100" zoomScaleSheetLayoutView="150" workbookViewId="0">
      <pane ySplit="4" topLeftCell="A56" activePane="bottomLeft" state="frozen"/>
      <selection pane="bottomLeft" activeCell="B69" sqref="B69"/>
    </sheetView>
  </sheetViews>
  <sheetFormatPr defaultColWidth="11.7265625" defaultRowHeight="14.15" customHeight="1" x14ac:dyDescent="0.35"/>
  <cols>
    <col min="1" max="1" width="5.7265625" style="4" customWidth="1"/>
    <col min="2" max="2" width="7.7265625" style="4" customWidth="1"/>
    <col min="3" max="3" width="31.7265625" style="5" customWidth="1"/>
    <col min="4" max="5" width="10.81640625" style="6" customWidth="1"/>
    <col min="6" max="6" width="9.81640625" style="6" bestFit="1" customWidth="1"/>
    <col min="7" max="7" width="9.81640625" style="6" customWidth="1"/>
    <col min="8" max="8" width="10.7265625" style="6" customWidth="1"/>
    <col min="9" max="9" width="12" style="6" customWidth="1"/>
    <col min="10" max="16384" width="11.7265625" style="5"/>
  </cols>
  <sheetData>
    <row r="1" spans="1:9" s="1" customFormat="1" ht="12.75" customHeight="1" x14ac:dyDescent="0.35">
      <c r="A1" s="1101" t="s">
        <v>404</v>
      </c>
      <c r="B1" s="1101"/>
      <c r="C1" s="1101"/>
      <c r="D1" s="1101"/>
      <c r="E1" s="1101"/>
      <c r="F1" s="1101"/>
      <c r="G1" s="1101"/>
      <c r="H1" s="1101"/>
      <c r="I1" s="1101"/>
    </row>
    <row r="2" spans="1:9" s="1" customFormat="1" ht="14.15" customHeight="1" x14ac:dyDescent="0.35">
      <c r="A2" s="1101" t="s">
        <v>0</v>
      </c>
      <c r="B2" s="1102" t="s">
        <v>1</v>
      </c>
      <c r="C2" s="1101" t="s">
        <v>2</v>
      </c>
      <c r="D2" s="1103" t="s">
        <v>260</v>
      </c>
      <c r="E2" s="1096" t="s">
        <v>259</v>
      </c>
      <c r="F2" s="1098" t="s">
        <v>261</v>
      </c>
      <c r="G2" s="1099"/>
      <c r="H2" s="1098" t="s">
        <v>262</v>
      </c>
      <c r="I2" s="1099"/>
    </row>
    <row r="3" spans="1:9" s="3" customFormat="1" ht="25.5" customHeight="1" x14ac:dyDescent="0.35">
      <c r="A3" s="1101"/>
      <c r="B3" s="1102"/>
      <c r="C3" s="1101"/>
      <c r="D3" s="1103"/>
      <c r="E3" s="1097"/>
      <c r="F3" s="2" t="s">
        <v>263</v>
      </c>
      <c r="G3" s="2" t="s">
        <v>259</v>
      </c>
      <c r="H3" s="2" t="s">
        <v>260</v>
      </c>
      <c r="I3" s="2" t="s">
        <v>259</v>
      </c>
    </row>
    <row r="4" spans="1:9" ht="5.65" customHeight="1" x14ac:dyDescent="0.35"/>
    <row r="5" spans="1:9" ht="14.15" customHeight="1" x14ac:dyDescent="0.35">
      <c r="A5" s="1100" t="s">
        <v>3</v>
      </c>
      <c r="B5" s="1100"/>
      <c r="C5" s="1100"/>
      <c r="D5" s="1100"/>
      <c r="E5" s="1100"/>
      <c r="F5" s="1100"/>
      <c r="G5" s="1100"/>
      <c r="H5" s="1100"/>
      <c r="I5" s="1100"/>
    </row>
    <row r="6" spans="1:9" s="3" customFormat="1" ht="12.75" customHeight="1" x14ac:dyDescent="0.35">
      <c r="A6" s="7" t="s">
        <v>4</v>
      </c>
      <c r="B6" s="7" t="s">
        <v>5</v>
      </c>
      <c r="C6" s="8" t="s">
        <v>6</v>
      </c>
      <c r="D6" s="9">
        <f>F6+H6</f>
        <v>132520</v>
      </c>
      <c r="E6" s="9">
        <f>G6+I6</f>
        <v>145416</v>
      </c>
      <c r="F6" s="10">
        <v>132520</v>
      </c>
      <c r="G6" s="10">
        <f>SUM(G7:G8)</f>
        <v>145416</v>
      </c>
      <c r="H6" s="10">
        <v>0</v>
      </c>
      <c r="I6" s="10">
        <f>SUM(I7:I7)</f>
        <v>0</v>
      </c>
    </row>
    <row r="7" spans="1:9" s="15" customFormat="1" ht="11.5" customHeight="1" x14ac:dyDescent="0.35">
      <c r="A7" s="11"/>
      <c r="B7" s="11"/>
      <c r="C7" s="12" t="s">
        <v>1149</v>
      </c>
      <c r="D7" s="13"/>
      <c r="E7" s="13"/>
      <c r="F7" s="14"/>
      <c r="G7" s="14">
        <v>145029</v>
      </c>
      <c r="H7" s="14"/>
      <c r="I7" s="14"/>
    </row>
    <row r="8" spans="1:9" s="15" customFormat="1" ht="11.5" customHeight="1" x14ac:dyDescent="0.35">
      <c r="A8" s="11"/>
      <c r="B8" s="11"/>
      <c r="C8" s="12" t="s">
        <v>1150</v>
      </c>
      <c r="D8" s="13"/>
      <c r="E8" s="13"/>
      <c r="F8" s="14"/>
      <c r="G8" s="14">
        <v>387</v>
      </c>
      <c r="H8" s="14"/>
      <c r="I8" s="14"/>
    </row>
    <row r="9" spans="1:9" s="3" customFormat="1" ht="12.75" customHeight="1" x14ac:dyDescent="0.35">
      <c r="A9" s="7" t="s">
        <v>7</v>
      </c>
      <c r="B9" s="7" t="s">
        <v>8</v>
      </c>
      <c r="C9" s="8" t="s">
        <v>9</v>
      </c>
      <c r="D9" s="9">
        <f t="shared" ref="D9:E11" si="0">F9+H9</f>
        <v>0</v>
      </c>
      <c r="E9" s="9">
        <f t="shared" si="0"/>
        <v>0</v>
      </c>
      <c r="F9" s="10">
        <v>0</v>
      </c>
      <c r="G9" s="10">
        <v>0</v>
      </c>
      <c r="H9" s="10">
        <v>0</v>
      </c>
      <c r="I9" s="10">
        <v>0</v>
      </c>
    </row>
    <row r="10" spans="1:9" s="3" customFormat="1" ht="12.75" customHeight="1" x14ac:dyDescent="0.35">
      <c r="A10" s="7" t="s">
        <v>10</v>
      </c>
      <c r="B10" s="7" t="s">
        <v>11</v>
      </c>
      <c r="C10" s="8" t="s">
        <v>12</v>
      </c>
      <c r="D10" s="9">
        <f t="shared" si="0"/>
        <v>0</v>
      </c>
      <c r="E10" s="9">
        <f t="shared" si="0"/>
        <v>0</v>
      </c>
      <c r="F10" s="10">
        <v>0</v>
      </c>
      <c r="G10" s="10">
        <v>0</v>
      </c>
      <c r="H10" s="10">
        <v>0</v>
      </c>
      <c r="I10" s="10">
        <v>0</v>
      </c>
    </row>
    <row r="11" spans="1:9" s="3" customFormat="1" ht="12.75" customHeight="1" x14ac:dyDescent="0.35">
      <c r="A11" s="7" t="s">
        <v>13</v>
      </c>
      <c r="B11" s="7" t="s">
        <v>14</v>
      </c>
      <c r="C11" s="8" t="s">
        <v>15</v>
      </c>
      <c r="D11" s="9">
        <f t="shared" si="0"/>
        <v>1200</v>
      </c>
      <c r="E11" s="9">
        <f t="shared" si="0"/>
        <v>800</v>
      </c>
      <c r="F11" s="10">
        <f>SUM(F12:F13)</f>
        <v>1200</v>
      </c>
      <c r="G11" s="10">
        <f>SUM(G12:G13)</f>
        <v>800</v>
      </c>
      <c r="H11" s="10">
        <v>0</v>
      </c>
      <c r="I11" s="10">
        <f>SUM(I12:I13)</f>
        <v>0</v>
      </c>
    </row>
    <row r="12" spans="1:9" s="15" customFormat="1" ht="11.5" customHeight="1" x14ac:dyDescent="0.35">
      <c r="A12" s="11"/>
      <c r="B12" s="11"/>
      <c r="C12" s="12" t="s">
        <v>16</v>
      </c>
      <c r="D12" s="13"/>
      <c r="E12" s="13"/>
      <c r="F12" s="14">
        <v>1200</v>
      </c>
      <c r="G12" s="14">
        <v>800</v>
      </c>
      <c r="H12" s="14"/>
      <c r="I12" s="14"/>
    </row>
    <row r="13" spans="1:9" s="15" customFormat="1" ht="11.5" customHeight="1" x14ac:dyDescent="0.35">
      <c r="A13" s="11"/>
      <c r="B13" s="11"/>
      <c r="C13" s="12" t="s">
        <v>17</v>
      </c>
      <c r="D13" s="13"/>
      <c r="E13" s="13"/>
      <c r="F13" s="14"/>
      <c r="G13" s="14"/>
      <c r="H13" s="14"/>
      <c r="I13" s="14"/>
    </row>
    <row r="14" spans="1:9" s="3" customFormat="1" ht="12.75" customHeight="1" x14ac:dyDescent="0.35">
      <c r="A14" s="7" t="s">
        <v>18</v>
      </c>
      <c r="B14" s="7" t="s">
        <v>19</v>
      </c>
      <c r="C14" s="8" t="s">
        <v>20</v>
      </c>
      <c r="D14" s="9">
        <f t="shared" ref="D14:E18" si="1">F14+H14</f>
        <v>0</v>
      </c>
      <c r="E14" s="9">
        <f t="shared" si="1"/>
        <v>0</v>
      </c>
      <c r="F14" s="10">
        <v>0</v>
      </c>
      <c r="G14" s="10">
        <v>0</v>
      </c>
      <c r="H14" s="10">
        <v>0</v>
      </c>
      <c r="I14" s="10">
        <v>0</v>
      </c>
    </row>
    <row r="15" spans="1:9" s="3" customFormat="1" ht="12.75" customHeight="1" x14ac:dyDescent="0.35">
      <c r="A15" s="7" t="s">
        <v>21</v>
      </c>
      <c r="B15" s="7" t="s">
        <v>22</v>
      </c>
      <c r="C15" s="8" t="s">
        <v>23</v>
      </c>
      <c r="D15" s="9">
        <f t="shared" si="1"/>
        <v>2124</v>
      </c>
      <c r="E15" s="9">
        <f t="shared" si="1"/>
        <v>1115</v>
      </c>
      <c r="F15" s="10">
        <v>2124</v>
      </c>
      <c r="G15" s="10">
        <f>SUM(G16:G17)</f>
        <v>1115</v>
      </c>
      <c r="H15" s="10">
        <v>0</v>
      </c>
      <c r="I15" s="10">
        <v>0</v>
      </c>
    </row>
    <row r="16" spans="1:9" s="3" customFormat="1" ht="12.75" customHeight="1" x14ac:dyDescent="0.35">
      <c r="A16" s="11"/>
      <c r="B16" s="11"/>
      <c r="C16" s="12" t="s">
        <v>1151</v>
      </c>
      <c r="D16" s="13"/>
      <c r="E16" s="13"/>
      <c r="F16" s="14"/>
      <c r="G16" s="14">
        <v>549</v>
      </c>
      <c r="H16" s="14"/>
      <c r="I16" s="14"/>
    </row>
    <row r="17" spans="1:9" s="3" customFormat="1" ht="12.75" customHeight="1" x14ac:dyDescent="0.35">
      <c r="A17" s="11"/>
      <c r="B17" s="11"/>
      <c r="C17" s="12" t="s">
        <v>1152</v>
      </c>
      <c r="D17" s="13"/>
      <c r="E17" s="13"/>
      <c r="F17" s="14"/>
      <c r="G17" s="14">
        <v>566</v>
      </c>
      <c r="H17" s="14"/>
      <c r="I17" s="14"/>
    </row>
    <row r="18" spans="1:9" s="3" customFormat="1" ht="12.75" customHeight="1" x14ac:dyDescent="0.35">
      <c r="A18" s="7" t="s">
        <v>24</v>
      </c>
      <c r="B18" s="7" t="s">
        <v>25</v>
      </c>
      <c r="C18" s="8" t="s">
        <v>26</v>
      </c>
      <c r="D18" s="9">
        <f t="shared" si="1"/>
        <v>5376</v>
      </c>
      <c r="E18" s="9">
        <f t="shared" si="1"/>
        <v>5376</v>
      </c>
      <c r="F18" s="10">
        <v>5376</v>
      </c>
      <c r="G18" s="10">
        <f>G19</f>
        <v>5376</v>
      </c>
      <c r="H18" s="10">
        <v>0</v>
      </c>
      <c r="I18" s="10">
        <f>I19</f>
        <v>0</v>
      </c>
    </row>
    <row r="19" spans="1:9" s="15" customFormat="1" ht="11.5" customHeight="1" x14ac:dyDescent="0.35">
      <c r="A19" s="11"/>
      <c r="B19" s="11"/>
      <c r="C19" s="12" t="s">
        <v>407</v>
      </c>
      <c r="D19" s="13"/>
      <c r="E19" s="13"/>
      <c r="F19" s="14"/>
      <c r="G19" s="14">
        <v>5376</v>
      </c>
      <c r="H19" s="14"/>
      <c r="I19" s="14"/>
    </row>
    <row r="20" spans="1:9" s="3" customFormat="1" ht="12.75" customHeight="1" x14ac:dyDescent="0.35">
      <c r="A20" s="7" t="s">
        <v>27</v>
      </c>
      <c r="B20" s="7" t="s">
        <v>28</v>
      </c>
      <c r="C20" s="8" t="s">
        <v>29</v>
      </c>
      <c r="D20" s="9">
        <f t="shared" ref="D20:E22" si="2">F20+H20</f>
        <v>100</v>
      </c>
      <c r="E20" s="9">
        <f t="shared" si="2"/>
        <v>0</v>
      </c>
      <c r="F20" s="10">
        <v>100</v>
      </c>
      <c r="G20" s="10">
        <v>0</v>
      </c>
      <c r="H20" s="10">
        <v>0</v>
      </c>
      <c r="I20" s="10">
        <v>0</v>
      </c>
    </row>
    <row r="21" spans="1:9" s="3" customFormat="1" ht="12.75" customHeight="1" x14ac:dyDescent="0.35">
      <c r="A21" s="7" t="s">
        <v>30</v>
      </c>
      <c r="B21" s="7" t="s">
        <v>31</v>
      </c>
      <c r="C21" s="8" t="s">
        <v>32</v>
      </c>
      <c r="D21" s="9">
        <f t="shared" si="2"/>
        <v>1080</v>
      </c>
      <c r="E21" s="9">
        <f t="shared" si="2"/>
        <v>1200</v>
      </c>
      <c r="F21" s="10">
        <v>1080</v>
      </c>
      <c r="G21" s="10">
        <v>1200</v>
      </c>
      <c r="H21" s="10">
        <v>0</v>
      </c>
      <c r="I21" s="10">
        <v>0</v>
      </c>
    </row>
    <row r="22" spans="1:9" s="3" customFormat="1" ht="12.75" customHeight="1" x14ac:dyDescent="0.35">
      <c r="A22" s="7" t="s">
        <v>33</v>
      </c>
      <c r="B22" s="7" t="s">
        <v>34</v>
      </c>
      <c r="C22" s="8" t="s">
        <v>35</v>
      </c>
      <c r="D22" s="9">
        <f t="shared" si="2"/>
        <v>0</v>
      </c>
      <c r="E22" s="9">
        <f t="shared" si="2"/>
        <v>792</v>
      </c>
      <c r="F22" s="10">
        <v>0</v>
      </c>
      <c r="G22" s="10">
        <f>G23+G24</f>
        <v>792</v>
      </c>
      <c r="H22" s="10">
        <v>0</v>
      </c>
      <c r="I22" s="10">
        <f>I23</f>
        <v>0</v>
      </c>
    </row>
    <row r="23" spans="1:9" s="3" customFormat="1" ht="12.75" customHeight="1" x14ac:dyDescent="0.35">
      <c r="A23" s="11"/>
      <c r="B23" s="11"/>
      <c r="C23" s="12" t="s">
        <v>279</v>
      </c>
      <c r="D23" s="13"/>
      <c r="E23" s="13"/>
      <c r="F23" s="14"/>
      <c r="G23" s="14">
        <v>120</v>
      </c>
      <c r="H23" s="14"/>
      <c r="I23" s="14"/>
    </row>
    <row r="24" spans="1:9" s="3" customFormat="1" ht="12.75" customHeight="1" x14ac:dyDescent="0.35">
      <c r="A24" s="11"/>
      <c r="B24" s="11"/>
      <c r="C24" s="12" t="s">
        <v>1257</v>
      </c>
      <c r="D24" s="13"/>
      <c r="E24" s="13"/>
      <c r="F24" s="14"/>
      <c r="G24" s="14">
        <v>672</v>
      </c>
      <c r="H24" s="14"/>
      <c r="I24" s="14"/>
    </row>
    <row r="25" spans="1:9" s="3" customFormat="1" ht="12.75" customHeight="1" x14ac:dyDescent="0.35">
      <c r="A25" s="7" t="s">
        <v>36</v>
      </c>
      <c r="B25" s="7" t="s">
        <v>37</v>
      </c>
      <c r="C25" s="8" t="s">
        <v>38</v>
      </c>
      <c r="D25" s="9">
        <f>F25+H25</f>
        <v>0</v>
      </c>
      <c r="E25" s="9">
        <f>G25+I25</f>
        <v>0</v>
      </c>
      <c r="F25" s="10">
        <v>0</v>
      </c>
      <c r="G25" s="10">
        <v>0</v>
      </c>
      <c r="H25" s="10">
        <v>0</v>
      </c>
      <c r="I25" s="10">
        <v>0</v>
      </c>
    </row>
    <row r="26" spans="1:9" s="3" customFormat="1" ht="12.75" customHeight="1" x14ac:dyDescent="0.35">
      <c r="A26" s="7" t="s">
        <v>39</v>
      </c>
      <c r="B26" s="7" t="s">
        <v>40</v>
      </c>
      <c r="C26" s="8" t="s">
        <v>41</v>
      </c>
      <c r="D26" s="9">
        <f>F26+H26</f>
        <v>663</v>
      </c>
      <c r="E26" s="9">
        <f>G26+I26</f>
        <v>582</v>
      </c>
      <c r="F26" s="10">
        <f>F27</f>
        <v>663</v>
      </c>
      <c r="G26" s="10">
        <f>G27</f>
        <v>582</v>
      </c>
      <c r="H26" s="10">
        <f>H27</f>
        <v>0</v>
      </c>
      <c r="I26" s="10">
        <f>I27</f>
        <v>0</v>
      </c>
    </row>
    <row r="27" spans="1:9" s="3" customFormat="1" ht="12.75" customHeight="1" x14ac:dyDescent="0.35">
      <c r="A27" s="11"/>
      <c r="B27" s="11"/>
      <c r="C27" s="12" t="s">
        <v>280</v>
      </c>
      <c r="D27" s="13"/>
      <c r="E27" s="13"/>
      <c r="F27" s="14">
        <v>663</v>
      </c>
      <c r="G27" s="14">
        <f>ROUND(G6*0.004,0)</f>
        <v>582</v>
      </c>
      <c r="H27" s="14"/>
      <c r="I27" s="14"/>
    </row>
    <row r="28" spans="1:9" s="3" customFormat="1" ht="12.75" customHeight="1" x14ac:dyDescent="0.35">
      <c r="A28" s="7" t="s">
        <v>42</v>
      </c>
      <c r="B28" s="7" t="s">
        <v>43</v>
      </c>
      <c r="C28" s="8" t="s">
        <v>44</v>
      </c>
      <c r="D28" s="9">
        <f>F28+H28</f>
        <v>1650</v>
      </c>
      <c r="E28" s="9">
        <f>G28+I28</f>
        <v>4862</v>
      </c>
      <c r="F28" s="10">
        <v>1650</v>
      </c>
      <c r="G28" s="10">
        <f>G29+G30</f>
        <v>4862</v>
      </c>
      <c r="H28" s="10">
        <v>0</v>
      </c>
      <c r="I28" s="10">
        <f>I29</f>
        <v>0</v>
      </c>
    </row>
    <row r="29" spans="1:9" s="15" customFormat="1" ht="11.5" customHeight="1" x14ac:dyDescent="0.35">
      <c r="A29" s="11"/>
      <c r="B29" s="11"/>
      <c r="C29" s="12" t="s">
        <v>408</v>
      </c>
      <c r="D29" s="13"/>
      <c r="E29" s="13"/>
      <c r="F29" s="14"/>
      <c r="G29" s="14">
        <v>500</v>
      </c>
      <c r="H29" s="14"/>
      <c r="I29" s="14"/>
    </row>
    <row r="30" spans="1:9" s="15" customFormat="1" ht="11.5" customHeight="1" x14ac:dyDescent="0.35">
      <c r="A30" s="11"/>
      <c r="B30" s="11"/>
      <c r="C30" s="12" t="s">
        <v>1259</v>
      </c>
      <c r="D30" s="13"/>
      <c r="E30" s="13"/>
      <c r="F30" s="14"/>
      <c r="G30" s="14">
        <f>ROUND(G6*0.03,0)</f>
        <v>4362</v>
      </c>
      <c r="H30" s="14"/>
      <c r="I30" s="14"/>
    </row>
    <row r="31" spans="1:9" s="3" customFormat="1" ht="12.75" customHeight="1" x14ac:dyDescent="0.35">
      <c r="A31" s="16" t="s">
        <v>45</v>
      </c>
      <c r="B31" s="16" t="s">
        <v>46</v>
      </c>
      <c r="C31" s="17" t="s">
        <v>47</v>
      </c>
      <c r="D31" s="18">
        <f t="shared" ref="D31:I31" si="3">D6+D9+D10+D11+D14+D15+D18+D20+D21+D22+D25+D26+D28</f>
        <v>144713</v>
      </c>
      <c r="E31" s="18">
        <f t="shared" si="3"/>
        <v>160143</v>
      </c>
      <c r="F31" s="18">
        <f t="shared" si="3"/>
        <v>144713</v>
      </c>
      <c r="G31" s="18">
        <f t="shared" si="3"/>
        <v>160143</v>
      </c>
      <c r="H31" s="18">
        <f t="shared" si="3"/>
        <v>0</v>
      </c>
      <c r="I31" s="18">
        <f t="shared" si="3"/>
        <v>0</v>
      </c>
    </row>
    <row r="32" spans="1:9" s="3" customFormat="1" ht="12.75" customHeight="1" x14ac:dyDescent="0.35">
      <c r="A32" s="7" t="s">
        <v>48</v>
      </c>
      <c r="B32" s="7" t="s">
        <v>49</v>
      </c>
      <c r="C32" s="8" t="s">
        <v>50</v>
      </c>
      <c r="D32" s="9">
        <f>F32+H32</f>
        <v>0</v>
      </c>
      <c r="E32" s="9">
        <f>G32+I32</f>
        <v>0</v>
      </c>
      <c r="F32" s="10">
        <v>0</v>
      </c>
      <c r="G32" s="10">
        <v>0</v>
      </c>
      <c r="H32" s="10">
        <v>0</v>
      </c>
      <c r="I32" s="10">
        <v>0</v>
      </c>
    </row>
    <row r="33" spans="1:9" s="3" customFormat="1" ht="12.75" customHeight="1" x14ac:dyDescent="0.35">
      <c r="A33" s="7" t="s">
        <v>51</v>
      </c>
      <c r="B33" s="7" t="s">
        <v>52</v>
      </c>
      <c r="C33" s="8" t="s">
        <v>53</v>
      </c>
      <c r="D33" s="9">
        <f>F33+H33</f>
        <v>400</v>
      </c>
      <c r="E33" s="9">
        <f>G33+I33</f>
        <v>300</v>
      </c>
      <c r="F33" s="10">
        <f>F34</f>
        <v>400</v>
      </c>
      <c r="G33" s="10">
        <f>G34</f>
        <v>300</v>
      </c>
      <c r="H33" s="10">
        <f>H34</f>
        <v>0</v>
      </c>
      <c r="I33" s="10">
        <f>I34</f>
        <v>0</v>
      </c>
    </row>
    <row r="34" spans="1:9" s="15" customFormat="1" ht="11.5" customHeight="1" x14ac:dyDescent="0.35">
      <c r="A34" s="11"/>
      <c r="B34" s="11"/>
      <c r="C34" s="12" t="s">
        <v>282</v>
      </c>
      <c r="D34" s="13"/>
      <c r="E34" s="13"/>
      <c r="F34" s="14">
        <v>400</v>
      </c>
      <c r="G34" s="14">
        <v>300</v>
      </c>
      <c r="H34" s="14"/>
      <c r="I34" s="14"/>
    </row>
    <row r="35" spans="1:9" s="3" customFormat="1" ht="12.75" customHeight="1" x14ac:dyDescent="0.35">
      <c r="A35" s="7" t="s">
        <v>54</v>
      </c>
      <c r="B35" s="7" t="s">
        <v>55</v>
      </c>
      <c r="C35" s="8" t="s">
        <v>285</v>
      </c>
      <c r="D35" s="9">
        <f>F35+H35</f>
        <v>100</v>
      </c>
      <c r="E35" s="9">
        <f>G35+I35</f>
        <v>60</v>
      </c>
      <c r="F35" s="10">
        <f>F36</f>
        <v>100</v>
      </c>
      <c r="G35" s="10">
        <f>G36</f>
        <v>60</v>
      </c>
      <c r="H35" s="10">
        <f>H36</f>
        <v>0</v>
      </c>
      <c r="I35" s="10">
        <f>I36</f>
        <v>0</v>
      </c>
    </row>
    <row r="36" spans="1:9" s="15" customFormat="1" ht="11.5" customHeight="1" x14ac:dyDescent="0.35">
      <c r="A36" s="11"/>
      <c r="B36" s="11"/>
      <c r="C36" s="12" t="s">
        <v>283</v>
      </c>
      <c r="D36" s="13"/>
      <c r="E36" s="13"/>
      <c r="F36" s="14">
        <v>100</v>
      </c>
      <c r="G36" s="14">
        <v>60</v>
      </c>
      <c r="H36" s="14"/>
      <c r="I36" s="14"/>
    </row>
    <row r="37" spans="1:9" s="3" customFormat="1" ht="12.75" customHeight="1" x14ac:dyDescent="0.35">
      <c r="A37" s="16" t="s">
        <v>56</v>
      </c>
      <c r="B37" s="16" t="s">
        <v>57</v>
      </c>
      <c r="C37" s="17" t="s">
        <v>58</v>
      </c>
      <c r="D37" s="18">
        <f t="shared" ref="D37:I37" si="4">D32+D33+D35</f>
        <v>500</v>
      </c>
      <c r="E37" s="18">
        <f t="shared" si="4"/>
        <v>360</v>
      </c>
      <c r="F37" s="18">
        <f t="shared" si="4"/>
        <v>500</v>
      </c>
      <c r="G37" s="18">
        <f t="shared" si="4"/>
        <v>360</v>
      </c>
      <c r="H37" s="18">
        <f t="shared" si="4"/>
        <v>0</v>
      </c>
      <c r="I37" s="18">
        <f t="shared" si="4"/>
        <v>0</v>
      </c>
    </row>
    <row r="38" spans="1:9" s="3" customFormat="1" ht="12.75" customHeight="1" x14ac:dyDescent="0.35">
      <c r="A38" s="20" t="s">
        <v>59</v>
      </c>
      <c r="B38" s="20" t="s">
        <v>60</v>
      </c>
      <c r="C38" s="21" t="s">
        <v>286</v>
      </c>
      <c r="D38" s="22">
        <f t="shared" ref="D38:I38" si="5">D31+D37</f>
        <v>145213</v>
      </c>
      <c r="E38" s="22">
        <f t="shared" si="5"/>
        <v>160503</v>
      </c>
      <c r="F38" s="22">
        <f t="shared" si="5"/>
        <v>145213</v>
      </c>
      <c r="G38" s="22">
        <f t="shared" si="5"/>
        <v>160503</v>
      </c>
      <c r="H38" s="22">
        <f t="shared" si="5"/>
        <v>0</v>
      </c>
      <c r="I38" s="22">
        <f t="shared" si="5"/>
        <v>0</v>
      </c>
    </row>
    <row r="39" spans="1:9" s="15" customFormat="1" ht="11.5" customHeight="1" x14ac:dyDescent="0.35">
      <c r="A39" s="11"/>
      <c r="B39" s="11"/>
      <c r="C39" s="12" t="s">
        <v>284</v>
      </c>
      <c r="D39" s="13">
        <f>H39+F39</f>
        <v>37231</v>
      </c>
      <c r="E39" s="13">
        <f>I39+G39</f>
        <v>41330</v>
      </c>
      <c r="F39" s="13">
        <v>37231</v>
      </c>
      <c r="G39" s="13">
        <f>ROUND((G6+G9+G10+G11+G14+G15+G26+G28+G33)*0.27,0)</f>
        <v>41330</v>
      </c>
      <c r="H39" s="13">
        <f>ROUND((H6+H9+H10+H11+H14+H15+H33)*0.27,0)</f>
        <v>0</v>
      </c>
      <c r="I39" s="13">
        <f>ROUND((I6+I9+I10+I11+I14+I15+I33)*0.27,0)</f>
        <v>0</v>
      </c>
    </row>
    <row r="40" spans="1:9" s="15" customFormat="1" ht="11.5" customHeight="1" x14ac:dyDescent="0.35">
      <c r="A40" s="11"/>
      <c r="B40" s="11"/>
      <c r="C40" s="12" t="s">
        <v>61</v>
      </c>
      <c r="D40" s="13">
        <f t="shared" ref="D40:E42" si="6">H40+F40</f>
        <v>928</v>
      </c>
      <c r="E40" s="13">
        <f t="shared" si="6"/>
        <v>915</v>
      </c>
      <c r="F40" s="14">
        <v>928</v>
      </c>
      <c r="G40" s="13">
        <f>ROUND(G18*1.19*0.14+(G35)*1.19*0.27,0)</f>
        <v>915</v>
      </c>
      <c r="H40" s="14"/>
      <c r="I40" s="14"/>
    </row>
    <row r="41" spans="1:9" s="15" customFormat="1" ht="11.5" customHeight="1" x14ac:dyDescent="0.35">
      <c r="A41" s="11"/>
      <c r="B41" s="11"/>
      <c r="C41" s="12" t="s">
        <v>62</v>
      </c>
      <c r="D41" s="13">
        <f t="shared" si="6"/>
        <v>2675</v>
      </c>
      <c r="E41" s="13">
        <f t="shared" si="6"/>
        <v>2675</v>
      </c>
      <c r="F41" s="14">
        <v>2675</v>
      </c>
      <c r="G41" s="14">
        <v>2675</v>
      </c>
      <c r="H41" s="14"/>
      <c r="I41" s="14"/>
    </row>
    <row r="42" spans="1:9" s="15" customFormat="1" ht="11.5" customHeight="1" x14ac:dyDescent="0.35">
      <c r="A42" s="11"/>
      <c r="B42" s="11"/>
      <c r="C42" s="12" t="s">
        <v>63</v>
      </c>
      <c r="D42" s="13">
        <f t="shared" si="6"/>
        <v>1043</v>
      </c>
      <c r="E42" s="13">
        <f t="shared" si="6"/>
        <v>1035</v>
      </c>
      <c r="F42" s="14">
        <v>1043</v>
      </c>
      <c r="G42" s="14">
        <f>ROUND((G36+G19)*1.19*0.16,0)</f>
        <v>1035</v>
      </c>
      <c r="H42" s="14"/>
      <c r="I42" s="14"/>
    </row>
    <row r="43" spans="1:9" s="3" customFormat="1" ht="12.75" customHeight="1" x14ac:dyDescent="0.35">
      <c r="A43" s="20" t="s">
        <v>64</v>
      </c>
      <c r="B43" s="20" t="s">
        <v>65</v>
      </c>
      <c r="C43" s="21" t="s">
        <v>287</v>
      </c>
      <c r="D43" s="22">
        <f t="shared" ref="D43:I43" si="7">D39+D40+D41+D42</f>
        <v>41877</v>
      </c>
      <c r="E43" s="22">
        <f t="shared" si="7"/>
        <v>45955</v>
      </c>
      <c r="F43" s="22">
        <f t="shared" si="7"/>
        <v>41877</v>
      </c>
      <c r="G43" s="22">
        <f t="shared" si="7"/>
        <v>45955</v>
      </c>
      <c r="H43" s="22">
        <f t="shared" si="7"/>
        <v>0</v>
      </c>
      <c r="I43" s="22">
        <f t="shared" si="7"/>
        <v>0</v>
      </c>
    </row>
    <row r="44" spans="1:9" s="3" customFormat="1" ht="14.15" customHeight="1" x14ac:dyDescent="0.35">
      <c r="A44" s="1093" t="s">
        <v>66</v>
      </c>
      <c r="B44" s="1094"/>
      <c r="C44" s="1095"/>
      <c r="D44" s="29">
        <f t="shared" ref="D44:I44" si="8">D38+D43</f>
        <v>187090</v>
      </c>
      <c r="E44" s="29">
        <f t="shared" si="8"/>
        <v>206458</v>
      </c>
      <c r="F44" s="29">
        <f t="shared" si="8"/>
        <v>187090</v>
      </c>
      <c r="G44" s="29">
        <f t="shared" si="8"/>
        <v>206458</v>
      </c>
      <c r="H44" s="29">
        <f t="shared" si="8"/>
        <v>0</v>
      </c>
      <c r="I44" s="29">
        <f t="shared" si="8"/>
        <v>0</v>
      </c>
    </row>
    <row r="45" spans="1:9" s="3" customFormat="1" ht="14.15" customHeight="1" x14ac:dyDescent="0.25">
      <c r="A45" s="27"/>
      <c r="B45" s="27"/>
      <c r="C45" s="27"/>
      <c r="D45" s="27"/>
      <c r="E45" s="27"/>
      <c r="F45" s="27"/>
      <c r="G45" s="27"/>
      <c r="H45" s="27"/>
      <c r="I45" s="27"/>
    </row>
    <row r="46" spans="1:9" s="3" customFormat="1" ht="14.15" customHeight="1" x14ac:dyDescent="0.25">
      <c r="A46" s="27"/>
      <c r="B46" s="27"/>
      <c r="C46" s="27"/>
      <c r="D46" s="27"/>
      <c r="E46" s="27"/>
      <c r="F46" s="27"/>
      <c r="G46" s="27"/>
      <c r="H46" s="27"/>
      <c r="I46" s="27"/>
    </row>
    <row r="47" spans="1:9" s="3" customFormat="1" ht="14.15" customHeight="1" x14ac:dyDescent="0.25">
      <c r="A47" s="27"/>
      <c r="B47" s="27"/>
      <c r="C47" s="27"/>
      <c r="D47" s="27"/>
      <c r="E47" s="27"/>
      <c r="F47" s="27"/>
      <c r="G47" s="27"/>
      <c r="H47" s="27"/>
      <c r="I47" s="27"/>
    </row>
    <row r="48" spans="1:9" s="1" customFormat="1" ht="12.75" customHeight="1" x14ac:dyDescent="0.35">
      <c r="A48" s="1101" t="s">
        <v>405</v>
      </c>
      <c r="B48" s="1101"/>
      <c r="C48" s="1101"/>
      <c r="D48" s="1101"/>
      <c r="E48" s="1101"/>
      <c r="F48" s="1101"/>
      <c r="G48" s="1101"/>
      <c r="H48" s="1101"/>
      <c r="I48" s="1101"/>
    </row>
    <row r="49" spans="1:9" s="1" customFormat="1" ht="14.15" customHeight="1" x14ac:dyDescent="0.35">
      <c r="A49" s="1101" t="s">
        <v>0</v>
      </c>
      <c r="B49" s="1102" t="s">
        <v>1</v>
      </c>
      <c r="C49" s="1101" t="s">
        <v>2</v>
      </c>
      <c r="D49" s="1103" t="s">
        <v>260</v>
      </c>
      <c r="E49" s="1096" t="s">
        <v>259</v>
      </c>
      <c r="F49" s="1098" t="s">
        <v>261</v>
      </c>
      <c r="G49" s="1099"/>
      <c r="H49" s="1098" t="s">
        <v>262</v>
      </c>
      <c r="I49" s="1099"/>
    </row>
    <row r="50" spans="1:9" s="3" customFormat="1" ht="33" customHeight="1" x14ac:dyDescent="0.35">
      <c r="A50" s="1101"/>
      <c r="B50" s="1102"/>
      <c r="C50" s="1101"/>
      <c r="D50" s="1103"/>
      <c r="E50" s="1097"/>
      <c r="F50" s="2" t="s">
        <v>260</v>
      </c>
      <c r="G50" s="2" t="s">
        <v>259</v>
      </c>
      <c r="H50" s="2" t="s">
        <v>260</v>
      </c>
      <c r="I50" s="2" t="s">
        <v>259</v>
      </c>
    </row>
    <row r="51" spans="1:9" ht="5.65" customHeight="1" x14ac:dyDescent="0.35"/>
    <row r="52" spans="1:9" ht="14.15" customHeight="1" x14ac:dyDescent="0.35">
      <c r="A52" s="1100" t="s">
        <v>288</v>
      </c>
      <c r="B52" s="1100"/>
      <c r="C52" s="1100"/>
      <c r="D52" s="1100"/>
      <c r="E52" s="1100"/>
      <c r="F52" s="1100"/>
      <c r="G52" s="1100"/>
      <c r="H52" s="1100"/>
      <c r="I52" s="1100"/>
    </row>
    <row r="53" spans="1:9" s="3" customFormat="1" ht="14.15" customHeight="1" x14ac:dyDescent="0.35">
      <c r="A53" s="7" t="s">
        <v>67</v>
      </c>
      <c r="B53" s="7" t="s">
        <v>68</v>
      </c>
      <c r="C53" s="8" t="s">
        <v>69</v>
      </c>
      <c r="D53" s="9">
        <f>F53+H53</f>
        <v>260</v>
      </c>
      <c r="E53" s="9">
        <f>G53+I53</f>
        <v>320</v>
      </c>
      <c r="F53" s="10">
        <f>SUM(F54:F59)</f>
        <v>260</v>
      </c>
      <c r="G53" s="10">
        <f>SUM(G54:G59)</f>
        <v>320</v>
      </c>
      <c r="H53" s="10">
        <f>SUM(H54:H59)</f>
        <v>0</v>
      </c>
      <c r="I53" s="10">
        <f>SUM(I54:I59)</f>
        <v>0</v>
      </c>
    </row>
    <row r="54" spans="1:9" ht="14.15" customHeight="1" x14ac:dyDescent="0.35">
      <c r="A54" s="24"/>
      <c r="B54" s="24"/>
      <c r="C54" s="25" t="s">
        <v>70</v>
      </c>
      <c r="D54" s="26"/>
      <c r="E54" s="26"/>
      <c r="F54" s="26">
        <v>40</v>
      </c>
      <c r="G54" s="26"/>
      <c r="H54" s="26"/>
      <c r="I54" s="26"/>
    </row>
    <row r="55" spans="1:9" ht="14.15" customHeight="1" x14ac:dyDescent="0.35">
      <c r="A55" s="24"/>
      <c r="B55" s="24"/>
      <c r="C55" s="25" t="s">
        <v>71</v>
      </c>
      <c r="D55" s="26"/>
      <c r="E55" s="26"/>
      <c r="F55" s="26"/>
      <c r="G55" s="26"/>
      <c r="H55" s="26"/>
      <c r="I55" s="26"/>
    </row>
    <row r="56" spans="1:9" ht="14.15" customHeight="1" x14ac:dyDescent="0.35">
      <c r="A56" s="24"/>
      <c r="B56" s="24"/>
      <c r="C56" s="25" t="s">
        <v>72</v>
      </c>
      <c r="D56" s="26"/>
      <c r="E56" s="26"/>
      <c r="F56" s="26">
        <v>150</v>
      </c>
      <c r="G56" s="26">
        <v>180</v>
      </c>
      <c r="H56" s="26"/>
      <c r="I56" s="26"/>
    </row>
    <row r="57" spans="1:9" ht="14.15" customHeight="1" x14ac:dyDescent="0.35">
      <c r="A57" s="24"/>
      <c r="B57" s="24"/>
      <c r="C57" s="25" t="s">
        <v>73</v>
      </c>
      <c r="D57" s="26"/>
      <c r="E57" s="26"/>
      <c r="F57" s="26">
        <v>40</v>
      </c>
      <c r="G57" s="26">
        <v>40</v>
      </c>
      <c r="H57" s="26"/>
      <c r="I57" s="26"/>
    </row>
    <row r="58" spans="1:9" ht="14.15" customHeight="1" x14ac:dyDescent="0.35">
      <c r="A58" s="24"/>
      <c r="B58" s="24"/>
      <c r="C58" s="25" t="s">
        <v>74</v>
      </c>
      <c r="D58" s="26"/>
      <c r="E58" s="26"/>
      <c r="F58" s="26">
        <v>0</v>
      </c>
      <c r="G58" s="26"/>
      <c r="H58" s="26"/>
      <c r="I58" s="26"/>
    </row>
    <row r="59" spans="1:9" ht="14.15" customHeight="1" x14ac:dyDescent="0.35">
      <c r="A59" s="24"/>
      <c r="B59" s="24"/>
      <c r="C59" s="25" t="s">
        <v>75</v>
      </c>
      <c r="D59" s="26"/>
      <c r="E59" s="26"/>
      <c r="F59" s="26">
        <v>30</v>
      </c>
      <c r="G59" s="26">
        <v>100</v>
      </c>
      <c r="H59" s="26"/>
      <c r="I59" s="26"/>
    </row>
    <row r="60" spans="1:9" s="3" customFormat="1" ht="14.15" customHeight="1" x14ac:dyDescent="0.35">
      <c r="A60" s="7" t="s">
        <v>76</v>
      </c>
      <c r="B60" s="7" t="s">
        <v>77</v>
      </c>
      <c r="C60" s="8" t="s">
        <v>78</v>
      </c>
      <c r="D60" s="9">
        <f>F60+H60</f>
        <v>4285</v>
      </c>
      <c r="E60" s="9">
        <f>G60+I60</f>
        <v>3335</v>
      </c>
      <c r="F60" s="10">
        <f>SUM(F61:F66)</f>
        <v>4285</v>
      </c>
      <c r="G60" s="10">
        <f>SUM(G61:G66)</f>
        <v>3335</v>
      </c>
      <c r="H60" s="10">
        <f>SUM(H61:H66)</f>
        <v>0</v>
      </c>
      <c r="I60" s="10">
        <f>SUM(I61:I66)</f>
        <v>0</v>
      </c>
    </row>
    <row r="61" spans="1:9" ht="14.15" customHeight="1" x14ac:dyDescent="0.35">
      <c r="A61" s="24"/>
      <c r="B61" s="24"/>
      <c r="C61" s="25" t="s">
        <v>79</v>
      </c>
      <c r="D61" s="26"/>
      <c r="E61" s="26"/>
      <c r="F61" s="26"/>
      <c r="G61" s="26"/>
      <c r="H61" s="26"/>
      <c r="I61" s="26"/>
    </row>
    <row r="62" spans="1:9" ht="14.15" customHeight="1" x14ac:dyDescent="0.35">
      <c r="A62" s="24"/>
      <c r="B62" s="24"/>
      <c r="C62" s="25" t="s">
        <v>80</v>
      </c>
      <c r="D62" s="26"/>
      <c r="E62" s="26"/>
      <c r="F62" s="26">
        <v>250</v>
      </c>
      <c r="G62" s="26">
        <v>200</v>
      </c>
      <c r="H62" s="26"/>
      <c r="I62" s="26"/>
    </row>
    <row r="63" spans="1:9" ht="14.15" customHeight="1" x14ac:dyDescent="0.35">
      <c r="A63" s="24"/>
      <c r="B63" s="24"/>
      <c r="C63" s="25" t="s">
        <v>81</v>
      </c>
      <c r="D63" s="26"/>
      <c r="E63" s="26"/>
      <c r="F63" s="26"/>
      <c r="G63" s="26"/>
      <c r="H63" s="26"/>
      <c r="I63" s="26"/>
    </row>
    <row r="64" spans="1:9" ht="14.15" customHeight="1" x14ac:dyDescent="0.35">
      <c r="A64" s="24"/>
      <c r="B64" s="24"/>
      <c r="C64" s="25" t="s">
        <v>82</v>
      </c>
      <c r="D64" s="26"/>
      <c r="E64" s="26"/>
      <c r="F64" s="26">
        <v>35</v>
      </c>
      <c r="G64" s="26">
        <v>35</v>
      </c>
      <c r="H64" s="26"/>
      <c r="I64" s="26"/>
    </row>
    <row r="65" spans="1:9" ht="14.15" customHeight="1" x14ac:dyDescent="0.35">
      <c r="A65" s="24"/>
      <c r="B65" s="24"/>
      <c r="C65" s="25" t="s">
        <v>83</v>
      </c>
      <c r="D65" s="26"/>
      <c r="E65" s="26"/>
      <c r="F65" s="26">
        <v>100</v>
      </c>
      <c r="G65" s="26">
        <v>100</v>
      </c>
      <c r="H65" s="26"/>
      <c r="I65" s="26"/>
    </row>
    <row r="66" spans="1:9" ht="14.15" customHeight="1" x14ac:dyDescent="0.35">
      <c r="A66" s="24"/>
      <c r="B66" s="24"/>
      <c r="C66" s="25" t="s">
        <v>84</v>
      </c>
      <c r="D66" s="26"/>
      <c r="E66" s="26"/>
      <c r="F66" s="26">
        <v>3900</v>
      </c>
      <c r="G66" s="26">
        <v>3000</v>
      </c>
      <c r="H66" s="26"/>
      <c r="I66" s="26"/>
    </row>
    <row r="67" spans="1:9" s="3" customFormat="1" ht="14.15" customHeight="1" x14ac:dyDescent="0.35">
      <c r="A67" s="7" t="s">
        <v>85</v>
      </c>
      <c r="B67" s="7" t="s">
        <v>86</v>
      </c>
      <c r="C67" s="8" t="s">
        <v>87</v>
      </c>
      <c r="D67" s="9">
        <f>F67+H67</f>
        <v>0</v>
      </c>
      <c r="E67" s="9">
        <f>G67+I67</f>
        <v>0</v>
      </c>
      <c r="F67" s="10">
        <f>SUM(F68:F69)</f>
        <v>0</v>
      </c>
      <c r="G67" s="10">
        <f>SUM(G68:G69)</f>
        <v>0</v>
      </c>
      <c r="H67" s="10">
        <f>SUM(H68:H69)</f>
        <v>0</v>
      </c>
      <c r="I67" s="10">
        <f>SUM(I68:I69)</f>
        <v>0</v>
      </c>
    </row>
    <row r="68" spans="1:9" ht="14.15" customHeight="1" x14ac:dyDescent="0.35">
      <c r="A68" s="24"/>
      <c r="B68" s="24"/>
      <c r="C68" s="25" t="s">
        <v>88</v>
      </c>
      <c r="D68" s="26"/>
      <c r="E68" s="26"/>
      <c r="F68" s="26"/>
      <c r="G68" s="26"/>
      <c r="H68" s="26"/>
      <c r="I68" s="26"/>
    </row>
    <row r="69" spans="1:9" ht="14.15" customHeight="1" x14ac:dyDescent="0.35">
      <c r="A69" s="24"/>
      <c r="B69" s="24"/>
      <c r="C69" s="25" t="s">
        <v>89</v>
      </c>
      <c r="D69" s="26"/>
      <c r="E69" s="26"/>
      <c r="F69" s="26"/>
      <c r="G69" s="26"/>
      <c r="H69" s="26"/>
      <c r="I69" s="26"/>
    </row>
    <row r="70" spans="1:9" s="3" customFormat="1" ht="14.15" customHeight="1" x14ac:dyDescent="0.35">
      <c r="A70" s="16" t="s">
        <v>90</v>
      </c>
      <c r="B70" s="16" t="s">
        <v>91</v>
      </c>
      <c r="C70" s="17" t="s">
        <v>92</v>
      </c>
      <c r="D70" s="19">
        <f t="shared" ref="D70:I70" si="9">D53+D60</f>
        <v>4545</v>
      </c>
      <c r="E70" s="19">
        <f t="shared" si="9"/>
        <v>3655</v>
      </c>
      <c r="F70" s="19">
        <f t="shared" si="9"/>
        <v>4545</v>
      </c>
      <c r="G70" s="19">
        <f t="shared" si="9"/>
        <v>3655</v>
      </c>
      <c r="H70" s="19">
        <f t="shared" si="9"/>
        <v>0</v>
      </c>
      <c r="I70" s="19">
        <f t="shared" si="9"/>
        <v>0</v>
      </c>
    </row>
    <row r="71" spans="1:9" s="3" customFormat="1" ht="14.15" customHeight="1" x14ac:dyDescent="0.35">
      <c r="A71" s="7" t="s">
        <v>93</v>
      </c>
      <c r="B71" s="7" t="s">
        <v>94</v>
      </c>
      <c r="C71" s="8" t="s">
        <v>95</v>
      </c>
      <c r="D71" s="9">
        <f>F71+H71</f>
        <v>300</v>
      </c>
      <c r="E71" s="9">
        <f>G71+I71</f>
        <v>400</v>
      </c>
      <c r="F71" s="10">
        <f>SUM(F72:F77)</f>
        <v>300</v>
      </c>
      <c r="G71" s="10">
        <f>SUM(G72:G77)</f>
        <v>400</v>
      </c>
      <c r="H71" s="10">
        <f>SUM(H72:H77)</f>
        <v>0</v>
      </c>
      <c r="I71" s="10">
        <f>SUM(I72:I77)</f>
        <v>0</v>
      </c>
    </row>
    <row r="72" spans="1:9" ht="14.15" customHeight="1" x14ac:dyDescent="0.35">
      <c r="A72" s="24"/>
      <c r="B72" s="24"/>
      <c r="C72" s="25" t="s">
        <v>96</v>
      </c>
      <c r="D72" s="26"/>
      <c r="E72" s="26"/>
      <c r="F72" s="26"/>
      <c r="G72" s="26"/>
      <c r="H72" s="26"/>
      <c r="I72" s="26"/>
    </row>
    <row r="73" spans="1:9" ht="14.15" customHeight="1" x14ac:dyDescent="0.35">
      <c r="A73" s="24"/>
      <c r="B73" s="24"/>
      <c r="C73" s="25" t="s">
        <v>97</v>
      </c>
      <c r="D73" s="26"/>
      <c r="E73" s="26"/>
      <c r="F73" s="26"/>
      <c r="G73" s="26"/>
      <c r="H73" s="26"/>
      <c r="I73" s="26"/>
    </row>
    <row r="74" spans="1:9" ht="14.15" customHeight="1" x14ac:dyDescent="0.35">
      <c r="A74" s="24"/>
      <c r="B74" s="24"/>
      <c r="C74" s="25" t="s">
        <v>98</v>
      </c>
      <c r="D74" s="26"/>
      <c r="E74" s="26"/>
      <c r="F74" s="26"/>
      <c r="G74" s="26"/>
      <c r="H74" s="26"/>
      <c r="I74" s="26"/>
    </row>
    <row r="75" spans="1:9" ht="14.15" customHeight="1" x14ac:dyDescent="0.35">
      <c r="A75" s="24"/>
      <c r="B75" s="24"/>
      <c r="C75" s="25" t="s">
        <v>99</v>
      </c>
      <c r="D75" s="26"/>
      <c r="E75" s="26"/>
      <c r="F75" s="26">
        <v>300</v>
      </c>
      <c r="G75" s="26">
        <v>400</v>
      </c>
      <c r="H75" s="26"/>
      <c r="I75" s="26"/>
    </row>
    <row r="76" spans="1:9" ht="14.15" customHeight="1" x14ac:dyDescent="0.35">
      <c r="A76" s="24"/>
      <c r="B76" s="24"/>
      <c r="C76" s="25" t="s">
        <v>100</v>
      </c>
      <c r="D76" s="26"/>
      <c r="E76" s="26"/>
      <c r="F76" s="26"/>
      <c r="G76" s="26"/>
      <c r="H76" s="26"/>
      <c r="I76" s="26"/>
    </row>
    <row r="77" spans="1:9" ht="14.15" customHeight="1" x14ac:dyDescent="0.35">
      <c r="A77" s="24"/>
      <c r="B77" s="24"/>
      <c r="C77" s="25" t="s">
        <v>101</v>
      </c>
      <c r="D77" s="26"/>
      <c r="E77" s="26"/>
      <c r="F77" s="26"/>
      <c r="G77" s="26"/>
      <c r="H77" s="26"/>
      <c r="I77" s="26"/>
    </row>
    <row r="78" spans="1:9" s="3" customFormat="1" ht="14.15" customHeight="1" x14ac:dyDescent="0.35">
      <c r="A78" s="7" t="s">
        <v>102</v>
      </c>
      <c r="B78" s="7" t="s">
        <v>103</v>
      </c>
      <c r="C78" s="8" t="s">
        <v>104</v>
      </c>
      <c r="D78" s="9">
        <f>F78+H78</f>
        <v>200</v>
      </c>
      <c r="E78" s="9">
        <f>G78+I78</f>
        <v>250</v>
      </c>
      <c r="F78" s="10">
        <f>SUM(F79:F80)</f>
        <v>200</v>
      </c>
      <c r="G78" s="10">
        <f>SUM(G79:G80)</f>
        <v>250</v>
      </c>
      <c r="H78" s="10">
        <f>SUM(H79:H80)</f>
        <v>0</v>
      </c>
      <c r="I78" s="10">
        <f>SUM(I79:I80)</f>
        <v>0</v>
      </c>
    </row>
    <row r="79" spans="1:9" ht="14.15" customHeight="1" x14ac:dyDescent="0.35">
      <c r="A79" s="24"/>
      <c r="B79" s="24"/>
      <c r="C79" s="25" t="s">
        <v>105</v>
      </c>
      <c r="D79" s="26"/>
      <c r="E79" s="26"/>
      <c r="F79" s="26">
        <v>200</v>
      </c>
      <c r="G79" s="26">
        <v>250</v>
      </c>
      <c r="H79" s="26"/>
      <c r="I79" s="26"/>
    </row>
    <row r="80" spans="1:9" ht="14.15" customHeight="1" x14ac:dyDescent="0.35">
      <c r="A80" s="24"/>
      <c r="B80" s="24"/>
      <c r="C80" s="25" t="s">
        <v>106</v>
      </c>
      <c r="D80" s="26"/>
      <c r="E80" s="26"/>
      <c r="F80" s="26"/>
      <c r="G80" s="26"/>
      <c r="H80" s="26"/>
      <c r="I80" s="26"/>
    </row>
    <row r="81" spans="1:9" s="3" customFormat="1" ht="14.15" customHeight="1" x14ac:dyDescent="0.35">
      <c r="A81" s="16" t="s">
        <v>107</v>
      </c>
      <c r="B81" s="16" t="s">
        <v>108</v>
      </c>
      <c r="C81" s="17" t="s">
        <v>109</v>
      </c>
      <c r="D81" s="19">
        <f t="shared" ref="D81:I81" si="10">D71+D78</f>
        <v>500</v>
      </c>
      <c r="E81" s="19">
        <f t="shared" si="10"/>
        <v>650</v>
      </c>
      <c r="F81" s="19">
        <f t="shared" si="10"/>
        <v>500</v>
      </c>
      <c r="G81" s="19">
        <f t="shared" si="10"/>
        <v>650</v>
      </c>
      <c r="H81" s="19">
        <f t="shared" si="10"/>
        <v>0</v>
      </c>
      <c r="I81" s="19">
        <f t="shared" si="10"/>
        <v>0</v>
      </c>
    </row>
    <row r="82" spans="1:9" s="3" customFormat="1" ht="14.15" customHeight="1" x14ac:dyDescent="0.35">
      <c r="A82" s="7" t="s">
        <v>110</v>
      </c>
      <c r="B82" s="7" t="s">
        <v>111</v>
      </c>
      <c r="C82" s="8" t="s">
        <v>112</v>
      </c>
      <c r="D82" s="9">
        <f>F82+H82</f>
        <v>9700</v>
      </c>
      <c r="E82" s="9">
        <f>G82+I82</f>
        <v>9150</v>
      </c>
      <c r="F82" s="10">
        <f>SUM(F83:F85)</f>
        <v>9700</v>
      </c>
      <c r="G82" s="10">
        <f>SUM(G83:G85)</f>
        <v>9150</v>
      </c>
      <c r="H82" s="10">
        <f>SUM(H83:H85)</f>
        <v>0</v>
      </c>
      <c r="I82" s="10">
        <f>SUM(I83:I85)</f>
        <v>0</v>
      </c>
    </row>
    <row r="83" spans="1:9" ht="14.15" customHeight="1" x14ac:dyDescent="0.35">
      <c r="A83" s="24"/>
      <c r="B83" s="24"/>
      <c r="C83" s="25" t="s">
        <v>113</v>
      </c>
      <c r="D83" s="26"/>
      <c r="E83" s="26"/>
      <c r="F83" s="26">
        <v>6400</v>
      </c>
      <c r="G83" s="26">
        <v>6000</v>
      </c>
      <c r="H83" s="26"/>
      <c r="I83" s="26"/>
    </row>
    <row r="84" spans="1:9" ht="14.15" customHeight="1" x14ac:dyDescent="0.35">
      <c r="A84" s="24"/>
      <c r="B84" s="24"/>
      <c r="C84" s="25" t="s">
        <v>114</v>
      </c>
      <c r="D84" s="26"/>
      <c r="E84" s="26"/>
      <c r="F84" s="26">
        <v>2200</v>
      </c>
      <c r="G84" s="26">
        <v>2200</v>
      </c>
      <c r="H84" s="26"/>
      <c r="I84" s="26"/>
    </row>
    <row r="85" spans="1:9" ht="14.15" customHeight="1" x14ac:dyDescent="0.35">
      <c r="A85" s="24"/>
      <c r="B85" s="24"/>
      <c r="C85" s="25" t="s">
        <v>115</v>
      </c>
      <c r="D85" s="26"/>
      <c r="E85" s="26"/>
      <c r="F85" s="26">
        <v>1100</v>
      </c>
      <c r="G85" s="26">
        <v>950</v>
      </c>
      <c r="H85" s="26"/>
      <c r="I85" s="26"/>
    </row>
    <row r="86" spans="1:9" s="3" customFormat="1" ht="14.15" customHeight="1" x14ac:dyDescent="0.35">
      <c r="A86" s="7" t="s">
        <v>116</v>
      </c>
      <c r="B86" s="7" t="s">
        <v>117</v>
      </c>
      <c r="C86" s="8" t="s">
        <v>118</v>
      </c>
      <c r="D86" s="9">
        <f>F86+H86</f>
        <v>18663</v>
      </c>
      <c r="E86" s="9">
        <f>G86+I86</f>
        <v>18660</v>
      </c>
      <c r="F86" s="10">
        <v>0</v>
      </c>
      <c r="G86" s="10">
        <f>G87</f>
        <v>0</v>
      </c>
      <c r="H86" s="10">
        <v>18663</v>
      </c>
      <c r="I86" s="10">
        <f>I87</f>
        <v>18660</v>
      </c>
    </row>
    <row r="87" spans="1:9" s="3" customFormat="1" ht="14.15" customHeight="1" x14ac:dyDescent="0.35">
      <c r="A87" s="24"/>
      <c r="B87" s="24"/>
      <c r="C87" s="25" t="s">
        <v>289</v>
      </c>
      <c r="D87" s="26"/>
      <c r="E87" s="26"/>
      <c r="F87" s="26"/>
      <c r="G87" s="26"/>
      <c r="H87" s="26"/>
      <c r="I87" s="26">
        <v>18660</v>
      </c>
    </row>
    <row r="88" spans="1:9" s="3" customFormat="1" ht="14.15" customHeight="1" x14ac:dyDescent="0.35">
      <c r="A88" s="7" t="s">
        <v>119</v>
      </c>
      <c r="B88" s="7" t="s">
        <v>120</v>
      </c>
      <c r="C88" s="8" t="s">
        <v>121</v>
      </c>
      <c r="D88" s="9">
        <f>F88+H88</f>
        <v>0</v>
      </c>
      <c r="E88" s="9">
        <f>G88+I88</f>
        <v>0</v>
      </c>
      <c r="F88" s="10">
        <f>SUM(F89:F90)</f>
        <v>0</v>
      </c>
      <c r="G88" s="10">
        <f>SUM(G89:G90)</f>
        <v>0</v>
      </c>
      <c r="H88" s="10">
        <f>SUM(H89:H90)</f>
        <v>0</v>
      </c>
      <c r="I88" s="10">
        <f>SUM(I89:I90)</f>
        <v>0</v>
      </c>
    </row>
    <row r="89" spans="1:9" ht="14.15" customHeight="1" x14ac:dyDescent="0.35">
      <c r="A89" s="24"/>
      <c r="B89" s="24"/>
      <c r="C89" s="25" t="s">
        <v>122</v>
      </c>
      <c r="D89" s="26"/>
      <c r="E89" s="26"/>
      <c r="F89" s="26"/>
      <c r="G89" s="26"/>
      <c r="H89" s="26"/>
      <c r="I89" s="26"/>
    </row>
    <row r="90" spans="1:9" ht="14.15" customHeight="1" x14ac:dyDescent="0.35">
      <c r="A90" s="24"/>
      <c r="B90" s="24"/>
      <c r="C90" s="25" t="s">
        <v>123</v>
      </c>
      <c r="D90" s="26"/>
      <c r="E90" s="26"/>
      <c r="F90" s="26"/>
      <c r="G90" s="26"/>
      <c r="H90" s="26"/>
      <c r="I90" s="26"/>
    </row>
    <row r="91" spans="1:9" s="3" customFormat="1" ht="14.15" customHeight="1" x14ac:dyDescent="0.35">
      <c r="A91" s="7" t="s">
        <v>124</v>
      </c>
      <c r="B91" s="7" t="s">
        <v>125</v>
      </c>
      <c r="C91" s="8" t="s">
        <v>126</v>
      </c>
      <c r="D91" s="9">
        <f>F91+H91</f>
        <v>4400</v>
      </c>
      <c r="E91" s="9">
        <f>G91+I91</f>
        <v>3200</v>
      </c>
      <c r="F91" s="10">
        <v>4400</v>
      </c>
      <c r="G91" s="10">
        <v>3200</v>
      </c>
      <c r="H91" s="10">
        <v>0</v>
      </c>
      <c r="I91" s="10">
        <v>0</v>
      </c>
    </row>
    <row r="92" spans="1:9" s="3" customFormat="1" ht="14.15" customHeight="1" x14ac:dyDescent="0.35">
      <c r="A92" s="7" t="s">
        <v>127</v>
      </c>
      <c r="B92" s="7" t="s">
        <v>128</v>
      </c>
      <c r="C92" s="8" t="s">
        <v>129</v>
      </c>
      <c r="D92" s="9">
        <f>F92+H92</f>
        <v>0</v>
      </c>
      <c r="E92" s="9">
        <f>G92+I92</f>
        <v>0</v>
      </c>
      <c r="F92" s="10">
        <v>0</v>
      </c>
      <c r="G92" s="10">
        <f>SUM(G93:G94)</f>
        <v>0</v>
      </c>
      <c r="H92" s="10">
        <v>0</v>
      </c>
      <c r="I92" s="10">
        <f>SUM(I93:I94)</f>
        <v>0</v>
      </c>
    </row>
    <row r="93" spans="1:9" ht="14.15" customHeight="1" x14ac:dyDescent="0.35">
      <c r="A93" s="24"/>
      <c r="B93" s="24"/>
      <c r="C93" s="25" t="s">
        <v>130</v>
      </c>
      <c r="D93" s="26"/>
      <c r="E93" s="26"/>
      <c r="F93" s="26"/>
      <c r="G93" s="26"/>
      <c r="H93" s="26"/>
      <c r="I93" s="26"/>
    </row>
    <row r="94" spans="1:9" ht="14.15" customHeight="1" x14ac:dyDescent="0.35">
      <c r="A94" s="24"/>
      <c r="B94" s="24"/>
      <c r="C94" s="25" t="s">
        <v>131</v>
      </c>
      <c r="D94" s="26"/>
      <c r="E94" s="26"/>
      <c r="F94" s="26"/>
      <c r="G94" s="26"/>
      <c r="H94" s="26"/>
      <c r="I94" s="26"/>
    </row>
    <row r="95" spans="1:9" s="3" customFormat="1" ht="14.15" customHeight="1" x14ac:dyDescent="0.35">
      <c r="A95" s="7" t="s">
        <v>132</v>
      </c>
      <c r="B95" s="7" t="s">
        <v>133</v>
      </c>
      <c r="C95" s="8" t="s">
        <v>134</v>
      </c>
      <c r="D95" s="9">
        <f>F95+H95</f>
        <v>420</v>
      </c>
      <c r="E95" s="9">
        <f>G95+I95</f>
        <v>170</v>
      </c>
      <c r="F95" s="10">
        <f>SUM(F96:F98)</f>
        <v>420</v>
      </c>
      <c r="G95" s="10">
        <f>SUM(G96:G98)</f>
        <v>170</v>
      </c>
      <c r="H95" s="10">
        <f>SUM(H96:H98)</f>
        <v>0</v>
      </c>
      <c r="I95" s="10">
        <f>SUM(I96:I98)</f>
        <v>0</v>
      </c>
    </row>
    <row r="96" spans="1:9" ht="14.15" customHeight="1" x14ac:dyDescent="0.35">
      <c r="A96" s="24"/>
      <c r="B96" s="24"/>
      <c r="C96" s="25" t="s">
        <v>135</v>
      </c>
      <c r="D96" s="26"/>
      <c r="E96" s="26"/>
      <c r="F96" s="26">
        <v>0</v>
      </c>
      <c r="G96" s="26">
        <v>0</v>
      </c>
      <c r="H96" s="26">
        <v>0</v>
      </c>
      <c r="I96" s="26">
        <v>0</v>
      </c>
    </row>
    <row r="97" spans="1:9" ht="14.15" customHeight="1" x14ac:dyDescent="0.35">
      <c r="A97" s="24"/>
      <c r="B97" s="24"/>
      <c r="C97" s="25" t="s">
        <v>136</v>
      </c>
      <c r="D97" s="26"/>
      <c r="E97" s="26"/>
      <c r="F97" s="26">
        <v>120</v>
      </c>
      <c r="G97" s="26">
        <v>120</v>
      </c>
      <c r="H97" s="26">
        <v>0</v>
      </c>
      <c r="I97" s="26">
        <v>0</v>
      </c>
    </row>
    <row r="98" spans="1:9" ht="14.15" customHeight="1" x14ac:dyDescent="0.35">
      <c r="A98" s="24"/>
      <c r="B98" s="24"/>
      <c r="C98" s="25" t="s">
        <v>137</v>
      </c>
      <c r="D98" s="26"/>
      <c r="E98" s="26"/>
      <c r="F98" s="26">
        <v>300</v>
      </c>
      <c r="G98" s="26">
        <v>50</v>
      </c>
      <c r="H98" s="26">
        <v>0</v>
      </c>
      <c r="I98" s="26">
        <v>0</v>
      </c>
    </row>
    <row r="99" spans="1:9" s="3" customFormat="1" ht="14.15" customHeight="1" x14ac:dyDescent="0.35">
      <c r="A99" s="7" t="s">
        <v>138</v>
      </c>
      <c r="B99" s="7" t="s">
        <v>139</v>
      </c>
      <c r="C99" s="8" t="s">
        <v>140</v>
      </c>
      <c r="D99" s="9">
        <f>F99+H99</f>
        <v>9780</v>
      </c>
      <c r="E99" s="9">
        <f>G99+I99</f>
        <v>10010</v>
      </c>
      <c r="F99" s="10">
        <f>SUM(F100:F103)</f>
        <v>9780</v>
      </c>
      <c r="G99" s="10">
        <f>SUM(G100:G103)</f>
        <v>10010</v>
      </c>
      <c r="H99" s="10">
        <f>SUM(H100:H103)</f>
        <v>0</v>
      </c>
      <c r="I99" s="10">
        <f>SUM(I100:I103)</f>
        <v>0</v>
      </c>
    </row>
    <row r="100" spans="1:9" ht="14.15" customHeight="1" x14ac:dyDescent="0.35">
      <c r="A100" s="24"/>
      <c r="B100" s="24"/>
      <c r="C100" s="25" t="s">
        <v>141</v>
      </c>
      <c r="D100" s="26"/>
      <c r="E100" s="26"/>
      <c r="F100" s="26">
        <v>0</v>
      </c>
      <c r="G100" s="26"/>
      <c r="H100" s="26"/>
      <c r="I100" s="26"/>
    </row>
    <row r="101" spans="1:9" ht="14.15" customHeight="1" x14ac:dyDescent="0.35">
      <c r="A101" s="24"/>
      <c r="B101" s="24"/>
      <c r="C101" s="25" t="s">
        <v>142</v>
      </c>
      <c r="D101" s="26"/>
      <c r="E101" s="26"/>
      <c r="F101" s="26">
        <v>250</v>
      </c>
      <c r="G101" s="26">
        <v>480</v>
      </c>
      <c r="H101" s="26"/>
      <c r="I101" s="26"/>
    </row>
    <row r="102" spans="1:9" ht="14.15" customHeight="1" x14ac:dyDescent="0.35">
      <c r="A102" s="24"/>
      <c r="B102" s="24"/>
      <c r="C102" s="25" t="s">
        <v>143</v>
      </c>
      <c r="D102" s="26"/>
      <c r="E102" s="26"/>
      <c r="F102" s="26">
        <v>30</v>
      </c>
      <c r="G102" s="26">
        <v>30</v>
      </c>
      <c r="H102" s="26"/>
      <c r="I102" s="26"/>
    </row>
    <row r="103" spans="1:9" ht="14.15" customHeight="1" x14ac:dyDescent="0.35">
      <c r="A103" s="24"/>
      <c r="B103" s="24"/>
      <c r="C103" s="25" t="s">
        <v>144</v>
      </c>
      <c r="D103" s="26"/>
      <c r="E103" s="26"/>
      <c r="F103" s="26">
        <v>9500</v>
      </c>
      <c r="G103" s="26">
        <v>9500</v>
      </c>
      <c r="H103" s="26"/>
      <c r="I103" s="26"/>
    </row>
    <row r="104" spans="1:9" s="3" customFormat="1" ht="14.15" customHeight="1" x14ac:dyDescent="0.35">
      <c r="A104" s="16" t="s">
        <v>145</v>
      </c>
      <c r="B104" s="16" t="s">
        <v>146</v>
      </c>
      <c r="C104" s="17" t="s">
        <v>147</v>
      </c>
      <c r="D104" s="19">
        <f t="shared" ref="D104:I104" si="11">D82+D86+D88+D91+D92+D95+D99</f>
        <v>42963</v>
      </c>
      <c r="E104" s="19">
        <f t="shared" si="11"/>
        <v>41190</v>
      </c>
      <c r="F104" s="19">
        <f t="shared" si="11"/>
        <v>24300</v>
      </c>
      <c r="G104" s="19">
        <f t="shared" si="11"/>
        <v>22530</v>
      </c>
      <c r="H104" s="19">
        <f t="shared" si="11"/>
        <v>18663</v>
      </c>
      <c r="I104" s="19">
        <f t="shared" si="11"/>
        <v>18660</v>
      </c>
    </row>
    <row r="105" spans="1:9" s="3" customFormat="1" ht="14.15" customHeight="1" x14ac:dyDescent="0.35">
      <c r="A105" s="7" t="s">
        <v>148</v>
      </c>
      <c r="B105" s="7" t="s">
        <v>149</v>
      </c>
      <c r="C105" s="8" t="s">
        <v>150</v>
      </c>
      <c r="D105" s="9">
        <f>F105+H105</f>
        <v>100</v>
      </c>
      <c r="E105" s="9">
        <f>G105+I105</f>
        <v>50</v>
      </c>
      <c r="F105" s="10">
        <f>SUM(F106:F107)</f>
        <v>100</v>
      </c>
      <c r="G105" s="10">
        <f>SUM(G106:G107)</f>
        <v>50</v>
      </c>
      <c r="H105" s="10">
        <f>SUM(H106:H107)</f>
        <v>0</v>
      </c>
      <c r="I105" s="10">
        <f>SUM(I106:I107)</f>
        <v>0</v>
      </c>
    </row>
    <row r="106" spans="1:9" ht="14.15" customHeight="1" x14ac:dyDescent="0.35">
      <c r="A106" s="24"/>
      <c r="B106" s="24"/>
      <c r="C106" s="25" t="s">
        <v>151</v>
      </c>
      <c r="D106" s="26"/>
      <c r="E106" s="26"/>
      <c r="F106" s="26">
        <v>100</v>
      </c>
      <c r="G106" s="26">
        <v>50</v>
      </c>
      <c r="H106" s="26"/>
      <c r="I106" s="26"/>
    </row>
    <row r="107" spans="1:9" ht="14.15" customHeight="1" x14ac:dyDescent="0.35">
      <c r="A107" s="24"/>
      <c r="B107" s="24"/>
      <c r="C107" s="25" t="s">
        <v>152</v>
      </c>
      <c r="D107" s="26"/>
      <c r="E107" s="26"/>
      <c r="F107" s="26"/>
      <c r="G107" s="26"/>
      <c r="H107" s="26"/>
      <c r="I107" s="26"/>
    </row>
    <row r="108" spans="1:9" s="3" customFormat="1" ht="14.15" customHeight="1" x14ac:dyDescent="0.35">
      <c r="A108" s="7" t="s">
        <v>153</v>
      </c>
      <c r="B108" s="7" t="s">
        <v>154</v>
      </c>
      <c r="C108" s="8" t="s">
        <v>155</v>
      </c>
      <c r="D108" s="9">
        <f>F108+H108</f>
        <v>0</v>
      </c>
      <c r="E108" s="9">
        <f>G108+I108</f>
        <v>0</v>
      </c>
      <c r="F108" s="10">
        <v>0</v>
      </c>
      <c r="G108" s="10">
        <v>0</v>
      </c>
      <c r="H108" s="10">
        <v>0</v>
      </c>
      <c r="I108" s="10">
        <v>0</v>
      </c>
    </row>
    <row r="109" spans="1:9" s="3" customFormat="1" ht="14.15" customHeight="1" x14ac:dyDescent="0.35">
      <c r="A109" s="16" t="s">
        <v>156</v>
      </c>
      <c r="B109" s="16" t="s">
        <v>157</v>
      </c>
      <c r="C109" s="17" t="s">
        <v>158</v>
      </c>
      <c r="D109" s="19">
        <f t="shared" ref="D109:I109" si="12">D105+D108</f>
        <v>100</v>
      </c>
      <c r="E109" s="19">
        <f t="shared" si="12"/>
        <v>50</v>
      </c>
      <c r="F109" s="19">
        <f t="shared" si="12"/>
        <v>100</v>
      </c>
      <c r="G109" s="19">
        <f t="shared" si="12"/>
        <v>50</v>
      </c>
      <c r="H109" s="19">
        <f t="shared" si="12"/>
        <v>0</v>
      </c>
      <c r="I109" s="19">
        <f t="shared" si="12"/>
        <v>0</v>
      </c>
    </row>
    <row r="110" spans="1:9" s="3" customFormat="1" ht="14.15" customHeight="1" x14ac:dyDescent="0.35">
      <c r="A110" s="7" t="s">
        <v>159</v>
      </c>
      <c r="B110" s="7" t="s">
        <v>160</v>
      </c>
      <c r="C110" s="8" t="s">
        <v>161</v>
      </c>
      <c r="D110" s="9">
        <f>F110+H110</f>
        <v>12962</v>
      </c>
      <c r="E110" s="9">
        <f>G110+I110</f>
        <v>12283</v>
      </c>
      <c r="F110" s="10">
        <f>SUM(F111:F112)</f>
        <v>7923</v>
      </c>
      <c r="G110" s="10">
        <f>SUM(G111:G112)</f>
        <v>7245</v>
      </c>
      <c r="H110" s="10">
        <f>SUM(H111:H112)</f>
        <v>5039</v>
      </c>
      <c r="I110" s="10">
        <f>SUM(I111:I112)</f>
        <v>5038</v>
      </c>
    </row>
    <row r="111" spans="1:9" ht="14.15" customHeight="1" x14ac:dyDescent="0.35">
      <c r="A111" s="24"/>
      <c r="B111" s="24"/>
      <c r="C111" s="25" t="s">
        <v>162</v>
      </c>
      <c r="D111" s="26"/>
      <c r="E111" s="26"/>
      <c r="F111" s="26"/>
      <c r="G111" s="26"/>
      <c r="H111" s="26"/>
      <c r="I111" s="26"/>
    </row>
    <row r="112" spans="1:9" ht="14.15" customHeight="1" x14ac:dyDescent="0.35">
      <c r="A112" s="24"/>
      <c r="B112" s="24"/>
      <c r="C112" s="25" t="s">
        <v>163</v>
      </c>
      <c r="D112" s="26"/>
      <c r="E112" s="26"/>
      <c r="F112" s="26">
        <v>7923</v>
      </c>
      <c r="G112" s="26">
        <f>ROUND((G70+G81+G104+G108)*0.27,0)</f>
        <v>7245</v>
      </c>
      <c r="H112" s="26">
        <v>5039</v>
      </c>
      <c r="I112" s="26">
        <f>ROUND((I70+I81+I104+I108)*0.27,0)</f>
        <v>5038</v>
      </c>
    </row>
    <row r="113" spans="1:9" s="3" customFormat="1" ht="14.15" customHeight="1" x14ac:dyDescent="0.35">
      <c r="A113" s="7" t="s">
        <v>164</v>
      </c>
      <c r="B113" s="7" t="s">
        <v>165</v>
      </c>
      <c r="C113" s="8" t="s">
        <v>166</v>
      </c>
      <c r="D113" s="9">
        <f>F113+H113</f>
        <v>0</v>
      </c>
      <c r="E113" s="9">
        <f>G113+I113</f>
        <v>0</v>
      </c>
      <c r="F113" s="10">
        <f>SUM(F114:F116)</f>
        <v>0</v>
      </c>
      <c r="G113" s="10">
        <f>SUM(G114:G116)</f>
        <v>0</v>
      </c>
      <c r="H113" s="10">
        <f>SUM(H114:H116)</f>
        <v>0</v>
      </c>
      <c r="I113" s="10">
        <f>SUM(I114:I116)</f>
        <v>0</v>
      </c>
    </row>
    <row r="114" spans="1:9" ht="14.15" customHeight="1" x14ac:dyDescent="0.35">
      <c r="A114" s="24"/>
      <c r="B114" s="24"/>
      <c r="C114" s="25" t="s">
        <v>167</v>
      </c>
      <c r="D114" s="26"/>
      <c r="E114" s="26"/>
      <c r="F114" s="26"/>
      <c r="G114" s="26"/>
      <c r="H114" s="26"/>
      <c r="I114" s="26"/>
    </row>
    <row r="115" spans="1:9" ht="14.15" customHeight="1" x14ac:dyDescent="0.35">
      <c r="A115" s="24"/>
      <c r="B115" s="24"/>
      <c r="C115" s="25" t="s">
        <v>168</v>
      </c>
      <c r="D115" s="26"/>
      <c r="E115" s="26"/>
      <c r="F115" s="26"/>
      <c r="G115" s="26"/>
      <c r="H115" s="26"/>
      <c r="I115" s="26"/>
    </row>
    <row r="116" spans="1:9" ht="14.15" customHeight="1" x14ac:dyDescent="0.35">
      <c r="A116" s="24"/>
      <c r="B116" s="24"/>
      <c r="C116" s="25" t="s">
        <v>169</v>
      </c>
      <c r="D116" s="26"/>
      <c r="E116" s="26"/>
      <c r="F116" s="26"/>
      <c r="G116" s="26"/>
      <c r="H116" s="26"/>
      <c r="I116" s="26"/>
    </row>
    <row r="117" spans="1:9" s="3" customFormat="1" ht="14.15" customHeight="1" x14ac:dyDescent="0.35">
      <c r="A117" s="7" t="s">
        <v>170</v>
      </c>
      <c r="B117" s="7" t="s">
        <v>171</v>
      </c>
      <c r="C117" s="8" t="s">
        <v>172</v>
      </c>
      <c r="D117" s="9">
        <f>F117+H117</f>
        <v>0</v>
      </c>
      <c r="E117" s="9">
        <f>G117+I117</f>
        <v>0</v>
      </c>
      <c r="F117" s="10">
        <f>SUM(F118:F121)</f>
        <v>0</v>
      </c>
      <c r="G117" s="10">
        <f>SUM(G118:G121)</f>
        <v>0</v>
      </c>
      <c r="H117" s="10">
        <f>SUM(H118:H121)</f>
        <v>0</v>
      </c>
      <c r="I117" s="10">
        <f>SUM(I118:I121)</f>
        <v>0</v>
      </c>
    </row>
    <row r="118" spans="1:9" ht="14.15" customHeight="1" x14ac:dyDescent="0.35">
      <c r="A118" s="24"/>
      <c r="B118" s="24"/>
      <c r="C118" s="25" t="s">
        <v>173</v>
      </c>
      <c r="D118" s="26"/>
      <c r="E118" s="26"/>
      <c r="F118" s="26"/>
      <c r="G118" s="26"/>
      <c r="H118" s="26"/>
      <c r="I118" s="26"/>
    </row>
    <row r="119" spans="1:9" ht="14.15" customHeight="1" x14ac:dyDescent="0.35">
      <c r="A119" s="24"/>
      <c r="B119" s="24"/>
      <c r="C119" s="25" t="s">
        <v>174</v>
      </c>
      <c r="D119" s="26"/>
      <c r="E119" s="26"/>
      <c r="F119" s="26"/>
      <c r="G119" s="26"/>
      <c r="H119" s="26"/>
      <c r="I119" s="26"/>
    </row>
    <row r="120" spans="1:9" ht="14.15" customHeight="1" x14ac:dyDescent="0.35">
      <c r="A120" s="24"/>
      <c r="B120" s="24"/>
      <c r="C120" s="25" t="s">
        <v>175</v>
      </c>
      <c r="D120" s="26"/>
      <c r="E120" s="26"/>
      <c r="F120" s="26"/>
      <c r="G120" s="26"/>
      <c r="H120" s="26"/>
      <c r="I120" s="26"/>
    </row>
    <row r="121" spans="1:9" ht="14.15" customHeight="1" x14ac:dyDescent="0.35">
      <c r="A121" s="24"/>
      <c r="B121" s="24"/>
      <c r="C121" s="25" t="s">
        <v>176</v>
      </c>
      <c r="D121" s="26"/>
      <c r="E121" s="26"/>
      <c r="F121" s="26"/>
      <c r="G121" s="26"/>
      <c r="H121" s="26"/>
      <c r="I121" s="26"/>
    </row>
    <row r="122" spans="1:9" s="3" customFormat="1" ht="14.15" customHeight="1" x14ac:dyDescent="0.35">
      <c r="A122" s="7" t="s">
        <v>177</v>
      </c>
      <c r="B122" s="7" t="s">
        <v>178</v>
      </c>
      <c r="C122" s="8" t="s">
        <v>179</v>
      </c>
      <c r="D122" s="9">
        <f>F122+H122</f>
        <v>0</v>
      </c>
      <c r="E122" s="9">
        <f>G122+I122</f>
        <v>0</v>
      </c>
      <c r="F122" s="10">
        <f>SUM(F123:F124)</f>
        <v>0</v>
      </c>
      <c r="G122" s="10">
        <f>SUM(G123:G124)</f>
        <v>0</v>
      </c>
      <c r="H122" s="10">
        <f>SUM(H123:H124)</f>
        <v>0</v>
      </c>
      <c r="I122" s="10">
        <f>SUM(I123:I124)</f>
        <v>0</v>
      </c>
    </row>
    <row r="123" spans="1:9" ht="14.15" customHeight="1" x14ac:dyDescent="0.35">
      <c r="A123" s="24"/>
      <c r="B123" s="24"/>
      <c r="C123" s="25" t="s">
        <v>180</v>
      </c>
      <c r="D123" s="26"/>
      <c r="E123" s="26"/>
      <c r="F123" s="26"/>
      <c r="G123" s="26"/>
      <c r="H123" s="26"/>
      <c r="I123" s="26"/>
    </row>
    <row r="124" spans="1:9" ht="14.15" customHeight="1" x14ac:dyDescent="0.35">
      <c r="A124" s="24"/>
      <c r="B124" s="24"/>
      <c r="C124" s="25" t="s">
        <v>181</v>
      </c>
      <c r="D124" s="26"/>
      <c r="E124" s="26"/>
      <c r="F124" s="26"/>
      <c r="G124" s="26"/>
      <c r="H124" s="26"/>
      <c r="I124" s="26"/>
    </row>
    <row r="125" spans="1:9" s="3" customFormat="1" ht="14.15" customHeight="1" x14ac:dyDescent="0.35">
      <c r="A125" s="7" t="s">
        <v>182</v>
      </c>
      <c r="B125" s="7" t="s">
        <v>183</v>
      </c>
      <c r="C125" s="8" t="s">
        <v>184</v>
      </c>
      <c r="D125" s="9">
        <f>F125+H125</f>
        <v>30</v>
      </c>
      <c r="E125" s="9">
        <f>G125+I125</f>
        <v>300</v>
      </c>
      <c r="F125" s="10">
        <f>SUM(F126:F129)</f>
        <v>30</v>
      </c>
      <c r="G125" s="10">
        <f>SUM(G126:G129)</f>
        <v>300</v>
      </c>
      <c r="H125" s="10">
        <f>SUM(H126:H129)</f>
        <v>0</v>
      </c>
      <c r="I125" s="10">
        <f>SUM(I126:I129)</f>
        <v>0</v>
      </c>
    </row>
    <row r="126" spans="1:9" ht="14.15" customHeight="1" x14ac:dyDescent="0.35">
      <c r="A126" s="24"/>
      <c r="B126" s="24"/>
      <c r="C126" s="25" t="s">
        <v>185</v>
      </c>
      <c r="D126" s="26"/>
      <c r="E126" s="26"/>
      <c r="F126" s="26"/>
      <c r="G126" s="26"/>
      <c r="H126" s="26"/>
      <c r="I126" s="26"/>
    </row>
    <row r="127" spans="1:9" ht="14.15" customHeight="1" x14ac:dyDescent="0.35">
      <c r="A127" s="24"/>
      <c r="B127" s="24"/>
      <c r="C127" s="25" t="s">
        <v>186</v>
      </c>
      <c r="D127" s="26"/>
      <c r="E127" s="26"/>
      <c r="F127" s="26"/>
      <c r="G127" s="26"/>
      <c r="H127" s="26"/>
      <c r="I127" s="26"/>
    </row>
    <row r="128" spans="1:9" ht="14.15" customHeight="1" x14ac:dyDescent="0.35">
      <c r="A128" s="24"/>
      <c r="B128" s="24"/>
      <c r="C128" s="25" t="s">
        <v>187</v>
      </c>
      <c r="D128" s="26"/>
      <c r="E128" s="26"/>
      <c r="F128" s="26"/>
      <c r="G128" s="26"/>
      <c r="H128" s="26"/>
      <c r="I128" s="26"/>
    </row>
    <row r="129" spans="1:252" ht="14.15" customHeight="1" x14ac:dyDescent="0.35">
      <c r="A129" s="24"/>
      <c r="B129" s="24"/>
      <c r="C129" s="25" t="s">
        <v>188</v>
      </c>
      <c r="D129" s="26"/>
      <c r="E129" s="26"/>
      <c r="F129" s="26">
        <v>30</v>
      </c>
      <c r="G129" s="26">
        <v>300</v>
      </c>
      <c r="H129" s="26"/>
      <c r="I129" s="26"/>
    </row>
    <row r="130" spans="1:252" s="3" customFormat="1" ht="14.15" customHeight="1" x14ac:dyDescent="0.35">
      <c r="A130" s="16" t="s">
        <v>189</v>
      </c>
      <c r="B130" s="16" t="s">
        <v>190</v>
      </c>
      <c r="C130" s="17" t="s">
        <v>191</v>
      </c>
      <c r="D130" s="19">
        <f t="shared" ref="D130:I130" si="13">D110+D113+D117+D122+D125</f>
        <v>12992</v>
      </c>
      <c r="E130" s="19">
        <f t="shared" si="13"/>
        <v>12583</v>
      </c>
      <c r="F130" s="19">
        <f t="shared" si="13"/>
        <v>7953</v>
      </c>
      <c r="G130" s="19">
        <f t="shared" si="13"/>
        <v>7545</v>
      </c>
      <c r="H130" s="19">
        <f t="shared" si="13"/>
        <v>5039</v>
      </c>
      <c r="I130" s="19">
        <f t="shared" si="13"/>
        <v>5038</v>
      </c>
    </row>
    <row r="131" spans="1:252" s="3" customFormat="1" ht="14.15" customHeight="1" x14ac:dyDescent="0.35">
      <c r="A131" s="20" t="s">
        <v>192</v>
      </c>
      <c r="B131" s="20" t="s">
        <v>193</v>
      </c>
      <c r="C131" s="21" t="s">
        <v>292</v>
      </c>
      <c r="D131" s="23">
        <f t="shared" ref="D131:I131" si="14">D70+D81+D104+D109+D130</f>
        <v>61100</v>
      </c>
      <c r="E131" s="23">
        <f t="shared" si="14"/>
        <v>58128</v>
      </c>
      <c r="F131" s="23">
        <f t="shared" si="14"/>
        <v>37398</v>
      </c>
      <c r="G131" s="23">
        <f t="shared" si="14"/>
        <v>34430</v>
      </c>
      <c r="H131" s="23">
        <f t="shared" si="14"/>
        <v>23702</v>
      </c>
      <c r="I131" s="23">
        <f t="shared" si="14"/>
        <v>23698</v>
      </c>
    </row>
    <row r="132" spans="1:252" ht="14.15" customHeight="1" x14ac:dyDescent="0.25">
      <c r="A132" s="1104" t="s">
        <v>291</v>
      </c>
      <c r="B132" s="1105"/>
      <c r="C132" s="1106"/>
      <c r="D132" s="28">
        <f t="shared" ref="D132:I132" si="15">D44+D131</f>
        <v>248190</v>
      </c>
      <c r="E132" s="28">
        <f t="shared" si="15"/>
        <v>264586</v>
      </c>
      <c r="F132" s="28">
        <f t="shared" si="15"/>
        <v>224488</v>
      </c>
      <c r="G132" s="28">
        <f t="shared" si="15"/>
        <v>240888</v>
      </c>
      <c r="H132" s="28">
        <f t="shared" si="15"/>
        <v>23702</v>
      </c>
      <c r="I132" s="28">
        <f t="shared" si="15"/>
        <v>23698</v>
      </c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</row>
    <row r="133" spans="1:252" ht="12.75" customHeight="1" x14ac:dyDescent="0.2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</row>
    <row r="134" spans="1:252" ht="14.15" customHeight="1" x14ac:dyDescent="0.2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</row>
    <row r="136" spans="1:252" s="1" customFormat="1" ht="12.75" customHeight="1" x14ac:dyDescent="0.35">
      <c r="A136" s="1101" t="s">
        <v>406</v>
      </c>
      <c r="B136" s="1101"/>
      <c r="C136" s="1101"/>
      <c r="D136" s="1101"/>
      <c r="E136" s="1101"/>
      <c r="F136" s="1101"/>
      <c r="G136" s="1101"/>
      <c r="H136" s="1101"/>
      <c r="I136" s="1101"/>
    </row>
    <row r="137" spans="1:252" s="1" customFormat="1" ht="14.15" customHeight="1" x14ac:dyDescent="0.35">
      <c r="A137" s="1101" t="s">
        <v>0</v>
      </c>
      <c r="B137" s="1102" t="s">
        <v>1</v>
      </c>
      <c r="C137" s="1101" t="s">
        <v>2</v>
      </c>
      <c r="D137" s="1103" t="s">
        <v>260</v>
      </c>
      <c r="E137" s="1096" t="s">
        <v>259</v>
      </c>
      <c r="F137" s="1098" t="s">
        <v>261</v>
      </c>
      <c r="G137" s="1099"/>
      <c r="H137" s="1098" t="s">
        <v>262</v>
      </c>
      <c r="I137" s="1099"/>
    </row>
    <row r="138" spans="1:252" s="3" customFormat="1" ht="27" customHeight="1" x14ac:dyDescent="0.35">
      <c r="A138" s="1101"/>
      <c r="B138" s="1102"/>
      <c r="C138" s="1101"/>
      <c r="D138" s="1103"/>
      <c r="E138" s="1097"/>
      <c r="F138" s="2" t="s">
        <v>260</v>
      </c>
      <c r="G138" s="2" t="s">
        <v>259</v>
      </c>
      <c r="H138" s="2" t="s">
        <v>260</v>
      </c>
      <c r="I138" s="2" t="s">
        <v>259</v>
      </c>
    </row>
    <row r="139" spans="1:252" ht="5.65" customHeight="1" x14ac:dyDescent="0.35"/>
    <row r="140" spans="1:252" ht="14.15" customHeight="1" x14ac:dyDescent="0.35">
      <c r="A140" s="1100" t="s">
        <v>194</v>
      </c>
      <c r="B140" s="1100"/>
      <c r="C140" s="1100"/>
      <c r="D140" s="1100"/>
      <c r="E140" s="1100"/>
      <c r="F140" s="1100"/>
      <c r="G140" s="1100"/>
      <c r="H140" s="1100"/>
      <c r="I140" s="1100"/>
    </row>
    <row r="141" spans="1:252" ht="14.15" customHeight="1" x14ac:dyDescent="0.35">
      <c r="A141" s="24" t="s">
        <v>195</v>
      </c>
      <c r="B141" s="24" t="s">
        <v>196</v>
      </c>
      <c r="C141" s="25" t="s">
        <v>197</v>
      </c>
      <c r="D141" s="26">
        <f>F141+H141</f>
        <v>0</v>
      </c>
      <c r="E141" s="26">
        <f>G141+I141</f>
        <v>0</v>
      </c>
      <c r="F141" s="26"/>
      <c r="G141" s="26"/>
      <c r="H141" s="26"/>
      <c r="I141" s="26"/>
    </row>
    <row r="142" spans="1:252" ht="14.15" customHeight="1" x14ac:dyDescent="0.35">
      <c r="A142" s="24" t="s">
        <v>198</v>
      </c>
      <c r="B142" s="24" t="s">
        <v>199</v>
      </c>
      <c r="C142" s="25" t="s">
        <v>200</v>
      </c>
      <c r="D142" s="26">
        <f t="shared" ref="D142:E148" si="16">F142+H142</f>
        <v>0</v>
      </c>
      <c r="E142" s="26">
        <f t="shared" si="16"/>
        <v>0</v>
      </c>
      <c r="F142" s="26"/>
      <c r="G142" s="26"/>
      <c r="H142" s="26"/>
      <c r="I142" s="26"/>
    </row>
    <row r="143" spans="1:252" ht="14.15" customHeight="1" x14ac:dyDescent="0.35">
      <c r="A143" s="24" t="s">
        <v>201</v>
      </c>
      <c r="B143" s="24" t="s">
        <v>202</v>
      </c>
      <c r="C143" s="25" t="s">
        <v>203</v>
      </c>
      <c r="D143" s="26">
        <f t="shared" si="16"/>
        <v>150</v>
      </c>
      <c r="E143" s="26">
        <f t="shared" si="16"/>
        <v>0</v>
      </c>
      <c r="F143" s="26">
        <v>150</v>
      </c>
      <c r="G143" s="26"/>
      <c r="H143" s="26"/>
      <c r="I143" s="26"/>
    </row>
    <row r="144" spans="1:252" ht="14.15" customHeight="1" x14ac:dyDescent="0.35">
      <c r="A144" s="24" t="s">
        <v>204</v>
      </c>
      <c r="B144" s="24" t="s">
        <v>205</v>
      </c>
      <c r="C144" s="25" t="s">
        <v>206</v>
      </c>
      <c r="D144" s="26">
        <f t="shared" si="16"/>
        <v>200</v>
      </c>
      <c r="E144" s="26">
        <f t="shared" si="16"/>
        <v>200</v>
      </c>
      <c r="F144" s="26">
        <v>200</v>
      </c>
      <c r="G144" s="26">
        <v>200</v>
      </c>
      <c r="H144" s="26"/>
      <c r="I144" s="26"/>
    </row>
    <row r="145" spans="1:9" ht="14.15" customHeight="1" x14ac:dyDescent="0.35">
      <c r="A145" s="24"/>
      <c r="B145" s="24" t="s">
        <v>207</v>
      </c>
      <c r="C145" s="25" t="s">
        <v>208</v>
      </c>
      <c r="D145" s="26">
        <f t="shared" si="16"/>
        <v>0</v>
      </c>
      <c r="E145" s="26">
        <f t="shared" si="16"/>
        <v>0</v>
      </c>
      <c r="F145" s="26"/>
      <c r="G145" s="26"/>
      <c r="H145" s="26"/>
      <c r="I145" s="26"/>
    </row>
    <row r="146" spans="1:9" ht="14.15" customHeight="1" x14ac:dyDescent="0.35">
      <c r="A146" s="24" t="s">
        <v>209</v>
      </c>
      <c r="B146" s="24" t="s">
        <v>210</v>
      </c>
      <c r="C146" s="25" t="s">
        <v>211</v>
      </c>
      <c r="D146" s="26">
        <f t="shared" si="16"/>
        <v>0</v>
      </c>
      <c r="E146" s="26">
        <f t="shared" si="16"/>
        <v>0</v>
      </c>
      <c r="F146" s="26"/>
      <c r="G146" s="26"/>
      <c r="H146" s="26"/>
      <c r="I146" s="26"/>
    </row>
    <row r="147" spans="1:9" ht="14.15" customHeight="1" x14ac:dyDescent="0.35">
      <c r="A147" s="24" t="s">
        <v>212</v>
      </c>
      <c r="B147" s="24" t="s">
        <v>213</v>
      </c>
      <c r="C147" s="25" t="s">
        <v>214</v>
      </c>
      <c r="D147" s="26">
        <f t="shared" si="16"/>
        <v>0</v>
      </c>
      <c r="E147" s="26">
        <f t="shared" si="16"/>
        <v>0</v>
      </c>
      <c r="F147" s="26"/>
      <c r="G147" s="26"/>
      <c r="H147" s="26"/>
      <c r="I147" s="26"/>
    </row>
    <row r="148" spans="1:9" ht="14.15" customHeight="1" x14ac:dyDescent="0.35">
      <c r="A148" s="24" t="s">
        <v>215</v>
      </c>
      <c r="B148" s="24" t="s">
        <v>216</v>
      </c>
      <c r="C148" s="25" t="s">
        <v>217</v>
      </c>
      <c r="D148" s="26">
        <f t="shared" si="16"/>
        <v>95</v>
      </c>
      <c r="E148" s="26">
        <f t="shared" si="16"/>
        <v>54</v>
      </c>
      <c r="F148" s="26">
        <v>95</v>
      </c>
      <c r="G148" s="26">
        <f>ROUND((G141+G142+G143+G144+G145)*0.27,0)</f>
        <v>54</v>
      </c>
      <c r="H148" s="26">
        <v>0</v>
      </c>
      <c r="I148" s="26">
        <f>ROUND((I141+I142+I143+I144+I145)*0.27,0)</f>
        <v>0</v>
      </c>
    </row>
    <row r="149" spans="1:9" s="3" customFormat="1" ht="14.15" customHeight="1" x14ac:dyDescent="0.35">
      <c r="A149" s="20" t="s">
        <v>218</v>
      </c>
      <c r="B149" s="20" t="s">
        <v>219</v>
      </c>
      <c r="C149" s="21" t="s">
        <v>220</v>
      </c>
      <c r="D149" s="23">
        <f t="shared" ref="D149:I149" si="17">SUM(D141:D148)</f>
        <v>445</v>
      </c>
      <c r="E149" s="23">
        <f t="shared" si="17"/>
        <v>254</v>
      </c>
      <c r="F149" s="23">
        <f t="shared" si="17"/>
        <v>445</v>
      </c>
      <c r="G149" s="23">
        <f t="shared" si="17"/>
        <v>254</v>
      </c>
      <c r="H149" s="23">
        <f t="shared" si="17"/>
        <v>0</v>
      </c>
      <c r="I149" s="23">
        <f t="shared" si="17"/>
        <v>0</v>
      </c>
    </row>
    <row r="150" spans="1:9" ht="14.15" customHeight="1" x14ac:dyDescent="0.35">
      <c r="A150" s="24" t="s">
        <v>221</v>
      </c>
      <c r="B150" s="24" t="s">
        <v>222</v>
      </c>
      <c r="C150" s="25" t="s">
        <v>223</v>
      </c>
      <c r="D150" s="26">
        <f t="shared" ref="D150:E154" si="18">F150+H150</f>
        <v>0</v>
      </c>
      <c r="E150" s="26">
        <f t="shared" si="18"/>
        <v>0</v>
      </c>
      <c r="F150" s="26"/>
      <c r="G150" s="26"/>
      <c r="H150" s="26"/>
      <c r="I150" s="26"/>
    </row>
    <row r="151" spans="1:9" ht="14.15" customHeight="1" x14ac:dyDescent="0.35">
      <c r="A151" s="24" t="s">
        <v>224</v>
      </c>
      <c r="B151" s="24" t="s">
        <v>225</v>
      </c>
      <c r="C151" s="25" t="s">
        <v>226</v>
      </c>
      <c r="D151" s="26">
        <f t="shared" si="18"/>
        <v>0</v>
      </c>
      <c r="E151" s="26">
        <f t="shared" si="18"/>
        <v>0</v>
      </c>
      <c r="F151" s="26"/>
      <c r="G151" s="26"/>
      <c r="H151" s="26"/>
      <c r="I151" s="26"/>
    </row>
    <row r="152" spans="1:9" ht="14.15" customHeight="1" x14ac:dyDescent="0.35">
      <c r="A152" s="24" t="s">
        <v>227</v>
      </c>
      <c r="B152" s="24" t="s">
        <v>228</v>
      </c>
      <c r="C152" s="25" t="s">
        <v>229</v>
      </c>
      <c r="D152" s="26">
        <f t="shared" si="18"/>
        <v>0</v>
      </c>
      <c r="E152" s="26">
        <f t="shared" si="18"/>
        <v>0</v>
      </c>
      <c r="F152" s="26"/>
      <c r="G152" s="26"/>
      <c r="H152" s="26"/>
      <c r="I152" s="26"/>
    </row>
    <row r="153" spans="1:9" ht="14.15" customHeight="1" x14ac:dyDescent="0.35">
      <c r="A153" s="24"/>
      <c r="B153" s="24" t="s">
        <v>230</v>
      </c>
      <c r="C153" s="25" t="s">
        <v>231</v>
      </c>
      <c r="D153" s="26">
        <f t="shared" si="18"/>
        <v>0</v>
      </c>
      <c r="E153" s="26">
        <f t="shared" si="18"/>
        <v>0</v>
      </c>
      <c r="F153" s="26"/>
      <c r="G153" s="26"/>
      <c r="H153" s="26"/>
      <c r="I153" s="26"/>
    </row>
    <row r="154" spans="1:9" ht="14.15" customHeight="1" x14ac:dyDescent="0.35">
      <c r="A154" s="24" t="s">
        <v>232</v>
      </c>
      <c r="B154" s="24" t="s">
        <v>233</v>
      </c>
      <c r="C154" s="25" t="s">
        <v>234</v>
      </c>
      <c r="D154" s="26">
        <f t="shared" si="18"/>
        <v>0</v>
      </c>
      <c r="E154" s="26">
        <f t="shared" si="18"/>
        <v>0</v>
      </c>
      <c r="F154" s="26">
        <v>0</v>
      </c>
      <c r="G154" s="26">
        <f>ROUND((G150+G151+G152+G153)*0.27,0)</f>
        <v>0</v>
      </c>
      <c r="H154" s="26">
        <v>0</v>
      </c>
      <c r="I154" s="26">
        <f>ROUND((I150+I151+I152+I153)*0.27,0)</f>
        <v>0</v>
      </c>
    </row>
    <row r="155" spans="1:9" s="3" customFormat="1" ht="14.15" customHeight="1" x14ac:dyDescent="0.35">
      <c r="A155" s="20" t="s">
        <v>235</v>
      </c>
      <c r="B155" s="20" t="s">
        <v>236</v>
      </c>
      <c r="C155" s="21" t="s">
        <v>237</v>
      </c>
      <c r="D155" s="23">
        <f t="shared" ref="D155:I155" si="19">SUM(D150:D154)</f>
        <v>0</v>
      </c>
      <c r="E155" s="23">
        <f t="shared" si="19"/>
        <v>0</v>
      </c>
      <c r="F155" s="23">
        <f t="shared" si="19"/>
        <v>0</v>
      </c>
      <c r="G155" s="23">
        <f t="shared" si="19"/>
        <v>0</v>
      </c>
      <c r="H155" s="23">
        <f t="shared" si="19"/>
        <v>0</v>
      </c>
      <c r="I155" s="23">
        <f t="shared" si="19"/>
        <v>0</v>
      </c>
    </row>
    <row r="156" spans="1:9" s="3" customFormat="1" ht="14.15" customHeight="1" x14ac:dyDescent="0.35">
      <c r="A156" s="1104" t="s">
        <v>293</v>
      </c>
      <c r="B156" s="1105"/>
      <c r="C156" s="1106" t="s">
        <v>238</v>
      </c>
      <c r="D156" s="28">
        <f t="shared" ref="D156:I156" si="20">D149+D155</f>
        <v>445</v>
      </c>
      <c r="E156" s="28">
        <f t="shared" si="20"/>
        <v>254</v>
      </c>
      <c r="F156" s="28">
        <f t="shared" si="20"/>
        <v>445</v>
      </c>
      <c r="G156" s="28">
        <f t="shared" si="20"/>
        <v>254</v>
      </c>
      <c r="H156" s="28">
        <f t="shared" si="20"/>
        <v>0</v>
      </c>
      <c r="I156" s="28">
        <f t="shared" si="20"/>
        <v>0</v>
      </c>
    </row>
    <row r="157" spans="1:9" ht="6.75" customHeight="1" x14ac:dyDescent="0.35"/>
    <row r="158" spans="1:9" ht="14.15" customHeight="1" x14ac:dyDescent="0.35">
      <c r="A158" s="1093" t="s">
        <v>294</v>
      </c>
      <c r="B158" s="1094"/>
      <c r="C158" s="1095"/>
      <c r="D158" s="29">
        <f t="shared" ref="D158:I158" si="21">D156+D132</f>
        <v>248635</v>
      </c>
      <c r="E158" s="29">
        <f t="shared" si="21"/>
        <v>264840</v>
      </c>
      <c r="F158" s="29">
        <f t="shared" si="21"/>
        <v>224933</v>
      </c>
      <c r="G158" s="29">
        <f t="shared" si="21"/>
        <v>241142</v>
      </c>
      <c r="H158" s="29">
        <f t="shared" si="21"/>
        <v>23702</v>
      </c>
      <c r="I158" s="29">
        <f t="shared" si="21"/>
        <v>23698</v>
      </c>
    </row>
    <row r="163" spans="1:9" s="1" customFormat="1" ht="12.75" customHeight="1" x14ac:dyDescent="0.35">
      <c r="A163" s="1101" t="s">
        <v>405</v>
      </c>
      <c r="B163" s="1101"/>
      <c r="C163" s="1101"/>
      <c r="D163" s="1101"/>
      <c r="E163" s="1101"/>
      <c r="F163" s="1101"/>
      <c r="G163" s="1101"/>
      <c r="H163" s="1101"/>
      <c r="I163" s="1101"/>
    </row>
    <row r="164" spans="1:9" s="1" customFormat="1" ht="14.15" customHeight="1" x14ac:dyDescent="0.35">
      <c r="A164" s="1101" t="s">
        <v>0</v>
      </c>
      <c r="B164" s="1102" t="s">
        <v>1</v>
      </c>
      <c r="C164" s="1101" t="s">
        <v>2</v>
      </c>
      <c r="D164" s="1103" t="s">
        <v>260</v>
      </c>
      <c r="E164" s="1096" t="s">
        <v>259</v>
      </c>
      <c r="F164" s="1098" t="s">
        <v>261</v>
      </c>
      <c r="G164" s="1099"/>
      <c r="H164" s="1098" t="s">
        <v>262</v>
      </c>
      <c r="I164" s="1099"/>
    </row>
    <row r="165" spans="1:9" s="3" customFormat="1" ht="23.25" customHeight="1" x14ac:dyDescent="0.35">
      <c r="A165" s="1101"/>
      <c r="B165" s="1102"/>
      <c r="C165" s="1101"/>
      <c r="D165" s="1103"/>
      <c r="E165" s="1097"/>
      <c r="F165" s="2" t="s">
        <v>260</v>
      </c>
      <c r="G165" s="2" t="s">
        <v>259</v>
      </c>
      <c r="H165" s="2" t="s">
        <v>260</v>
      </c>
      <c r="I165" s="2" t="s">
        <v>259</v>
      </c>
    </row>
    <row r="166" spans="1:9" ht="5.65" customHeight="1" x14ac:dyDescent="0.35"/>
    <row r="167" spans="1:9" ht="14.15" customHeight="1" x14ac:dyDescent="0.35">
      <c r="A167" s="1100" t="s">
        <v>239</v>
      </c>
      <c r="B167" s="1100"/>
      <c r="C167" s="1100"/>
      <c r="D167" s="1100"/>
      <c r="E167" s="1100"/>
      <c r="F167" s="1100"/>
      <c r="G167" s="1100"/>
      <c r="H167" s="1100"/>
      <c r="I167" s="1100"/>
    </row>
    <row r="168" spans="1:9" s="3" customFormat="1" ht="14.15" customHeight="1" x14ac:dyDescent="0.35">
      <c r="A168" s="20" t="s">
        <v>240</v>
      </c>
      <c r="B168" s="20"/>
      <c r="C168" s="21" t="s">
        <v>241</v>
      </c>
      <c r="D168" s="23">
        <f t="shared" ref="D168:I168" si="22">SUM(D169:D178)</f>
        <v>14338</v>
      </c>
      <c r="E168" s="23">
        <f t="shared" si="22"/>
        <v>7684</v>
      </c>
      <c r="F168" s="23">
        <f t="shared" si="22"/>
        <v>0</v>
      </c>
      <c r="G168" s="23">
        <f t="shared" si="22"/>
        <v>0</v>
      </c>
      <c r="H168" s="23">
        <f t="shared" si="22"/>
        <v>14338</v>
      </c>
      <c r="I168" s="23">
        <f t="shared" si="22"/>
        <v>7684</v>
      </c>
    </row>
    <row r="169" spans="1:9" ht="14.15" customHeight="1" x14ac:dyDescent="0.35">
      <c r="A169" s="24" t="s">
        <v>242</v>
      </c>
      <c r="B169" s="24"/>
      <c r="C169" s="25" t="s">
        <v>243</v>
      </c>
      <c r="D169" s="26">
        <f>F169+H169</f>
        <v>0</v>
      </c>
      <c r="E169" s="26">
        <f>G169+I169</f>
        <v>0</v>
      </c>
      <c r="F169" s="26"/>
      <c r="G169" s="26"/>
      <c r="H169" s="26"/>
      <c r="I169" s="26"/>
    </row>
    <row r="170" spans="1:9" ht="14.15" customHeight="1" x14ac:dyDescent="0.35">
      <c r="A170" s="24" t="s">
        <v>244</v>
      </c>
      <c r="B170" s="24"/>
      <c r="C170" s="25" t="s">
        <v>245</v>
      </c>
      <c r="D170" s="26">
        <f t="shared" ref="D170:E178" si="23">F170+H170</f>
        <v>0</v>
      </c>
      <c r="E170" s="26">
        <f t="shared" si="23"/>
        <v>0</v>
      </c>
      <c r="F170" s="26"/>
      <c r="G170" s="26"/>
      <c r="H170" s="26"/>
      <c r="I170" s="26"/>
    </row>
    <row r="171" spans="1:9" ht="14.15" customHeight="1" x14ac:dyDescent="0.35">
      <c r="A171" s="24" t="s">
        <v>246</v>
      </c>
      <c r="B171" s="24"/>
      <c r="C171" s="25" t="s">
        <v>247</v>
      </c>
      <c r="D171" s="26">
        <f t="shared" si="23"/>
        <v>0</v>
      </c>
      <c r="E171" s="26">
        <f t="shared" si="23"/>
        <v>0</v>
      </c>
      <c r="F171" s="26"/>
      <c r="G171" s="26"/>
      <c r="H171" s="26"/>
      <c r="I171" s="26"/>
    </row>
    <row r="172" spans="1:9" ht="14.15" customHeight="1" x14ac:dyDescent="0.35">
      <c r="A172" s="24" t="s">
        <v>248</v>
      </c>
      <c r="B172" s="24"/>
      <c r="C172" s="25" t="s">
        <v>249</v>
      </c>
      <c r="D172" s="26">
        <f t="shared" si="23"/>
        <v>0</v>
      </c>
      <c r="E172" s="26">
        <f t="shared" si="23"/>
        <v>0</v>
      </c>
      <c r="F172" s="26"/>
      <c r="G172" s="26"/>
      <c r="H172" s="26"/>
      <c r="I172" s="26"/>
    </row>
    <row r="173" spans="1:9" ht="14.15" customHeight="1" x14ac:dyDescent="0.35">
      <c r="A173" s="24" t="s">
        <v>296</v>
      </c>
      <c r="B173" s="24"/>
      <c r="C173" s="25" t="s">
        <v>297</v>
      </c>
      <c r="D173" s="26">
        <f t="shared" si="23"/>
        <v>11290</v>
      </c>
      <c r="E173" s="26">
        <f t="shared" si="23"/>
        <v>6050</v>
      </c>
      <c r="F173" s="26"/>
      <c r="G173" s="26"/>
      <c r="H173" s="26">
        <v>11290</v>
      </c>
      <c r="I173" s="26">
        <v>6050</v>
      </c>
    </row>
    <row r="174" spans="1:9" ht="14.15" customHeight="1" x14ac:dyDescent="0.35">
      <c r="A174" s="24" t="s">
        <v>250</v>
      </c>
      <c r="B174" s="24"/>
      <c r="C174" s="25" t="s">
        <v>251</v>
      </c>
      <c r="D174" s="26">
        <f t="shared" si="23"/>
        <v>3048</v>
      </c>
      <c r="E174" s="26">
        <f t="shared" si="23"/>
        <v>1634</v>
      </c>
      <c r="F174" s="26"/>
      <c r="G174" s="26">
        <f>ROUND((G169+G170+G171+G172+G173)*0.27,0)</f>
        <v>0</v>
      </c>
      <c r="H174" s="26">
        <v>3048</v>
      </c>
      <c r="I174" s="26">
        <f>ROUND((I169+I170+I171+I172+I173)*0.27,0)</f>
        <v>1634</v>
      </c>
    </row>
    <row r="175" spans="1:9" ht="14.15" customHeight="1" x14ac:dyDescent="0.35">
      <c r="A175" s="24" t="s">
        <v>298</v>
      </c>
      <c r="B175" s="24"/>
      <c r="C175" s="25" t="s">
        <v>299</v>
      </c>
      <c r="D175" s="26">
        <f t="shared" si="23"/>
        <v>0</v>
      </c>
      <c r="E175" s="26">
        <f t="shared" si="23"/>
        <v>0</v>
      </c>
      <c r="F175" s="26"/>
      <c r="G175" s="26"/>
      <c r="H175" s="26">
        <v>0</v>
      </c>
      <c r="I175" s="26"/>
    </row>
    <row r="176" spans="1:9" ht="14.15" customHeight="1" x14ac:dyDescent="0.35">
      <c r="A176" s="24" t="s">
        <v>252</v>
      </c>
      <c r="B176" s="24"/>
      <c r="C176" s="25" t="s">
        <v>253</v>
      </c>
      <c r="D176" s="26">
        <f t="shared" si="23"/>
        <v>0</v>
      </c>
      <c r="E176" s="26">
        <f t="shared" si="23"/>
        <v>0</v>
      </c>
      <c r="F176" s="26"/>
      <c r="G176" s="26"/>
      <c r="H176" s="26"/>
      <c r="I176" s="26"/>
    </row>
    <row r="177" spans="1:9" ht="14.15" customHeight="1" x14ac:dyDescent="0.35">
      <c r="A177" s="24" t="s">
        <v>300</v>
      </c>
      <c r="B177" s="24"/>
      <c r="C177" s="25" t="s">
        <v>301</v>
      </c>
      <c r="D177" s="26">
        <f t="shared" si="23"/>
        <v>0</v>
      </c>
      <c r="E177" s="26">
        <f t="shared" si="23"/>
        <v>0</v>
      </c>
      <c r="F177" s="26"/>
      <c r="G177" s="26"/>
      <c r="H177" s="26"/>
      <c r="I177" s="26"/>
    </row>
    <row r="178" spans="1:9" ht="14.15" customHeight="1" x14ac:dyDescent="0.35">
      <c r="A178" s="24" t="s">
        <v>254</v>
      </c>
      <c r="B178" s="24"/>
      <c r="C178" s="25" t="s">
        <v>255</v>
      </c>
      <c r="D178" s="26">
        <f t="shared" si="23"/>
        <v>0</v>
      </c>
      <c r="E178" s="26">
        <f t="shared" si="23"/>
        <v>0</v>
      </c>
      <c r="F178" s="26"/>
      <c r="G178" s="26"/>
      <c r="H178" s="26"/>
      <c r="I178" s="26"/>
    </row>
    <row r="179" spans="1:9" s="3" customFormat="1" ht="14.15" customHeight="1" x14ac:dyDescent="0.35">
      <c r="A179" s="20" t="s">
        <v>256</v>
      </c>
      <c r="B179" s="20"/>
      <c r="C179" s="21" t="s">
        <v>257</v>
      </c>
      <c r="D179" s="23">
        <f>F179+H179</f>
        <v>0</v>
      </c>
      <c r="E179" s="23">
        <f>G179+I179</f>
        <v>0</v>
      </c>
      <c r="F179" s="23">
        <v>0</v>
      </c>
      <c r="G179" s="23">
        <v>0</v>
      </c>
      <c r="H179" s="23">
        <v>0</v>
      </c>
      <c r="I179" s="23">
        <v>0</v>
      </c>
    </row>
    <row r="180" spans="1:9" s="3" customFormat="1" ht="14.15" customHeight="1" x14ac:dyDescent="0.35">
      <c r="A180" s="1093" t="s">
        <v>295</v>
      </c>
      <c r="B180" s="1094"/>
      <c r="C180" s="1095"/>
      <c r="D180" s="29">
        <f t="shared" ref="D180:I180" si="24">D168+D179</f>
        <v>14338</v>
      </c>
      <c r="E180" s="29">
        <f t="shared" si="24"/>
        <v>7684</v>
      </c>
      <c r="F180" s="29">
        <f t="shared" si="24"/>
        <v>0</v>
      </c>
      <c r="G180" s="29">
        <f t="shared" si="24"/>
        <v>0</v>
      </c>
      <c r="H180" s="29">
        <f t="shared" si="24"/>
        <v>14338</v>
      </c>
      <c r="I180" s="29">
        <f t="shared" si="24"/>
        <v>7684</v>
      </c>
    </row>
  </sheetData>
  <sheetProtection selectLockedCells="1" selectUnlockedCells="1"/>
  <mergeCells count="41">
    <mergeCell ref="A137:A138"/>
    <mergeCell ref="E137:E138"/>
    <mergeCell ref="F137:G137"/>
    <mergeCell ref="H137:I137"/>
    <mergeCell ref="A52:I52"/>
    <mergeCell ref="A132:C132"/>
    <mergeCell ref="B137:B138"/>
    <mergeCell ref="A136:I136"/>
    <mergeCell ref="D137:D138"/>
    <mergeCell ref="C137:C138"/>
    <mergeCell ref="A180:C180"/>
    <mergeCell ref="A140:I140"/>
    <mergeCell ref="A156:C156"/>
    <mergeCell ref="A158:C158"/>
    <mergeCell ref="A163:I163"/>
    <mergeCell ref="H164:I164"/>
    <mergeCell ref="A167:I167"/>
    <mergeCell ref="F164:G164"/>
    <mergeCell ref="B164:B165"/>
    <mergeCell ref="D164:D165"/>
    <mergeCell ref="E164:E165"/>
    <mergeCell ref="A164:A165"/>
    <mergeCell ref="C164:C165"/>
    <mergeCell ref="A1:I1"/>
    <mergeCell ref="A2:A3"/>
    <mergeCell ref="B2:B3"/>
    <mergeCell ref="C2:C3"/>
    <mergeCell ref="D2:D3"/>
    <mergeCell ref="E2:E3"/>
    <mergeCell ref="D49:D50"/>
    <mergeCell ref="B49:B50"/>
    <mergeCell ref="A48:I48"/>
    <mergeCell ref="A49:A50"/>
    <mergeCell ref="F2:G2"/>
    <mergeCell ref="H2:I2"/>
    <mergeCell ref="F49:G49"/>
    <mergeCell ref="H49:I49"/>
    <mergeCell ref="E49:E50"/>
    <mergeCell ref="A5:I5"/>
    <mergeCell ref="A44:C44"/>
    <mergeCell ref="C49:C50"/>
  </mergeCells>
  <printOptions horizontalCentered="1"/>
  <pageMargins left="0.15748031496062992" right="0.15748031496062992" top="0.19685039370078741" bottom="0.15748031496062992" header="0.31496062992125984" footer="0.31496062992125984"/>
  <pageSetup paperSize="8" fitToHeight="0" orientation="portrait" useFirstPageNumber="1" copies="2" r:id="rId1"/>
  <headerFooter alignWithMargins="0"/>
  <rowBreaks count="2" manualBreakCount="2">
    <brk id="44" max="16383" man="1"/>
    <brk id="109" max="16383" man="1"/>
  </rowBreaks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IV228"/>
  <sheetViews>
    <sheetView view="pageBreakPreview" zoomScale="145" zoomScaleNormal="100" zoomScaleSheetLayoutView="145" workbookViewId="0">
      <pane xSplit="5" ySplit="3" topLeftCell="N167" activePane="bottomRight" state="frozen"/>
      <selection pane="topRight" activeCell="F1" sqref="F1"/>
      <selection pane="bottomLeft" activeCell="A4" sqref="A4"/>
      <selection pane="bottomRight" activeCell="M159" sqref="M159"/>
    </sheetView>
  </sheetViews>
  <sheetFormatPr defaultColWidth="11.7265625" defaultRowHeight="14.15" customHeight="1" x14ac:dyDescent="0.35"/>
  <cols>
    <col min="1" max="1" width="5.7265625" style="4" customWidth="1"/>
    <col min="2" max="2" width="7.7265625" style="4" customWidth="1"/>
    <col min="3" max="3" width="31.7265625" style="5" customWidth="1"/>
    <col min="4" max="5" width="10.81640625" style="6" customWidth="1"/>
    <col min="6" max="6" width="9.81640625" style="6" bestFit="1" customWidth="1"/>
    <col min="7" max="7" width="9.81640625" style="6" customWidth="1"/>
    <col min="8" max="8" width="10.7265625" style="6" customWidth="1"/>
    <col min="9" max="21" width="12" style="6" customWidth="1"/>
    <col min="22" max="16384" width="11.7265625" style="5"/>
  </cols>
  <sheetData>
    <row r="1" spans="1:21" s="1" customFormat="1" ht="12.75" customHeight="1" x14ac:dyDescent="0.35">
      <c r="A1" s="1101" t="s">
        <v>410</v>
      </c>
      <c r="B1" s="1101"/>
      <c r="C1" s="1101"/>
      <c r="D1" s="1101"/>
      <c r="E1" s="1101"/>
      <c r="F1" s="1101"/>
      <c r="G1" s="1101"/>
      <c r="H1" s="1101"/>
      <c r="I1" s="1101"/>
      <c r="J1" s="1101"/>
      <c r="K1" s="1101"/>
      <c r="L1" s="1101" t="s">
        <v>410</v>
      </c>
      <c r="M1" s="1101"/>
      <c r="N1" s="1101"/>
      <c r="O1" s="1101"/>
      <c r="P1" s="1101"/>
      <c r="Q1" s="1101"/>
      <c r="R1" s="1101"/>
      <c r="S1" s="1101"/>
      <c r="T1" s="1101"/>
      <c r="U1" s="1101"/>
    </row>
    <row r="2" spans="1:21" s="1" customFormat="1" ht="14.15" customHeight="1" x14ac:dyDescent="0.35">
      <c r="A2" s="1164" t="s">
        <v>0</v>
      </c>
      <c r="B2" s="1165" t="s">
        <v>1</v>
      </c>
      <c r="C2" s="1164" t="s">
        <v>2</v>
      </c>
      <c r="D2" s="1097" t="s">
        <v>260</v>
      </c>
      <c r="E2" s="1167" t="s">
        <v>259</v>
      </c>
      <c r="F2" s="1162" t="s">
        <v>411</v>
      </c>
      <c r="G2" s="1166"/>
      <c r="H2" s="1162" t="s">
        <v>412</v>
      </c>
      <c r="I2" s="1163"/>
      <c r="J2" s="1174" t="s">
        <v>413</v>
      </c>
      <c r="K2" s="1160"/>
      <c r="L2" s="1174" t="s">
        <v>414</v>
      </c>
      <c r="M2" s="1174"/>
      <c r="N2" s="1160" t="s">
        <v>415</v>
      </c>
      <c r="O2" s="1161"/>
      <c r="P2" s="1168" t="s">
        <v>416</v>
      </c>
      <c r="Q2" s="1169"/>
      <c r="R2" s="1168" t="s">
        <v>417</v>
      </c>
      <c r="S2" s="1169"/>
      <c r="T2" s="1168"/>
      <c r="U2" s="1169"/>
    </row>
    <row r="3" spans="1:21" s="3" customFormat="1" ht="25.5" customHeight="1" x14ac:dyDescent="0.35">
      <c r="A3" s="1101"/>
      <c r="B3" s="1102"/>
      <c r="C3" s="1101"/>
      <c r="D3" s="1103"/>
      <c r="E3" s="1097"/>
      <c r="F3" s="2" t="s">
        <v>263</v>
      </c>
      <c r="G3" s="2" t="s">
        <v>259</v>
      </c>
      <c r="H3" s="2" t="s">
        <v>260</v>
      </c>
      <c r="I3" s="47" t="s">
        <v>259</v>
      </c>
      <c r="J3" s="59" t="s">
        <v>260</v>
      </c>
      <c r="K3" s="74" t="s">
        <v>259</v>
      </c>
      <c r="L3" s="59" t="s">
        <v>260</v>
      </c>
      <c r="M3" s="59" t="s">
        <v>259</v>
      </c>
      <c r="N3" s="80" t="s">
        <v>260</v>
      </c>
      <c r="O3" s="46" t="s">
        <v>259</v>
      </c>
      <c r="P3" s="81" t="s">
        <v>260</v>
      </c>
      <c r="Q3" s="82" t="s">
        <v>259</v>
      </c>
      <c r="R3" s="81" t="s">
        <v>260</v>
      </c>
      <c r="S3" s="82" t="s">
        <v>259</v>
      </c>
      <c r="T3" s="81"/>
      <c r="U3" s="82"/>
    </row>
    <row r="4" spans="1:21" ht="5.65" customHeight="1" x14ac:dyDescent="0.35">
      <c r="J4" s="60"/>
      <c r="K4" s="75"/>
      <c r="L4" s="60"/>
      <c r="M4" s="60"/>
    </row>
    <row r="5" spans="1:21" ht="14.15" customHeight="1" x14ac:dyDescent="0.35">
      <c r="A5" s="1100" t="s">
        <v>3</v>
      </c>
      <c r="B5" s="1100"/>
      <c r="C5" s="1100"/>
      <c r="D5" s="1100"/>
      <c r="E5" s="1100"/>
      <c r="F5" s="1100"/>
      <c r="G5" s="1100"/>
      <c r="H5" s="1100"/>
      <c r="I5" s="1100"/>
      <c r="J5" s="61"/>
      <c r="K5" s="76"/>
      <c r="L5" s="61"/>
      <c r="M5" s="76"/>
      <c r="N5" s="61"/>
      <c r="O5" s="61"/>
      <c r="P5" s="61"/>
      <c r="Q5" s="61"/>
      <c r="R5" s="61"/>
      <c r="S5" s="61"/>
      <c r="T5" s="61"/>
      <c r="U5" s="61"/>
    </row>
    <row r="6" spans="1:21" s="3" customFormat="1" ht="12.75" customHeight="1" x14ac:dyDescent="0.35">
      <c r="A6" s="7" t="s">
        <v>4</v>
      </c>
      <c r="B6" s="7" t="s">
        <v>5</v>
      </c>
      <c r="C6" s="8" t="s">
        <v>6</v>
      </c>
      <c r="D6" s="9">
        <f>F6+H6+J6+L6+N6+P6+R6</f>
        <v>85301</v>
      </c>
      <c r="E6" s="9">
        <f>G6+I6+K6+M6+O6+Q6+S6</f>
        <v>97071</v>
      </c>
      <c r="F6" s="10">
        <v>28010</v>
      </c>
      <c r="G6" s="10">
        <f>SUM(G7:G21)-G12-G15</f>
        <v>32136</v>
      </c>
      <c r="H6" s="10">
        <v>11302</v>
      </c>
      <c r="I6" s="49">
        <f>SUM(I7:I27)</f>
        <v>12350</v>
      </c>
      <c r="J6" s="62">
        <v>0</v>
      </c>
      <c r="K6" s="62">
        <v>0</v>
      </c>
      <c r="L6" s="62">
        <v>45989</v>
      </c>
      <c r="M6" s="49">
        <f>SUM(M7:M54)-M45</f>
        <v>52585</v>
      </c>
      <c r="N6" s="62">
        <v>0</v>
      </c>
      <c r="O6" s="62">
        <v>0</v>
      </c>
      <c r="P6" s="62">
        <v>0</v>
      </c>
      <c r="Q6" s="62">
        <v>0</v>
      </c>
      <c r="R6" s="62">
        <v>0</v>
      </c>
      <c r="S6" s="62"/>
      <c r="T6" s="62"/>
      <c r="U6" s="62"/>
    </row>
    <row r="7" spans="1:21" s="15" customFormat="1" ht="11.5" customHeight="1" x14ac:dyDescent="0.35">
      <c r="A7" s="11"/>
      <c r="B7" s="11"/>
      <c r="C7" s="12" t="s">
        <v>423</v>
      </c>
      <c r="D7" s="13"/>
      <c r="E7" s="13"/>
      <c r="F7" s="14"/>
      <c r="G7" s="14">
        <v>2445</v>
      </c>
      <c r="H7" s="14"/>
      <c r="I7" s="50"/>
      <c r="J7" s="63"/>
      <c r="K7" s="78"/>
      <c r="L7" s="63"/>
      <c r="M7" s="78"/>
      <c r="N7" s="63"/>
      <c r="O7" s="63"/>
      <c r="P7" s="63"/>
      <c r="Q7" s="63"/>
      <c r="R7" s="63"/>
      <c r="S7" s="63"/>
      <c r="T7" s="63"/>
      <c r="U7" s="63"/>
    </row>
    <row r="8" spans="1:21" s="15" customFormat="1" ht="11.5" customHeight="1" x14ac:dyDescent="0.35">
      <c r="A8" s="11"/>
      <c r="B8" s="11"/>
      <c r="C8" s="12" t="s">
        <v>421</v>
      </c>
      <c r="D8" s="13"/>
      <c r="E8" s="13"/>
      <c r="F8" s="14"/>
      <c r="G8" s="14">
        <v>2296</v>
      </c>
      <c r="H8" s="14"/>
      <c r="I8" s="50"/>
      <c r="J8" s="63"/>
      <c r="K8" s="78"/>
      <c r="L8" s="63"/>
      <c r="M8" s="78"/>
      <c r="N8" s="63"/>
      <c r="O8" s="63"/>
      <c r="P8" s="63"/>
      <c r="Q8" s="63"/>
      <c r="R8" s="63"/>
      <c r="S8" s="63"/>
      <c r="T8" s="63"/>
      <c r="U8" s="63"/>
    </row>
    <row r="9" spans="1:21" s="15" customFormat="1" ht="11.5" customHeight="1" x14ac:dyDescent="0.35">
      <c r="A9" s="11"/>
      <c r="B9" s="11"/>
      <c r="C9" s="12" t="s">
        <v>422</v>
      </c>
      <c r="D9" s="13"/>
      <c r="E9" s="13"/>
      <c r="F9" s="14"/>
      <c r="G9" s="14">
        <v>5564</v>
      </c>
      <c r="H9" s="14"/>
      <c r="I9" s="50"/>
      <c r="J9" s="63"/>
      <c r="K9" s="78"/>
      <c r="L9" s="63"/>
      <c r="M9" s="78"/>
      <c r="N9" s="63"/>
      <c r="O9" s="63"/>
      <c r="P9" s="63"/>
      <c r="Q9" s="63"/>
      <c r="R9" s="63"/>
      <c r="S9" s="63"/>
      <c r="T9" s="63"/>
      <c r="U9" s="63"/>
    </row>
    <row r="10" spans="1:21" s="15" customFormat="1" ht="11.5" customHeight="1" x14ac:dyDescent="0.35">
      <c r="A10" s="11"/>
      <c r="B10" s="11"/>
      <c r="C10" s="12" t="s">
        <v>424</v>
      </c>
      <c r="D10" s="13"/>
      <c r="E10" s="13"/>
      <c r="F10" s="14"/>
      <c r="G10" s="14">
        <v>2390</v>
      </c>
      <c r="H10" s="14"/>
      <c r="I10" s="50"/>
      <c r="J10" s="63"/>
      <c r="K10" s="78"/>
      <c r="L10" s="63"/>
      <c r="M10" s="78"/>
      <c r="N10" s="63"/>
      <c r="O10" s="63"/>
      <c r="P10" s="63"/>
      <c r="Q10" s="63"/>
      <c r="R10" s="63"/>
      <c r="S10" s="63"/>
      <c r="T10" s="63"/>
      <c r="U10" s="63"/>
    </row>
    <row r="11" spans="1:21" s="15" customFormat="1" ht="11.5" customHeight="1" x14ac:dyDescent="0.35">
      <c r="A11" s="11"/>
      <c r="B11" s="11"/>
      <c r="C11" s="12" t="s">
        <v>427</v>
      </c>
      <c r="D11" s="13"/>
      <c r="E11" s="13"/>
      <c r="F11" s="14"/>
      <c r="G11" s="14">
        <v>1345</v>
      </c>
      <c r="H11" s="14"/>
      <c r="I11" s="50"/>
      <c r="J11" s="63"/>
      <c r="K11" s="78"/>
      <c r="L11" s="63"/>
      <c r="M11" s="78"/>
      <c r="N11" s="63"/>
      <c r="O11" s="63"/>
      <c r="P11" s="63"/>
      <c r="Q11" s="63"/>
      <c r="R11" s="63"/>
      <c r="S11" s="63"/>
      <c r="T11" s="63"/>
      <c r="U11" s="63"/>
    </row>
    <row r="12" spans="1:21" s="15" customFormat="1" ht="11.5" customHeight="1" x14ac:dyDescent="0.35">
      <c r="A12" s="11"/>
      <c r="B12" s="11"/>
      <c r="C12" s="12" t="s">
        <v>426</v>
      </c>
      <c r="D12" s="13"/>
      <c r="E12" s="13"/>
      <c r="F12" s="14"/>
      <c r="G12" s="14">
        <v>965</v>
      </c>
      <c r="H12" s="14"/>
      <c r="I12" s="50"/>
      <c r="J12" s="63"/>
      <c r="K12" s="78"/>
      <c r="L12" s="63"/>
      <c r="M12" s="78"/>
      <c r="N12" s="63"/>
      <c r="O12" s="63"/>
      <c r="P12" s="63"/>
      <c r="Q12" s="63"/>
      <c r="R12" s="63"/>
      <c r="S12" s="63"/>
      <c r="T12" s="63"/>
      <c r="U12" s="63"/>
    </row>
    <row r="13" spans="1:21" s="15" customFormat="1" ht="11.5" customHeight="1" x14ac:dyDescent="0.35">
      <c r="A13" s="11"/>
      <c r="B13" s="11"/>
      <c r="C13" s="12" t="s">
        <v>428</v>
      </c>
      <c r="D13" s="13"/>
      <c r="E13" s="13"/>
      <c r="F13" s="14"/>
      <c r="G13" s="14">
        <v>1748</v>
      </c>
      <c r="H13" s="14"/>
      <c r="I13" s="50"/>
      <c r="J13" s="63"/>
      <c r="K13" s="78"/>
      <c r="L13" s="63"/>
      <c r="M13" s="78"/>
      <c r="N13" s="63"/>
      <c r="O13" s="63"/>
      <c r="P13" s="63"/>
      <c r="Q13" s="63"/>
      <c r="R13" s="63"/>
      <c r="S13" s="63"/>
      <c r="T13" s="63"/>
      <c r="U13" s="63"/>
    </row>
    <row r="14" spans="1:21" s="15" customFormat="1" ht="11.5" customHeight="1" x14ac:dyDescent="0.35">
      <c r="A14" s="11"/>
      <c r="B14" s="11"/>
      <c r="C14" s="12" t="s">
        <v>429</v>
      </c>
      <c r="D14" s="13"/>
      <c r="E14" s="13"/>
      <c r="F14" s="14"/>
      <c r="G14" s="14">
        <v>3000</v>
      </c>
      <c r="H14" s="14"/>
      <c r="I14" s="50"/>
      <c r="J14" s="63"/>
      <c r="K14" s="78"/>
      <c r="L14" s="63"/>
      <c r="M14" s="78"/>
      <c r="N14" s="63"/>
      <c r="O14" s="63"/>
      <c r="P14" s="63"/>
      <c r="Q14" s="63"/>
      <c r="R14" s="63"/>
      <c r="S14" s="63"/>
      <c r="T14" s="63"/>
      <c r="U14" s="63"/>
    </row>
    <row r="15" spans="1:21" s="15" customFormat="1" ht="11.5" customHeight="1" x14ac:dyDescent="0.35">
      <c r="A15" s="11"/>
      <c r="B15" s="11"/>
      <c r="C15" s="12" t="s">
        <v>431</v>
      </c>
      <c r="D15" s="13"/>
      <c r="E15" s="13"/>
      <c r="F15" s="14"/>
      <c r="G15" s="14">
        <v>1237</v>
      </c>
      <c r="H15" s="14"/>
      <c r="I15" s="50"/>
      <c r="J15" s="63"/>
      <c r="K15" s="78"/>
      <c r="L15" s="63"/>
      <c r="M15" s="78"/>
      <c r="N15" s="63"/>
      <c r="O15" s="63"/>
      <c r="P15" s="63"/>
      <c r="Q15" s="63"/>
      <c r="R15" s="63"/>
      <c r="S15" s="63"/>
      <c r="T15" s="63"/>
      <c r="U15" s="63"/>
    </row>
    <row r="16" spans="1:21" s="15" customFormat="1" ht="11.5" customHeight="1" x14ac:dyDescent="0.35">
      <c r="A16" s="11"/>
      <c r="B16" s="11"/>
      <c r="C16" s="12" t="s">
        <v>425</v>
      </c>
      <c r="D16" s="13"/>
      <c r="E16" s="13"/>
      <c r="F16" s="14"/>
      <c r="G16" s="14">
        <v>3253</v>
      </c>
      <c r="H16" s="14"/>
      <c r="I16" s="50"/>
      <c r="J16" s="63"/>
      <c r="K16" s="78"/>
      <c r="L16" s="63"/>
      <c r="M16" s="78"/>
      <c r="N16" s="63"/>
      <c r="O16" s="63"/>
      <c r="P16" s="63"/>
      <c r="Q16" s="63"/>
      <c r="R16" s="63"/>
      <c r="S16" s="63"/>
      <c r="T16" s="63"/>
      <c r="U16" s="63"/>
    </row>
    <row r="17" spans="1:21" s="15" customFormat="1" ht="11.5" customHeight="1" x14ac:dyDescent="0.35">
      <c r="A17" s="11"/>
      <c r="B17" s="11"/>
      <c r="C17" s="12" t="s">
        <v>433</v>
      </c>
      <c r="D17" s="13"/>
      <c r="E17" s="13"/>
      <c r="F17" s="14"/>
      <c r="G17" s="14">
        <v>1305</v>
      </c>
      <c r="H17" s="14"/>
      <c r="I17" s="50"/>
      <c r="J17" s="63"/>
      <c r="K17" s="78"/>
      <c r="L17" s="63"/>
      <c r="M17" s="78"/>
      <c r="N17" s="63"/>
      <c r="O17" s="63"/>
      <c r="P17" s="63"/>
      <c r="Q17" s="63"/>
      <c r="R17" s="63"/>
      <c r="S17" s="63"/>
      <c r="T17" s="63"/>
      <c r="U17" s="63"/>
    </row>
    <row r="18" spans="1:21" s="15" customFormat="1" ht="11.5" customHeight="1" x14ac:dyDescent="0.35">
      <c r="A18" s="11"/>
      <c r="B18" s="11"/>
      <c r="C18" s="12" t="s">
        <v>430</v>
      </c>
      <c r="D18" s="13"/>
      <c r="E18" s="13"/>
      <c r="F18" s="14"/>
      <c r="G18" s="14">
        <v>2679</v>
      </c>
      <c r="H18" s="14"/>
      <c r="I18" s="50"/>
      <c r="J18" s="63"/>
      <c r="K18" s="78"/>
      <c r="L18" s="63"/>
      <c r="M18" s="78"/>
      <c r="N18" s="63"/>
      <c r="O18" s="63"/>
      <c r="P18" s="63"/>
      <c r="Q18" s="63"/>
      <c r="R18" s="63"/>
      <c r="S18" s="63"/>
      <c r="T18" s="63"/>
      <c r="U18" s="63"/>
    </row>
    <row r="19" spans="1:21" s="15" customFormat="1" ht="11.5" customHeight="1" x14ac:dyDescent="0.35">
      <c r="A19" s="11"/>
      <c r="B19" s="11"/>
      <c r="C19" s="12" t="s">
        <v>432</v>
      </c>
      <c r="D19" s="13"/>
      <c r="E19" s="13"/>
      <c r="F19" s="14"/>
      <c r="G19" s="14">
        <v>1501</v>
      </c>
      <c r="H19" s="14"/>
      <c r="I19" s="50"/>
      <c r="J19" s="63"/>
      <c r="K19" s="78"/>
      <c r="L19" s="63"/>
      <c r="M19" s="78"/>
      <c r="N19" s="63"/>
      <c r="O19" s="63"/>
      <c r="P19" s="63"/>
      <c r="Q19" s="63"/>
      <c r="R19" s="63"/>
      <c r="S19" s="63"/>
      <c r="T19" s="63"/>
      <c r="U19" s="63"/>
    </row>
    <row r="20" spans="1:21" s="15" customFormat="1" ht="11.5" customHeight="1" x14ac:dyDescent="0.35">
      <c r="A20" s="11"/>
      <c r="B20" s="11"/>
      <c r="C20" s="12" t="s">
        <v>434</v>
      </c>
      <c r="D20" s="13"/>
      <c r="E20" s="13"/>
      <c r="F20" s="14"/>
      <c r="G20" s="14">
        <v>2439</v>
      </c>
      <c r="H20" s="14"/>
      <c r="I20" s="50"/>
      <c r="J20" s="63"/>
      <c r="K20" s="78"/>
      <c r="L20" s="63"/>
      <c r="M20" s="78"/>
      <c r="N20" s="63"/>
      <c r="O20" s="63"/>
      <c r="P20" s="63"/>
      <c r="Q20" s="63"/>
      <c r="R20" s="63"/>
      <c r="S20" s="63"/>
      <c r="T20" s="63"/>
      <c r="U20" s="63"/>
    </row>
    <row r="21" spans="1:21" s="15" customFormat="1" ht="11.5" customHeight="1" x14ac:dyDescent="0.35">
      <c r="A21" s="11"/>
      <c r="B21" s="11"/>
      <c r="C21" s="12" t="s">
        <v>435</v>
      </c>
      <c r="D21" s="13"/>
      <c r="E21" s="13"/>
      <c r="F21" s="14"/>
      <c r="G21" s="14">
        <v>2171</v>
      </c>
      <c r="H21" s="14"/>
      <c r="I21" s="50"/>
      <c r="J21" s="63"/>
      <c r="K21" s="78"/>
      <c r="L21" s="63"/>
      <c r="M21" s="78"/>
      <c r="N21" s="63"/>
      <c r="O21" s="63"/>
      <c r="P21" s="63"/>
      <c r="Q21" s="63"/>
      <c r="R21" s="63"/>
      <c r="S21" s="63"/>
      <c r="T21" s="63"/>
      <c r="U21" s="63"/>
    </row>
    <row r="22" spans="1:21" s="15" customFormat="1" ht="11.5" customHeight="1" x14ac:dyDescent="0.35">
      <c r="A22" s="11"/>
      <c r="B22" s="11"/>
      <c r="C22" s="12" t="s">
        <v>436</v>
      </c>
      <c r="D22" s="13"/>
      <c r="E22" s="13"/>
      <c r="F22" s="14"/>
      <c r="G22" s="14"/>
      <c r="H22" s="14"/>
      <c r="I22" s="50">
        <v>2292</v>
      </c>
      <c r="J22" s="63"/>
      <c r="K22" s="78"/>
      <c r="L22" s="63"/>
      <c r="M22" s="78"/>
      <c r="N22" s="63"/>
      <c r="O22" s="63"/>
      <c r="P22" s="63"/>
      <c r="Q22" s="63"/>
      <c r="R22" s="63"/>
      <c r="S22" s="63"/>
      <c r="T22" s="63"/>
      <c r="U22" s="63"/>
    </row>
    <row r="23" spans="1:21" s="15" customFormat="1" ht="11.5" customHeight="1" x14ac:dyDescent="0.35">
      <c r="A23" s="11"/>
      <c r="B23" s="11"/>
      <c r="C23" s="12" t="s">
        <v>437</v>
      </c>
      <c r="D23" s="13"/>
      <c r="E23" s="13"/>
      <c r="F23" s="14"/>
      <c r="G23" s="14"/>
      <c r="H23" s="14"/>
      <c r="I23" s="50">
        <v>2151</v>
      </c>
      <c r="J23" s="63"/>
      <c r="K23" s="78"/>
      <c r="L23" s="63"/>
      <c r="M23" s="78"/>
      <c r="N23" s="63"/>
      <c r="O23" s="63"/>
      <c r="P23" s="63"/>
      <c r="Q23" s="63"/>
      <c r="R23" s="63"/>
      <c r="S23" s="63"/>
      <c r="T23" s="63"/>
      <c r="U23" s="63"/>
    </row>
    <row r="24" spans="1:21" s="15" customFormat="1" ht="11.5" customHeight="1" x14ac:dyDescent="0.35">
      <c r="A24" s="11"/>
      <c r="B24" s="11"/>
      <c r="C24" s="12" t="s">
        <v>438</v>
      </c>
      <c r="D24" s="13"/>
      <c r="E24" s="13"/>
      <c r="F24" s="14"/>
      <c r="G24" s="14"/>
      <c r="H24" s="14"/>
      <c r="I24" s="50">
        <v>1907</v>
      </c>
      <c r="J24" s="63"/>
      <c r="K24" s="78"/>
      <c r="L24" s="63"/>
      <c r="M24" s="78"/>
      <c r="N24" s="63"/>
      <c r="O24" s="63"/>
      <c r="P24" s="63"/>
      <c r="Q24" s="63"/>
      <c r="R24" s="63"/>
      <c r="S24" s="63"/>
      <c r="T24" s="63"/>
      <c r="U24" s="63"/>
    </row>
    <row r="25" spans="1:21" s="15" customFormat="1" ht="11.5" customHeight="1" x14ac:dyDescent="0.35">
      <c r="A25" s="11"/>
      <c r="B25" s="11"/>
      <c r="C25" s="12" t="s">
        <v>439</v>
      </c>
      <c r="D25" s="13"/>
      <c r="E25" s="13"/>
      <c r="F25" s="14"/>
      <c r="G25" s="14"/>
      <c r="H25" s="14"/>
      <c r="I25" s="50">
        <v>2028</v>
      </c>
      <c r="J25" s="63"/>
      <c r="K25" s="78"/>
      <c r="L25" s="63"/>
      <c r="M25" s="78"/>
      <c r="N25" s="63"/>
      <c r="O25" s="63"/>
      <c r="P25" s="63"/>
      <c r="Q25" s="63"/>
      <c r="R25" s="63"/>
      <c r="S25" s="63"/>
      <c r="T25" s="63"/>
      <c r="U25" s="63"/>
    </row>
    <row r="26" spans="1:21" s="15" customFormat="1" ht="11.5" customHeight="1" x14ac:dyDescent="0.35">
      <c r="A26" s="11"/>
      <c r="B26" s="11"/>
      <c r="C26" s="12" t="s">
        <v>440</v>
      </c>
      <c r="D26" s="13"/>
      <c r="E26" s="13"/>
      <c r="F26" s="14"/>
      <c r="G26" s="14"/>
      <c r="H26" s="14"/>
      <c r="I26" s="50">
        <f>1843+7*12</f>
        <v>1927</v>
      </c>
      <c r="J26" s="63"/>
      <c r="K26" s="78"/>
      <c r="L26" s="63"/>
      <c r="M26" s="78"/>
      <c r="N26" s="63"/>
      <c r="O26" s="63"/>
      <c r="P26" s="63"/>
      <c r="Q26" s="63"/>
      <c r="R26" s="63"/>
      <c r="S26" s="63"/>
      <c r="T26" s="63"/>
      <c r="U26" s="63"/>
    </row>
    <row r="27" spans="1:21" s="15" customFormat="1" ht="11.5" customHeight="1" x14ac:dyDescent="0.35">
      <c r="A27" s="11"/>
      <c r="B27" s="11"/>
      <c r="C27" s="12" t="s">
        <v>441</v>
      </c>
      <c r="D27" s="13"/>
      <c r="E27" s="13"/>
      <c r="F27" s="14"/>
      <c r="G27" s="14"/>
      <c r="H27" s="14"/>
      <c r="I27" s="50">
        <v>2045</v>
      </c>
      <c r="J27" s="63"/>
      <c r="K27" s="78"/>
      <c r="L27" s="63"/>
      <c r="M27" s="78"/>
      <c r="N27" s="63"/>
      <c r="O27" s="63"/>
      <c r="P27" s="63"/>
      <c r="Q27" s="63"/>
      <c r="R27" s="63"/>
      <c r="S27" s="63"/>
      <c r="T27" s="63"/>
      <c r="U27" s="63"/>
    </row>
    <row r="28" spans="1:21" s="15" customFormat="1" ht="11.5" customHeight="1" x14ac:dyDescent="0.35">
      <c r="A28" s="11"/>
      <c r="B28" s="11"/>
      <c r="C28" s="12" t="s">
        <v>442</v>
      </c>
      <c r="D28" s="13"/>
      <c r="E28" s="13"/>
      <c r="F28" s="14"/>
      <c r="G28" s="14"/>
      <c r="H28" s="14"/>
      <c r="I28" s="50"/>
      <c r="J28" s="63"/>
      <c r="K28" s="78"/>
      <c r="L28" s="63"/>
      <c r="M28" s="78">
        <v>1901</v>
      </c>
      <c r="N28" s="63"/>
      <c r="O28" s="63"/>
      <c r="P28" s="63"/>
      <c r="Q28" s="63"/>
      <c r="R28" s="63"/>
      <c r="S28" s="63"/>
      <c r="T28" s="63"/>
      <c r="U28" s="63"/>
    </row>
    <row r="29" spans="1:21" s="15" customFormat="1" ht="11.5" customHeight="1" x14ac:dyDescent="0.35">
      <c r="A29" s="11"/>
      <c r="B29" s="11"/>
      <c r="C29" s="12" t="s">
        <v>443</v>
      </c>
      <c r="D29" s="13"/>
      <c r="E29" s="13"/>
      <c r="F29" s="14"/>
      <c r="G29" s="14"/>
      <c r="H29" s="14"/>
      <c r="I29" s="50"/>
      <c r="J29" s="63"/>
      <c r="K29" s="78"/>
      <c r="L29" s="63"/>
      <c r="M29" s="78">
        <v>1883</v>
      </c>
      <c r="N29" s="63"/>
      <c r="O29" s="63"/>
      <c r="P29" s="63"/>
      <c r="Q29" s="63"/>
      <c r="R29" s="63"/>
      <c r="S29" s="63"/>
      <c r="T29" s="63"/>
      <c r="U29" s="63"/>
    </row>
    <row r="30" spans="1:21" s="15" customFormat="1" ht="11.5" customHeight="1" x14ac:dyDescent="0.35">
      <c r="A30" s="11"/>
      <c r="B30" s="11"/>
      <c r="C30" s="12" t="s">
        <v>444</v>
      </c>
      <c r="D30" s="13"/>
      <c r="E30" s="13"/>
      <c r="F30" s="14"/>
      <c r="G30" s="14"/>
      <c r="H30" s="14"/>
      <c r="I30" s="50"/>
      <c r="J30" s="63"/>
      <c r="K30" s="78"/>
      <c r="L30" s="63"/>
      <c r="M30" s="78">
        <v>1883</v>
      </c>
      <c r="N30" s="63"/>
      <c r="O30" s="63"/>
      <c r="P30" s="63"/>
      <c r="Q30" s="63"/>
      <c r="R30" s="63"/>
      <c r="S30" s="63"/>
      <c r="T30" s="63"/>
      <c r="U30" s="63"/>
    </row>
    <row r="31" spans="1:21" s="15" customFormat="1" ht="11.5" customHeight="1" x14ac:dyDescent="0.35">
      <c r="A31" s="11"/>
      <c r="B31" s="11"/>
      <c r="C31" s="12" t="s">
        <v>445</v>
      </c>
      <c r="D31" s="13"/>
      <c r="E31" s="13"/>
      <c r="F31" s="14"/>
      <c r="G31" s="14"/>
      <c r="H31" s="14"/>
      <c r="I31" s="50"/>
      <c r="J31" s="63"/>
      <c r="K31" s="78"/>
      <c r="L31" s="63"/>
      <c r="M31" s="78">
        <v>1730</v>
      </c>
      <c r="N31" s="63"/>
      <c r="O31" s="63"/>
      <c r="P31" s="63"/>
      <c r="Q31" s="63"/>
      <c r="R31" s="63"/>
      <c r="S31" s="63"/>
      <c r="T31" s="63"/>
      <c r="U31" s="63"/>
    </row>
    <row r="32" spans="1:21" s="15" customFormat="1" ht="11.5" customHeight="1" x14ac:dyDescent="0.35">
      <c r="A32" s="11"/>
      <c r="B32" s="11"/>
      <c r="C32" s="12" t="s">
        <v>446</v>
      </c>
      <c r="D32" s="13"/>
      <c r="E32" s="13"/>
      <c r="F32" s="14"/>
      <c r="G32" s="14"/>
      <c r="H32" s="14"/>
      <c r="I32" s="50"/>
      <c r="J32" s="63"/>
      <c r="K32" s="78"/>
      <c r="L32" s="63"/>
      <c r="M32" s="78">
        <v>1830</v>
      </c>
      <c r="N32" s="63"/>
      <c r="O32" s="63"/>
      <c r="P32" s="63"/>
      <c r="Q32" s="63"/>
      <c r="R32" s="63"/>
      <c r="S32" s="63"/>
      <c r="T32" s="63"/>
      <c r="U32" s="63"/>
    </row>
    <row r="33" spans="1:21" s="15" customFormat="1" ht="11.5" customHeight="1" x14ac:dyDescent="0.35">
      <c r="A33" s="11"/>
      <c r="B33" s="11"/>
      <c r="C33" s="12" t="s">
        <v>447</v>
      </c>
      <c r="D33" s="13"/>
      <c r="E33" s="13"/>
      <c r="F33" s="14"/>
      <c r="G33" s="14"/>
      <c r="H33" s="14"/>
      <c r="I33" s="50"/>
      <c r="J33" s="63"/>
      <c r="K33" s="78"/>
      <c r="L33" s="63"/>
      <c r="M33" s="78">
        <v>2113</v>
      </c>
      <c r="N33" s="63"/>
      <c r="O33" s="63"/>
      <c r="P33" s="63"/>
      <c r="Q33" s="63"/>
      <c r="R33" s="63"/>
      <c r="S33" s="63"/>
      <c r="T33" s="63"/>
      <c r="U33" s="63"/>
    </row>
    <row r="34" spans="1:21" s="15" customFormat="1" ht="11.5" customHeight="1" x14ac:dyDescent="0.35">
      <c r="A34" s="11"/>
      <c r="B34" s="11"/>
      <c r="C34" s="12" t="s">
        <v>448</v>
      </c>
      <c r="D34" s="13"/>
      <c r="E34" s="13"/>
      <c r="F34" s="14"/>
      <c r="G34" s="14"/>
      <c r="H34" s="14"/>
      <c r="I34" s="50"/>
      <c r="J34" s="63"/>
      <c r="K34" s="78"/>
      <c r="L34" s="63"/>
      <c r="M34" s="78">
        <v>1865</v>
      </c>
      <c r="N34" s="63"/>
      <c r="O34" s="63"/>
      <c r="P34" s="63"/>
      <c r="Q34" s="63"/>
      <c r="R34" s="63"/>
      <c r="S34" s="63"/>
      <c r="T34" s="63"/>
      <c r="U34" s="63"/>
    </row>
    <row r="35" spans="1:21" s="15" customFormat="1" ht="11.5" customHeight="1" x14ac:dyDescent="0.35">
      <c r="A35" s="11"/>
      <c r="B35" s="11"/>
      <c r="C35" s="12" t="s">
        <v>449</v>
      </c>
      <c r="D35" s="13"/>
      <c r="E35" s="13"/>
      <c r="F35" s="14"/>
      <c r="G35" s="14"/>
      <c r="H35" s="14"/>
      <c r="I35" s="50"/>
      <c r="J35" s="63"/>
      <c r="K35" s="78"/>
      <c r="L35" s="63"/>
      <c r="M35" s="78">
        <v>1541</v>
      </c>
      <c r="N35" s="63"/>
      <c r="O35" s="63"/>
      <c r="P35" s="63"/>
      <c r="Q35" s="63"/>
      <c r="R35" s="63"/>
      <c r="S35" s="63"/>
      <c r="T35" s="63"/>
      <c r="U35" s="63"/>
    </row>
    <row r="36" spans="1:21" s="15" customFormat="1" ht="11.5" customHeight="1" x14ac:dyDescent="0.35">
      <c r="A36" s="11"/>
      <c r="B36" s="11"/>
      <c r="C36" s="12" t="s">
        <v>450</v>
      </c>
      <c r="D36" s="13"/>
      <c r="E36" s="13"/>
      <c r="F36" s="14"/>
      <c r="G36" s="14"/>
      <c r="H36" s="14"/>
      <c r="I36" s="50"/>
      <c r="J36" s="63"/>
      <c r="K36" s="78"/>
      <c r="L36" s="63"/>
      <c r="M36" s="78">
        <v>1768</v>
      </c>
      <c r="N36" s="63"/>
      <c r="O36" s="63"/>
      <c r="P36" s="63"/>
      <c r="Q36" s="63"/>
      <c r="R36" s="63"/>
      <c r="S36" s="63"/>
      <c r="T36" s="63"/>
      <c r="U36" s="63"/>
    </row>
    <row r="37" spans="1:21" s="15" customFormat="1" ht="11.5" customHeight="1" x14ac:dyDescent="0.35">
      <c r="A37" s="11"/>
      <c r="B37" s="11"/>
      <c r="C37" s="12" t="s">
        <v>451</v>
      </c>
      <c r="D37" s="13"/>
      <c r="E37" s="13"/>
      <c r="F37" s="14"/>
      <c r="G37" s="14"/>
      <c r="H37" s="14"/>
      <c r="I37" s="50"/>
      <c r="J37" s="63"/>
      <c r="K37" s="78"/>
      <c r="L37" s="63"/>
      <c r="M37" s="78">
        <v>1676</v>
      </c>
      <c r="N37" s="63"/>
      <c r="O37" s="63"/>
      <c r="P37" s="63"/>
      <c r="Q37" s="63"/>
      <c r="R37" s="63"/>
      <c r="S37" s="63"/>
      <c r="T37" s="63"/>
      <c r="U37" s="63"/>
    </row>
    <row r="38" spans="1:21" s="15" customFormat="1" ht="11.5" customHeight="1" x14ac:dyDescent="0.35">
      <c r="A38" s="11"/>
      <c r="B38" s="11"/>
      <c r="C38" s="12" t="s">
        <v>452</v>
      </c>
      <c r="D38" s="13"/>
      <c r="E38" s="13"/>
      <c r="F38" s="14"/>
      <c r="G38" s="14"/>
      <c r="H38" s="14"/>
      <c r="I38" s="50"/>
      <c r="J38" s="63"/>
      <c r="K38" s="78"/>
      <c r="L38" s="63"/>
      <c r="M38" s="78">
        <v>1761</v>
      </c>
      <c r="N38" s="63"/>
      <c r="O38" s="63"/>
      <c r="P38" s="63"/>
      <c r="Q38" s="63"/>
      <c r="R38" s="63"/>
      <c r="S38" s="63"/>
      <c r="T38" s="63"/>
      <c r="U38" s="63"/>
    </row>
    <row r="39" spans="1:21" s="15" customFormat="1" ht="11.5" customHeight="1" x14ac:dyDescent="0.35">
      <c r="A39" s="11"/>
      <c r="B39" s="11"/>
      <c r="C39" s="12" t="s">
        <v>453</v>
      </c>
      <c r="D39" s="13"/>
      <c r="E39" s="13"/>
      <c r="F39" s="14"/>
      <c r="G39" s="14"/>
      <c r="H39" s="14"/>
      <c r="I39" s="50"/>
      <c r="J39" s="63"/>
      <c r="K39" s="78"/>
      <c r="L39" s="63"/>
      <c r="M39" s="78">
        <v>2875</v>
      </c>
      <c r="N39" s="63"/>
      <c r="O39" s="63"/>
      <c r="P39" s="63"/>
      <c r="Q39" s="63"/>
      <c r="R39" s="63"/>
      <c r="S39" s="63"/>
      <c r="T39" s="63"/>
      <c r="U39" s="63"/>
    </row>
    <row r="40" spans="1:21" s="15" customFormat="1" ht="11.5" customHeight="1" x14ac:dyDescent="0.35">
      <c r="A40" s="11"/>
      <c r="B40" s="11"/>
      <c r="C40" s="12" t="s">
        <v>454</v>
      </c>
      <c r="D40" s="13"/>
      <c r="E40" s="13"/>
      <c r="F40" s="14"/>
      <c r="G40" s="14"/>
      <c r="H40" s="14"/>
      <c r="I40" s="50"/>
      <c r="J40" s="63"/>
      <c r="K40" s="78"/>
      <c r="L40" s="63"/>
      <c r="M40" s="78">
        <v>3111</v>
      </c>
      <c r="N40" s="63"/>
      <c r="O40" s="63"/>
      <c r="P40" s="63"/>
      <c r="Q40" s="63"/>
      <c r="R40" s="63"/>
      <c r="S40" s="63"/>
      <c r="T40" s="63"/>
      <c r="U40" s="63"/>
    </row>
    <row r="41" spans="1:21" s="15" customFormat="1" ht="11.5" customHeight="1" x14ac:dyDescent="0.35">
      <c r="A41" s="11"/>
      <c r="B41" s="11"/>
      <c r="C41" s="12" t="s">
        <v>455</v>
      </c>
      <c r="D41" s="13"/>
      <c r="E41" s="13"/>
      <c r="F41" s="14"/>
      <c r="G41" s="14"/>
      <c r="H41" s="14"/>
      <c r="I41" s="50"/>
      <c r="J41" s="63"/>
      <c r="K41" s="78"/>
      <c r="L41" s="63"/>
      <c r="M41" s="78">
        <v>1786</v>
      </c>
      <c r="N41" s="63"/>
      <c r="O41" s="63"/>
      <c r="P41" s="63"/>
      <c r="Q41" s="63"/>
      <c r="R41" s="63"/>
      <c r="S41" s="63"/>
      <c r="T41" s="63"/>
      <c r="U41" s="63"/>
    </row>
    <row r="42" spans="1:21" s="15" customFormat="1" ht="11.5" customHeight="1" x14ac:dyDescent="0.35">
      <c r="A42" s="11"/>
      <c r="B42" s="11"/>
      <c r="C42" s="12" t="s">
        <v>456</v>
      </c>
      <c r="D42" s="13"/>
      <c r="E42" s="13"/>
      <c r="F42" s="14"/>
      <c r="G42" s="14"/>
      <c r="H42" s="14"/>
      <c r="I42" s="50"/>
      <c r="J42" s="63"/>
      <c r="K42" s="78"/>
      <c r="L42" s="63"/>
      <c r="M42" s="78">
        <v>2574</v>
      </c>
      <c r="N42" s="63"/>
      <c r="O42" s="63"/>
      <c r="P42" s="63"/>
      <c r="Q42" s="63"/>
      <c r="R42" s="63"/>
      <c r="S42" s="63"/>
      <c r="T42" s="63"/>
      <c r="U42" s="63"/>
    </row>
    <row r="43" spans="1:21" s="15" customFormat="1" ht="11.5" customHeight="1" x14ac:dyDescent="0.35">
      <c r="A43" s="11"/>
      <c r="B43" s="11"/>
      <c r="C43" s="12" t="s">
        <v>457</v>
      </c>
      <c r="D43" s="13"/>
      <c r="E43" s="13"/>
      <c r="F43" s="14"/>
      <c r="G43" s="14"/>
      <c r="H43" s="14"/>
      <c r="I43" s="50"/>
      <c r="J43" s="63"/>
      <c r="K43" s="78"/>
      <c r="L43" s="63"/>
      <c r="M43" s="78">
        <v>2484</v>
      </c>
      <c r="N43" s="63"/>
      <c r="O43" s="63"/>
      <c r="P43" s="63"/>
      <c r="Q43" s="63"/>
      <c r="R43" s="63"/>
      <c r="S43" s="63"/>
      <c r="T43" s="63"/>
      <c r="U43" s="63"/>
    </row>
    <row r="44" spans="1:21" s="15" customFormat="1" ht="11.5" customHeight="1" x14ac:dyDescent="0.35">
      <c r="A44" s="11"/>
      <c r="B44" s="11"/>
      <c r="C44" s="12" t="s">
        <v>458</v>
      </c>
      <c r="D44" s="13"/>
      <c r="E44" s="13"/>
      <c r="F44" s="14"/>
      <c r="G44" s="14"/>
      <c r="H44" s="14"/>
      <c r="I44" s="50"/>
      <c r="J44" s="63"/>
      <c r="K44" s="78"/>
      <c r="L44" s="63"/>
      <c r="M44" s="78">
        <v>0</v>
      </c>
      <c r="N44" s="63"/>
      <c r="O44" s="63"/>
      <c r="P44" s="63"/>
      <c r="Q44" s="63"/>
      <c r="R44" s="63"/>
      <c r="S44" s="63"/>
      <c r="T44" s="63"/>
      <c r="U44" s="63"/>
    </row>
    <row r="45" spans="1:21" s="15" customFormat="1" ht="11.5" customHeight="1" x14ac:dyDescent="0.35">
      <c r="A45" s="11"/>
      <c r="B45" s="11"/>
      <c r="C45" s="12" t="s">
        <v>459</v>
      </c>
      <c r="D45" s="13"/>
      <c r="E45" s="13"/>
      <c r="F45" s="14"/>
      <c r="G45" s="14"/>
      <c r="H45" s="14"/>
      <c r="I45" s="50"/>
      <c r="J45" s="63"/>
      <c r="K45" s="78"/>
      <c r="L45" s="63"/>
      <c r="M45" s="78">
        <v>1687</v>
      </c>
      <c r="N45" s="63"/>
      <c r="O45" s="63"/>
      <c r="P45" s="63"/>
      <c r="Q45" s="63"/>
      <c r="R45" s="63"/>
      <c r="S45" s="63"/>
      <c r="T45" s="63"/>
      <c r="U45" s="63"/>
    </row>
    <row r="46" spans="1:21" s="15" customFormat="1" ht="11.5" customHeight="1" x14ac:dyDescent="0.35">
      <c r="A46" s="11"/>
      <c r="B46" s="11"/>
      <c r="C46" s="12" t="s">
        <v>461</v>
      </c>
      <c r="D46" s="13"/>
      <c r="E46" s="13"/>
      <c r="F46" s="14"/>
      <c r="G46" s="14"/>
      <c r="H46" s="14"/>
      <c r="I46" s="50"/>
      <c r="J46" s="63"/>
      <c r="K46" s="78"/>
      <c r="L46" s="63"/>
      <c r="M46" s="78">
        <v>2392</v>
      </c>
      <c r="N46" s="63"/>
      <c r="O46" s="63"/>
      <c r="P46" s="63"/>
      <c r="Q46" s="63"/>
      <c r="R46" s="63"/>
      <c r="S46" s="63"/>
      <c r="T46" s="63"/>
      <c r="U46" s="63"/>
    </row>
    <row r="47" spans="1:21" s="15" customFormat="1" ht="11.5" customHeight="1" x14ac:dyDescent="0.35">
      <c r="A47" s="11"/>
      <c r="B47" s="11"/>
      <c r="C47" s="12" t="s">
        <v>462</v>
      </c>
      <c r="D47" s="13"/>
      <c r="E47" s="13"/>
      <c r="F47" s="14"/>
      <c r="G47" s="14"/>
      <c r="H47" s="14"/>
      <c r="I47" s="50"/>
      <c r="J47" s="63"/>
      <c r="K47" s="78"/>
      <c r="L47" s="63"/>
      <c r="M47" s="78">
        <v>1717</v>
      </c>
      <c r="N47" s="63"/>
      <c r="O47" s="63"/>
      <c r="P47" s="63"/>
      <c r="Q47" s="63"/>
      <c r="R47" s="63"/>
      <c r="S47" s="63"/>
      <c r="T47" s="63"/>
      <c r="U47" s="63"/>
    </row>
    <row r="48" spans="1:21" s="15" customFormat="1" ht="11.5" customHeight="1" x14ac:dyDescent="0.35">
      <c r="A48" s="11"/>
      <c r="B48" s="11"/>
      <c r="C48" s="12" t="s">
        <v>460</v>
      </c>
      <c r="D48" s="13"/>
      <c r="E48" s="13"/>
      <c r="F48" s="14"/>
      <c r="G48" s="14"/>
      <c r="H48" s="14"/>
      <c r="I48" s="50"/>
      <c r="J48" s="63"/>
      <c r="K48" s="78"/>
      <c r="L48" s="63"/>
      <c r="M48" s="78">
        <v>1797</v>
      </c>
      <c r="N48" s="63"/>
      <c r="O48" s="63"/>
      <c r="P48" s="63"/>
      <c r="Q48" s="63"/>
      <c r="R48" s="63"/>
      <c r="S48" s="63"/>
      <c r="T48" s="63"/>
      <c r="U48" s="63"/>
    </row>
    <row r="49" spans="1:21" s="15" customFormat="1" ht="11.5" customHeight="1" x14ac:dyDescent="0.35">
      <c r="A49" s="11"/>
      <c r="B49" s="11"/>
      <c r="C49" s="12" t="s">
        <v>463</v>
      </c>
      <c r="D49" s="13"/>
      <c r="E49" s="13"/>
      <c r="F49" s="14"/>
      <c r="G49" s="14"/>
      <c r="H49" s="14"/>
      <c r="I49" s="50"/>
      <c r="J49" s="63"/>
      <c r="K49" s="78"/>
      <c r="L49" s="63"/>
      <c r="M49" s="78">
        <v>1830</v>
      </c>
      <c r="N49" s="63"/>
      <c r="O49" s="63"/>
      <c r="P49" s="63"/>
      <c r="Q49" s="63"/>
      <c r="R49" s="63"/>
      <c r="S49" s="63"/>
      <c r="T49" s="63"/>
      <c r="U49" s="63"/>
    </row>
    <row r="50" spans="1:21" s="15" customFormat="1" ht="11.5" customHeight="1" x14ac:dyDescent="0.35">
      <c r="A50" s="11"/>
      <c r="B50" s="11"/>
      <c r="C50" s="12" t="s">
        <v>464</v>
      </c>
      <c r="D50" s="13"/>
      <c r="E50" s="13"/>
      <c r="F50" s="14"/>
      <c r="G50" s="14"/>
      <c r="H50" s="14"/>
      <c r="I50" s="50"/>
      <c r="J50" s="63"/>
      <c r="K50" s="78"/>
      <c r="L50" s="63"/>
      <c r="M50" s="78">
        <v>2156</v>
      </c>
      <c r="N50" s="63"/>
      <c r="O50" s="63"/>
      <c r="P50" s="63"/>
      <c r="Q50" s="63"/>
      <c r="R50" s="63"/>
      <c r="S50" s="63"/>
      <c r="T50" s="63"/>
      <c r="U50" s="63"/>
    </row>
    <row r="51" spans="1:21" s="15" customFormat="1" ht="11.5" customHeight="1" x14ac:dyDescent="0.35">
      <c r="A51" s="11"/>
      <c r="B51" s="11"/>
      <c r="C51" s="12" t="s">
        <v>465</v>
      </c>
      <c r="D51" s="13"/>
      <c r="E51" s="13"/>
      <c r="F51" s="14"/>
      <c r="G51" s="14"/>
      <c r="H51" s="14"/>
      <c r="I51" s="50"/>
      <c r="J51" s="63"/>
      <c r="K51" s="78"/>
      <c r="L51" s="63"/>
      <c r="M51" s="78">
        <v>2264</v>
      </c>
      <c r="N51" s="63"/>
      <c r="O51" s="63"/>
      <c r="P51" s="63"/>
      <c r="Q51" s="63"/>
      <c r="R51" s="63"/>
      <c r="S51" s="63"/>
      <c r="T51" s="63"/>
      <c r="U51" s="63"/>
    </row>
    <row r="52" spans="1:21" s="15" customFormat="1" ht="11.5" customHeight="1" x14ac:dyDescent="0.35">
      <c r="A52" s="11"/>
      <c r="B52" s="11"/>
      <c r="C52" s="12" t="s">
        <v>466</v>
      </c>
      <c r="D52" s="13"/>
      <c r="E52" s="13"/>
      <c r="F52" s="14"/>
      <c r="G52" s="14"/>
      <c r="H52" s="14"/>
      <c r="I52" s="50"/>
      <c r="J52" s="63"/>
      <c r="K52" s="78"/>
      <c r="L52" s="63"/>
      <c r="M52" s="78">
        <v>1888</v>
      </c>
      <c r="N52" s="63"/>
      <c r="O52" s="63"/>
      <c r="P52" s="63"/>
      <c r="Q52" s="63"/>
      <c r="R52" s="63"/>
      <c r="S52" s="63"/>
      <c r="T52" s="63"/>
      <c r="U52" s="63"/>
    </row>
    <row r="53" spans="1:21" s="15" customFormat="1" ht="11.5" customHeight="1" x14ac:dyDescent="0.35">
      <c r="A53" s="11"/>
      <c r="B53" s="11"/>
      <c r="C53" s="12" t="s">
        <v>467</v>
      </c>
      <c r="D53" s="13"/>
      <c r="E53" s="13"/>
      <c r="F53" s="14"/>
      <c r="G53" s="14"/>
      <c r="H53" s="14"/>
      <c r="I53" s="50"/>
      <c r="J53" s="63"/>
      <c r="K53" s="78"/>
      <c r="L53" s="63"/>
      <c r="M53" s="78">
        <v>3600</v>
      </c>
      <c r="N53" s="63"/>
      <c r="O53" s="63"/>
      <c r="P53" s="63"/>
      <c r="Q53" s="63"/>
      <c r="R53" s="63"/>
      <c r="S53" s="63"/>
      <c r="T53" s="63"/>
      <c r="U53" s="63"/>
    </row>
    <row r="54" spans="1:21" s="15" customFormat="1" ht="11.5" customHeight="1" x14ac:dyDescent="0.35">
      <c r="A54" s="11"/>
      <c r="B54" s="11"/>
      <c r="C54" s="12" t="s">
        <v>1240</v>
      </c>
      <c r="D54" s="13"/>
      <c r="E54" s="13"/>
      <c r="F54" s="14"/>
      <c r="G54" s="14"/>
      <c r="H54" s="14"/>
      <c r="I54" s="50"/>
      <c r="J54" s="63"/>
      <c r="K54" s="78"/>
      <c r="L54" s="63"/>
      <c r="M54" s="78">
        <f>60*3*12</f>
        <v>2160</v>
      </c>
      <c r="N54" s="63"/>
      <c r="O54" s="63"/>
      <c r="P54" s="63"/>
      <c r="Q54" s="63"/>
      <c r="R54" s="63"/>
      <c r="S54" s="63"/>
      <c r="T54" s="63"/>
      <c r="U54" s="63"/>
    </row>
    <row r="55" spans="1:21" s="3" customFormat="1" ht="12.75" customHeight="1" x14ac:dyDescent="0.35">
      <c r="A55" s="7" t="s">
        <v>7</v>
      </c>
      <c r="B55" s="7" t="s">
        <v>8</v>
      </c>
      <c r="C55" s="8" t="s">
        <v>9</v>
      </c>
      <c r="D55" s="9">
        <f t="shared" ref="D55:E57" si="0">F55+H55+J55+L55+N55+P55+R55</f>
        <v>0</v>
      </c>
      <c r="E55" s="9">
        <f t="shared" si="0"/>
        <v>0</v>
      </c>
      <c r="F55" s="10">
        <v>0</v>
      </c>
      <c r="G55" s="10">
        <v>0</v>
      </c>
      <c r="H55" s="10">
        <v>0</v>
      </c>
      <c r="I55" s="49">
        <v>0</v>
      </c>
      <c r="J55" s="62">
        <v>0</v>
      </c>
      <c r="K55" s="62">
        <v>0</v>
      </c>
      <c r="L55" s="62">
        <v>0</v>
      </c>
      <c r="M55" s="77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/>
      <c r="T55" s="62"/>
      <c r="U55" s="62"/>
    </row>
    <row r="56" spans="1:21" s="3" customFormat="1" ht="12.75" customHeight="1" x14ac:dyDescent="0.35">
      <c r="A56" s="7" t="s">
        <v>10</v>
      </c>
      <c r="B56" s="7" t="s">
        <v>11</v>
      </c>
      <c r="C56" s="8" t="s">
        <v>12</v>
      </c>
      <c r="D56" s="9">
        <f t="shared" si="0"/>
        <v>0</v>
      </c>
      <c r="E56" s="9">
        <f t="shared" si="0"/>
        <v>0</v>
      </c>
      <c r="F56" s="10">
        <v>0</v>
      </c>
      <c r="G56" s="10">
        <v>0</v>
      </c>
      <c r="H56" s="10">
        <v>0</v>
      </c>
      <c r="I56" s="49">
        <v>0</v>
      </c>
      <c r="J56" s="62">
        <v>0</v>
      </c>
      <c r="K56" s="62">
        <v>0</v>
      </c>
      <c r="L56" s="62">
        <v>0</v>
      </c>
      <c r="M56" s="77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  <c r="S56" s="62"/>
      <c r="T56" s="62"/>
      <c r="U56" s="62"/>
    </row>
    <row r="57" spans="1:21" s="3" customFormat="1" ht="12.75" customHeight="1" x14ac:dyDescent="0.35">
      <c r="A57" s="7" t="s">
        <v>13</v>
      </c>
      <c r="B57" s="7" t="s">
        <v>14</v>
      </c>
      <c r="C57" s="8" t="s">
        <v>15</v>
      </c>
      <c r="D57" s="9">
        <f t="shared" si="0"/>
        <v>2600</v>
      </c>
      <c r="E57" s="9">
        <f t="shared" si="0"/>
        <v>2600</v>
      </c>
      <c r="F57" s="10">
        <f>SUM(F58:F59)</f>
        <v>900</v>
      </c>
      <c r="G57" s="10">
        <f>SUM(G58:G59)</f>
        <v>1000</v>
      </c>
      <c r="H57" s="10">
        <f>SUM(H58:H59)</f>
        <v>700</v>
      </c>
      <c r="I57" s="49">
        <f t="shared" ref="I57:P57" si="1">SUM(I58:I59)</f>
        <v>700</v>
      </c>
      <c r="J57" s="49">
        <f t="shared" si="1"/>
        <v>0</v>
      </c>
      <c r="K57" s="49">
        <f t="shared" si="1"/>
        <v>0</v>
      </c>
      <c r="L57" s="49">
        <f t="shared" si="1"/>
        <v>1000</v>
      </c>
      <c r="M57" s="49">
        <f t="shared" si="1"/>
        <v>900</v>
      </c>
      <c r="N57" s="49">
        <f t="shared" si="1"/>
        <v>0</v>
      </c>
      <c r="O57" s="49">
        <f t="shared" si="1"/>
        <v>0</v>
      </c>
      <c r="P57" s="49">
        <f t="shared" si="1"/>
        <v>0</v>
      </c>
      <c r="Q57" s="62">
        <v>0</v>
      </c>
      <c r="R57" s="49">
        <f>SUM(R58:R59)</f>
        <v>0</v>
      </c>
      <c r="S57" s="62"/>
      <c r="T57" s="49"/>
      <c r="U57" s="62"/>
    </row>
    <row r="58" spans="1:21" s="15" customFormat="1" ht="11.5" customHeight="1" x14ac:dyDescent="0.35">
      <c r="A58" s="11"/>
      <c r="B58" s="11"/>
      <c r="C58" s="12" t="s">
        <v>16</v>
      </c>
      <c r="D58" s="13"/>
      <c r="E58" s="13"/>
      <c r="F58" s="14">
        <v>700</v>
      </c>
      <c r="G58" s="14">
        <v>700</v>
      </c>
      <c r="H58" s="14">
        <v>500</v>
      </c>
      <c r="I58" s="50">
        <v>500</v>
      </c>
      <c r="J58" s="63"/>
      <c r="K58" s="78"/>
      <c r="L58" s="63">
        <v>800</v>
      </c>
      <c r="M58" s="78">
        <v>800</v>
      </c>
      <c r="N58" s="63"/>
      <c r="O58" s="63"/>
      <c r="P58" s="63"/>
      <c r="Q58" s="63"/>
      <c r="R58" s="63"/>
      <c r="S58" s="63"/>
      <c r="T58" s="63"/>
      <c r="U58" s="63"/>
    </row>
    <row r="59" spans="1:21" s="15" customFormat="1" ht="11.5" customHeight="1" x14ac:dyDescent="0.35">
      <c r="A59" s="11"/>
      <c r="B59" s="11"/>
      <c r="C59" s="12" t="s">
        <v>17</v>
      </c>
      <c r="D59" s="13"/>
      <c r="E59" s="13"/>
      <c r="F59" s="14">
        <v>200</v>
      </c>
      <c r="G59" s="14">
        <v>300</v>
      </c>
      <c r="H59" s="14">
        <v>200</v>
      </c>
      <c r="I59" s="50">
        <v>200</v>
      </c>
      <c r="J59" s="63"/>
      <c r="K59" s="78"/>
      <c r="L59" s="63">
        <v>200</v>
      </c>
      <c r="M59" s="78">
        <v>100</v>
      </c>
      <c r="N59" s="63"/>
      <c r="O59" s="63"/>
      <c r="P59" s="63"/>
      <c r="Q59" s="63"/>
      <c r="R59" s="63"/>
      <c r="S59" s="63"/>
      <c r="T59" s="63"/>
      <c r="U59" s="63"/>
    </row>
    <row r="60" spans="1:21" s="3" customFormat="1" ht="12.75" customHeight="1" x14ac:dyDescent="0.35">
      <c r="A60" s="7" t="s">
        <v>18</v>
      </c>
      <c r="B60" s="7" t="s">
        <v>19</v>
      </c>
      <c r="C60" s="8" t="s">
        <v>20</v>
      </c>
      <c r="D60" s="9">
        <f>F60+H60+J60+L60+N60+P60+R60</f>
        <v>0</v>
      </c>
      <c r="E60" s="9">
        <f>G60+I60+K60+M60+O60+Q60+S60</f>
        <v>0</v>
      </c>
      <c r="F60" s="10">
        <v>0</v>
      </c>
      <c r="G60" s="10">
        <v>0</v>
      </c>
      <c r="H60" s="10">
        <v>0</v>
      </c>
      <c r="I60" s="49">
        <v>0</v>
      </c>
      <c r="J60" s="62">
        <v>0</v>
      </c>
      <c r="K60" s="62">
        <v>0</v>
      </c>
      <c r="L60" s="62">
        <v>0</v>
      </c>
      <c r="M60" s="77">
        <v>0</v>
      </c>
      <c r="N60" s="62">
        <v>0</v>
      </c>
      <c r="O60" s="62">
        <v>0</v>
      </c>
      <c r="P60" s="62">
        <v>0</v>
      </c>
      <c r="Q60" s="62">
        <v>0</v>
      </c>
      <c r="R60" s="62">
        <v>0</v>
      </c>
      <c r="S60" s="62"/>
      <c r="T60" s="62"/>
      <c r="U60" s="62"/>
    </row>
    <row r="61" spans="1:21" s="3" customFormat="1" ht="12.75" customHeight="1" x14ac:dyDescent="0.35">
      <c r="A61" s="7" t="s">
        <v>21</v>
      </c>
      <c r="B61" s="7" t="s">
        <v>22</v>
      </c>
      <c r="C61" s="8" t="s">
        <v>23</v>
      </c>
      <c r="D61" s="9">
        <f>F61+H61+J61+L61+N61+P61+R61</f>
        <v>4040</v>
      </c>
      <c r="E61" s="9">
        <f>G61+I61+K61+M61+O61+Q61+S61</f>
        <v>2290</v>
      </c>
      <c r="F61" s="10">
        <v>0</v>
      </c>
      <c r="G61" s="10">
        <f>SUM(G62:G64)</f>
        <v>290</v>
      </c>
      <c r="H61" s="10">
        <v>1040</v>
      </c>
      <c r="I61" s="49">
        <f>SUM(I62:I64)</f>
        <v>1000</v>
      </c>
      <c r="J61" s="62">
        <v>0</v>
      </c>
      <c r="K61" s="62">
        <v>0</v>
      </c>
      <c r="L61" s="62">
        <f>SUM(L62:L63)</f>
        <v>3000</v>
      </c>
      <c r="M61" s="62">
        <f>SUM(M62:M65)</f>
        <v>1000</v>
      </c>
      <c r="N61" s="62">
        <f>SUM(N62:N63)</f>
        <v>0</v>
      </c>
      <c r="O61" s="62">
        <v>0</v>
      </c>
      <c r="P61" s="62">
        <f>SUM(P62:P63)</f>
        <v>0</v>
      </c>
      <c r="Q61" s="62">
        <v>0</v>
      </c>
      <c r="R61" s="62">
        <f>SUM(R62:R63)</f>
        <v>0</v>
      </c>
      <c r="S61" s="62"/>
      <c r="T61" s="62"/>
      <c r="U61" s="62"/>
    </row>
    <row r="62" spans="1:21" s="3" customFormat="1" ht="12.75" customHeight="1" x14ac:dyDescent="0.35">
      <c r="A62" s="11"/>
      <c r="B62" s="11"/>
      <c r="C62" s="12" t="s">
        <v>1260</v>
      </c>
      <c r="D62" s="13"/>
      <c r="E62" s="13"/>
      <c r="F62" s="14"/>
      <c r="G62" s="14">
        <v>290</v>
      </c>
      <c r="H62" s="14"/>
      <c r="I62" s="50"/>
      <c r="J62" s="63"/>
      <c r="K62" s="78"/>
      <c r="L62" s="63">
        <v>3000</v>
      </c>
      <c r="M62" s="78"/>
      <c r="N62" s="63"/>
      <c r="O62" s="63"/>
      <c r="P62" s="63"/>
      <c r="Q62" s="63"/>
      <c r="R62" s="63"/>
      <c r="S62" s="63"/>
      <c r="T62" s="63"/>
      <c r="U62" s="63"/>
    </row>
    <row r="63" spans="1:21" s="3" customFormat="1" ht="12.75" customHeight="1" x14ac:dyDescent="0.35">
      <c r="A63" s="11"/>
      <c r="B63" s="11"/>
      <c r="C63" s="12" t="s">
        <v>418</v>
      </c>
      <c r="D63" s="13"/>
      <c r="E63" s="13"/>
      <c r="F63" s="14"/>
      <c r="G63" s="14"/>
      <c r="H63" s="14"/>
      <c r="I63" s="50">
        <v>1000</v>
      </c>
      <c r="J63" s="63"/>
      <c r="K63" s="78"/>
      <c r="L63" s="63"/>
      <c r="M63" s="78"/>
      <c r="N63" s="63"/>
      <c r="O63" s="63"/>
      <c r="P63" s="63"/>
      <c r="Q63" s="63"/>
      <c r="R63" s="63"/>
      <c r="S63" s="63"/>
      <c r="T63" s="63"/>
      <c r="U63" s="63"/>
    </row>
    <row r="64" spans="1:21" s="3" customFormat="1" ht="12.75" hidden="1" customHeight="1" x14ac:dyDescent="0.35">
      <c r="A64" s="11"/>
      <c r="B64" s="11"/>
      <c r="C64" s="12" t="s">
        <v>419</v>
      </c>
      <c r="D64" s="13"/>
      <c r="E64" s="13"/>
      <c r="F64" s="14"/>
      <c r="G64" s="14"/>
      <c r="H64" s="50"/>
      <c r="I64" s="50">
        <v>0</v>
      </c>
      <c r="J64" s="87"/>
      <c r="K64" s="78"/>
      <c r="L64" s="87"/>
      <c r="M64" s="78"/>
      <c r="N64" s="87"/>
      <c r="O64" s="63"/>
      <c r="P64" s="87"/>
      <c r="Q64" s="63"/>
      <c r="R64" s="87"/>
      <c r="S64" s="63"/>
      <c r="T64" s="87"/>
      <c r="U64" s="63"/>
    </row>
    <row r="65" spans="1:21" s="3" customFormat="1" ht="12.75" customHeight="1" x14ac:dyDescent="0.35">
      <c r="A65" s="11"/>
      <c r="B65" s="11"/>
      <c r="C65" s="12" t="s">
        <v>1261</v>
      </c>
      <c r="D65" s="13"/>
      <c r="E65" s="13"/>
      <c r="F65" s="14"/>
      <c r="G65" s="14"/>
      <c r="H65" s="50"/>
      <c r="I65" s="50"/>
      <c r="J65" s="87"/>
      <c r="K65" s="87"/>
      <c r="L65" s="87"/>
      <c r="M65" s="78">
        <v>1000</v>
      </c>
      <c r="N65" s="87"/>
      <c r="O65" s="63"/>
      <c r="P65" s="87"/>
      <c r="Q65" s="63"/>
      <c r="R65" s="87"/>
      <c r="S65" s="63"/>
      <c r="T65" s="87"/>
      <c r="U65" s="63"/>
    </row>
    <row r="66" spans="1:21" s="3" customFormat="1" ht="12.75" customHeight="1" x14ac:dyDescent="0.35">
      <c r="A66" s="7" t="s">
        <v>24</v>
      </c>
      <c r="B66" s="7" t="s">
        <v>25</v>
      </c>
      <c r="C66" s="8" t="s">
        <v>26</v>
      </c>
      <c r="D66" s="9">
        <f>F66+H66+J66+L66+N66+P66+R66</f>
        <v>3936</v>
      </c>
      <c r="E66" s="9">
        <f>G66+I66+K66+M66+O66+Q66+S66</f>
        <v>3936</v>
      </c>
      <c r="F66" s="10">
        <f>F67</f>
        <v>1056</v>
      </c>
      <c r="G66" s="10">
        <f>G67</f>
        <v>1056</v>
      </c>
      <c r="H66" s="49">
        <f t="shared" ref="H66:R66" si="2">H67</f>
        <v>576</v>
      </c>
      <c r="I66" s="49">
        <f t="shared" si="2"/>
        <v>576</v>
      </c>
      <c r="J66" s="49">
        <f t="shared" si="2"/>
        <v>0</v>
      </c>
      <c r="K66" s="49">
        <f t="shared" si="2"/>
        <v>0</v>
      </c>
      <c r="L66" s="49">
        <f t="shared" si="2"/>
        <v>2304</v>
      </c>
      <c r="M66" s="49">
        <f t="shared" si="2"/>
        <v>2304</v>
      </c>
      <c r="N66" s="49">
        <f t="shared" si="2"/>
        <v>0</v>
      </c>
      <c r="O66" s="62">
        <v>0</v>
      </c>
      <c r="P66" s="49">
        <f t="shared" si="2"/>
        <v>0</v>
      </c>
      <c r="Q66" s="62">
        <v>0</v>
      </c>
      <c r="R66" s="49">
        <f t="shared" si="2"/>
        <v>0</v>
      </c>
      <c r="S66" s="62"/>
      <c r="T66" s="49"/>
      <c r="U66" s="62"/>
    </row>
    <row r="67" spans="1:21" s="15" customFormat="1" ht="11.5" customHeight="1" x14ac:dyDescent="0.35">
      <c r="A67" s="11"/>
      <c r="B67" s="11"/>
      <c r="C67" s="12" t="s">
        <v>278</v>
      </c>
      <c r="D67" s="13"/>
      <c r="E67" s="13"/>
      <c r="F67" s="14">
        <v>1056</v>
      </c>
      <c r="G67" s="14">
        <v>1056</v>
      </c>
      <c r="H67" s="14">
        <v>576</v>
      </c>
      <c r="I67" s="50">
        <v>576</v>
      </c>
      <c r="J67" s="63"/>
      <c r="K67" s="78"/>
      <c r="L67" s="63">
        <v>2304</v>
      </c>
      <c r="M67" s="78">
        <v>2304</v>
      </c>
      <c r="N67" s="63"/>
      <c r="O67" s="63"/>
      <c r="P67" s="63"/>
      <c r="Q67" s="63"/>
      <c r="R67" s="63"/>
      <c r="S67" s="63"/>
      <c r="T67" s="63"/>
      <c r="U67" s="63"/>
    </row>
    <row r="68" spans="1:21" s="3" customFormat="1" ht="12.75" customHeight="1" x14ac:dyDescent="0.35">
      <c r="A68" s="7" t="s">
        <v>27</v>
      </c>
      <c r="B68" s="7" t="s">
        <v>28</v>
      </c>
      <c r="C68" s="8" t="s">
        <v>29</v>
      </c>
      <c r="D68" s="9">
        <f t="shared" ref="D68:E70" si="3">F68+H68+J68+L68+N68+P68+R68</f>
        <v>0</v>
      </c>
      <c r="E68" s="9">
        <f t="shared" si="3"/>
        <v>0</v>
      </c>
      <c r="F68" s="10">
        <v>0</v>
      </c>
      <c r="G68" s="10">
        <v>0</v>
      </c>
      <c r="H68" s="10">
        <v>0</v>
      </c>
      <c r="I68" s="49">
        <v>0</v>
      </c>
      <c r="J68" s="62">
        <v>0</v>
      </c>
      <c r="K68" s="77">
        <v>0</v>
      </c>
      <c r="L68" s="62">
        <v>0</v>
      </c>
      <c r="M68" s="77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/>
      <c r="T68" s="62"/>
      <c r="U68" s="62"/>
    </row>
    <row r="69" spans="1:21" s="3" customFormat="1" ht="12.75" customHeight="1" x14ac:dyDescent="0.35">
      <c r="A69" s="7" t="s">
        <v>30</v>
      </c>
      <c r="B69" s="7" t="s">
        <v>31</v>
      </c>
      <c r="C69" s="8" t="s">
        <v>32</v>
      </c>
      <c r="D69" s="9">
        <f t="shared" si="3"/>
        <v>1480</v>
      </c>
      <c r="E69" s="9">
        <f t="shared" si="3"/>
        <v>1670</v>
      </c>
      <c r="F69" s="10">
        <v>600</v>
      </c>
      <c r="G69" s="10">
        <v>850</v>
      </c>
      <c r="H69" s="10">
        <v>100</v>
      </c>
      <c r="I69" s="49">
        <v>70</v>
      </c>
      <c r="J69" s="62">
        <v>0</v>
      </c>
      <c r="K69" s="77">
        <v>0</v>
      </c>
      <c r="L69" s="62">
        <v>780</v>
      </c>
      <c r="M69" s="77">
        <v>750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/>
      <c r="T69" s="62"/>
      <c r="U69" s="62"/>
    </row>
    <row r="70" spans="1:21" s="3" customFormat="1" ht="12.75" customHeight="1" x14ac:dyDescent="0.35">
      <c r="A70" s="7" t="s">
        <v>33</v>
      </c>
      <c r="B70" s="7" t="s">
        <v>34</v>
      </c>
      <c r="C70" s="8" t="s">
        <v>35</v>
      </c>
      <c r="D70" s="9">
        <f t="shared" si="3"/>
        <v>700</v>
      </c>
      <c r="E70" s="9">
        <f t="shared" si="3"/>
        <v>792</v>
      </c>
      <c r="F70" s="10">
        <v>180</v>
      </c>
      <c r="G70" s="10">
        <f>G71+G72</f>
        <v>372</v>
      </c>
      <c r="H70" s="10">
        <v>120</v>
      </c>
      <c r="I70" s="49">
        <f>I71+I72</f>
        <v>132</v>
      </c>
      <c r="J70" s="62">
        <v>0</v>
      </c>
      <c r="K70" s="77">
        <v>0</v>
      </c>
      <c r="L70" s="62">
        <v>400</v>
      </c>
      <c r="M70" s="77">
        <f>M71+M72</f>
        <v>288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/>
      <c r="T70" s="62"/>
      <c r="U70" s="62"/>
    </row>
    <row r="71" spans="1:21" s="3" customFormat="1" ht="12.75" customHeight="1" x14ac:dyDescent="0.35">
      <c r="A71" s="11"/>
      <c r="B71" s="11"/>
      <c r="C71" s="12" t="s">
        <v>420</v>
      </c>
      <c r="D71" s="13"/>
      <c r="E71" s="13"/>
      <c r="F71" s="14"/>
      <c r="G71" s="14">
        <v>240</v>
      </c>
      <c r="H71" s="14"/>
      <c r="I71" s="50">
        <v>60</v>
      </c>
      <c r="J71" s="63"/>
      <c r="K71" s="78"/>
      <c r="L71" s="63"/>
      <c r="M71" s="78"/>
      <c r="N71" s="63"/>
      <c r="O71" s="63"/>
      <c r="P71" s="63"/>
      <c r="Q71" s="63"/>
      <c r="R71" s="63"/>
      <c r="S71" s="63"/>
      <c r="T71" s="63"/>
      <c r="U71" s="63"/>
    </row>
    <row r="72" spans="1:21" s="3" customFormat="1" ht="12.75" customHeight="1" x14ac:dyDescent="0.35">
      <c r="A72" s="11"/>
      <c r="B72" s="11"/>
      <c r="C72" s="12" t="s">
        <v>1257</v>
      </c>
      <c r="D72" s="13"/>
      <c r="E72" s="13"/>
      <c r="F72" s="14"/>
      <c r="G72" s="14">
        <v>132</v>
      </c>
      <c r="H72" s="14"/>
      <c r="I72" s="50">
        <v>72</v>
      </c>
      <c r="J72" s="63"/>
      <c r="K72" s="78"/>
      <c r="L72" s="63"/>
      <c r="M72" s="78">
        <v>288</v>
      </c>
      <c r="N72" s="63"/>
      <c r="O72" s="63"/>
      <c r="P72" s="63"/>
      <c r="Q72" s="63"/>
      <c r="R72" s="63"/>
      <c r="S72" s="63"/>
      <c r="T72" s="63"/>
      <c r="U72" s="63"/>
    </row>
    <row r="73" spans="1:21" s="3" customFormat="1" ht="12.75" customHeight="1" x14ac:dyDescent="0.35">
      <c r="A73" s="7" t="s">
        <v>36</v>
      </c>
      <c r="B73" s="7" t="s">
        <v>37</v>
      </c>
      <c r="C73" s="8" t="s">
        <v>38</v>
      </c>
      <c r="D73" s="9">
        <f>F73+H73+J73+L73+N73+P73+R73</f>
        <v>0</v>
      </c>
      <c r="E73" s="9">
        <f>G73+I73+K73+M73+O73+Q73+S73</f>
        <v>0</v>
      </c>
      <c r="F73" s="10">
        <v>0</v>
      </c>
      <c r="G73" s="10">
        <v>0</v>
      </c>
      <c r="H73" s="10">
        <v>0</v>
      </c>
      <c r="I73" s="49">
        <v>0</v>
      </c>
      <c r="J73" s="62">
        <v>0</v>
      </c>
      <c r="K73" s="77">
        <v>0</v>
      </c>
      <c r="L73" s="62">
        <v>0</v>
      </c>
      <c r="M73" s="77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/>
      <c r="T73" s="62"/>
      <c r="U73" s="62"/>
    </row>
    <row r="74" spans="1:21" s="3" customFormat="1" ht="12.75" customHeight="1" x14ac:dyDescent="0.35">
      <c r="A74" s="7" t="s">
        <v>39</v>
      </c>
      <c r="B74" s="7" t="s">
        <v>40</v>
      </c>
      <c r="C74" s="8" t="s">
        <v>41</v>
      </c>
      <c r="D74" s="9">
        <f>F74+H74+J74+L74+N74+P74+R74</f>
        <v>460</v>
      </c>
      <c r="E74" s="9">
        <f>G74+I74+K74+M74+O74+Q74+S74</f>
        <v>390</v>
      </c>
      <c r="F74" s="10">
        <f>F75</f>
        <v>150</v>
      </c>
      <c r="G74" s="10">
        <f>G75</f>
        <v>130</v>
      </c>
      <c r="H74" s="10">
        <v>60</v>
      </c>
      <c r="I74" s="49">
        <f>I75</f>
        <v>50</v>
      </c>
      <c r="J74" s="62">
        <v>0</v>
      </c>
      <c r="K74" s="77">
        <v>0</v>
      </c>
      <c r="L74" s="62">
        <v>250</v>
      </c>
      <c r="M74" s="77">
        <f>M75</f>
        <v>210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/>
      <c r="T74" s="62"/>
      <c r="U74" s="62"/>
    </row>
    <row r="75" spans="1:21" s="3" customFormat="1" ht="12.75" customHeight="1" x14ac:dyDescent="0.35">
      <c r="A75" s="11"/>
      <c r="B75" s="11"/>
      <c r="C75" s="12" t="s">
        <v>280</v>
      </c>
      <c r="D75" s="13"/>
      <c r="E75" s="13"/>
      <c r="F75" s="14">
        <v>150</v>
      </c>
      <c r="G75" s="14">
        <f>ROUND(G6*0.004,0)+1</f>
        <v>130</v>
      </c>
      <c r="H75" s="14"/>
      <c r="I75" s="14">
        <f>ROUND(I6*0.004,0)+1</f>
        <v>50</v>
      </c>
      <c r="J75" s="63"/>
      <c r="K75" s="78"/>
      <c r="L75" s="63"/>
      <c r="M75" s="14">
        <f>ROUND(M6*0.004,0)</f>
        <v>210</v>
      </c>
      <c r="N75" s="63"/>
      <c r="O75" s="63"/>
      <c r="P75" s="63"/>
      <c r="Q75" s="63"/>
      <c r="R75" s="63"/>
      <c r="S75" s="63"/>
      <c r="T75" s="63"/>
      <c r="U75" s="63"/>
    </row>
    <row r="76" spans="1:21" s="3" customFormat="1" ht="12.75" customHeight="1" x14ac:dyDescent="0.35">
      <c r="A76" s="7" t="s">
        <v>42</v>
      </c>
      <c r="B76" s="7" t="s">
        <v>43</v>
      </c>
      <c r="C76" s="8" t="s">
        <v>44</v>
      </c>
      <c r="D76" s="9">
        <f>F76+H76+J76+L76+N76+P76+R76</f>
        <v>500</v>
      </c>
      <c r="E76" s="9">
        <f>G76+I76+K76+M76+O76+Q76+S76</f>
        <v>3413</v>
      </c>
      <c r="F76" s="10">
        <v>200</v>
      </c>
      <c r="G76" s="10">
        <f>G77+G78</f>
        <v>1164</v>
      </c>
      <c r="H76" s="10">
        <v>0</v>
      </c>
      <c r="I76" s="49">
        <f>I77+I78</f>
        <v>371</v>
      </c>
      <c r="J76" s="62">
        <v>0</v>
      </c>
      <c r="K76" s="77">
        <v>0</v>
      </c>
      <c r="L76" s="62">
        <v>300</v>
      </c>
      <c r="M76" s="49">
        <f>M77+M78</f>
        <v>1878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/>
      <c r="T76" s="62"/>
      <c r="U76" s="62"/>
    </row>
    <row r="77" spans="1:21" s="15" customFormat="1" ht="11.5" customHeight="1" x14ac:dyDescent="0.35">
      <c r="A77" s="11"/>
      <c r="B77" s="11"/>
      <c r="C77" s="12" t="s">
        <v>408</v>
      </c>
      <c r="D77" s="13"/>
      <c r="E77" s="13"/>
      <c r="F77" s="14"/>
      <c r="G77" s="14">
        <v>200</v>
      </c>
      <c r="H77" s="14"/>
      <c r="I77" s="50"/>
      <c r="J77" s="63"/>
      <c r="K77" s="78"/>
      <c r="L77" s="63"/>
      <c r="M77" s="78">
        <v>300</v>
      </c>
      <c r="N77" s="63"/>
      <c r="O77" s="63"/>
      <c r="P77" s="63"/>
      <c r="Q77" s="63"/>
      <c r="R77" s="63"/>
      <c r="S77" s="63"/>
      <c r="T77" s="63"/>
      <c r="U77" s="63"/>
    </row>
    <row r="78" spans="1:21" s="15" customFormat="1" ht="11.5" customHeight="1" x14ac:dyDescent="0.35">
      <c r="A78" s="11"/>
      <c r="B78" s="11"/>
      <c r="C78" s="12" t="s">
        <v>1259</v>
      </c>
      <c r="D78" s="13"/>
      <c r="E78" s="13"/>
      <c r="F78" s="14"/>
      <c r="G78" s="14">
        <f>ROUND(G6*0.03,0)</f>
        <v>964</v>
      </c>
      <c r="H78" s="14"/>
      <c r="I78" s="14">
        <f>ROUND(I6*0.03,0)</f>
        <v>371</v>
      </c>
      <c r="J78" s="87"/>
      <c r="K78" s="87"/>
      <c r="L78" s="87"/>
      <c r="M78" s="14">
        <f>ROUND(M6*0.03,0)</f>
        <v>1578</v>
      </c>
      <c r="N78" s="87"/>
      <c r="O78" s="87"/>
      <c r="P78" s="87"/>
      <c r="Q78" s="87"/>
      <c r="R78" s="87"/>
      <c r="S78" s="63"/>
      <c r="T78" s="87"/>
      <c r="U78" s="63"/>
    </row>
    <row r="79" spans="1:21" s="3" customFormat="1" ht="12.75" customHeight="1" x14ac:dyDescent="0.35">
      <c r="A79" s="16" t="s">
        <v>45</v>
      </c>
      <c r="B79" s="16" t="s">
        <v>46</v>
      </c>
      <c r="C79" s="17" t="s">
        <v>47</v>
      </c>
      <c r="D79" s="18">
        <f t="shared" ref="D79:Q79" si="4">D6+D55+D56+D57+D60+D61+D66+D68+D69+D70+D73+D74+D76</f>
        <v>99017</v>
      </c>
      <c r="E79" s="18">
        <f t="shared" si="4"/>
        <v>112162</v>
      </c>
      <c r="F79" s="18">
        <f t="shared" si="4"/>
        <v>31096</v>
      </c>
      <c r="G79" s="18">
        <f t="shared" si="4"/>
        <v>36998</v>
      </c>
      <c r="H79" s="18">
        <f t="shared" si="4"/>
        <v>13898</v>
      </c>
      <c r="I79" s="51">
        <f t="shared" si="4"/>
        <v>15249</v>
      </c>
      <c r="J79" s="51">
        <f t="shared" si="4"/>
        <v>0</v>
      </c>
      <c r="K79" s="51">
        <f t="shared" si="4"/>
        <v>0</v>
      </c>
      <c r="L79" s="51">
        <f t="shared" si="4"/>
        <v>54023</v>
      </c>
      <c r="M79" s="51">
        <f t="shared" si="4"/>
        <v>59915</v>
      </c>
      <c r="N79" s="51">
        <f t="shared" si="4"/>
        <v>0</v>
      </c>
      <c r="O79" s="51">
        <f t="shared" si="4"/>
        <v>0</v>
      </c>
      <c r="P79" s="51">
        <f t="shared" si="4"/>
        <v>0</v>
      </c>
      <c r="Q79" s="51">
        <f t="shared" si="4"/>
        <v>0</v>
      </c>
      <c r="R79" s="51">
        <f>R6+R55+R56+R57+R60+R61+R66+R68+R69+R70+R73+R74+R76</f>
        <v>0</v>
      </c>
      <c r="S79" s="64"/>
      <c r="T79" s="51"/>
      <c r="U79" s="64"/>
    </row>
    <row r="80" spans="1:21" s="3" customFormat="1" ht="12.75" customHeight="1" x14ac:dyDescent="0.35">
      <c r="A80" s="7" t="s">
        <v>48</v>
      </c>
      <c r="B80" s="7" t="s">
        <v>49</v>
      </c>
      <c r="C80" s="8" t="s">
        <v>50</v>
      </c>
      <c r="D80" s="9">
        <f>F80+H80+J80+L80+N80+P80+R80</f>
        <v>0</v>
      </c>
      <c r="E80" s="9">
        <f>G80+I80+K80+M80+O80+Q80+S80</f>
        <v>0</v>
      </c>
      <c r="F80" s="10">
        <v>0</v>
      </c>
      <c r="G80" s="10">
        <v>0</v>
      </c>
      <c r="H80" s="10">
        <v>0</v>
      </c>
      <c r="I80" s="49">
        <v>0</v>
      </c>
      <c r="J80" s="62">
        <v>0</v>
      </c>
      <c r="K80" s="77">
        <v>0</v>
      </c>
      <c r="L80" s="62">
        <v>0</v>
      </c>
      <c r="M80" s="77">
        <v>0</v>
      </c>
      <c r="N80" s="62">
        <v>0</v>
      </c>
      <c r="O80" s="62">
        <v>0</v>
      </c>
      <c r="P80" s="62">
        <v>0</v>
      </c>
      <c r="Q80" s="62">
        <v>0</v>
      </c>
      <c r="R80" s="62">
        <v>0</v>
      </c>
      <c r="S80" s="62"/>
      <c r="T80" s="62"/>
      <c r="U80" s="62"/>
    </row>
    <row r="81" spans="1:21" s="3" customFormat="1" ht="12.75" customHeight="1" x14ac:dyDescent="0.35">
      <c r="A81" s="7" t="s">
        <v>51</v>
      </c>
      <c r="B81" s="7" t="s">
        <v>52</v>
      </c>
      <c r="C81" s="8" t="s">
        <v>53</v>
      </c>
      <c r="D81" s="9">
        <f>F81+H81+J81+L81+N81+P81+R81</f>
        <v>6576</v>
      </c>
      <c r="E81" s="9">
        <f>G81+I81+K81+M81+O81+Q81+S81</f>
        <v>6000</v>
      </c>
      <c r="F81" s="10">
        <f>F82</f>
        <v>5000</v>
      </c>
      <c r="G81" s="10">
        <f>G82</f>
        <v>5000</v>
      </c>
      <c r="H81" s="10">
        <f>H82</f>
        <v>0</v>
      </c>
      <c r="I81" s="49">
        <f>I82</f>
        <v>0</v>
      </c>
      <c r="J81" s="62">
        <v>0</v>
      </c>
      <c r="K81" s="77">
        <v>0</v>
      </c>
      <c r="L81" s="62">
        <f>L82</f>
        <v>1576</v>
      </c>
      <c r="M81" s="62">
        <f>M82</f>
        <v>1000</v>
      </c>
      <c r="N81" s="62">
        <f>N82</f>
        <v>0</v>
      </c>
      <c r="O81" s="62">
        <v>0</v>
      </c>
      <c r="P81" s="62">
        <f>P82</f>
        <v>0</v>
      </c>
      <c r="Q81" s="62">
        <v>0</v>
      </c>
      <c r="R81" s="62">
        <f>R82</f>
        <v>0</v>
      </c>
      <c r="S81" s="62"/>
      <c r="T81" s="62"/>
      <c r="U81" s="62"/>
    </row>
    <row r="82" spans="1:21" s="15" customFormat="1" ht="11.5" customHeight="1" x14ac:dyDescent="0.35">
      <c r="A82" s="11"/>
      <c r="B82" s="11"/>
      <c r="C82" s="12" t="s">
        <v>282</v>
      </c>
      <c r="D82" s="13"/>
      <c r="E82" s="13"/>
      <c r="F82" s="14">
        <v>5000</v>
      </c>
      <c r="G82" s="14">
        <v>5000</v>
      </c>
      <c r="H82" s="14"/>
      <c r="I82" s="50"/>
      <c r="J82" s="63"/>
      <c r="K82" s="78"/>
      <c r="L82" s="63">
        <v>1576</v>
      </c>
      <c r="M82" s="78">
        <v>1000</v>
      </c>
      <c r="N82" s="63"/>
      <c r="O82" s="63"/>
      <c r="P82" s="63"/>
      <c r="Q82" s="63"/>
      <c r="R82" s="63"/>
      <c r="S82" s="63"/>
      <c r="T82" s="63"/>
      <c r="U82" s="63"/>
    </row>
    <row r="83" spans="1:21" s="3" customFormat="1" ht="12.75" customHeight="1" x14ac:dyDescent="0.35">
      <c r="A83" s="7" t="s">
        <v>54</v>
      </c>
      <c r="B83" s="7" t="s">
        <v>55</v>
      </c>
      <c r="C83" s="8" t="s">
        <v>285</v>
      </c>
      <c r="D83" s="9">
        <f>F83+H83+J83+L83+N83+P83+R83</f>
        <v>190</v>
      </c>
      <c r="E83" s="9">
        <f>G83+I83+K83+M83+O83+Q83+S83</f>
        <v>0</v>
      </c>
      <c r="F83" s="10">
        <f>F84</f>
        <v>150</v>
      </c>
      <c r="G83" s="10">
        <f>G84</f>
        <v>0</v>
      </c>
      <c r="H83" s="10">
        <f>H84</f>
        <v>20</v>
      </c>
      <c r="I83" s="49">
        <f>I84</f>
        <v>0</v>
      </c>
      <c r="J83" s="62">
        <v>0</v>
      </c>
      <c r="K83" s="77">
        <v>0</v>
      </c>
      <c r="L83" s="62">
        <f>L84</f>
        <v>20</v>
      </c>
      <c r="M83" s="62">
        <f>M84</f>
        <v>0</v>
      </c>
      <c r="N83" s="62">
        <f>N84</f>
        <v>0</v>
      </c>
      <c r="O83" s="62">
        <v>0</v>
      </c>
      <c r="P83" s="62">
        <f>P84</f>
        <v>0</v>
      </c>
      <c r="Q83" s="62">
        <f>Q84</f>
        <v>0</v>
      </c>
      <c r="R83" s="62">
        <f>R84</f>
        <v>0</v>
      </c>
      <c r="S83" s="62"/>
      <c r="T83" s="62"/>
      <c r="U83" s="62"/>
    </row>
    <row r="84" spans="1:21" s="15" customFormat="1" ht="11.5" customHeight="1" x14ac:dyDescent="0.35">
      <c r="A84" s="11"/>
      <c r="B84" s="11"/>
      <c r="C84" s="12" t="s">
        <v>283</v>
      </c>
      <c r="D84" s="13"/>
      <c r="E84" s="13"/>
      <c r="F84" s="14">
        <v>150</v>
      </c>
      <c r="G84" s="14">
        <v>0</v>
      </c>
      <c r="H84" s="14">
        <v>20</v>
      </c>
      <c r="I84" s="50"/>
      <c r="J84" s="63"/>
      <c r="K84" s="78"/>
      <c r="L84" s="63">
        <v>20</v>
      </c>
      <c r="M84" s="78">
        <v>0</v>
      </c>
      <c r="N84" s="63"/>
      <c r="O84" s="63"/>
      <c r="P84" s="63"/>
      <c r="Q84" s="63"/>
      <c r="R84" s="63"/>
      <c r="S84" s="63"/>
      <c r="T84" s="63"/>
      <c r="U84" s="63"/>
    </row>
    <row r="85" spans="1:21" s="3" customFormat="1" ht="12.75" customHeight="1" x14ac:dyDescent="0.35">
      <c r="A85" s="16" t="s">
        <v>56</v>
      </c>
      <c r="B85" s="16" t="s">
        <v>57</v>
      </c>
      <c r="C85" s="17" t="s">
        <v>58</v>
      </c>
      <c r="D85" s="18">
        <f>D80+D81+D83</f>
        <v>6766</v>
      </c>
      <c r="E85" s="18">
        <f t="shared" ref="E85:Q85" si="5">E80+E81+E83</f>
        <v>6000</v>
      </c>
      <c r="F85" s="18">
        <f t="shared" si="5"/>
        <v>5150</v>
      </c>
      <c r="G85" s="18">
        <f t="shared" si="5"/>
        <v>5000</v>
      </c>
      <c r="H85" s="18">
        <f t="shared" si="5"/>
        <v>20</v>
      </c>
      <c r="I85" s="51">
        <f t="shared" si="5"/>
        <v>0</v>
      </c>
      <c r="J85" s="51">
        <f t="shared" si="5"/>
        <v>0</v>
      </c>
      <c r="K85" s="51">
        <f t="shared" si="5"/>
        <v>0</v>
      </c>
      <c r="L85" s="51">
        <f t="shared" si="5"/>
        <v>1596</v>
      </c>
      <c r="M85" s="51">
        <f t="shared" si="5"/>
        <v>1000</v>
      </c>
      <c r="N85" s="51">
        <f t="shared" si="5"/>
        <v>0</v>
      </c>
      <c r="O85" s="51">
        <f t="shared" si="5"/>
        <v>0</v>
      </c>
      <c r="P85" s="51">
        <f t="shared" si="5"/>
        <v>0</v>
      </c>
      <c r="Q85" s="51">
        <f t="shared" si="5"/>
        <v>0</v>
      </c>
      <c r="R85" s="51">
        <f>R80+R81+R83</f>
        <v>0</v>
      </c>
      <c r="S85" s="64"/>
      <c r="T85" s="51"/>
      <c r="U85" s="64"/>
    </row>
    <row r="86" spans="1:21" s="3" customFormat="1" ht="12.75" customHeight="1" x14ac:dyDescent="0.35">
      <c r="A86" s="20" t="s">
        <v>59</v>
      </c>
      <c r="B86" s="20" t="s">
        <v>60</v>
      </c>
      <c r="C86" s="21" t="s">
        <v>286</v>
      </c>
      <c r="D86" s="22">
        <f>D79+D85</f>
        <v>105783</v>
      </c>
      <c r="E86" s="22">
        <f t="shared" ref="E86:Q86" si="6">E79+E85</f>
        <v>118162</v>
      </c>
      <c r="F86" s="22">
        <f t="shared" si="6"/>
        <v>36246</v>
      </c>
      <c r="G86" s="22">
        <f t="shared" si="6"/>
        <v>41998</v>
      </c>
      <c r="H86" s="22">
        <f t="shared" si="6"/>
        <v>13918</v>
      </c>
      <c r="I86" s="52">
        <f t="shared" si="6"/>
        <v>15249</v>
      </c>
      <c r="J86" s="52">
        <f t="shared" si="6"/>
        <v>0</v>
      </c>
      <c r="K86" s="52">
        <f t="shared" si="6"/>
        <v>0</v>
      </c>
      <c r="L86" s="52">
        <f t="shared" si="6"/>
        <v>55619</v>
      </c>
      <c r="M86" s="52">
        <f t="shared" si="6"/>
        <v>60915</v>
      </c>
      <c r="N86" s="52">
        <f t="shared" si="6"/>
        <v>0</v>
      </c>
      <c r="O86" s="52">
        <f t="shared" si="6"/>
        <v>0</v>
      </c>
      <c r="P86" s="52">
        <f t="shared" si="6"/>
        <v>0</v>
      </c>
      <c r="Q86" s="52">
        <f t="shared" si="6"/>
        <v>0</v>
      </c>
      <c r="R86" s="52">
        <f>R79+R85</f>
        <v>0</v>
      </c>
      <c r="S86" s="65"/>
      <c r="T86" s="52"/>
      <c r="U86" s="65"/>
    </row>
    <row r="87" spans="1:21" s="15" customFormat="1" ht="11.5" customHeight="1" x14ac:dyDescent="0.35">
      <c r="A87" s="11"/>
      <c r="B87" s="11"/>
      <c r="C87" s="12" t="s">
        <v>284</v>
      </c>
      <c r="D87" s="13">
        <f>H87+F87+L87+N87+P87+R87+J87</f>
        <v>26651</v>
      </c>
      <c r="E87" s="13">
        <f>I87+G87+M87+O87+Q87+S87+K87</f>
        <v>30063</v>
      </c>
      <c r="F87" s="13">
        <v>9196</v>
      </c>
      <c r="G87" s="13">
        <f>ROUND((G6+G55+G56+G57+G60+G61+G74+G76+G81)*0.27,0)</f>
        <v>10724</v>
      </c>
      <c r="H87" s="13">
        <f>ROUND((H6+H55+H56+H57+H60+H61+H81+H83)*0.27,0)</f>
        <v>3527</v>
      </c>
      <c r="I87" s="53">
        <f>ROUND((I6+I55+I56+I57+I60+I61+I81)*0.27,0)</f>
        <v>3794</v>
      </c>
      <c r="J87" s="66"/>
      <c r="K87" s="53">
        <f>ROUND((K6+K55+K56+K57+K60+K61+K81)*0.27,0)</f>
        <v>0</v>
      </c>
      <c r="L87" s="66">
        <v>13928</v>
      </c>
      <c r="M87" s="13">
        <f>ROUND((M6+M55+M56+M57+M60+M61+M74+M76+M81)*0.27,0)</f>
        <v>15545</v>
      </c>
      <c r="N87" s="66"/>
      <c r="O87" s="66"/>
      <c r="P87" s="66"/>
      <c r="Q87" s="66"/>
      <c r="R87" s="66"/>
      <c r="S87" s="66"/>
      <c r="T87" s="66"/>
      <c r="U87" s="66"/>
    </row>
    <row r="88" spans="1:21" s="15" customFormat="1" ht="11.5" customHeight="1" x14ac:dyDescent="0.35">
      <c r="A88" s="11"/>
      <c r="B88" s="11"/>
      <c r="C88" s="12" t="s">
        <v>61</v>
      </c>
      <c r="D88" s="13">
        <f t="shared" ref="D88:E90" si="7">H88+F88+L88+N88+P88+R88+J88</f>
        <v>716</v>
      </c>
      <c r="E88" s="13">
        <f t="shared" si="7"/>
        <v>656</v>
      </c>
      <c r="F88" s="14">
        <v>224</v>
      </c>
      <c r="G88" s="13">
        <f>ROUND(G66*1.19*0.14+(G83)*1.19*0.27,0)</f>
        <v>176</v>
      </c>
      <c r="H88" s="14">
        <v>102</v>
      </c>
      <c r="I88" s="13">
        <f>ROUND(I66*1.19*0.14+(I83)*1.19*0.27,0)</f>
        <v>96</v>
      </c>
      <c r="J88" s="63"/>
      <c r="K88" s="13">
        <f>ROUND(K66*1.19*0.14+(K83)*1.19*0.27,0)</f>
        <v>0</v>
      </c>
      <c r="L88" s="63">
        <v>390</v>
      </c>
      <c r="M88" s="13">
        <f>ROUND(M66*1.19*0.14+(M83)*1.19*0.27,0)</f>
        <v>384</v>
      </c>
      <c r="N88" s="63"/>
      <c r="O88" s="63"/>
      <c r="P88" s="63"/>
      <c r="Q88" s="63"/>
      <c r="R88" s="63"/>
      <c r="S88" s="63"/>
      <c r="T88" s="63"/>
      <c r="U88" s="63"/>
    </row>
    <row r="89" spans="1:21" s="15" customFormat="1" ht="11.5" customHeight="1" x14ac:dyDescent="0.35">
      <c r="A89" s="11"/>
      <c r="B89" s="11"/>
      <c r="C89" s="12" t="s">
        <v>62</v>
      </c>
      <c r="D89" s="13">
        <f t="shared" si="7"/>
        <v>2000</v>
      </c>
      <c r="E89" s="13">
        <f t="shared" si="7"/>
        <v>2000</v>
      </c>
      <c r="F89" s="14">
        <v>2000</v>
      </c>
      <c r="G89" s="14">
        <v>2000</v>
      </c>
      <c r="H89" s="14"/>
      <c r="I89" s="50"/>
      <c r="J89" s="63"/>
      <c r="K89" s="78"/>
      <c r="L89" s="63">
        <v>0</v>
      </c>
      <c r="M89" s="78">
        <v>0</v>
      </c>
      <c r="N89" s="63"/>
      <c r="O89" s="63"/>
      <c r="P89" s="63"/>
      <c r="Q89" s="63"/>
      <c r="R89" s="63"/>
      <c r="S89" s="63"/>
      <c r="T89" s="63"/>
      <c r="U89" s="63"/>
    </row>
    <row r="90" spans="1:21" s="15" customFormat="1" ht="11.5" customHeight="1" x14ac:dyDescent="0.35">
      <c r="A90" s="11"/>
      <c r="B90" s="11"/>
      <c r="C90" s="12" t="s">
        <v>63</v>
      </c>
      <c r="D90" s="13">
        <f t="shared" si="7"/>
        <v>785</v>
      </c>
      <c r="E90" s="13">
        <f t="shared" si="7"/>
        <v>750</v>
      </c>
      <c r="F90" s="14">
        <v>230</v>
      </c>
      <c r="G90" s="14">
        <f>ROUND((G84+G67)*1.19*0.16,0)</f>
        <v>201</v>
      </c>
      <c r="H90" s="14">
        <v>113</v>
      </c>
      <c r="I90" s="14">
        <f>ROUND((I84+I67)*1.19*0.16,0)</f>
        <v>110</v>
      </c>
      <c r="J90" s="63"/>
      <c r="K90" s="14">
        <f>ROUND((K84+K67)*1.19*0.16,0)</f>
        <v>0</v>
      </c>
      <c r="L90" s="63">
        <v>442</v>
      </c>
      <c r="M90" s="14">
        <f>ROUND((M84+M67)*1.19*0.16,0)</f>
        <v>439</v>
      </c>
      <c r="N90" s="63"/>
      <c r="O90" s="63"/>
      <c r="P90" s="63"/>
      <c r="Q90" s="63"/>
      <c r="R90" s="63"/>
      <c r="S90" s="63"/>
      <c r="T90" s="63"/>
      <c r="U90" s="63"/>
    </row>
    <row r="91" spans="1:21" s="3" customFormat="1" ht="12.75" customHeight="1" x14ac:dyDescent="0.35">
      <c r="A91" s="20" t="s">
        <v>64</v>
      </c>
      <c r="B91" s="20" t="s">
        <v>65</v>
      </c>
      <c r="C91" s="21" t="s">
        <v>287</v>
      </c>
      <c r="D91" s="22">
        <f>D87+D88+D89+D90</f>
        <v>30152</v>
      </c>
      <c r="E91" s="22">
        <f t="shared" ref="E91:Q91" si="8">E87+E88+E89+E90</f>
        <v>33469</v>
      </c>
      <c r="F91" s="22">
        <f t="shared" si="8"/>
        <v>11650</v>
      </c>
      <c r="G91" s="22">
        <f t="shared" si="8"/>
        <v>13101</v>
      </c>
      <c r="H91" s="22">
        <f t="shared" si="8"/>
        <v>3742</v>
      </c>
      <c r="I91" s="52">
        <f t="shared" si="8"/>
        <v>4000</v>
      </c>
      <c r="J91" s="52">
        <f t="shared" si="8"/>
        <v>0</v>
      </c>
      <c r="K91" s="52">
        <f t="shared" si="8"/>
        <v>0</v>
      </c>
      <c r="L91" s="22">
        <f t="shared" si="8"/>
        <v>14760</v>
      </c>
      <c r="M91" s="22">
        <f t="shared" si="8"/>
        <v>16368</v>
      </c>
      <c r="N91" s="22">
        <f t="shared" si="8"/>
        <v>0</v>
      </c>
      <c r="O91" s="22">
        <f t="shared" si="8"/>
        <v>0</v>
      </c>
      <c r="P91" s="22">
        <f t="shared" si="8"/>
        <v>0</v>
      </c>
      <c r="Q91" s="22">
        <f t="shared" si="8"/>
        <v>0</v>
      </c>
      <c r="R91" s="22">
        <f>R87+R88+R89+R90</f>
        <v>0</v>
      </c>
      <c r="S91" s="65"/>
      <c r="T91" s="22"/>
      <c r="U91" s="65"/>
    </row>
    <row r="92" spans="1:21" s="3" customFormat="1" ht="14.15" customHeight="1" x14ac:dyDescent="0.35">
      <c r="A92" s="1171" t="s">
        <v>66</v>
      </c>
      <c r="B92" s="1172"/>
      <c r="C92" s="1173"/>
      <c r="D92" s="83">
        <f>D86+D91</f>
        <v>135935</v>
      </c>
      <c r="E92" s="83">
        <f t="shared" ref="E92:Q92" si="9">E86+E91</f>
        <v>151631</v>
      </c>
      <c r="F92" s="83">
        <f t="shared" si="9"/>
        <v>47896</v>
      </c>
      <c r="G92" s="83">
        <f t="shared" si="9"/>
        <v>55099</v>
      </c>
      <c r="H92" s="83">
        <f t="shared" si="9"/>
        <v>17660</v>
      </c>
      <c r="I92" s="84">
        <f t="shared" si="9"/>
        <v>19249</v>
      </c>
      <c r="J92" s="84">
        <f t="shared" si="9"/>
        <v>0</v>
      </c>
      <c r="K92" s="84">
        <f t="shared" si="9"/>
        <v>0</v>
      </c>
      <c r="L92" s="83">
        <f t="shared" si="9"/>
        <v>70379</v>
      </c>
      <c r="M92" s="83">
        <f t="shared" si="9"/>
        <v>77283</v>
      </c>
      <c r="N92" s="83">
        <f t="shared" si="9"/>
        <v>0</v>
      </c>
      <c r="O92" s="83">
        <f t="shared" si="9"/>
        <v>0</v>
      </c>
      <c r="P92" s="83">
        <f t="shared" si="9"/>
        <v>0</v>
      </c>
      <c r="Q92" s="83">
        <f t="shared" si="9"/>
        <v>0</v>
      </c>
      <c r="R92" s="83">
        <f>R86+R91</f>
        <v>0</v>
      </c>
      <c r="S92" s="85"/>
      <c r="T92" s="83"/>
      <c r="U92" s="85"/>
    </row>
    <row r="93" spans="1:21" s="3" customFormat="1" ht="14.15" customHeight="1" x14ac:dyDescent="0.25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</row>
    <row r="94" spans="1:21" s="3" customFormat="1" ht="14.15" customHeight="1" x14ac:dyDescent="0.25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</row>
    <row r="95" spans="1:21" s="3" customFormat="1" ht="14.15" customHeight="1" x14ac:dyDescent="0.25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</row>
    <row r="96" spans="1:21" s="1" customFormat="1" ht="12.75" customHeight="1" x14ac:dyDescent="0.35">
      <c r="A96" s="1101" t="s">
        <v>410</v>
      </c>
      <c r="B96" s="1101"/>
      <c r="C96" s="1101"/>
      <c r="D96" s="1101"/>
      <c r="E96" s="1101"/>
      <c r="F96" s="1101"/>
      <c r="G96" s="1101"/>
      <c r="H96" s="1101"/>
      <c r="I96" s="1101"/>
      <c r="J96" s="1101"/>
      <c r="K96" s="1101"/>
      <c r="L96" s="1101" t="s">
        <v>410</v>
      </c>
      <c r="M96" s="1101"/>
      <c r="N96" s="1101"/>
      <c r="O96" s="1101"/>
      <c r="P96" s="1101"/>
      <c r="Q96" s="1101"/>
      <c r="R96" s="1101"/>
      <c r="S96" s="1101"/>
      <c r="T96" s="1101"/>
      <c r="U96" s="1101"/>
    </row>
    <row r="97" spans="1:21" s="1" customFormat="1" ht="14.15" customHeight="1" x14ac:dyDescent="0.35">
      <c r="A97" s="1164" t="s">
        <v>0</v>
      </c>
      <c r="B97" s="1165" t="s">
        <v>1</v>
      </c>
      <c r="C97" s="1164" t="s">
        <v>2</v>
      </c>
      <c r="D97" s="1097" t="s">
        <v>260</v>
      </c>
      <c r="E97" s="1167" t="s">
        <v>259</v>
      </c>
      <c r="F97" s="1162" t="s">
        <v>411</v>
      </c>
      <c r="G97" s="1166"/>
      <c r="H97" s="1162" t="s">
        <v>412</v>
      </c>
      <c r="I97" s="1163"/>
      <c r="J97" s="1160" t="s">
        <v>413</v>
      </c>
      <c r="K97" s="1170"/>
      <c r="L97" s="1160" t="s">
        <v>414</v>
      </c>
      <c r="M97" s="1170"/>
      <c r="N97" s="1160" t="s">
        <v>415</v>
      </c>
      <c r="O97" s="1161"/>
      <c r="P97" s="1168" t="s">
        <v>416</v>
      </c>
      <c r="Q97" s="1169"/>
      <c r="R97" s="1168" t="s">
        <v>417</v>
      </c>
      <c r="S97" s="1169"/>
      <c r="T97" s="1168"/>
      <c r="U97" s="1169"/>
    </row>
    <row r="98" spans="1:21" s="3" customFormat="1" ht="33" customHeight="1" x14ac:dyDescent="0.35">
      <c r="A98" s="1101"/>
      <c r="B98" s="1102"/>
      <c r="C98" s="1101"/>
      <c r="D98" s="1103"/>
      <c r="E98" s="1097"/>
      <c r="F98" s="2" t="s">
        <v>260</v>
      </c>
      <c r="G98" s="2" t="s">
        <v>259</v>
      </c>
      <c r="H98" s="2" t="s">
        <v>260</v>
      </c>
      <c r="I98" s="47" t="s">
        <v>259</v>
      </c>
      <c r="J98" s="2" t="s">
        <v>260</v>
      </c>
      <c r="K98" s="47" t="s">
        <v>259</v>
      </c>
      <c r="L98" s="59" t="s">
        <v>260</v>
      </c>
      <c r="M98" s="74" t="s">
        <v>259</v>
      </c>
      <c r="N98" s="80" t="s">
        <v>260</v>
      </c>
      <c r="O98" s="46" t="s">
        <v>259</v>
      </c>
      <c r="P98" s="81" t="s">
        <v>260</v>
      </c>
      <c r="Q98" s="82" t="s">
        <v>259</v>
      </c>
      <c r="R98" s="81" t="s">
        <v>260</v>
      </c>
      <c r="S98" s="82" t="s">
        <v>259</v>
      </c>
      <c r="T98" s="81"/>
      <c r="U98" s="82"/>
    </row>
    <row r="99" spans="1:21" ht="5.65" customHeight="1" x14ac:dyDescent="0.35">
      <c r="J99" s="60"/>
      <c r="K99" s="75"/>
      <c r="L99" s="60"/>
      <c r="M99" s="75"/>
      <c r="N99" s="60"/>
      <c r="O99" s="60"/>
      <c r="P99" s="60"/>
      <c r="Q99" s="60"/>
      <c r="R99" s="60"/>
      <c r="S99" s="60"/>
      <c r="T99" s="60"/>
      <c r="U99" s="60"/>
    </row>
    <row r="100" spans="1:21" ht="14.15" customHeight="1" x14ac:dyDescent="0.35">
      <c r="A100" s="1100" t="s">
        <v>288</v>
      </c>
      <c r="B100" s="1100"/>
      <c r="C100" s="1100"/>
      <c r="D100" s="1100"/>
      <c r="E100" s="1100"/>
      <c r="F100" s="1100"/>
      <c r="G100" s="1100"/>
      <c r="H100" s="1100"/>
      <c r="I100" s="1100"/>
      <c r="J100" s="61"/>
      <c r="K100" s="76"/>
      <c r="L100" s="61"/>
      <c r="M100" s="76"/>
      <c r="N100" s="61"/>
      <c r="O100" s="61"/>
      <c r="P100" s="61"/>
      <c r="Q100" s="61"/>
      <c r="R100" s="61"/>
      <c r="S100" s="61"/>
      <c r="T100" s="61"/>
      <c r="U100" s="61"/>
    </row>
    <row r="101" spans="1:21" s="3" customFormat="1" ht="14.15" customHeight="1" x14ac:dyDescent="0.35">
      <c r="A101" s="7" t="s">
        <v>67</v>
      </c>
      <c r="B101" s="7" t="s">
        <v>68</v>
      </c>
      <c r="C101" s="8" t="s">
        <v>69</v>
      </c>
      <c r="D101" s="9">
        <f>F101+H101+J101+L101+N101+P101+R101</f>
        <v>210</v>
      </c>
      <c r="E101" s="9">
        <f>G101+I101+K101+M101+O101+Q101+S101</f>
        <v>225</v>
      </c>
      <c r="F101" s="10">
        <f t="shared" ref="F101:P101" si="10">SUM(F102:F107)</f>
        <v>100</v>
      </c>
      <c r="G101" s="10">
        <f t="shared" si="10"/>
        <v>100</v>
      </c>
      <c r="H101" s="10">
        <f t="shared" si="10"/>
        <v>10</v>
      </c>
      <c r="I101" s="49">
        <f t="shared" si="10"/>
        <v>25</v>
      </c>
      <c r="J101" s="49">
        <f t="shared" si="10"/>
        <v>0</v>
      </c>
      <c r="K101" s="49">
        <f t="shared" si="10"/>
        <v>0</v>
      </c>
      <c r="L101" s="62">
        <f t="shared" si="10"/>
        <v>100</v>
      </c>
      <c r="M101" s="62">
        <f t="shared" si="10"/>
        <v>100</v>
      </c>
      <c r="N101" s="62">
        <f t="shared" si="10"/>
        <v>0</v>
      </c>
      <c r="O101" s="62">
        <f t="shared" si="10"/>
        <v>0</v>
      </c>
      <c r="P101" s="62">
        <f t="shared" si="10"/>
        <v>0</v>
      </c>
      <c r="Q101" s="62">
        <v>0</v>
      </c>
      <c r="R101" s="62">
        <f>SUM(R102:R107)</f>
        <v>0</v>
      </c>
      <c r="S101" s="62"/>
      <c r="T101" s="62"/>
      <c r="U101" s="62"/>
    </row>
    <row r="102" spans="1:21" ht="14.15" customHeight="1" x14ac:dyDescent="0.35">
      <c r="A102" s="24"/>
      <c r="B102" s="24"/>
      <c r="C102" s="25" t="s">
        <v>70</v>
      </c>
      <c r="D102" s="26"/>
      <c r="E102" s="26"/>
      <c r="F102" s="26">
        <v>10</v>
      </c>
      <c r="G102" s="26"/>
      <c r="H102" s="26">
        <v>10</v>
      </c>
      <c r="I102" s="55"/>
      <c r="J102" s="60"/>
      <c r="K102" s="75"/>
      <c r="L102" s="60">
        <v>40</v>
      </c>
      <c r="M102" s="75">
        <v>10</v>
      </c>
      <c r="N102" s="60"/>
      <c r="O102" s="60"/>
      <c r="P102" s="60"/>
      <c r="Q102" s="60"/>
      <c r="R102" s="60"/>
      <c r="S102" s="60"/>
      <c r="T102" s="60"/>
      <c r="U102" s="60"/>
    </row>
    <row r="103" spans="1:21" ht="14.15" customHeight="1" x14ac:dyDescent="0.35">
      <c r="A103" s="24"/>
      <c r="B103" s="24"/>
      <c r="C103" s="25" t="s">
        <v>71</v>
      </c>
      <c r="D103" s="26"/>
      <c r="E103" s="26"/>
      <c r="F103" s="26"/>
      <c r="G103" s="26"/>
      <c r="H103" s="26"/>
      <c r="I103" s="55"/>
      <c r="J103" s="60"/>
      <c r="K103" s="75"/>
      <c r="L103" s="60"/>
      <c r="M103" s="75"/>
      <c r="N103" s="60"/>
      <c r="O103" s="60"/>
      <c r="P103" s="60"/>
      <c r="Q103" s="60"/>
      <c r="R103" s="60"/>
      <c r="S103" s="60"/>
      <c r="T103" s="60"/>
      <c r="U103" s="60"/>
    </row>
    <row r="104" spans="1:21" ht="14.15" customHeight="1" x14ac:dyDescent="0.35">
      <c r="A104" s="24"/>
      <c r="B104" s="24"/>
      <c r="C104" s="25" t="s">
        <v>72</v>
      </c>
      <c r="D104" s="26"/>
      <c r="E104" s="26"/>
      <c r="F104" s="26">
        <v>80</v>
      </c>
      <c r="G104" s="26">
        <v>80</v>
      </c>
      <c r="H104" s="26"/>
      <c r="I104" s="55"/>
      <c r="J104" s="60"/>
      <c r="K104" s="75"/>
      <c r="L104" s="60">
        <v>50</v>
      </c>
      <c r="M104" s="75">
        <v>50</v>
      </c>
      <c r="N104" s="60"/>
      <c r="O104" s="60"/>
      <c r="P104" s="60"/>
      <c r="Q104" s="60"/>
      <c r="R104" s="60"/>
      <c r="S104" s="60"/>
      <c r="T104" s="60"/>
      <c r="U104" s="60"/>
    </row>
    <row r="105" spans="1:21" ht="14.15" customHeight="1" x14ac:dyDescent="0.35">
      <c r="A105" s="24"/>
      <c r="B105" s="24"/>
      <c r="C105" s="25" t="s">
        <v>73</v>
      </c>
      <c r="D105" s="26"/>
      <c r="E105" s="26"/>
      <c r="F105" s="26">
        <v>10</v>
      </c>
      <c r="G105" s="26"/>
      <c r="H105" s="26"/>
      <c r="I105" s="55"/>
      <c r="J105" s="60"/>
      <c r="K105" s="75"/>
      <c r="L105" s="60">
        <v>10</v>
      </c>
      <c r="M105" s="75">
        <v>10</v>
      </c>
      <c r="N105" s="60"/>
      <c r="O105" s="60"/>
      <c r="P105" s="60"/>
      <c r="Q105" s="60"/>
      <c r="R105" s="60"/>
      <c r="S105" s="60"/>
      <c r="T105" s="60"/>
      <c r="U105" s="60"/>
    </row>
    <row r="106" spans="1:21" ht="14.15" customHeight="1" x14ac:dyDescent="0.35">
      <c r="A106" s="24"/>
      <c r="B106" s="24"/>
      <c r="C106" s="25" t="s">
        <v>74</v>
      </c>
      <c r="D106" s="26"/>
      <c r="E106" s="26"/>
      <c r="F106" s="26"/>
      <c r="G106" s="26"/>
      <c r="H106" s="26"/>
      <c r="I106" s="55"/>
      <c r="J106" s="60"/>
      <c r="K106" s="75"/>
      <c r="L106" s="60"/>
      <c r="M106" s="75"/>
      <c r="N106" s="60"/>
      <c r="O106" s="60"/>
      <c r="P106" s="60"/>
      <c r="Q106" s="60"/>
      <c r="R106" s="60"/>
      <c r="S106" s="60"/>
      <c r="T106" s="60"/>
      <c r="U106" s="60"/>
    </row>
    <row r="107" spans="1:21" ht="14.15" customHeight="1" x14ac:dyDescent="0.35">
      <c r="A107" s="24"/>
      <c r="B107" s="24"/>
      <c r="C107" s="25" t="s">
        <v>75</v>
      </c>
      <c r="D107" s="26"/>
      <c r="E107" s="26"/>
      <c r="F107" s="26"/>
      <c r="G107" s="26">
        <v>20</v>
      </c>
      <c r="H107" s="26"/>
      <c r="I107" s="55">
        <v>25</v>
      </c>
      <c r="J107" s="60"/>
      <c r="K107" s="75"/>
      <c r="L107" s="60"/>
      <c r="M107" s="75">
        <v>30</v>
      </c>
      <c r="N107" s="60"/>
      <c r="O107" s="60"/>
      <c r="P107" s="60"/>
      <c r="Q107" s="60"/>
      <c r="R107" s="60"/>
      <c r="S107" s="60"/>
      <c r="T107" s="60"/>
      <c r="U107" s="60"/>
    </row>
    <row r="108" spans="1:21" s="3" customFormat="1" ht="14.15" customHeight="1" x14ac:dyDescent="0.35">
      <c r="A108" s="7" t="s">
        <v>76</v>
      </c>
      <c r="B108" s="7" t="s">
        <v>77</v>
      </c>
      <c r="C108" s="8" t="s">
        <v>78</v>
      </c>
      <c r="D108" s="9">
        <f>F108+H108+J108+L108+N108+P108+R108</f>
        <v>10455</v>
      </c>
      <c r="E108" s="9">
        <f>G108+I108+K108+M108+O108+Q108+S108</f>
        <v>11405</v>
      </c>
      <c r="F108" s="10">
        <f t="shared" ref="F108:P108" si="11">SUM(F109:F114)</f>
        <v>1100</v>
      </c>
      <c r="G108" s="10">
        <f t="shared" si="11"/>
        <v>1500</v>
      </c>
      <c r="H108" s="10">
        <f t="shared" si="11"/>
        <v>405</v>
      </c>
      <c r="I108" s="49">
        <f t="shared" si="11"/>
        <v>405</v>
      </c>
      <c r="J108" s="49">
        <f t="shared" si="11"/>
        <v>650</v>
      </c>
      <c r="K108" s="49">
        <f t="shared" si="11"/>
        <v>500</v>
      </c>
      <c r="L108" s="62">
        <f t="shared" si="11"/>
        <v>2365</v>
      </c>
      <c r="M108" s="62">
        <f t="shared" si="11"/>
        <v>2565</v>
      </c>
      <c r="N108" s="62">
        <f t="shared" si="11"/>
        <v>5935</v>
      </c>
      <c r="O108" s="62">
        <f t="shared" si="11"/>
        <v>6435</v>
      </c>
      <c r="P108" s="62">
        <f t="shared" si="11"/>
        <v>0</v>
      </c>
      <c r="Q108" s="62">
        <v>0</v>
      </c>
      <c r="R108" s="62">
        <f>SUM(R109:R114)</f>
        <v>0</v>
      </c>
      <c r="S108" s="62"/>
      <c r="T108" s="62"/>
      <c r="U108" s="62"/>
    </row>
    <row r="109" spans="1:21" ht="14.15" customHeight="1" x14ac:dyDescent="0.35">
      <c r="A109" s="24"/>
      <c r="B109" s="24"/>
      <c r="C109" s="25" t="s">
        <v>79</v>
      </c>
      <c r="D109" s="26"/>
      <c r="E109" s="26"/>
      <c r="F109" s="26"/>
      <c r="G109" s="26"/>
      <c r="H109" s="26"/>
      <c r="I109" s="55"/>
      <c r="J109" s="60"/>
      <c r="K109" s="75"/>
      <c r="L109" s="60"/>
      <c r="M109" s="75"/>
      <c r="N109" s="60">
        <v>5935</v>
      </c>
      <c r="O109" s="60">
        <v>5935</v>
      </c>
      <c r="P109" s="60"/>
      <c r="Q109" s="60"/>
      <c r="R109" s="60"/>
      <c r="S109" s="60"/>
      <c r="T109" s="60"/>
      <c r="U109" s="60"/>
    </row>
    <row r="110" spans="1:21" ht="14.15" customHeight="1" x14ac:dyDescent="0.35">
      <c r="A110" s="24"/>
      <c r="B110" s="24"/>
      <c r="C110" s="25" t="s">
        <v>80</v>
      </c>
      <c r="D110" s="26"/>
      <c r="E110" s="26"/>
      <c r="F110" s="26">
        <v>150</v>
      </c>
      <c r="G110" s="26">
        <v>200</v>
      </c>
      <c r="H110" s="26">
        <v>100</v>
      </c>
      <c r="I110" s="55">
        <v>100</v>
      </c>
      <c r="J110" s="60"/>
      <c r="K110" s="75"/>
      <c r="L110" s="60">
        <v>200</v>
      </c>
      <c r="M110" s="75">
        <v>200</v>
      </c>
      <c r="N110" s="60"/>
      <c r="O110" s="60"/>
      <c r="P110" s="60"/>
      <c r="Q110" s="60"/>
      <c r="R110" s="60"/>
      <c r="S110" s="60"/>
      <c r="T110" s="60"/>
      <c r="U110" s="60"/>
    </row>
    <row r="111" spans="1:21" ht="14.15" customHeight="1" x14ac:dyDescent="0.35">
      <c r="A111" s="24"/>
      <c r="B111" s="24"/>
      <c r="C111" s="25" t="s">
        <v>81</v>
      </c>
      <c r="D111" s="26"/>
      <c r="E111" s="26"/>
      <c r="F111" s="26"/>
      <c r="G111" s="26"/>
      <c r="H111" s="26"/>
      <c r="I111" s="55"/>
      <c r="J111" s="60"/>
      <c r="K111" s="75"/>
      <c r="L111" s="60"/>
      <c r="M111" s="75"/>
      <c r="N111" s="60"/>
      <c r="O111" s="60"/>
      <c r="P111" s="60"/>
      <c r="Q111" s="60"/>
      <c r="R111" s="60"/>
      <c r="S111" s="60"/>
      <c r="T111" s="60"/>
      <c r="U111" s="60"/>
    </row>
    <row r="112" spans="1:21" ht="14.15" customHeight="1" x14ac:dyDescent="0.35">
      <c r="A112" s="24"/>
      <c r="B112" s="24"/>
      <c r="C112" s="25" t="s">
        <v>82</v>
      </c>
      <c r="D112" s="26"/>
      <c r="E112" s="26"/>
      <c r="F112" s="26"/>
      <c r="G112" s="26"/>
      <c r="H112" s="26">
        <v>5</v>
      </c>
      <c r="I112" s="55">
        <v>5</v>
      </c>
      <c r="J112" s="60">
        <v>600</v>
      </c>
      <c r="K112" s="75">
        <v>450</v>
      </c>
      <c r="L112" s="60">
        <v>15</v>
      </c>
      <c r="M112" s="75">
        <v>15</v>
      </c>
      <c r="N112" s="60"/>
      <c r="O112" s="60"/>
      <c r="P112" s="60"/>
      <c r="Q112" s="60"/>
      <c r="R112" s="60"/>
      <c r="S112" s="60"/>
      <c r="T112" s="60"/>
      <c r="U112" s="60"/>
    </row>
    <row r="113" spans="1:21" ht="14.15" customHeight="1" x14ac:dyDescent="0.35">
      <c r="A113" s="24"/>
      <c r="B113" s="24"/>
      <c r="C113" s="25" t="s">
        <v>83</v>
      </c>
      <c r="D113" s="26"/>
      <c r="E113" s="26"/>
      <c r="F113" s="26"/>
      <c r="G113" s="26"/>
      <c r="H113" s="26"/>
      <c r="I113" s="55"/>
      <c r="J113" s="60"/>
      <c r="K113" s="75"/>
      <c r="L113" s="60">
        <v>150</v>
      </c>
      <c r="M113" s="75">
        <v>600</v>
      </c>
      <c r="N113" s="60"/>
      <c r="O113" s="60"/>
      <c r="P113" s="60"/>
      <c r="Q113" s="60"/>
      <c r="R113" s="60"/>
      <c r="S113" s="60"/>
      <c r="T113" s="60"/>
      <c r="U113" s="60"/>
    </row>
    <row r="114" spans="1:21" ht="14.15" customHeight="1" x14ac:dyDescent="0.35">
      <c r="A114" s="24"/>
      <c r="B114" s="24"/>
      <c r="C114" s="25" t="s">
        <v>84</v>
      </c>
      <c r="D114" s="26"/>
      <c r="E114" s="26"/>
      <c r="F114" s="26">
        <v>950</v>
      </c>
      <c r="G114" s="26">
        <v>1300</v>
      </c>
      <c r="H114" s="26">
        <v>300</v>
      </c>
      <c r="I114" s="55">
        <v>300</v>
      </c>
      <c r="J114" s="60">
        <v>50</v>
      </c>
      <c r="K114" s="75">
        <v>50</v>
      </c>
      <c r="L114" s="60">
        <v>2000</v>
      </c>
      <c r="M114" s="75">
        <v>1750</v>
      </c>
      <c r="N114" s="60"/>
      <c r="O114" s="60">
        <v>500</v>
      </c>
      <c r="P114" s="60"/>
      <c r="Q114" s="60"/>
      <c r="R114" s="60"/>
      <c r="S114" s="60"/>
      <c r="T114" s="60"/>
      <c r="U114" s="60"/>
    </row>
    <row r="115" spans="1:21" s="3" customFormat="1" ht="14.15" customHeight="1" x14ac:dyDescent="0.35">
      <c r="A115" s="7" t="s">
        <v>85</v>
      </c>
      <c r="B115" s="7" t="s">
        <v>86</v>
      </c>
      <c r="C115" s="8" t="s">
        <v>87</v>
      </c>
      <c r="D115" s="9">
        <f>F115+H115+J115+L115+N115+P115+R115</f>
        <v>0</v>
      </c>
      <c r="E115" s="9">
        <f>G115+I115+K115+M115+O115+Q115+S115</f>
        <v>0</v>
      </c>
      <c r="F115" s="10">
        <f>SUM(F116:F117)</f>
        <v>0</v>
      </c>
      <c r="G115" s="10">
        <f t="shared" ref="G115:P115" si="12">SUM(G116:G117)</f>
        <v>0</v>
      </c>
      <c r="H115" s="10">
        <f t="shared" si="12"/>
        <v>0</v>
      </c>
      <c r="I115" s="49">
        <f t="shared" si="12"/>
        <v>0</v>
      </c>
      <c r="J115" s="49">
        <f t="shared" si="12"/>
        <v>0</v>
      </c>
      <c r="K115" s="49">
        <f t="shared" si="12"/>
        <v>0</v>
      </c>
      <c r="L115" s="49">
        <f t="shared" si="12"/>
        <v>0</v>
      </c>
      <c r="M115" s="49">
        <f t="shared" si="12"/>
        <v>0</v>
      </c>
      <c r="N115" s="49">
        <f t="shared" si="12"/>
        <v>0</v>
      </c>
      <c r="O115" s="49">
        <f t="shared" si="12"/>
        <v>0</v>
      </c>
      <c r="P115" s="49">
        <f t="shared" si="12"/>
        <v>0</v>
      </c>
      <c r="Q115" s="62">
        <v>0</v>
      </c>
      <c r="R115" s="49">
        <f>SUM(R116:R117)</f>
        <v>0</v>
      </c>
      <c r="S115" s="62"/>
      <c r="T115" s="49"/>
      <c r="U115" s="62"/>
    </row>
    <row r="116" spans="1:21" ht="14.15" customHeight="1" x14ac:dyDescent="0.35">
      <c r="A116" s="24"/>
      <c r="B116" s="24"/>
      <c r="C116" s="25" t="s">
        <v>88</v>
      </c>
      <c r="D116" s="26"/>
      <c r="E116" s="26"/>
      <c r="F116" s="26"/>
      <c r="G116" s="26"/>
      <c r="H116" s="26"/>
      <c r="I116" s="55"/>
      <c r="J116" s="60"/>
      <c r="K116" s="75"/>
      <c r="L116" s="60"/>
      <c r="M116" s="75"/>
      <c r="N116" s="60"/>
      <c r="O116" s="60"/>
      <c r="P116" s="60"/>
      <c r="Q116" s="60"/>
      <c r="R116" s="60"/>
      <c r="S116" s="60"/>
      <c r="T116" s="60"/>
      <c r="U116" s="60"/>
    </row>
    <row r="117" spans="1:21" ht="14.15" customHeight="1" x14ac:dyDescent="0.35">
      <c r="A117" s="24"/>
      <c r="B117" s="24"/>
      <c r="C117" s="25" t="s">
        <v>89</v>
      </c>
      <c r="D117" s="26"/>
      <c r="E117" s="26"/>
      <c r="F117" s="26"/>
      <c r="G117" s="26"/>
      <c r="H117" s="26"/>
      <c r="I117" s="55"/>
      <c r="J117" s="60"/>
      <c r="K117" s="75"/>
      <c r="L117" s="60"/>
      <c r="M117" s="75"/>
      <c r="N117" s="60"/>
      <c r="O117" s="60"/>
      <c r="P117" s="60"/>
      <c r="Q117" s="60"/>
      <c r="R117" s="60"/>
      <c r="S117" s="60"/>
      <c r="T117" s="60"/>
      <c r="U117" s="60"/>
    </row>
    <row r="118" spans="1:21" s="3" customFormat="1" ht="14.15" customHeight="1" x14ac:dyDescent="0.35">
      <c r="A118" s="16" t="s">
        <v>90</v>
      </c>
      <c r="B118" s="16" t="s">
        <v>91</v>
      </c>
      <c r="C118" s="17" t="s">
        <v>92</v>
      </c>
      <c r="D118" s="19">
        <f>D101+D108</f>
        <v>10665</v>
      </c>
      <c r="E118" s="19">
        <f t="shared" ref="E118:Q118" si="13">E101+E108</f>
        <v>11630</v>
      </c>
      <c r="F118" s="19">
        <f t="shared" si="13"/>
        <v>1200</v>
      </c>
      <c r="G118" s="19">
        <f t="shared" si="13"/>
        <v>1600</v>
      </c>
      <c r="H118" s="19">
        <f t="shared" si="13"/>
        <v>415</v>
      </c>
      <c r="I118" s="56">
        <f t="shared" si="13"/>
        <v>430</v>
      </c>
      <c r="J118" s="56">
        <f t="shared" si="13"/>
        <v>650</v>
      </c>
      <c r="K118" s="56">
        <f t="shared" si="13"/>
        <v>500</v>
      </c>
      <c r="L118" s="56">
        <f t="shared" si="13"/>
        <v>2465</v>
      </c>
      <c r="M118" s="56">
        <f t="shared" si="13"/>
        <v>2665</v>
      </c>
      <c r="N118" s="56">
        <f t="shared" si="13"/>
        <v>5935</v>
      </c>
      <c r="O118" s="56">
        <f t="shared" si="13"/>
        <v>6435</v>
      </c>
      <c r="P118" s="56">
        <f t="shared" si="13"/>
        <v>0</v>
      </c>
      <c r="Q118" s="56">
        <f t="shared" si="13"/>
        <v>0</v>
      </c>
      <c r="R118" s="56">
        <f>R101+R108</f>
        <v>0</v>
      </c>
      <c r="S118" s="68"/>
      <c r="T118" s="56"/>
      <c r="U118" s="68"/>
    </row>
    <row r="119" spans="1:21" s="3" customFormat="1" ht="14.15" customHeight="1" x14ac:dyDescent="0.35">
      <c r="A119" s="7" t="s">
        <v>93</v>
      </c>
      <c r="B119" s="7" t="s">
        <v>94</v>
      </c>
      <c r="C119" s="8" t="s">
        <v>95</v>
      </c>
      <c r="D119" s="9">
        <f>F119+H119+J119+L119+N119+P119+R119</f>
        <v>1255</v>
      </c>
      <c r="E119" s="9">
        <f>G119+I119+K119+M119+O119+Q119+S119</f>
        <v>1216</v>
      </c>
      <c r="F119" s="10">
        <f>SUM(F120:F125)</f>
        <v>965</v>
      </c>
      <c r="G119" s="10">
        <f>SUM(G120:G125)</f>
        <v>996</v>
      </c>
      <c r="H119" s="10">
        <f t="shared" ref="H119:P119" si="14">SUM(H120:H125)</f>
        <v>160</v>
      </c>
      <c r="I119" s="49">
        <f t="shared" si="14"/>
        <v>120</v>
      </c>
      <c r="J119" s="49">
        <f t="shared" si="14"/>
        <v>0</v>
      </c>
      <c r="K119" s="49">
        <f t="shared" si="14"/>
        <v>0</v>
      </c>
      <c r="L119" s="49">
        <f t="shared" si="14"/>
        <v>130</v>
      </c>
      <c r="M119" s="49">
        <f t="shared" si="14"/>
        <v>100</v>
      </c>
      <c r="N119" s="49">
        <f t="shared" si="14"/>
        <v>0</v>
      </c>
      <c r="O119" s="49">
        <f t="shared" si="14"/>
        <v>0</v>
      </c>
      <c r="P119" s="49">
        <f t="shared" si="14"/>
        <v>0</v>
      </c>
      <c r="Q119" s="62">
        <v>0</v>
      </c>
      <c r="R119" s="49">
        <f>SUM(R120:R125)</f>
        <v>0</v>
      </c>
      <c r="S119" s="62"/>
      <c r="T119" s="49"/>
      <c r="U119" s="62"/>
    </row>
    <row r="120" spans="1:21" ht="14.15" customHeight="1" x14ac:dyDescent="0.35">
      <c r="A120" s="24"/>
      <c r="B120" s="24"/>
      <c r="C120" s="25" t="s">
        <v>96</v>
      </c>
      <c r="D120" s="26"/>
      <c r="E120" s="26"/>
      <c r="F120" s="26"/>
      <c r="G120" s="26"/>
      <c r="H120" s="26"/>
      <c r="I120" s="55"/>
      <c r="J120" s="60"/>
      <c r="K120" s="75"/>
      <c r="L120" s="60"/>
      <c r="M120" s="75"/>
      <c r="N120" s="60"/>
      <c r="O120" s="60"/>
      <c r="P120" s="60"/>
      <c r="Q120" s="60"/>
      <c r="R120" s="60"/>
      <c r="S120" s="60"/>
      <c r="T120" s="60"/>
      <c r="U120" s="60"/>
    </row>
    <row r="121" spans="1:21" ht="14.15" customHeight="1" x14ac:dyDescent="0.35">
      <c r="A121" s="24"/>
      <c r="B121" s="24"/>
      <c r="C121" s="25" t="s">
        <v>97</v>
      </c>
      <c r="D121" s="26"/>
      <c r="E121" s="26"/>
      <c r="F121" s="26">
        <v>10</v>
      </c>
      <c r="G121" s="26">
        <v>10</v>
      </c>
      <c r="H121" s="26">
        <v>100</v>
      </c>
      <c r="I121" s="55">
        <v>120</v>
      </c>
      <c r="J121" s="60"/>
      <c r="K121" s="75"/>
      <c r="L121" s="60"/>
      <c r="M121" s="75"/>
      <c r="N121" s="60"/>
      <c r="O121" s="60"/>
      <c r="P121" s="60"/>
      <c r="Q121" s="60"/>
      <c r="R121" s="60"/>
      <c r="S121" s="60"/>
      <c r="T121" s="60"/>
      <c r="U121" s="60"/>
    </row>
    <row r="122" spans="1:21" ht="14.15" customHeight="1" x14ac:dyDescent="0.35">
      <c r="A122" s="24"/>
      <c r="B122" s="24"/>
      <c r="C122" s="25" t="s">
        <v>98</v>
      </c>
      <c r="D122" s="26"/>
      <c r="E122" s="26"/>
      <c r="F122" s="26">
        <v>300</v>
      </c>
      <c r="G122" s="26">
        <v>300</v>
      </c>
      <c r="H122" s="26"/>
      <c r="I122" s="55"/>
      <c r="J122" s="60"/>
      <c r="K122" s="75"/>
      <c r="L122" s="60"/>
      <c r="M122" s="75"/>
      <c r="N122" s="60"/>
      <c r="O122" s="60"/>
      <c r="P122" s="60"/>
      <c r="Q122" s="60"/>
      <c r="R122" s="60"/>
      <c r="S122" s="60"/>
      <c r="T122" s="60"/>
      <c r="U122" s="60"/>
    </row>
    <row r="123" spans="1:21" ht="14.15" customHeight="1" x14ac:dyDescent="0.35">
      <c r="A123" s="24"/>
      <c r="B123" s="24"/>
      <c r="C123" s="25" t="s">
        <v>99</v>
      </c>
      <c r="D123" s="26"/>
      <c r="E123" s="26"/>
      <c r="F123" s="26">
        <v>150</v>
      </c>
      <c r="G123" s="26">
        <v>150</v>
      </c>
      <c r="H123" s="26">
        <v>20</v>
      </c>
      <c r="I123" s="55"/>
      <c r="J123" s="60"/>
      <c r="K123" s="75"/>
      <c r="L123" s="60">
        <v>50</v>
      </c>
      <c r="M123" s="75">
        <v>100</v>
      </c>
      <c r="N123" s="60"/>
      <c r="O123" s="60"/>
      <c r="P123" s="60"/>
      <c r="Q123" s="60"/>
      <c r="R123" s="60"/>
      <c r="S123" s="60"/>
      <c r="T123" s="60"/>
      <c r="U123" s="60"/>
    </row>
    <row r="124" spans="1:21" ht="14.15" customHeight="1" x14ac:dyDescent="0.35">
      <c r="A124" s="24"/>
      <c r="B124" s="24"/>
      <c r="C124" s="25" t="s">
        <v>100</v>
      </c>
      <c r="D124" s="26"/>
      <c r="E124" s="26"/>
      <c r="F124" s="26">
        <v>125</v>
      </c>
      <c r="G124" s="26">
        <v>125</v>
      </c>
      <c r="H124" s="26">
        <v>40</v>
      </c>
      <c r="I124" s="55"/>
      <c r="J124" s="60"/>
      <c r="K124" s="75"/>
      <c r="L124" s="60">
        <v>50</v>
      </c>
      <c r="M124" s="75"/>
      <c r="N124" s="60"/>
      <c r="O124" s="60"/>
      <c r="P124" s="60"/>
      <c r="Q124" s="60"/>
      <c r="R124" s="60"/>
      <c r="S124" s="60"/>
      <c r="T124" s="60"/>
      <c r="U124" s="60"/>
    </row>
    <row r="125" spans="1:21" ht="14.15" customHeight="1" x14ac:dyDescent="0.35">
      <c r="A125" s="24"/>
      <c r="B125" s="24"/>
      <c r="C125" s="25" t="s">
        <v>101</v>
      </c>
      <c r="D125" s="26"/>
      <c r="E125" s="26"/>
      <c r="F125" s="26">
        <v>380</v>
      </c>
      <c r="G125" s="26">
        <v>411</v>
      </c>
      <c r="H125" s="26"/>
      <c r="I125" s="55"/>
      <c r="J125" s="60"/>
      <c r="K125" s="75"/>
      <c r="L125" s="60">
        <v>30</v>
      </c>
      <c r="M125" s="75"/>
      <c r="N125" s="60"/>
      <c r="O125" s="60"/>
      <c r="P125" s="60"/>
      <c r="Q125" s="60"/>
      <c r="R125" s="60"/>
      <c r="S125" s="60"/>
      <c r="T125" s="60"/>
      <c r="U125" s="60"/>
    </row>
    <row r="126" spans="1:21" s="3" customFormat="1" ht="14.15" customHeight="1" x14ac:dyDescent="0.35">
      <c r="A126" s="7" t="s">
        <v>102</v>
      </c>
      <c r="B126" s="7" t="s">
        <v>103</v>
      </c>
      <c r="C126" s="8" t="s">
        <v>104</v>
      </c>
      <c r="D126" s="9">
        <f>F126+H126+J126+L126+N126+P126+R126</f>
        <v>850</v>
      </c>
      <c r="E126" s="9">
        <f>G126+I126+K126+M126+O126+Q126+S126</f>
        <v>640</v>
      </c>
      <c r="F126" s="10">
        <f>SUM(F127:F128)</f>
        <v>750</v>
      </c>
      <c r="G126" s="10">
        <f t="shared" ref="G126:P126" si="15">SUM(G127:G128)</f>
        <v>450</v>
      </c>
      <c r="H126" s="10">
        <f t="shared" si="15"/>
        <v>30</v>
      </c>
      <c r="I126" s="49">
        <f t="shared" si="15"/>
        <v>90</v>
      </c>
      <c r="J126" s="49">
        <f t="shared" si="15"/>
        <v>0</v>
      </c>
      <c r="K126" s="49">
        <f t="shared" si="15"/>
        <v>0</v>
      </c>
      <c r="L126" s="49">
        <f t="shared" si="15"/>
        <v>70</v>
      </c>
      <c r="M126" s="49">
        <f t="shared" si="15"/>
        <v>100</v>
      </c>
      <c r="N126" s="49">
        <f t="shared" si="15"/>
        <v>0</v>
      </c>
      <c r="O126" s="49">
        <f t="shared" si="15"/>
        <v>0</v>
      </c>
      <c r="P126" s="49">
        <f t="shared" si="15"/>
        <v>0</v>
      </c>
      <c r="Q126" s="62">
        <v>0</v>
      </c>
      <c r="R126" s="49">
        <f>SUM(R127:R128)</f>
        <v>0</v>
      </c>
      <c r="S126" s="62"/>
      <c r="T126" s="49"/>
      <c r="U126" s="62"/>
    </row>
    <row r="127" spans="1:21" ht="14.15" customHeight="1" x14ac:dyDescent="0.35">
      <c r="A127" s="24"/>
      <c r="B127" s="24"/>
      <c r="C127" s="25" t="s">
        <v>105</v>
      </c>
      <c r="D127" s="26"/>
      <c r="E127" s="26"/>
      <c r="F127" s="26">
        <v>750</v>
      </c>
      <c r="G127" s="26">
        <v>450</v>
      </c>
      <c r="H127" s="26">
        <v>30</v>
      </c>
      <c r="I127" s="55">
        <v>90</v>
      </c>
      <c r="J127" s="60"/>
      <c r="K127" s="75"/>
      <c r="L127" s="60">
        <v>70</v>
      </c>
      <c r="M127" s="75">
        <v>100</v>
      </c>
      <c r="N127" s="60"/>
      <c r="O127" s="60"/>
      <c r="P127" s="60"/>
      <c r="Q127" s="60"/>
      <c r="R127" s="60"/>
      <c r="S127" s="60"/>
      <c r="T127" s="60"/>
      <c r="U127" s="60"/>
    </row>
    <row r="128" spans="1:21" ht="14.15" customHeight="1" x14ac:dyDescent="0.35">
      <c r="A128" s="24"/>
      <c r="B128" s="24"/>
      <c r="C128" s="25" t="s">
        <v>106</v>
      </c>
      <c r="D128" s="26"/>
      <c r="E128" s="26"/>
      <c r="F128" s="26"/>
      <c r="G128" s="26"/>
      <c r="H128" s="26"/>
      <c r="I128" s="55"/>
      <c r="J128" s="60"/>
      <c r="K128" s="75"/>
      <c r="L128" s="60"/>
      <c r="M128" s="75"/>
      <c r="N128" s="60"/>
      <c r="O128" s="60"/>
      <c r="P128" s="60"/>
      <c r="Q128" s="60"/>
      <c r="R128" s="60"/>
      <c r="S128" s="60"/>
      <c r="T128" s="60"/>
      <c r="U128" s="60"/>
    </row>
    <row r="129" spans="1:21" s="3" customFormat="1" ht="14.15" customHeight="1" x14ac:dyDescent="0.35">
      <c r="A129" s="16" t="s">
        <v>107</v>
      </c>
      <c r="B129" s="16" t="s">
        <v>108</v>
      </c>
      <c r="C129" s="17" t="s">
        <v>109</v>
      </c>
      <c r="D129" s="19">
        <f>D119+D126</f>
        <v>2105</v>
      </c>
      <c r="E129" s="19">
        <f t="shared" ref="E129:Q129" si="16">E119+E126</f>
        <v>1856</v>
      </c>
      <c r="F129" s="19">
        <f t="shared" si="16"/>
        <v>1715</v>
      </c>
      <c r="G129" s="19">
        <f t="shared" si="16"/>
        <v>1446</v>
      </c>
      <c r="H129" s="19">
        <f t="shared" si="16"/>
        <v>190</v>
      </c>
      <c r="I129" s="56">
        <f t="shared" si="16"/>
        <v>210</v>
      </c>
      <c r="J129" s="56">
        <f t="shared" si="16"/>
        <v>0</v>
      </c>
      <c r="K129" s="56">
        <f t="shared" si="16"/>
        <v>0</v>
      </c>
      <c r="L129" s="56">
        <f t="shared" si="16"/>
        <v>200</v>
      </c>
      <c r="M129" s="56">
        <f t="shared" si="16"/>
        <v>200</v>
      </c>
      <c r="N129" s="56">
        <f t="shared" si="16"/>
        <v>0</v>
      </c>
      <c r="O129" s="56">
        <f t="shared" si="16"/>
        <v>0</v>
      </c>
      <c r="P129" s="56">
        <f t="shared" si="16"/>
        <v>0</v>
      </c>
      <c r="Q129" s="56">
        <f t="shared" si="16"/>
        <v>0</v>
      </c>
      <c r="R129" s="56">
        <f>R119+R126</f>
        <v>0</v>
      </c>
      <c r="S129" s="68"/>
      <c r="T129" s="56"/>
      <c r="U129" s="68"/>
    </row>
    <row r="130" spans="1:21" s="3" customFormat="1" ht="14.15" customHeight="1" x14ac:dyDescent="0.35">
      <c r="A130" s="7" t="s">
        <v>110</v>
      </c>
      <c r="B130" s="7" t="s">
        <v>111</v>
      </c>
      <c r="C130" s="8" t="s">
        <v>112</v>
      </c>
      <c r="D130" s="9">
        <f>F130+H130+J130+L130+N130+P130+R130</f>
        <v>5460</v>
      </c>
      <c r="E130" s="9">
        <f>G130+I130+K130+M130+O130+Q130+S130</f>
        <v>5410</v>
      </c>
      <c r="F130" s="10">
        <f>SUM(F131:F133)</f>
        <v>700</v>
      </c>
      <c r="G130" s="10">
        <f t="shared" ref="G130:P130" si="17">SUM(G131:G133)</f>
        <v>870</v>
      </c>
      <c r="H130" s="10">
        <f t="shared" si="17"/>
        <v>460</v>
      </c>
      <c r="I130" s="49">
        <f t="shared" si="17"/>
        <v>440</v>
      </c>
      <c r="J130" s="49">
        <f t="shared" si="17"/>
        <v>0</v>
      </c>
      <c r="K130" s="49">
        <f t="shared" si="17"/>
        <v>0</v>
      </c>
      <c r="L130" s="49">
        <f t="shared" si="17"/>
        <v>4300</v>
      </c>
      <c r="M130" s="49">
        <f t="shared" si="17"/>
        <v>4100</v>
      </c>
      <c r="N130" s="49">
        <f t="shared" si="17"/>
        <v>0</v>
      </c>
      <c r="O130" s="49">
        <f t="shared" si="17"/>
        <v>0</v>
      </c>
      <c r="P130" s="49">
        <f t="shared" si="17"/>
        <v>0</v>
      </c>
      <c r="Q130" s="62">
        <v>0</v>
      </c>
      <c r="R130" s="49">
        <f>SUM(R131:R133)</f>
        <v>0</v>
      </c>
      <c r="S130" s="62"/>
      <c r="T130" s="49"/>
      <c r="U130" s="62"/>
    </row>
    <row r="131" spans="1:21" ht="14.15" customHeight="1" x14ac:dyDescent="0.35">
      <c r="A131" s="24"/>
      <c r="B131" s="24"/>
      <c r="C131" s="25" t="s">
        <v>113</v>
      </c>
      <c r="D131" s="26"/>
      <c r="E131" s="26"/>
      <c r="F131" s="26">
        <v>150</v>
      </c>
      <c r="G131" s="26">
        <v>120</v>
      </c>
      <c r="H131" s="26">
        <v>80</v>
      </c>
      <c r="I131" s="55">
        <v>80</v>
      </c>
      <c r="J131" s="60"/>
      <c r="K131" s="75"/>
      <c r="L131" s="60">
        <v>800</v>
      </c>
      <c r="M131" s="75">
        <v>700</v>
      </c>
      <c r="N131" s="60"/>
      <c r="O131" s="60"/>
      <c r="P131" s="60"/>
      <c r="Q131" s="60"/>
      <c r="R131" s="60"/>
      <c r="S131" s="60"/>
      <c r="T131" s="60"/>
      <c r="U131" s="60"/>
    </row>
    <row r="132" spans="1:21" ht="14.15" customHeight="1" x14ac:dyDescent="0.35">
      <c r="A132" s="24"/>
      <c r="B132" s="24"/>
      <c r="C132" s="25" t="s">
        <v>114</v>
      </c>
      <c r="D132" s="26"/>
      <c r="E132" s="26"/>
      <c r="F132" s="26">
        <v>450</v>
      </c>
      <c r="G132" s="26">
        <v>650</v>
      </c>
      <c r="H132" s="26">
        <v>180</v>
      </c>
      <c r="I132" s="55">
        <v>160</v>
      </c>
      <c r="J132" s="60"/>
      <c r="K132" s="75"/>
      <c r="L132" s="60">
        <v>3000</v>
      </c>
      <c r="M132" s="75">
        <v>3000</v>
      </c>
      <c r="N132" s="60"/>
      <c r="O132" s="60"/>
      <c r="P132" s="60"/>
      <c r="Q132" s="60"/>
      <c r="R132" s="60"/>
      <c r="S132" s="60"/>
      <c r="T132" s="60"/>
      <c r="U132" s="60"/>
    </row>
    <row r="133" spans="1:21" ht="14.15" customHeight="1" x14ac:dyDescent="0.35">
      <c r="A133" s="24"/>
      <c r="B133" s="24"/>
      <c r="C133" s="25" t="s">
        <v>115</v>
      </c>
      <c r="D133" s="26"/>
      <c r="E133" s="26"/>
      <c r="F133" s="26">
        <v>100</v>
      </c>
      <c r="G133" s="26">
        <v>100</v>
      </c>
      <c r="H133" s="26">
        <v>200</v>
      </c>
      <c r="I133" s="55">
        <v>200</v>
      </c>
      <c r="J133" s="60"/>
      <c r="K133" s="75"/>
      <c r="L133" s="60">
        <v>500</v>
      </c>
      <c r="M133" s="75">
        <v>400</v>
      </c>
      <c r="N133" s="60"/>
      <c r="O133" s="60"/>
      <c r="P133" s="60"/>
      <c r="Q133" s="60"/>
      <c r="R133" s="60"/>
      <c r="S133" s="60"/>
      <c r="T133" s="60"/>
      <c r="U133" s="60"/>
    </row>
    <row r="134" spans="1:21" s="3" customFormat="1" ht="14.15" customHeight="1" x14ac:dyDescent="0.35">
      <c r="A134" s="7" t="s">
        <v>116</v>
      </c>
      <c r="B134" s="7" t="s">
        <v>117</v>
      </c>
      <c r="C134" s="8" t="s">
        <v>118</v>
      </c>
      <c r="D134" s="9">
        <f>F134+H134+J134+L134+N134+P134+R134</f>
        <v>10100</v>
      </c>
      <c r="E134" s="9">
        <f>G134+I134+K134+M134+O134+Q134+S134</f>
        <v>10100</v>
      </c>
      <c r="F134" s="10">
        <v>0</v>
      </c>
      <c r="G134" s="10">
        <f>G135</f>
        <v>0</v>
      </c>
      <c r="H134" s="10">
        <v>0</v>
      </c>
      <c r="I134" s="49">
        <f>I135</f>
        <v>0</v>
      </c>
      <c r="J134" s="49">
        <f>J135</f>
        <v>10100</v>
      </c>
      <c r="K134" s="49">
        <f>K135</f>
        <v>10100</v>
      </c>
      <c r="L134" s="49">
        <f>L135</f>
        <v>0</v>
      </c>
      <c r="M134" s="77">
        <v>0</v>
      </c>
      <c r="N134" s="49">
        <f>N135</f>
        <v>0</v>
      </c>
      <c r="O134" s="49">
        <f>O135</f>
        <v>0</v>
      </c>
      <c r="P134" s="49">
        <f>P135</f>
        <v>0</v>
      </c>
      <c r="Q134" s="62">
        <v>0</v>
      </c>
      <c r="R134" s="49">
        <f>R135</f>
        <v>0</v>
      </c>
      <c r="S134" s="62"/>
      <c r="T134" s="49"/>
      <c r="U134" s="62"/>
    </row>
    <row r="135" spans="1:21" s="3" customFormat="1" ht="14.15" customHeight="1" x14ac:dyDescent="0.35">
      <c r="A135" s="24"/>
      <c r="B135" s="24"/>
      <c r="C135" s="25"/>
      <c r="D135" s="26"/>
      <c r="E135" s="26"/>
      <c r="F135" s="26"/>
      <c r="G135" s="26"/>
      <c r="H135" s="26"/>
      <c r="I135" s="55"/>
      <c r="J135" s="60">
        <v>10100</v>
      </c>
      <c r="K135" s="75">
        <v>10100</v>
      </c>
      <c r="L135" s="60"/>
      <c r="M135" s="75"/>
      <c r="N135" s="60"/>
      <c r="O135" s="60"/>
      <c r="P135" s="60"/>
      <c r="Q135" s="60"/>
      <c r="R135" s="60"/>
      <c r="S135" s="60"/>
      <c r="T135" s="60"/>
      <c r="U135" s="60"/>
    </row>
    <row r="136" spans="1:21" s="3" customFormat="1" ht="14.15" customHeight="1" x14ac:dyDescent="0.35">
      <c r="A136" s="7" t="s">
        <v>119</v>
      </c>
      <c r="B136" s="7" t="s">
        <v>120</v>
      </c>
      <c r="C136" s="8" t="s">
        <v>121</v>
      </c>
      <c r="D136" s="9">
        <f>F136+H136+J136+L136+N136+P136+R136</f>
        <v>265</v>
      </c>
      <c r="E136" s="9">
        <f>G136+I136+K136+M136+O136+Q136+S136</f>
        <v>400</v>
      </c>
      <c r="F136" s="10">
        <f>SUM(F137:F138)</f>
        <v>265</v>
      </c>
      <c r="G136" s="10">
        <f t="shared" ref="G136:P136" si="18">SUM(G137:G138)</f>
        <v>400</v>
      </c>
      <c r="H136" s="10">
        <f t="shared" si="18"/>
        <v>0</v>
      </c>
      <c r="I136" s="49">
        <f t="shared" si="18"/>
        <v>0</v>
      </c>
      <c r="J136" s="49">
        <f t="shared" si="18"/>
        <v>0</v>
      </c>
      <c r="K136" s="49">
        <f t="shared" si="18"/>
        <v>0</v>
      </c>
      <c r="L136" s="49">
        <f t="shared" si="18"/>
        <v>0</v>
      </c>
      <c r="M136" s="49">
        <f t="shared" si="18"/>
        <v>0</v>
      </c>
      <c r="N136" s="49">
        <f t="shared" si="18"/>
        <v>0</v>
      </c>
      <c r="O136" s="49">
        <f t="shared" si="18"/>
        <v>0</v>
      </c>
      <c r="P136" s="49">
        <f t="shared" si="18"/>
        <v>0</v>
      </c>
      <c r="Q136" s="62">
        <v>0</v>
      </c>
      <c r="R136" s="49">
        <f>SUM(R137:R138)</f>
        <v>0</v>
      </c>
      <c r="S136" s="62"/>
      <c r="T136" s="49"/>
      <c r="U136" s="62"/>
    </row>
    <row r="137" spans="1:21" ht="14.15" customHeight="1" x14ac:dyDescent="0.35">
      <c r="A137" s="24"/>
      <c r="B137" s="24"/>
      <c r="C137" s="25" t="s">
        <v>122</v>
      </c>
      <c r="D137" s="26"/>
      <c r="E137" s="26"/>
      <c r="F137" s="26"/>
      <c r="G137" s="26"/>
      <c r="H137" s="26"/>
      <c r="I137" s="55"/>
      <c r="J137" s="60"/>
      <c r="K137" s="75"/>
      <c r="L137" s="60"/>
      <c r="M137" s="75"/>
      <c r="N137" s="60"/>
      <c r="O137" s="60"/>
      <c r="P137" s="60"/>
      <c r="Q137" s="60"/>
      <c r="R137" s="60"/>
      <c r="S137" s="60"/>
      <c r="T137" s="60"/>
      <c r="U137" s="60"/>
    </row>
    <row r="138" spans="1:21" ht="14.15" customHeight="1" x14ac:dyDescent="0.35">
      <c r="A138" s="24"/>
      <c r="B138" s="24"/>
      <c r="C138" s="25" t="s">
        <v>123</v>
      </c>
      <c r="D138" s="26"/>
      <c r="E138" s="26"/>
      <c r="F138" s="26">
        <v>265</v>
      </c>
      <c r="G138" s="26">
        <v>400</v>
      </c>
      <c r="H138" s="26"/>
      <c r="I138" s="55"/>
      <c r="J138" s="60"/>
      <c r="K138" s="75"/>
      <c r="L138" s="60"/>
      <c r="M138" s="75"/>
      <c r="N138" s="60"/>
      <c r="O138" s="60"/>
      <c r="P138" s="60"/>
      <c r="Q138" s="60"/>
      <c r="R138" s="60"/>
      <c r="S138" s="60"/>
      <c r="T138" s="60"/>
      <c r="U138" s="60"/>
    </row>
    <row r="139" spans="1:21" s="3" customFormat="1" ht="14.15" customHeight="1" x14ac:dyDescent="0.35">
      <c r="A139" s="7" t="s">
        <v>124</v>
      </c>
      <c r="B139" s="7" t="s">
        <v>125</v>
      </c>
      <c r="C139" s="8" t="s">
        <v>126</v>
      </c>
      <c r="D139" s="9">
        <f>F139+H139+J139+L139+N139+P139+R139</f>
        <v>1290</v>
      </c>
      <c r="E139" s="9">
        <f>G139+I139+K139+M139+O139+Q139+S139</f>
        <v>3090</v>
      </c>
      <c r="F139" s="10">
        <v>350</v>
      </c>
      <c r="G139" s="10">
        <v>350</v>
      </c>
      <c r="H139" s="10">
        <v>120</v>
      </c>
      <c r="I139" s="49">
        <v>120</v>
      </c>
      <c r="J139" s="62">
        <v>120</v>
      </c>
      <c r="K139" s="77">
        <v>120</v>
      </c>
      <c r="L139" s="62">
        <v>700</v>
      </c>
      <c r="M139" s="77">
        <v>2500</v>
      </c>
      <c r="N139" s="62">
        <v>0</v>
      </c>
      <c r="O139" s="62"/>
      <c r="P139" s="62">
        <v>0</v>
      </c>
      <c r="Q139" s="62">
        <v>0</v>
      </c>
      <c r="R139" s="62">
        <v>0</v>
      </c>
      <c r="S139" s="62"/>
      <c r="T139" s="62"/>
      <c r="U139" s="62"/>
    </row>
    <row r="140" spans="1:21" s="3" customFormat="1" ht="14.15" customHeight="1" x14ac:dyDescent="0.35">
      <c r="A140" s="7" t="s">
        <v>127</v>
      </c>
      <c r="B140" s="7" t="s">
        <v>128</v>
      </c>
      <c r="C140" s="8" t="s">
        <v>129</v>
      </c>
      <c r="D140" s="9">
        <f>F140+H140+J140+L140+N140+P140+R140</f>
        <v>170</v>
      </c>
      <c r="E140" s="9">
        <f>G140+I140+K140+M140+O140+Q140+S140</f>
        <v>0</v>
      </c>
      <c r="F140" s="10">
        <f t="shared" ref="F140:N140" si="19">SUM(F141:F142)</f>
        <v>20</v>
      </c>
      <c r="G140" s="10">
        <f t="shared" si="19"/>
        <v>0</v>
      </c>
      <c r="H140" s="10">
        <f t="shared" si="19"/>
        <v>150</v>
      </c>
      <c r="I140" s="49">
        <f t="shared" si="19"/>
        <v>0</v>
      </c>
      <c r="J140" s="49">
        <f t="shared" si="19"/>
        <v>0</v>
      </c>
      <c r="K140" s="49">
        <f t="shared" si="19"/>
        <v>0</v>
      </c>
      <c r="L140" s="49">
        <f t="shared" si="19"/>
        <v>0</v>
      </c>
      <c r="M140" s="49">
        <f t="shared" si="19"/>
        <v>0</v>
      </c>
      <c r="N140" s="49">
        <f t="shared" si="19"/>
        <v>0</v>
      </c>
      <c r="O140" s="62"/>
      <c r="P140" s="49">
        <f>SUM(P141:P142)</f>
        <v>0</v>
      </c>
      <c r="Q140" s="62">
        <v>0</v>
      </c>
      <c r="R140" s="49">
        <f>SUM(R141:R142)</f>
        <v>0</v>
      </c>
      <c r="S140" s="62"/>
      <c r="T140" s="49"/>
      <c r="U140" s="62"/>
    </row>
    <row r="141" spans="1:21" ht="14.15" customHeight="1" x14ac:dyDescent="0.35">
      <c r="A141" s="24"/>
      <c r="B141" s="24"/>
      <c r="C141" s="25" t="s">
        <v>130</v>
      </c>
      <c r="D141" s="26"/>
      <c r="E141" s="26"/>
      <c r="F141" s="26"/>
      <c r="G141" s="26"/>
      <c r="H141" s="26"/>
      <c r="I141" s="55"/>
      <c r="J141" s="60"/>
      <c r="K141" s="75"/>
      <c r="L141" s="60"/>
      <c r="M141" s="75"/>
      <c r="N141" s="60"/>
      <c r="O141" s="60"/>
      <c r="P141" s="60"/>
      <c r="Q141" s="60"/>
      <c r="R141" s="60"/>
      <c r="S141" s="60"/>
      <c r="T141" s="60"/>
      <c r="U141" s="60"/>
    </row>
    <row r="142" spans="1:21" ht="14.15" customHeight="1" x14ac:dyDescent="0.35">
      <c r="A142" s="24"/>
      <c r="B142" s="24"/>
      <c r="C142" s="25" t="s">
        <v>131</v>
      </c>
      <c r="D142" s="26"/>
      <c r="E142" s="26"/>
      <c r="F142" s="26">
        <v>20</v>
      </c>
      <c r="G142" s="26"/>
      <c r="H142" s="26">
        <v>150</v>
      </c>
      <c r="I142" s="55"/>
      <c r="J142" s="60"/>
      <c r="K142" s="75"/>
      <c r="L142" s="60"/>
      <c r="M142" s="75"/>
      <c r="N142" s="60"/>
      <c r="O142" s="60"/>
      <c r="P142" s="60"/>
      <c r="Q142" s="60"/>
      <c r="R142" s="60"/>
      <c r="S142" s="60"/>
      <c r="T142" s="60"/>
      <c r="U142" s="60"/>
    </row>
    <row r="143" spans="1:21" s="3" customFormat="1" ht="14.15" customHeight="1" x14ac:dyDescent="0.35">
      <c r="A143" s="7" t="s">
        <v>132</v>
      </c>
      <c r="B143" s="7" t="s">
        <v>133</v>
      </c>
      <c r="C143" s="8" t="s">
        <v>134</v>
      </c>
      <c r="D143" s="9">
        <f>F143+H143+J143+L143+N143+P143+R143</f>
        <v>6526</v>
      </c>
      <c r="E143" s="9">
        <f>G143+I143+K143+M143+O143+Q143+S143</f>
        <v>5880</v>
      </c>
      <c r="F143" s="10">
        <f>SUM(F144:F146)</f>
        <v>3600</v>
      </c>
      <c r="G143" s="10">
        <f t="shared" ref="G143:Q143" si="20">SUM(G144:G146)</f>
        <v>3600</v>
      </c>
      <c r="H143" s="10">
        <f t="shared" si="20"/>
        <v>30</v>
      </c>
      <c r="I143" s="49">
        <f t="shared" si="20"/>
        <v>0</v>
      </c>
      <c r="J143" s="49">
        <f t="shared" si="20"/>
        <v>0</v>
      </c>
      <c r="K143" s="49">
        <f t="shared" si="20"/>
        <v>0</v>
      </c>
      <c r="L143" s="49">
        <f t="shared" si="20"/>
        <v>1376</v>
      </c>
      <c r="M143" s="49">
        <f t="shared" si="20"/>
        <v>1280</v>
      </c>
      <c r="N143" s="49">
        <f t="shared" si="20"/>
        <v>0</v>
      </c>
      <c r="O143" s="49">
        <f t="shared" si="20"/>
        <v>0</v>
      </c>
      <c r="P143" s="49">
        <f t="shared" si="20"/>
        <v>960</v>
      </c>
      <c r="Q143" s="49">
        <f t="shared" si="20"/>
        <v>1000</v>
      </c>
      <c r="R143" s="49">
        <f>SUM(R144:R146)</f>
        <v>560</v>
      </c>
      <c r="S143" s="62"/>
      <c r="T143" s="49"/>
      <c r="U143" s="62"/>
    </row>
    <row r="144" spans="1:21" ht="14.15" customHeight="1" x14ac:dyDescent="0.35">
      <c r="A144" s="24"/>
      <c r="B144" s="24"/>
      <c r="C144" s="25" t="s">
        <v>135</v>
      </c>
      <c r="D144" s="26"/>
      <c r="E144" s="26"/>
      <c r="F144" s="26"/>
      <c r="G144" s="26"/>
      <c r="H144" s="26">
        <v>0</v>
      </c>
      <c r="I144" s="55"/>
      <c r="J144" s="60"/>
      <c r="K144" s="75"/>
      <c r="L144" s="60">
        <v>840</v>
      </c>
      <c r="M144" s="75"/>
      <c r="N144" s="60"/>
      <c r="O144" s="60"/>
      <c r="P144" s="60">
        <v>960</v>
      </c>
      <c r="Q144" s="60"/>
      <c r="R144" s="60"/>
      <c r="S144" s="60"/>
      <c r="T144" s="60"/>
      <c r="U144" s="60"/>
    </row>
    <row r="145" spans="1:21" ht="14.15" customHeight="1" x14ac:dyDescent="0.35">
      <c r="A145" s="24"/>
      <c r="B145" s="24"/>
      <c r="C145" s="25" t="s">
        <v>136</v>
      </c>
      <c r="D145" s="26"/>
      <c r="E145" s="26"/>
      <c r="F145" s="26"/>
      <c r="G145" s="26"/>
      <c r="H145" s="26">
        <v>0</v>
      </c>
      <c r="I145" s="55"/>
      <c r="J145" s="60"/>
      <c r="K145" s="75"/>
      <c r="L145" s="60"/>
      <c r="M145" s="75"/>
      <c r="N145" s="60"/>
      <c r="O145" s="60"/>
      <c r="P145" s="60"/>
      <c r="Q145" s="60"/>
      <c r="R145" s="60"/>
      <c r="S145" s="60"/>
      <c r="T145" s="60"/>
      <c r="U145" s="60"/>
    </row>
    <row r="146" spans="1:21" ht="14.15" customHeight="1" x14ac:dyDescent="0.35">
      <c r="A146" s="24"/>
      <c r="B146" s="24"/>
      <c r="C146" s="25" t="s">
        <v>137</v>
      </c>
      <c r="D146" s="26"/>
      <c r="E146" s="26"/>
      <c r="F146" s="26">
        <v>3600</v>
      </c>
      <c r="G146" s="26">
        <v>3600</v>
      </c>
      <c r="H146" s="26">
        <v>30</v>
      </c>
      <c r="I146" s="55"/>
      <c r="J146" s="60"/>
      <c r="K146" s="75"/>
      <c r="L146" s="60">
        <v>536</v>
      </c>
      <c r="M146" s="75">
        <v>1280</v>
      </c>
      <c r="N146" s="60"/>
      <c r="O146" s="60"/>
      <c r="P146" s="60"/>
      <c r="Q146" s="60">
        <v>1000</v>
      </c>
      <c r="R146" s="60">
        <v>560</v>
      </c>
      <c r="S146" s="60"/>
      <c r="T146" s="60"/>
      <c r="U146" s="60"/>
    </row>
    <row r="147" spans="1:21" s="3" customFormat="1" ht="14.15" customHeight="1" x14ac:dyDescent="0.35">
      <c r="A147" s="7" t="s">
        <v>138</v>
      </c>
      <c r="B147" s="7" t="s">
        <v>139</v>
      </c>
      <c r="C147" s="8" t="s">
        <v>140</v>
      </c>
      <c r="D147" s="9">
        <f>F147+H147+J147+L147+N147+P147+R147</f>
        <v>4742</v>
      </c>
      <c r="E147" s="9">
        <f>G147+I147+K147+M147+O147+Q147+S147</f>
        <v>5360</v>
      </c>
      <c r="F147" s="10">
        <f>SUM(F148:F151)</f>
        <v>2630</v>
      </c>
      <c r="G147" s="10">
        <f t="shared" ref="G147:Q147" si="21">SUM(G148:G151)</f>
        <v>2900</v>
      </c>
      <c r="H147" s="10">
        <f t="shared" si="21"/>
        <v>1100</v>
      </c>
      <c r="I147" s="49">
        <f t="shared" si="21"/>
        <v>1300</v>
      </c>
      <c r="J147" s="49">
        <f t="shared" si="21"/>
        <v>262</v>
      </c>
      <c r="K147" s="49">
        <f t="shared" si="21"/>
        <v>260</v>
      </c>
      <c r="L147" s="49">
        <f t="shared" si="21"/>
        <v>750</v>
      </c>
      <c r="M147" s="49">
        <f t="shared" si="21"/>
        <v>900</v>
      </c>
      <c r="N147" s="49">
        <f t="shared" si="21"/>
        <v>0</v>
      </c>
      <c r="O147" s="49">
        <f t="shared" si="21"/>
        <v>0</v>
      </c>
      <c r="P147" s="49">
        <f t="shared" si="21"/>
        <v>0</v>
      </c>
      <c r="Q147" s="49">
        <f t="shared" si="21"/>
        <v>0</v>
      </c>
      <c r="R147" s="49">
        <f>SUM(R148:R151)</f>
        <v>0</v>
      </c>
      <c r="S147" s="62"/>
      <c r="T147" s="49"/>
      <c r="U147" s="62"/>
    </row>
    <row r="148" spans="1:21" ht="14.15" customHeight="1" x14ac:dyDescent="0.35">
      <c r="A148" s="24"/>
      <c r="B148" s="24"/>
      <c r="C148" s="25" t="s">
        <v>141</v>
      </c>
      <c r="D148" s="26"/>
      <c r="E148" s="26"/>
      <c r="F148" s="26"/>
      <c r="G148" s="26"/>
      <c r="H148" s="26"/>
      <c r="I148" s="55"/>
      <c r="J148" s="60">
        <v>262</v>
      </c>
      <c r="K148" s="75">
        <v>260</v>
      </c>
      <c r="L148" s="60"/>
      <c r="M148" s="75"/>
      <c r="N148" s="60"/>
      <c r="O148" s="60"/>
      <c r="P148" s="60"/>
      <c r="Q148" s="60"/>
      <c r="R148" s="60"/>
      <c r="S148" s="60"/>
      <c r="T148" s="60"/>
      <c r="U148" s="60"/>
    </row>
    <row r="149" spans="1:21" ht="14.15" customHeight="1" x14ac:dyDescent="0.35">
      <c r="A149" s="24"/>
      <c r="B149" s="24"/>
      <c r="C149" s="25" t="s">
        <v>142</v>
      </c>
      <c r="D149" s="26"/>
      <c r="E149" s="26"/>
      <c r="F149" s="26">
        <v>250</v>
      </c>
      <c r="G149" s="26"/>
      <c r="H149" s="26"/>
      <c r="I149" s="55"/>
      <c r="J149" s="60"/>
      <c r="K149" s="75"/>
      <c r="L149" s="60"/>
      <c r="M149" s="75"/>
      <c r="N149" s="60"/>
      <c r="O149" s="60"/>
      <c r="P149" s="60"/>
      <c r="Q149" s="60"/>
      <c r="R149" s="60"/>
      <c r="S149" s="60"/>
      <c r="T149" s="60"/>
      <c r="U149" s="60"/>
    </row>
    <row r="150" spans="1:21" ht="14.15" customHeight="1" x14ac:dyDescent="0.35">
      <c r="A150" s="24"/>
      <c r="B150" s="24"/>
      <c r="C150" s="25" t="s">
        <v>143</v>
      </c>
      <c r="D150" s="26"/>
      <c r="E150" s="26"/>
      <c r="F150" s="26">
        <v>30</v>
      </c>
      <c r="G150" s="26"/>
      <c r="H150" s="26"/>
      <c r="I150" s="55"/>
      <c r="J150" s="60"/>
      <c r="K150" s="75"/>
      <c r="L150" s="60"/>
      <c r="M150" s="75"/>
      <c r="N150" s="60"/>
      <c r="O150" s="60"/>
      <c r="P150" s="60"/>
      <c r="Q150" s="60"/>
      <c r="R150" s="60"/>
      <c r="S150" s="60"/>
      <c r="T150" s="60"/>
      <c r="U150" s="60"/>
    </row>
    <row r="151" spans="1:21" ht="14.15" customHeight="1" x14ac:dyDescent="0.35">
      <c r="A151" s="24"/>
      <c r="B151" s="24"/>
      <c r="C151" s="25" t="s">
        <v>144</v>
      </c>
      <c r="D151" s="26"/>
      <c r="E151" s="26"/>
      <c r="F151" s="26">
        <v>2350</v>
      </c>
      <c r="G151" s="26">
        <v>2900</v>
      </c>
      <c r="H151" s="26">
        <v>1100</v>
      </c>
      <c r="I151" s="55">
        <v>1300</v>
      </c>
      <c r="J151" s="60"/>
      <c r="K151" s="75"/>
      <c r="L151" s="60">
        <v>750</v>
      </c>
      <c r="M151" s="75">
        <v>900</v>
      </c>
      <c r="N151" s="60"/>
      <c r="O151" s="60"/>
      <c r="P151" s="60"/>
      <c r="Q151" s="60"/>
      <c r="R151" s="60"/>
      <c r="S151" s="60"/>
      <c r="T151" s="60"/>
      <c r="U151" s="60"/>
    </row>
    <row r="152" spans="1:21" s="3" customFormat="1" ht="14.15" customHeight="1" x14ac:dyDescent="0.35">
      <c r="A152" s="16" t="s">
        <v>145</v>
      </c>
      <c r="B152" s="16" t="s">
        <v>146</v>
      </c>
      <c r="C152" s="17" t="s">
        <v>147</v>
      </c>
      <c r="D152" s="19">
        <f t="shared" ref="D152:Q152" si="22">D130+D134+D136+D139+D140+D143+D147</f>
        <v>28553</v>
      </c>
      <c r="E152" s="19">
        <f t="shared" si="22"/>
        <v>30240</v>
      </c>
      <c r="F152" s="19">
        <f t="shared" si="22"/>
        <v>7565</v>
      </c>
      <c r="G152" s="19">
        <f t="shared" si="22"/>
        <v>8120</v>
      </c>
      <c r="H152" s="19">
        <f t="shared" si="22"/>
        <v>1860</v>
      </c>
      <c r="I152" s="56">
        <f t="shared" si="22"/>
        <v>1860</v>
      </c>
      <c r="J152" s="56">
        <f t="shared" si="22"/>
        <v>10482</v>
      </c>
      <c r="K152" s="56">
        <f t="shared" si="22"/>
        <v>10480</v>
      </c>
      <c r="L152" s="56">
        <f t="shared" si="22"/>
        <v>7126</v>
      </c>
      <c r="M152" s="56">
        <f t="shared" si="22"/>
        <v>8780</v>
      </c>
      <c r="N152" s="56">
        <f t="shared" si="22"/>
        <v>0</v>
      </c>
      <c r="O152" s="56">
        <f t="shared" si="22"/>
        <v>0</v>
      </c>
      <c r="P152" s="56">
        <f t="shared" si="22"/>
        <v>960</v>
      </c>
      <c r="Q152" s="56">
        <f t="shared" si="22"/>
        <v>1000</v>
      </c>
      <c r="R152" s="56">
        <f>R130+R134+R136+R139+R140+R143+R147</f>
        <v>560</v>
      </c>
      <c r="S152" s="68"/>
      <c r="T152" s="56"/>
      <c r="U152" s="68"/>
    </row>
    <row r="153" spans="1:21" s="3" customFormat="1" ht="14.15" customHeight="1" x14ac:dyDescent="0.35">
      <c r="A153" s="7" t="s">
        <v>148</v>
      </c>
      <c r="B153" s="7" t="s">
        <v>149</v>
      </c>
      <c r="C153" s="8" t="s">
        <v>150</v>
      </c>
      <c r="D153" s="9">
        <f>F153+H153+J153+L153+N153+P153+R153</f>
        <v>1700</v>
      </c>
      <c r="E153" s="9">
        <f>G153+I153+K153+M153+O153+Q153+S153</f>
        <v>2000</v>
      </c>
      <c r="F153" s="10">
        <f>SUM(F154:F155)</f>
        <v>1000</v>
      </c>
      <c r="G153" s="10">
        <f t="shared" ref="G153:Q153" si="23">SUM(G154:G155)</f>
        <v>1200</v>
      </c>
      <c r="H153" s="10">
        <f t="shared" si="23"/>
        <v>650</v>
      </c>
      <c r="I153" s="49">
        <f t="shared" si="23"/>
        <v>600</v>
      </c>
      <c r="J153" s="49">
        <f t="shared" si="23"/>
        <v>0</v>
      </c>
      <c r="K153" s="49">
        <f t="shared" si="23"/>
        <v>0</v>
      </c>
      <c r="L153" s="49">
        <f t="shared" si="23"/>
        <v>50</v>
      </c>
      <c r="M153" s="49">
        <f t="shared" si="23"/>
        <v>200</v>
      </c>
      <c r="N153" s="49">
        <f t="shared" si="23"/>
        <v>0</v>
      </c>
      <c r="O153" s="49">
        <f t="shared" si="23"/>
        <v>0</v>
      </c>
      <c r="P153" s="49">
        <f t="shared" si="23"/>
        <v>0</v>
      </c>
      <c r="Q153" s="49">
        <f t="shared" si="23"/>
        <v>0</v>
      </c>
      <c r="R153" s="49">
        <f>SUM(R154:R155)</f>
        <v>0</v>
      </c>
      <c r="S153" s="62"/>
      <c r="T153" s="49"/>
      <c r="U153" s="62"/>
    </row>
    <row r="154" spans="1:21" ht="14.15" customHeight="1" x14ac:dyDescent="0.35">
      <c r="A154" s="24"/>
      <c r="B154" s="24"/>
      <c r="C154" s="25" t="s">
        <v>151</v>
      </c>
      <c r="D154" s="26"/>
      <c r="E154" s="26"/>
      <c r="F154" s="26">
        <v>1000</v>
      </c>
      <c r="G154" s="26">
        <v>1200</v>
      </c>
      <c r="H154" s="26">
        <v>650</v>
      </c>
      <c r="I154" s="55">
        <v>600</v>
      </c>
      <c r="J154" s="60"/>
      <c r="K154" s="75"/>
      <c r="L154" s="60">
        <v>50</v>
      </c>
      <c r="M154" s="75">
        <v>200</v>
      </c>
      <c r="N154" s="60"/>
      <c r="O154" s="60"/>
      <c r="P154" s="60"/>
      <c r="Q154" s="60"/>
      <c r="R154" s="60"/>
      <c r="S154" s="60"/>
      <c r="T154" s="60"/>
      <c r="U154" s="60"/>
    </row>
    <row r="155" spans="1:21" ht="14.15" customHeight="1" x14ac:dyDescent="0.35">
      <c r="A155" s="24"/>
      <c r="B155" s="24"/>
      <c r="C155" s="25" t="s">
        <v>152</v>
      </c>
      <c r="D155" s="26"/>
      <c r="E155" s="26"/>
      <c r="F155" s="26"/>
      <c r="G155" s="26"/>
      <c r="H155" s="26"/>
      <c r="I155" s="55"/>
      <c r="J155" s="60"/>
      <c r="K155" s="75"/>
      <c r="L155" s="60"/>
      <c r="M155" s="75"/>
      <c r="N155" s="60"/>
      <c r="O155" s="60"/>
      <c r="P155" s="60"/>
      <c r="Q155" s="60"/>
      <c r="R155" s="60"/>
      <c r="S155" s="60"/>
      <c r="T155" s="60"/>
      <c r="U155" s="60"/>
    </row>
    <row r="156" spans="1:21" s="3" customFormat="1" ht="14.15" customHeight="1" x14ac:dyDescent="0.35">
      <c r="A156" s="7" t="s">
        <v>153</v>
      </c>
      <c r="B156" s="7" t="s">
        <v>154</v>
      </c>
      <c r="C156" s="8" t="s">
        <v>155</v>
      </c>
      <c r="D156" s="9">
        <f>F156+H156+J156+L156+N156+P156+R156</f>
        <v>0</v>
      </c>
      <c r="E156" s="9">
        <f>G156+I156+K156+M156+O156+Q156+S156</f>
        <v>0</v>
      </c>
      <c r="F156" s="10">
        <v>0</v>
      </c>
      <c r="G156" s="10">
        <v>0</v>
      </c>
      <c r="H156" s="10">
        <v>0</v>
      </c>
      <c r="I156" s="49">
        <v>0</v>
      </c>
      <c r="J156" s="49">
        <v>0</v>
      </c>
      <c r="K156" s="77"/>
      <c r="L156" s="62">
        <v>0</v>
      </c>
      <c r="M156" s="77">
        <v>0</v>
      </c>
      <c r="N156" s="62">
        <v>0</v>
      </c>
      <c r="O156" s="62"/>
      <c r="P156" s="62">
        <v>0</v>
      </c>
      <c r="Q156" s="62">
        <v>0</v>
      </c>
      <c r="R156" s="62">
        <v>0</v>
      </c>
      <c r="S156" s="62"/>
      <c r="T156" s="62"/>
      <c r="U156" s="62"/>
    </row>
    <row r="157" spans="1:21" s="3" customFormat="1" ht="14.15" customHeight="1" x14ac:dyDescent="0.35">
      <c r="A157" s="16" t="s">
        <v>156</v>
      </c>
      <c r="B157" s="16" t="s">
        <v>157</v>
      </c>
      <c r="C157" s="17" t="s">
        <v>158</v>
      </c>
      <c r="D157" s="19">
        <f>D153+D156</f>
        <v>1700</v>
      </c>
      <c r="E157" s="19">
        <f t="shared" ref="E157:Q157" si="24">E153+E156</f>
        <v>2000</v>
      </c>
      <c r="F157" s="19">
        <f t="shared" si="24"/>
        <v>1000</v>
      </c>
      <c r="G157" s="19">
        <f t="shared" si="24"/>
        <v>1200</v>
      </c>
      <c r="H157" s="19">
        <f t="shared" si="24"/>
        <v>650</v>
      </c>
      <c r="I157" s="56">
        <f t="shared" si="24"/>
        <v>600</v>
      </c>
      <c r="J157" s="56">
        <f t="shared" si="24"/>
        <v>0</v>
      </c>
      <c r="K157" s="56">
        <f t="shared" si="24"/>
        <v>0</v>
      </c>
      <c r="L157" s="56">
        <f t="shared" si="24"/>
        <v>50</v>
      </c>
      <c r="M157" s="56">
        <f t="shared" si="24"/>
        <v>200</v>
      </c>
      <c r="N157" s="56">
        <f t="shared" si="24"/>
        <v>0</v>
      </c>
      <c r="O157" s="56">
        <f t="shared" si="24"/>
        <v>0</v>
      </c>
      <c r="P157" s="56">
        <f t="shared" si="24"/>
        <v>0</v>
      </c>
      <c r="Q157" s="56">
        <f t="shared" si="24"/>
        <v>0</v>
      </c>
      <c r="R157" s="56">
        <f>R153+R156</f>
        <v>0</v>
      </c>
      <c r="S157" s="68"/>
      <c r="T157" s="56"/>
      <c r="U157" s="68"/>
    </row>
    <row r="158" spans="1:21" s="3" customFormat="1" ht="14.15" customHeight="1" x14ac:dyDescent="0.35">
      <c r="A158" s="7" t="s">
        <v>159</v>
      </c>
      <c r="B158" s="7" t="s">
        <v>160</v>
      </c>
      <c r="C158" s="8" t="s">
        <v>161</v>
      </c>
      <c r="D158" s="9">
        <f>F158+H158+J158+L158+N158+P158+R158</f>
        <v>10941</v>
      </c>
      <c r="E158" s="9">
        <f>G158+I158+K158+M158+O158+Q158+S158</f>
        <v>7942</v>
      </c>
      <c r="F158" s="10">
        <f>SUM(F159:F160)</f>
        <v>3100</v>
      </c>
      <c r="G158" s="10">
        <f t="shared" ref="G158:Q158" si="25">SUM(G159:G160)</f>
        <v>3015</v>
      </c>
      <c r="H158" s="10">
        <f t="shared" si="25"/>
        <v>841</v>
      </c>
      <c r="I158" s="49">
        <f t="shared" si="25"/>
        <v>675</v>
      </c>
      <c r="J158" s="49">
        <f t="shared" si="25"/>
        <v>3006</v>
      </c>
      <c r="K158" s="49">
        <f t="shared" si="25"/>
        <v>2965</v>
      </c>
      <c r="L158" s="49">
        <f t="shared" si="25"/>
        <v>2657</v>
      </c>
      <c r="M158" s="77"/>
      <c r="N158" s="49">
        <f t="shared" si="25"/>
        <v>1187</v>
      </c>
      <c r="O158" s="49">
        <f t="shared" si="25"/>
        <v>1287</v>
      </c>
      <c r="P158" s="49">
        <f t="shared" si="25"/>
        <v>0</v>
      </c>
      <c r="Q158" s="49">
        <f t="shared" si="25"/>
        <v>0</v>
      </c>
      <c r="R158" s="49">
        <f>SUM(R159:R160)</f>
        <v>150</v>
      </c>
      <c r="S158" s="62"/>
      <c r="T158" s="49"/>
      <c r="U158" s="62"/>
    </row>
    <row r="159" spans="1:21" ht="14.15" customHeight="1" x14ac:dyDescent="0.35">
      <c r="A159" s="24"/>
      <c r="B159" s="24"/>
      <c r="C159" s="25" t="s">
        <v>162</v>
      </c>
      <c r="D159" s="26"/>
      <c r="E159" s="26"/>
      <c r="F159" s="26"/>
      <c r="G159" s="26"/>
      <c r="H159" s="26"/>
      <c r="I159" s="55"/>
      <c r="J159" s="60"/>
      <c r="K159" s="75"/>
      <c r="L159" s="60"/>
      <c r="M159" s="75"/>
      <c r="N159" s="60"/>
      <c r="O159" s="60"/>
      <c r="P159" s="60"/>
      <c r="Q159" s="60"/>
      <c r="R159" s="60"/>
      <c r="S159" s="60"/>
      <c r="T159" s="60"/>
      <c r="U159" s="60"/>
    </row>
    <row r="160" spans="1:21" ht="14.15" customHeight="1" x14ac:dyDescent="0.35">
      <c r="A160" s="24"/>
      <c r="B160" s="24"/>
      <c r="C160" s="25" t="s">
        <v>163</v>
      </c>
      <c r="D160" s="26"/>
      <c r="E160" s="26"/>
      <c r="F160" s="26">
        <v>3100</v>
      </c>
      <c r="G160" s="26">
        <f>ROUND((G118+G129+G152+G156)*0.27,0)</f>
        <v>3015</v>
      </c>
      <c r="H160" s="26">
        <v>841</v>
      </c>
      <c r="I160" s="55">
        <f>ROUND((I118+I129+I152+I156)*0.27,0)</f>
        <v>675</v>
      </c>
      <c r="J160" s="60">
        <v>3006</v>
      </c>
      <c r="K160" s="55">
        <f>ROUND((K118+K129+K152+K156)*0.27,0)</f>
        <v>2965</v>
      </c>
      <c r="L160" s="60">
        <v>2657</v>
      </c>
      <c r="M160" s="55"/>
      <c r="N160" s="60">
        <v>1187</v>
      </c>
      <c r="O160" s="55">
        <f>ROUND((O118+O129+O152+O156)*0.2,0)</f>
        <v>1287</v>
      </c>
      <c r="P160" s="60"/>
      <c r="Q160" s="60">
        <v>0</v>
      </c>
      <c r="R160" s="60">
        <v>150</v>
      </c>
      <c r="S160" s="60"/>
      <c r="T160" s="60"/>
      <c r="U160" s="60"/>
    </row>
    <row r="161" spans="1:21" s="3" customFormat="1" ht="14.15" customHeight="1" x14ac:dyDescent="0.35">
      <c r="A161" s="7" t="s">
        <v>164</v>
      </c>
      <c r="B161" s="7" t="s">
        <v>165</v>
      </c>
      <c r="C161" s="8" t="s">
        <v>166</v>
      </c>
      <c r="D161" s="9">
        <f>F161+H161+J161+L161+N161+P161+R161</f>
        <v>0</v>
      </c>
      <c r="E161" s="9">
        <f>G161+I161+K161+M161+O161+Q161+S161</f>
        <v>0</v>
      </c>
      <c r="F161" s="10">
        <f>SUM(F162:F164)</f>
        <v>0</v>
      </c>
      <c r="G161" s="10">
        <f t="shared" ref="G161:P161" si="26">SUM(G162:G164)</f>
        <v>0</v>
      </c>
      <c r="H161" s="10">
        <f t="shared" si="26"/>
        <v>0</v>
      </c>
      <c r="I161" s="49">
        <f t="shared" si="26"/>
        <v>0</v>
      </c>
      <c r="J161" s="49">
        <f t="shared" si="26"/>
        <v>0</v>
      </c>
      <c r="K161" s="49">
        <f t="shared" si="26"/>
        <v>0</v>
      </c>
      <c r="L161" s="49">
        <f t="shared" si="26"/>
        <v>0</v>
      </c>
      <c r="M161" s="49">
        <f t="shared" si="26"/>
        <v>0</v>
      </c>
      <c r="N161" s="49">
        <f t="shared" si="26"/>
        <v>0</v>
      </c>
      <c r="O161" s="49">
        <f t="shared" si="26"/>
        <v>0</v>
      </c>
      <c r="P161" s="49">
        <f t="shared" si="26"/>
        <v>0</v>
      </c>
      <c r="Q161" s="62">
        <v>0</v>
      </c>
      <c r="R161" s="49">
        <f>SUM(R162:R164)</f>
        <v>0</v>
      </c>
      <c r="S161" s="62"/>
      <c r="T161" s="49"/>
      <c r="U161" s="62"/>
    </row>
    <row r="162" spans="1:21" ht="14.15" customHeight="1" x14ac:dyDescent="0.35">
      <c r="A162" s="24"/>
      <c r="B162" s="24"/>
      <c r="C162" s="25" t="s">
        <v>167</v>
      </c>
      <c r="D162" s="26"/>
      <c r="E162" s="26"/>
      <c r="F162" s="26"/>
      <c r="G162" s="26"/>
      <c r="H162" s="26"/>
      <c r="I162" s="55"/>
      <c r="J162" s="60"/>
      <c r="K162" s="75"/>
      <c r="L162" s="60"/>
      <c r="M162" s="75"/>
      <c r="N162" s="60"/>
      <c r="O162" s="60"/>
      <c r="P162" s="60"/>
      <c r="Q162" s="60"/>
      <c r="R162" s="60"/>
      <c r="S162" s="60"/>
      <c r="T162" s="60"/>
      <c r="U162" s="60"/>
    </row>
    <row r="163" spans="1:21" ht="14.15" customHeight="1" x14ac:dyDescent="0.35">
      <c r="A163" s="24"/>
      <c r="B163" s="24"/>
      <c r="C163" s="25" t="s">
        <v>168</v>
      </c>
      <c r="D163" s="26"/>
      <c r="E163" s="26"/>
      <c r="F163" s="26"/>
      <c r="G163" s="26"/>
      <c r="H163" s="26"/>
      <c r="I163" s="55"/>
      <c r="J163" s="60"/>
      <c r="K163" s="75"/>
      <c r="L163" s="60"/>
      <c r="M163" s="75"/>
      <c r="N163" s="60"/>
      <c r="O163" s="60"/>
      <c r="P163" s="60"/>
      <c r="Q163" s="60"/>
      <c r="R163" s="60"/>
      <c r="S163" s="60"/>
      <c r="T163" s="60"/>
      <c r="U163" s="60"/>
    </row>
    <row r="164" spans="1:21" ht="14.15" customHeight="1" x14ac:dyDescent="0.35">
      <c r="A164" s="24"/>
      <c r="B164" s="24"/>
      <c r="C164" s="25" t="s">
        <v>169</v>
      </c>
      <c r="D164" s="26"/>
      <c r="E164" s="26"/>
      <c r="F164" s="26"/>
      <c r="G164" s="26"/>
      <c r="H164" s="26"/>
      <c r="I164" s="55"/>
      <c r="J164" s="60"/>
      <c r="K164" s="75"/>
      <c r="L164" s="60"/>
      <c r="M164" s="75"/>
      <c r="N164" s="60"/>
      <c r="O164" s="60"/>
      <c r="P164" s="60"/>
      <c r="Q164" s="60"/>
      <c r="R164" s="60"/>
      <c r="S164" s="60"/>
      <c r="T164" s="60"/>
      <c r="U164" s="60"/>
    </row>
    <row r="165" spans="1:21" s="3" customFormat="1" ht="14.15" customHeight="1" x14ac:dyDescent="0.35">
      <c r="A165" s="7" t="s">
        <v>170</v>
      </c>
      <c r="B165" s="7" t="s">
        <v>171</v>
      </c>
      <c r="C165" s="8" t="s">
        <v>172</v>
      </c>
      <c r="D165" s="9">
        <f>F165+H165+J165+L165+N165+P165+R165</f>
        <v>0</v>
      </c>
      <c r="E165" s="9">
        <f>G165+I165+K165+M165+O165+Q165+S165</f>
        <v>0</v>
      </c>
      <c r="F165" s="10">
        <f>SUM(F166:F169)</f>
        <v>0</v>
      </c>
      <c r="G165" s="10">
        <f t="shared" ref="G165:P165" si="27">SUM(G166:G169)</f>
        <v>0</v>
      </c>
      <c r="H165" s="10">
        <f t="shared" si="27"/>
        <v>0</v>
      </c>
      <c r="I165" s="49">
        <f t="shared" si="27"/>
        <v>0</v>
      </c>
      <c r="J165" s="49">
        <f t="shared" si="27"/>
        <v>0</v>
      </c>
      <c r="K165" s="49">
        <f t="shared" si="27"/>
        <v>0</v>
      </c>
      <c r="L165" s="49">
        <f t="shared" si="27"/>
        <v>0</v>
      </c>
      <c r="M165" s="49">
        <f t="shared" si="27"/>
        <v>0</v>
      </c>
      <c r="N165" s="49">
        <f t="shared" si="27"/>
        <v>0</v>
      </c>
      <c r="O165" s="49">
        <f t="shared" si="27"/>
        <v>0</v>
      </c>
      <c r="P165" s="49">
        <f t="shared" si="27"/>
        <v>0</v>
      </c>
      <c r="Q165" s="62">
        <v>0</v>
      </c>
      <c r="R165" s="49">
        <f>SUM(R166:R169)</f>
        <v>0</v>
      </c>
      <c r="S165" s="62"/>
      <c r="T165" s="49"/>
      <c r="U165" s="62"/>
    </row>
    <row r="166" spans="1:21" ht="14.15" customHeight="1" x14ac:dyDescent="0.35">
      <c r="A166" s="24"/>
      <c r="B166" s="24"/>
      <c r="C166" s="25" t="s">
        <v>173</v>
      </c>
      <c r="D166" s="26"/>
      <c r="E166" s="26"/>
      <c r="F166" s="26"/>
      <c r="G166" s="26"/>
      <c r="H166" s="26"/>
      <c r="I166" s="55"/>
      <c r="J166" s="60"/>
      <c r="K166" s="75"/>
      <c r="L166" s="60"/>
      <c r="M166" s="75"/>
      <c r="N166" s="60"/>
      <c r="O166" s="60"/>
      <c r="P166" s="60"/>
      <c r="Q166" s="60"/>
      <c r="R166" s="60"/>
      <c r="S166" s="60"/>
      <c r="T166" s="60"/>
      <c r="U166" s="60"/>
    </row>
    <row r="167" spans="1:21" ht="14.15" customHeight="1" x14ac:dyDescent="0.35">
      <c r="A167" s="24"/>
      <c r="B167" s="24"/>
      <c r="C167" s="25" t="s">
        <v>174</v>
      </c>
      <c r="D167" s="26"/>
      <c r="E167" s="26"/>
      <c r="F167" s="26"/>
      <c r="G167" s="26"/>
      <c r="H167" s="26"/>
      <c r="I167" s="55"/>
      <c r="J167" s="60"/>
      <c r="K167" s="75"/>
      <c r="L167" s="60"/>
      <c r="M167" s="75"/>
      <c r="N167" s="60"/>
      <c r="O167" s="60"/>
      <c r="P167" s="60"/>
      <c r="Q167" s="60"/>
      <c r="R167" s="60"/>
      <c r="S167" s="60"/>
      <c r="T167" s="60"/>
      <c r="U167" s="60"/>
    </row>
    <row r="168" spans="1:21" ht="14.15" customHeight="1" x14ac:dyDescent="0.35">
      <c r="A168" s="24"/>
      <c r="B168" s="24"/>
      <c r="C168" s="25" t="s">
        <v>175</v>
      </c>
      <c r="D168" s="26"/>
      <c r="E168" s="26"/>
      <c r="F168" s="26"/>
      <c r="G168" s="26"/>
      <c r="H168" s="26"/>
      <c r="I168" s="55"/>
      <c r="J168" s="60"/>
      <c r="K168" s="75"/>
      <c r="L168" s="60"/>
      <c r="M168" s="75"/>
      <c r="N168" s="60"/>
      <c r="O168" s="60"/>
      <c r="P168" s="60"/>
      <c r="Q168" s="60"/>
      <c r="R168" s="60"/>
      <c r="S168" s="60"/>
      <c r="T168" s="60"/>
      <c r="U168" s="60"/>
    </row>
    <row r="169" spans="1:21" ht="14.15" customHeight="1" x14ac:dyDescent="0.35">
      <c r="A169" s="24"/>
      <c r="B169" s="24"/>
      <c r="C169" s="25" t="s">
        <v>176</v>
      </c>
      <c r="D169" s="26"/>
      <c r="E169" s="26"/>
      <c r="F169" s="26"/>
      <c r="G169" s="26"/>
      <c r="H169" s="26"/>
      <c r="I169" s="55"/>
      <c r="J169" s="60"/>
      <c r="K169" s="75"/>
      <c r="L169" s="60"/>
      <c r="M169" s="75"/>
      <c r="N169" s="60"/>
      <c r="O169" s="60"/>
      <c r="P169" s="60"/>
      <c r="Q169" s="60"/>
      <c r="R169" s="60"/>
      <c r="S169" s="60"/>
      <c r="T169" s="60"/>
      <c r="U169" s="60"/>
    </row>
    <row r="170" spans="1:21" s="3" customFormat="1" ht="14.15" customHeight="1" x14ac:dyDescent="0.35">
      <c r="A170" s="7" t="s">
        <v>177</v>
      </c>
      <c r="B170" s="7" t="s">
        <v>178</v>
      </c>
      <c r="C170" s="8" t="s">
        <v>179</v>
      </c>
      <c r="D170" s="9">
        <f>F170+H170+J170+L170+N170+P170+R170</f>
        <v>0</v>
      </c>
      <c r="E170" s="9">
        <f>G170+I170+K170+M170+O170+Q170+S170</f>
        <v>0</v>
      </c>
      <c r="F170" s="10">
        <f>SUM(F171:F172)</f>
        <v>0</v>
      </c>
      <c r="G170" s="10">
        <f t="shared" ref="G170:P170" si="28">SUM(G171:G172)</f>
        <v>0</v>
      </c>
      <c r="H170" s="10">
        <f t="shared" si="28"/>
        <v>0</v>
      </c>
      <c r="I170" s="49">
        <f t="shared" si="28"/>
        <v>0</v>
      </c>
      <c r="J170" s="49">
        <f t="shared" si="28"/>
        <v>0</v>
      </c>
      <c r="K170" s="49">
        <f t="shared" si="28"/>
        <v>0</v>
      </c>
      <c r="L170" s="49">
        <f t="shared" si="28"/>
        <v>0</v>
      </c>
      <c r="M170" s="49">
        <f t="shared" si="28"/>
        <v>0</v>
      </c>
      <c r="N170" s="49">
        <f t="shared" si="28"/>
        <v>0</v>
      </c>
      <c r="O170" s="49">
        <f t="shared" si="28"/>
        <v>0</v>
      </c>
      <c r="P170" s="49">
        <f t="shared" si="28"/>
        <v>0</v>
      </c>
      <c r="Q170" s="62">
        <v>0</v>
      </c>
      <c r="R170" s="49">
        <f>SUM(R171:R172)</f>
        <v>0</v>
      </c>
      <c r="S170" s="62"/>
      <c r="T170" s="49"/>
      <c r="U170" s="62"/>
    </row>
    <row r="171" spans="1:21" ht="14.15" customHeight="1" x14ac:dyDescent="0.35">
      <c r="A171" s="24"/>
      <c r="B171" s="24"/>
      <c r="C171" s="25" t="s">
        <v>180</v>
      </c>
      <c r="D171" s="26"/>
      <c r="E171" s="26"/>
      <c r="F171" s="26"/>
      <c r="G171" s="26"/>
      <c r="H171" s="26"/>
      <c r="I171" s="55"/>
      <c r="J171" s="60"/>
      <c r="K171" s="75"/>
      <c r="L171" s="60"/>
      <c r="M171" s="75"/>
      <c r="N171" s="60"/>
      <c r="O171" s="60"/>
      <c r="P171" s="60"/>
      <c r="Q171" s="60"/>
      <c r="R171" s="60"/>
      <c r="S171" s="60"/>
      <c r="T171" s="60"/>
      <c r="U171" s="60"/>
    </row>
    <row r="172" spans="1:21" ht="14.15" customHeight="1" x14ac:dyDescent="0.35">
      <c r="A172" s="24"/>
      <c r="B172" s="24"/>
      <c r="C172" s="25" t="s">
        <v>181</v>
      </c>
      <c r="D172" s="26"/>
      <c r="E172" s="26"/>
      <c r="F172" s="26"/>
      <c r="G172" s="26"/>
      <c r="H172" s="26"/>
      <c r="I172" s="55"/>
      <c r="J172" s="60"/>
      <c r="K172" s="75"/>
      <c r="L172" s="60"/>
      <c r="M172" s="75"/>
      <c r="N172" s="60"/>
      <c r="O172" s="60"/>
      <c r="P172" s="60"/>
      <c r="Q172" s="60"/>
      <c r="R172" s="60"/>
      <c r="S172" s="60"/>
      <c r="T172" s="60"/>
      <c r="U172" s="60"/>
    </row>
    <row r="173" spans="1:21" s="3" customFormat="1" ht="14.15" customHeight="1" x14ac:dyDescent="0.35">
      <c r="A173" s="7" t="s">
        <v>182</v>
      </c>
      <c r="B173" s="7" t="s">
        <v>183</v>
      </c>
      <c r="C173" s="8" t="s">
        <v>184</v>
      </c>
      <c r="D173" s="9">
        <f>F173+H173+J173+L173+N173+P173+R173</f>
        <v>50</v>
      </c>
      <c r="E173" s="9">
        <f>G173+I173+K173+M173+O173+Q173+S173</f>
        <v>800</v>
      </c>
      <c r="F173" s="10">
        <f>SUM(F174:F177)</f>
        <v>30</v>
      </c>
      <c r="G173" s="10">
        <f t="shared" ref="G173:P173" si="29">SUM(G174:G177)</f>
        <v>200</v>
      </c>
      <c r="H173" s="10">
        <f t="shared" si="29"/>
        <v>0</v>
      </c>
      <c r="I173" s="49">
        <f t="shared" si="29"/>
        <v>100</v>
      </c>
      <c r="J173" s="49">
        <f t="shared" si="29"/>
        <v>20</v>
      </c>
      <c r="K173" s="49">
        <f t="shared" si="29"/>
        <v>100</v>
      </c>
      <c r="L173" s="49">
        <f t="shared" si="29"/>
        <v>0</v>
      </c>
      <c r="M173" s="49">
        <f t="shared" si="29"/>
        <v>200</v>
      </c>
      <c r="N173" s="49">
        <f t="shared" si="29"/>
        <v>0</v>
      </c>
      <c r="O173" s="49">
        <f t="shared" si="29"/>
        <v>200</v>
      </c>
      <c r="P173" s="49">
        <f t="shared" si="29"/>
        <v>0</v>
      </c>
      <c r="Q173" s="62">
        <v>0</v>
      </c>
      <c r="R173" s="49">
        <f>SUM(R174:R177)</f>
        <v>0</v>
      </c>
      <c r="S173" s="62"/>
      <c r="T173" s="49"/>
      <c r="U173" s="62"/>
    </row>
    <row r="174" spans="1:21" ht="14.15" customHeight="1" x14ac:dyDescent="0.35">
      <c r="A174" s="24"/>
      <c r="B174" s="24"/>
      <c r="C174" s="25" t="s">
        <v>185</v>
      </c>
      <c r="D174" s="26"/>
      <c r="E174" s="26"/>
      <c r="F174" s="26"/>
      <c r="G174" s="26"/>
      <c r="H174" s="26"/>
      <c r="I174" s="55"/>
      <c r="J174" s="60"/>
      <c r="K174" s="75"/>
      <c r="L174" s="60"/>
      <c r="M174" s="75"/>
      <c r="N174" s="60"/>
      <c r="O174" s="60"/>
      <c r="P174" s="60"/>
      <c r="Q174" s="60"/>
      <c r="R174" s="60"/>
      <c r="S174" s="60"/>
      <c r="T174" s="60"/>
      <c r="U174" s="60"/>
    </row>
    <row r="175" spans="1:21" ht="14.15" customHeight="1" x14ac:dyDescent="0.35">
      <c r="A175" s="24"/>
      <c r="B175" s="24"/>
      <c r="C175" s="25" t="s">
        <v>186</v>
      </c>
      <c r="D175" s="26"/>
      <c r="E175" s="26"/>
      <c r="F175" s="26"/>
      <c r="G175" s="26"/>
      <c r="H175" s="26"/>
      <c r="I175" s="55"/>
      <c r="J175" s="60">
        <v>20</v>
      </c>
      <c r="K175" s="75"/>
      <c r="L175" s="60"/>
      <c r="M175" s="75"/>
      <c r="N175" s="60"/>
      <c r="O175" s="60"/>
      <c r="P175" s="60"/>
      <c r="Q175" s="60"/>
      <c r="R175" s="60"/>
      <c r="S175" s="60"/>
      <c r="T175" s="60"/>
      <c r="U175" s="60"/>
    </row>
    <row r="176" spans="1:21" ht="14.15" customHeight="1" x14ac:dyDescent="0.35">
      <c r="A176" s="24"/>
      <c r="B176" s="24"/>
      <c r="C176" s="25" t="s">
        <v>187</v>
      </c>
      <c r="D176" s="26"/>
      <c r="E176" s="26"/>
      <c r="F176" s="26"/>
      <c r="G176" s="26"/>
      <c r="H176" s="26"/>
      <c r="I176" s="55"/>
      <c r="J176" s="60"/>
      <c r="K176" s="75"/>
      <c r="L176" s="60"/>
      <c r="M176" s="75"/>
      <c r="N176" s="60"/>
      <c r="O176" s="60"/>
      <c r="P176" s="60"/>
      <c r="Q176" s="60"/>
      <c r="R176" s="60"/>
      <c r="S176" s="60"/>
      <c r="T176" s="60"/>
      <c r="U176" s="60"/>
    </row>
    <row r="177" spans="1:256" ht="14.15" customHeight="1" x14ac:dyDescent="0.35">
      <c r="A177" s="24"/>
      <c r="B177" s="24"/>
      <c r="C177" s="25" t="s">
        <v>188</v>
      </c>
      <c r="D177" s="26"/>
      <c r="E177" s="26"/>
      <c r="F177" s="26">
        <v>30</v>
      </c>
      <c r="G177" s="26">
        <v>200</v>
      </c>
      <c r="H177" s="26"/>
      <c r="I177" s="55">
        <v>100</v>
      </c>
      <c r="J177" s="60"/>
      <c r="K177" s="75">
        <v>100</v>
      </c>
      <c r="L177" s="60"/>
      <c r="M177" s="75">
        <v>200</v>
      </c>
      <c r="N177" s="60"/>
      <c r="O177" s="60">
        <v>200</v>
      </c>
      <c r="P177" s="60"/>
      <c r="Q177" s="60"/>
      <c r="R177" s="60"/>
      <c r="S177" s="60"/>
      <c r="T177" s="60"/>
      <c r="U177" s="60"/>
    </row>
    <row r="178" spans="1:256" s="3" customFormat="1" ht="14.15" customHeight="1" x14ac:dyDescent="0.35">
      <c r="A178" s="16" t="s">
        <v>189</v>
      </c>
      <c r="B178" s="16" t="s">
        <v>190</v>
      </c>
      <c r="C178" s="17" t="s">
        <v>191</v>
      </c>
      <c r="D178" s="19">
        <f>D158+D161+D165+D170+D173</f>
        <v>10991</v>
      </c>
      <c r="E178" s="19">
        <f t="shared" ref="E178:Q178" si="30">E158+E161+E165+E170+E173</f>
        <v>8742</v>
      </c>
      <c r="F178" s="19">
        <f t="shared" si="30"/>
        <v>3130</v>
      </c>
      <c r="G178" s="19">
        <f t="shared" si="30"/>
        <v>3215</v>
      </c>
      <c r="H178" s="19">
        <f t="shared" si="30"/>
        <v>841</v>
      </c>
      <c r="I178" s="56">
        <f t="shared" si="30"/>
        <v>775</v>
      </c>
      <c r="J178" s="56">
        <f t="shared" si="30"/>
        <v>3026</v>
      </c>
      <c r="K178" s="56">
        <f t="shared" si="30"/>
        <v>3065</v>
      </c>
      <c r="L178" s="56">
        <f t="shared" si="30"/>
        <v>2657</v>
      </c>
      <c r="M178" s="56">
        <f t="shared" si="30"/>
        <v>200</v>
      </c>
      <c r="N178" s="56">
        <f t="shared" si="30"/>
        <v>1187</v>
      </c>
      <c r="O178" s="56">
        <f>O158+O161+O165+O170+O173</f>
        <v>1487</v>
      </c>
      <c r="P178" s="56">
        <f t="shared" si="30"/>
        <v>0</v>
      </c>
      <c r="Q178" s="56">
        <f t="shared" si="30"/>
        <v>0</v>
      </c>
      <c r="R178" s="56">
        <f>R158+R161+R165+R170+R173</f>
        <v>150</v>
      </c>
      <c r="S178" s="68"/>
      <c r="T178" s="56"/>
      <c r="U178" s="68"/>
    </row>
    <row r="179" spans="1:256" s="3" customFormat="1" ht="14.15" customHeight="1" x14ac:dyDescent="0.35">
      <c r="A179" s="20" t="s">
        <v>192</v>
      </c>
      <c r="B179" s="20" t="s">
        <v>193</v>
      </c>
      <c r="C179" s="21" t="s">
        <v>292</v>
      </c>
      <c r="D179" s="23">
        <f t="shared" ref="D179:P179" si="31">D118+D129+D152+D157+D178</f>
        <v>54014</v>
      </c>
      <c r="E179" s="23">
        <f t="shared" si="31"/>
        <v>54468</v>
      </c>
      <c r="F179" s="23">
        <f t="shared" si="31"/>
        <v>14610</v>
      </c>
      <c r="G179" s="23">
        <f t="shared" si="31"/>
        <v>15581</v>
      </c>
      <c r="H179" s="23">
        <f t="shared" si="31"/>
        <v>3956</v>
      </c>
      <c r="I179" s="57">
        <f t="shared" si="31"/>
        <v>3875</v>
      </c>
      <c r="J179" s="57">
        <f t="shared" si="31"/>
        <v>14158</v>
      </c>
      <c r="K179" s="57">
        <f t="shared" si="31"/>
        <v>14045</v>
      </c>
      <c r="L179" s="57">
        <f t="shared" si="31"/>
        <v>12498</v>
      </c>
      <c r="M179" s="57">
        <f t="shared" si="31"/>
        <v>12045</v>
      </c>
      <c r="N179" s="57">
        <f t="shared" si="31"/>
        <v>7122</v>
      </c>
      <c r="O179" s="57">
        <f t="shared" si="31"/>
        <v>7922</v>
      </c>
      <c r="P179" s="57">
        <f t="shared" si="31"/>
        <v>960</v>
      </c>
      <c r="Q179" s="57">
        <f>Q118+Q129+Q152+Q157+Q178</f>
        <v>1000</v>
      </c>
      <c r="R179" s="57">
        <f>R118+R129+R152+R157+R178</f>
        <v>710</v>
      </c>
      <c r="S179" s="69"/>
      <c r="T179" s="57"/>
      <c r="U179" s="69"/>
    </row>
    <row r="180" spans="1:256" ht="14.15" customHeight="1" x14ac:dyDescent="0.25">
      <c r="A180" s="1104" t="s">
        <v>291</v>
      </c>
      <c r="B180" s="1105"/>
      <c r="C180" s="1106"/>
      <c r="D180" s="28">
        <f t="shared" ref="D180:P180" si="32">D92+D179</f>
        <v>189949</v>
      </c>
      <c r="E180" s="28">
        <f t="shared" si="32"/>
        <v>206099</v>
      </c>
      <c r="F180" s="28">
        <f t="shared" si="32"/>
        <v>62506</v>
      </c>
      <c r="G180" s="28">
        <f t="shared" si="32"/>
        <v>70680</v>
      </c>
      <c r="H180" s="28">
        <f t="shared" si="32"/>
        <v>21616</v>
      </c>
      <c r="I180" s="58">
        <f t="shared" si="32"/>
        <v>23124</v>
      </c>
      <c r="J180" s="58">
        <f t="shared" si="32"/>
        <v>14158</v>
      </c>
      <c r="K180" s="58">
        <f t="shared" si="32"/>
        <v>14045</v>
      </c>
      <c r="L180" s="58">
        <f t="shared" si="32"/>
        <v>82877</v>
      </c>
      <c r="M180" s="58">
        <f t="shared" si="32"/>
        <v>89328</v>
      </c>
      <c r="N180" s="58">
        <f t="shared" si="32"/>
        <v>7122</v>
      </c>
      <c r="O180" s="58">
        <f t="shared" si="32"/>
        <v>7922</v>
      </c>
      <c r="P180" s="58">
        <f t="shared" si="32"/>
        <v>960</v>
      </c>
      <c r="Q180" s="58">
        <f>Q92+Q179</f>
        <v>1000</v>
      </c>
      <c r="R180" s="58">
        <f>R92+R179</f>
        <v>710</v>
      </c>
      <c r="S180" s="70"/>
      <c r="T180" s="58"/>
      <c r="U180" s="70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</row>
    <row r="181" spans="1:256" ht="12.75" customHeight="1" x14ac:dyDescent="0.25">
      <c r="A181" s="27"/>
      <c r="B181" s="27"/>
      <c r="C181" s="27"/>
      <c r="D181" s="27"/>
      <c r="E181" s="27"/>
      <c r="F181" s="27"/>
      <c r="G181" s="27"/>
      <c r="H181" s="27"/>
      <c r="I181" s="27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</row>
    <row r="182" spans="1:256" ht="14.15" customHeight="1" x14ac:dyDescent="0.25">
      <c r="A182" s="27"/>
      <c r="B182" s="27"/>
      <c r="C182" s="27"/>
      <c r="D182" s="27"/>
      <c r="E182" s="27"/>
      <c r="F182" s="27"/>
      <c r="G182" s="27"/>
      <c r="H182" s="27"/>
      <c r="I182" s="27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</row>
    <row r="183" spans="1:256" ht="14.15" customHeight="1" x14ac:dyDescent="0.35">
      <c r="J183" s="48"/>
      <c r="K183" s="48"/>
      <c r="L183" s="48"/>
      <c r="M183" s="48"/>
      <c r="N183" s="48"/>
      <c r="O183" s="48"/>
      <c r="P183" s="48"/>
      <c r="Q183" s="48"/>
      <c r="R183" s="48"/>
      <c r="S183" s="48"/>
    </row>
    <row r="184" spans="1:256" s="1" customFormat="1" ht="12.75" customHeight="1" x14ac:dyDescent="0.35">
      <c r="A184" s="1101" t="s">
        <v>410</v>
      </c>
      <c r="B184" s="1101"/>
      <c r="C184" s="1101"/>
      <c r="D184" s="1101"/>
      <c r="E184" s="1101"/>
      <c r="F184" s="1101"/>
      <c r="G184" s="1101"/>
      <c r="H184" s="1101"/>
      <c r="I184" s="1101"/>
      <c r="J184" s="1101"/>
      <c r="K184" s="1101"/>
      <c r="L184" s="1101" t="s">
        <v>410</v>
      </c>
      <c r="M184" s="1101"/>
      <c r="N184" s="1101"/>
      <c r="O184" s="1101"/>
      <c r="P184" s="1101"/>
      <c r="Q184" s="1101"/>
      <c r="R184" s="1101"/>
      <c r="S184" s="1101"/>
      <c r="T184" s="1101"/>
      <c r="U184" s="1101"/>
    </row>
    <row r="185" spans="1:256" s="1" customFormat="1" ht="14.15" customHeight="1" x14ac:dyDescent="0.35">
      <c r="A185" s="1164" t="s">
        <v>0</v>
      </c>
      <c r="B185" s="1165" t="s">
        <v>1</v>
      </c>
      <c r="C185" s="1164" t="s">
        <v>2</v>
      </c>
      <c r="D185" s="1097" t="s">
        <v>260</v>
      </c>
      <c r="E185" s="1167" t="s">
        <v>259</v>
      </c>
      <c r="F185" s="1162" t="s">
        <v>411</v>
      </c>
      <c r="G185" s="1166"/>
      <c r="H185" s="1162" t="s">
        <v>412</v>
      </c>
      <c r="I185" s="1163"/>
      <c r="J185" s="1160" t="s">
        <v>413</v>
      </c>
      <c r="K185" s="1170"/>
      <c r="L185" s="1160" t="s">
        <v>414</v>
      </c>
      <c r="M185" s="1170"/>
      <c r="N185" s="1160" t="s">
        <v>415</v>
      </c>
      <c r="O185" s="1161"/>
      <c r="P185" s="1168" t="s">
        <v>416</v>
      </c>
      <c r="Q185" s="1169"/>
      <c r="R185" s="1168" t="s">
        <v>417</v>
      </c>
      <c r="S185" s="1169"/>
      <c r="T185" s="1168"/>
      <c r="U185" s="1169"/>
    </row>
    <row r="186" spans="1:256" s="3" customFormat="1" ht="27" customHeight="1" x14ac:dyDescent="0.35">
      <c r="A186" s="1101"/>
      <c r="B186" s="1102"/>
      <c r="C186" s="1101"/>
      <c r="D186" s="1103"/>
      <c r="E186" s="1097"/>
      <c r="F186" s="2" t="s">
        <v>260</v>
      </c>
      <c r="G186" s="2" t="s">
        <v>259</v>
      </c>
      <c r="H186" s="2" t="s">
        <v>260</v>
      </c>
      <c r="I186" s="47" t="s">
        <v>259</v>
      </c>
      <c r="J186" s="2" t="s">
        <v>260</v>
      </c>
      <c r="K186" s="47" t="s">
        <v>259</v>
      </c>
      <c r="L186" s="59" t="s">
        <v>260</v>
      </c>
      <c r="M186" s="74" t="s">
        <v>259</v>
      </c>
      <c r="N186" s="80" t="s">
        <v>260</v>
      </c>
      <c r="O186" s="46" t="s">
        <v>259</v>
      </c>
      <c r="P186" s="81" t="s">
        <v>260</v>
      </c>
      <c r="Q186" s="82" t="s">
        <v>259</v>
      </c>
      <c r="R186" s="81" t="s">
        <v>260</v>
      </c>
      <c r="S186" s="82" t="s">
        <v>259</v>
      </c>
      <c r="T186" s="81"/>
      <c r="U186" s="82"/>
    </row>
    <row r="187" spans="1:256" ht="5.65" customHeight="1" x14ac:dyDescent="0.35">
      <c r="J187" s="60"/>
      <c r="K187" s="75"/>
      <c r="L187" s="60"/>
      <c r="M187" s="75"/>
      <c r="N187" s="60"/>
      <c r="O187" s="60"/>
      <c r="P187" s="60"/>
      <c r="Q187" s="60"/>
      <c r="R187" s="60"/>
      <c r="S187" s="60"/>
      <c r="T187" s="60"/>
      <c r="U187" s="60"/>
    </row>
    <row r="188" spans="1:256" ht="14.15" customHeight="1" x14ac:dyDescent="0.35">
      <c r="A188" s="1100" t="s">
        <v>194</v>
      </c>
      <c r="B188" s="1100"/>
      <c r="C188" s="1100"/>
      <c r="D188" s="1100"/>
      <c r="E188" s="1100"/>
      <c r="F188" s="1100"/>
      <c r="G188" s="1100"/>
      <c r="H188" s="1100"/>
      <c r="I188" s="1100"/>
      <c r="J188" s="61"/>
      <c r="K188" s="76"/>
      <c r="L188" s="61"/>
      <c r="M188" s="76"/>
      <c r="N188" s="61"/>
      <c r="O188" s="61"/>
      <c r="P188" s="61"/>
      <c r="Q188" s="61"/>
      <c r="R188" s="61"/>
      <c r="S188" s="61"/>
      <c r="T188" s="61"/>
      <c r="U188" s="61"/>
    </row>
    <row r="189" spans="1:256" ht="14.15" customHeight="1" x14ac:dyDescent="0.35">
      <c r="A189" s="24" t="s">
        <v>195</v>
      </c>
      <c r="B189" s="24" t="s">
        <v>196</v>
      </c>
      <c r="C189" s="25" t="s">
        <v>197</v>
      </c>
      <c r="D189" s="26">
        <f>F189+H189+J189+L189+N189+P189+R189</f>
        <v>0</v>
      </c>
      <c r="E189" s="26">
        <f>G189+I189+K189+M189+O189+Q189+S189</f>
        <v>0</v>
      </c>
      <c r="F189" s="26"/>
      <c r="G189" s="26"/>
      <c r="H189" s="26"/>
      <c r="I189" s="55"/>
      <c r="J189" s="60"/>
      <c r="K189" s="75"/>
      <c r="L189" s="60"/>
      <c r="M189" s="75"/>
      <c r="N189" s="60"/>
      <c r="O189" s="60"/>
      <c r="P189" s="60"/>
      <c r="Q189" s="60"/>
      <c r="R189" s="60"/>
      <c r="S189" s="60"/>
      <c r="T189" s="60"/>
      <c r="U189" s="60"/>
    </row>
    <row r="190" spans="1:256" ht="14.15" customHeight="1" x14ac:dyDescent="0.35">
      <c r="A190" s="24" t="s">
        <v>198</v>
      </c>
      <c r="B190" s="24" t="s">
        <v>199</v>
      </c>
      <c r="C190" s="25" t="s">
        <v>200</v>
      </c>
      <c r="D190" s="26">
        <f t="shared" ref="D190:E202" si="33">F190+H190+J190+L190+N190+P190+R190</f>
        <v>0</v>
      </c>
      <c r="E190" s="26">
        <f t="shared" si="33"/>
        <v>0</v>
      </c>
      <c r="F190" s="26"/>
      <c r="G190" s="26"/>
      <c r="H190" s="26"/>
      <c r="I190" s="55"/>
      <c r="J190" s="60"/>
      <c r="K190" s="75"/>
      <c r="L190" s="60"/>
      <c r="M190" s="75"/>
      <c r="N190" s="60"/>
      <c r="O190" s="60"/>
      <c r="P190" s="60"/>
      <c r="Q190" s="60"/>
      <c r="R190" s="60"/>
      <c r="S190" s="60"/>
      <c r="T190" s="60"/>
      <c r="U190" s="60"/>
    </row>
    <row r="191" spans="1:256" ht="14.15" customHeight="1" x14ac:dyDescent="0.35">
      <c r="A191" s="24" t="s">
        <v>201</v>
      </c>
      <c r="B191" s="24" t="s">
        <v>202</v>
      </c>
      <c r="C191" s="25" t="s">
        <v>203</v>
      </c>
      <c r="D191" s="26">
        <f t="shared" si="33"/>
        <v>200</v>
      </c>
      <c r="E191" s="26">
        <f t="shared" si="33"/>
        <v>200</v>
      </c>
      <c r="F191" s="26">
        <v>200</v>
      </c>
      <c r="G191" s="26">
        <v>200</v>
      </c>
      <c r="H191" s="26"/>
      <c r="I191" s="55"/>
      <c r="J191" s="60"/>
      <c r="K191" s="75"/>
      <c r="L191" s="60"/>
      <c r="M191" s="75"/>
      <c r="N191" s="60"/>
      <c r="O191" s="60"/>
      <c r="P191" s="60"/>
      <c r="Q191" s="60"/>
      <c r="R191" s="60"/>
      <c r="S191" s="60"/>
      <c r="T191" s="60"/>
      <c r="U191" s="60"/>
    </row>
    <row r="192" spans="1:256" ht="14.15" customHeight="1" x14ac:dyDescent="0.35">
      <c r="A192" s="24" t="s">
        <v>204</v>
      </c>
      <c r="B192" s="24" t="s">
        <v>205</v>
      </c>
      <c r="C192" s="25" t="s">
        <v>206</v>
      </c>
      <c r="D192" s="26">
        <f t="shared" si="33"/>
        <v>350</v>
      </c>
      <c r="E192" s="26">
        <f t="shared" si="33"/>
        <v>350</v>
      </c>
      <c r="F192" s="26">
        <v>100</v>
      </c>
      <c r="G192" s="26">
        <v>100</v>
      </c>
      <c r="H192" s="26">
        <v>100</v>
      </c>
      <c r="I192" s="55">
        <v>100</v>
      </c>
      <c r="J192" s="60"/>
      <c r="K192" s="75"/>
      <c r="L192" s="60">
        <v>150</v>
      </c>
      <c r="M192" s="75">
        <v>150</v>
      </c>
      <c r="N192" s="60"/>
      <c r="O192" s="60"/>
      <c r="P192" s="60"/>
      <c r="Q192" s="60"/>
      <c r="R192" s="60"/>
      <c r="S192" s="60"/>
      <c r="T192" s="60"/>
      <c r="U192" s="60"/>
    </row>
    <row r="193" spans="1:21" ht="14.15" customHeight="1" x14ac:dyDescent="0.35">
      <c r="A193" s="24"/>
      <c r="B193" s="24" t="s">
        <v>207</v>
      </c>
      <c r="C193" s="25" t="s">
        <v>208</v>
      </c>
      <c r="D193" s="26">
        <f t="shared" si="33"/>
        <v>0</v>
      </c>
      <c r="E193" s="26">
        <f t="shared" si="33"/>
        <v>0</v>
      </c>
      <c r="F193" s="26"/>
      <c r="G193" s="26"/>
      <c r="H193" s="26"/>
      <c r="I193" s="55"/>
      <c r="J193" s="60"/>
      <c r="K193" s="75"/>
      <c r="L193" s="60"/>
      <c r="M193" s="75"/>
      <c r="N193" s="60"/>
      <c r="O193" s="60"/>
      <c r="P193" s="60"/>
      <c r="Q193" s="60"/>
      <c r="R193" s="60"/>
      <c r="S193" s="60"/>
      <c r="T193" s="60"/>
      <c r="U193" s="60"/>
    </row>
    <row r="194" spans="1:21" ht="14.15" customHeight="1" x14ac:dyDescent="0.35">
      <c r="A194" s="24" t="s">
        <v>209</v>
      </c>
      <c r="B194" s="24" t="s">
        <v>210</v>
      </c>
      <c r="C194" s="25" t="s">
        <v>211</v>
      </c>
      <c r="D194" s="26">
        <f t="shared" si="33"/>
        <v>0</v>
      </c>
      <c r="E194" s="26">
        <f t="shared" si="33"/>
        <v>0</v>
      </c>
      <c r="F194" s="26"/>
      <c r="G194" s="26"/>
      <c r="H194" s="26"/>
      <c r="I194" s="55"/>
      <c r="J194" s="60"/>
      <c r="K194" s="75"/>
      <c r="L194" s="60"/>
      <c r="M194" s="75"/>
      <c r="N194" s="60"/>
      <c r="O194" s="60"/>
      <c r="P194" s="60"/>
      <c r="Q194" s="60"/>
      <c r="R194" s="60"/>
      <c r="S194" s="60"/>
      <c r="T194" s="60"/>
      <c r="U194" s="60"/>
    </row>
    <row r="195" spans="1:21" ht="14.15" customHeight="1" x14ac:dyDescent="0.35">
      <c r="A195" s="24" t="s">
        <v>212</v>
      </c>
      <c r="B195" s="24" t="s">
        <v>213</v>
      </c>
      <c r="C195" s="25" t="s">
        <v>214</v>
      </c>
      <c r="D195" s="26">
        <f t="shared" si="33"/>
        <v>0</v>
      </c>
      <c r="E195" s="26">
        <f t="shared" si="33"/>
        <v>0</v>
      </c>
      <c r="F195" s="26"/>
      <c r="G195" s="26"/>
      <c r="H195" s="26"/>
      <c r="I195" s="55"/>
      <c r="J195" s="60"/>
      <c r="K195" s="75"/>
      <c r="L195" s="60"/>
      <c r="M195" s="75"/>
      <c r="N195" s="60"/>
      <c r="O195" s="60"/>
      <c r="P195" s="60"/>
      <c r="Q195" s="60"/>
      <c r="R195" s="60"/>
      <c r="S195" s="60"/>
      <c r="T195" s="60"/>
      <c r="U195" s="60"/>
    </row>
    <row r="196" spans="1:21" ht="14.15" customHeight="1" x14ac:dyDescent="0.35">
      <c r="A196" s="24" t="s">
        <v>215</v>
      </c>
      <c r="B196" s="24" t="s">
        <v>216</v>
      </c>
      <c r="C196" s="25" t="s">
        <v>217</v>
      </c>
      <c r="D196" s="26">
        <f t="shared" si="33"/>
        <v>149</v>
      </c>
      <c r="E196" s="26">
        <f t="shared" si="33"/>
        <v>149</v>
      </c>
      <c r="F196" s="26">
        <v>81</v>
      </c>
      <c r="G196" s="26">
        <f>ROUND((G189+G190+G191+G192+G193)*0.27,0)</f>
        <v>81</v>
      </c>
      <c r="H196" s="26">
        <v>27</v>
      </c>
      <c r="I196" s="55">
        <f>ROUND((I189+I190+I191+I192+I193)*0.27,0)</f>
        <v>27</v>
      </c>
      <c r="J196" s="60"/>
      <c r="K196" s="75"/>
      <c r="L196" s="60">
        <v>41</v>
      </c>
      <c r="M196" s="55">
        <f>ROUND((M189+M190+M191+M192+M193)*0.27,0)</f>
        <v>41</v>
      </c>
      <c r="N196" s="60"/>
      <c r="O196" s="55">
        <f>ROUND((O189+O190+O191+O192+O193)*0.27,0)</f>
        <v>0</v>
      </c>
      <c r="P196" s="60"/>
      <c r="Q196" s="60"/>
      <c r="R196" s="60"/>
      <c r="S196" s="60"/>
      <c r="T196" s="60"/>
      <c r="U196" s="60"/>
    </row>
    <row r="197" spans="1:21" s="3" customFormat="1" ht="14.15" customHeight="1" x14ac:dyDescent="0.35">
      <c r="A197" s="20" t="s">
        <v>218</v>
      </c>
      <c r="B197" s="20" t="s">
        <v>219</v>
      </c>
      <c r="C197" s="21" t="s">
        <v>220</v>
      </c>
      <c r="D197" s="22">
        <f>SUM(D189:D196)</f>
        <v>699</v>
      </c>
      <c r="E197" s="22">
        <f t="shared" ref="E197:P197" si="34">SUM(E189:E196)</f>
        <v>699</v>
      </c>
      <c r="F197" s="22">
        <f t="shared" si="34"/>
        <v>381</v>
      </c>
      <c r="G197" s="22">
        <f t="shared" si="34"/>
        <v>381</v>
      </c>
      <c r="H197" s="22">
        <f t="shared" si="34"/>
        <v>127</v>
      </c>
      <c r="I197" s="52">
        <f t="shared" si="34"/>
        <v>127</v>
      </c>
      <c r="J197" s="52">
        <f t="shared" si="34"/>
        <v>0</v>
      </c>
      <c r="K197" s="52">
        <f t="shared" si="34"/>
        <v>0</v>
      </c>
      <c r="L197" s="22">
        <f t="shared" si="34"/>
        <v>191</v>
      </c>
      <c r="M197" s="22">
        <f t="shared" si="34"/>
        <v>191</v>
      </c>
      <c r="N197" s="22">
        <f t="shared" si="34"/>
        <v>0</v>
      </c>
      <c r="O197" s="22">
        <f t="shared" si="34"/>
        <v>0</v>
      </c>
      <c r="P197" s="22">
        <f t="shared" si="34"/>
        <v>0</v>
      </c>
      <c r="Q197" s="65"/>
      <c r="R197" s="22">
        <f>SUM(R189:R196)</f>
        <v>0</v>
      </c>
      <c r="S197" s="65"/>
      <c r="T197" s="22"/>
      <c r="U197" s="65"/>
    </row>
    <row r="198" spans="1:21" ht="14.15" customHeight="1" x14ac:dyDescent="0.35">
      <c r="A198" s="24" t="s">
        <v>221</v>
      </c>
      <c r="B198" s="24" t="s">
        <v>222</v>
      </c>
      <c r="C198" s="25" t="s">
        <v>223</v>
      </c>
      <c r="D198" s="26">
        <f t="shared" si="33"/>
        <v>0</v>
      </c>
      <c r="E198" s="26">
        <f t="shared" si="33"/>
        <v>0</v>
      </c>
      <c r="F198" s="26"/>
      <c r="G198" s="26"/>
      <c r="H198" s="26"/>
      <c r="I198" s="55"/>
      <c r="J198" s="60"/>
      <c r="K198" s="75"/>
      <c r="L198" s="60"/>
      <c r="M198" s="75"/>
      <c r="N198" s="60"/>
      <c r="O198" s="60"/>
      <c r="P198" s="60"/>
      <c r="Q198" s="60"/>
      <c r="R198" s="60"/>
      <c r="S198" s="60"/>
      <c r="T198" s="60"/>
      <c r="U198" s="60"/>
    </row>
    <row r="199" spans="1:21" ht="14.15" customHeight="1" x14ac:dyDescent="0.35">
      <c r="A199" s="24" t="s">
        <v>224</v>
      </c>
      <c r="B199" s="24" t="s">
        <v>225</v>
      </c>
      <c r="C199" s="25" t="s">
        <v>226</v>
      </c>
      <c r="D199" s="26">
        <f t="shared" si="33"/>
        <v>0</v>
      </c>
      <c r="E199" s="26">
        <f t="shared" si="33"/>
        <v>0</v>
      </c>
      <c r="F199" s="26"/>
      <c r="G199" s="26"/>
      <c r="H199" s="26"/>
      <c r="I199" s="55"/>
      <c r="J199" s="60"/>
      <c r="K199" s="75"/>
      <c r="L199" s="60"/>
      <c r="M199" s="75"/>
      <c r="N199" s="60"/>
      <c r="O199" s="60"/>
      <c r="P199" s="60"/>
      <c r="Q199" s="60"/>
      <c r="R199" s="60"/>
      <c r="S199" s="60"/>
      <c r="T199" s="60"/>
      <c r="U199" s="60"/>
    </row>
    <row r="200" spans="1:21" ht="14.15" customHeight="1" x14ac:dyDescent="0.35">
      <c r="A200" s="24" t="s">
        <v>227</v>
      </c>
      <c r="B200" s="24" t="s">
        <v>228</v>
      </c>
      <c r="C200" s="25" t="s">
        <v>229</v>
      </c>
      <c r="D200" s="26">
        <f t="shared" si="33"/>
        <v>0</v>
      </c>
      <c r="E200" s="26">
        <f t="shared" si="33"/>
        <v>0</v>
      </c>
      <c r="F200" s="26"/>
      <c r="G200" s="26"/>
      <c r="H200" s="26"/>
      <c r="I200" s="55"/>
      <c r="J200" s="60"/>
      <c r="K200" s="75"/>
      <c r="L200" s="60"/>
      <c r="M200" s="75"/>
      <c r="N200" s="60"/>
      <c r="O200" s="60"/>
      <c r="P200" s="60"/>
      <c r="Q200" s="60"/>
      <c r="R200" s="60"/>
      <c r="S200" s="60"/>
      <c r="T200" s="60"/>
      <c r="U200" s="60"/>
    </row>
    <row r="201" spans="1:21" ht="14.15" customHeight="1" x14ac:dyDescent="0.35">
      <c r="A201" s="24"/>
      <c r="B201" s="24" t="s">
        <v>230</v>
      </c>
      <c r="C201" s="25" t="s">
        <v>231</v>
      </c>
      <c r="D201" s="26">
        <f t="shared" si="33"/>
        <v>0</v>
      </c>
      <c r="E201" s="26">
        <f t="shared" si="33"/>
        <v>0</v>
      </c>
      <c r="F201" s="26"/>
      <c r="G201" s="26"/>
      <c r="H201" s="26"/>
      <c r="I201" s="55"/>
      <c r="J201" s="60"/>
      <c r="K201" s="75"/>
      <c r="L201" s="60"/>
      <c r="M201" s="75"/>
      <c r="N201" s="60"/>
      <c r="O201" s="60"/>
      <c r="P201" s="60"/>
      <c r="Q201" s="60"/>
      <c r="R201" s="60"/>
      <c r="S201" s="60"/>
      <c r="T201" s="60"/>
      <c r="U201" s="60"/>
    </row>
    <row r="202" spans="1:21" ht="14.15" customHeight="1" x14ac:dyDescent="0.35">
      <c r="A202" s="24" t="s">
        <v>232</v>
      </c>
      <c r="B202" s="24" t="s">
        <v>233</v>
      </c>
      <c r="C202" s="25" t="s">
        <v>234</v>
      </c>
      <c r="D202" s="26">
        <f t="shared" si="33"/>
        <v>0</v>
      </c>
      <c r="E202" s="26">
        <f t="shared" si="33"/>
        <v>0</v>
      </c>
      <c r="F202" s="26">
        <v>0</v>
      </c>
      <c r="G202" s="26">
        <f>ROUND((G198+G199+G200+G201)*0.27,0)</f>
        <v>0</v>
      </c>
      <c r="H202" s="26">
        <v>0</v>
      </c>
      <c r="I202" s="55">
        <f>ROUND((I198+I199+I200+I201)*0.27,0)</f>
        <v>0</v>
      </c>
      <c r="J202" s="60"/>
      <c r="K202" s="75"/>
      <c r="L202" s="60"/>
      <c r="M202" s="75"/>
      <c r="N202" s="60"/>
      <c r="O202" s="60"/>
      <c r="P202" s="60"/>
      <c r="Q202" s="60"/>
      <c r="R202" s="60"/>
      <c r="S202" s="60"/>
      <c r="T202" s="60"/>
      <c r="U202" s="60"/>
    </row>
    <row r="203" spans="1:21" s="3" customFormat="1" ht="14.15" customHeight="1" x14ac:dyDescent="0.35">
      <c r="A203" s="20" t="s">
        <v>235</v>
      </c>
      <c r="B203" s="20" t="s">
        <v>236</v>
      </c>
      <c r="C203" s="21" t="s">
        <v>237</v>
      </c>
      <c r="D203" s="22">
        <f>SUM(D198:D202)</f>
        <v>0</v>
      </c>
      <c r="E203" s="22">
        <f t="shared" ref="E203:P203" si="35">SUM(E198:E202)</f>
        <v>0</v>
      </c>
      <c r="F203" s="22">
        <f t="shared" si="35"/>
        <v>0</v>
      </c>
      <c r="G203" s="22">
        <f t="shared" si="35"/>
        <v>0</v>
      </c>
      <c r="H203" s="22">
        <f t="shared" si="35"/>
        <v>0</v>
      </c>
      <c r="I203" s="52">
        <f t="shared" si="35"/>
        <v>0</v>
      </c>
      <c r="J203" s="52">
        <f t="shared" si="35"/>
        <v>0</v>
      </c>
      <c r="K203" s="52">
        <f t="shared" si="35"/>
        <v>0</v>
      </c>
      <c r="L203" s="22">
        <f t="shared" si="35"/>
        <v>0</v>
      </c>
      <c r="M203" s="22">
        <f t="shared" si="35"/>
        <v>0</v>
      </c>
      <c r="N203" s="22">
        <f t="shared" si="35"/>
        <v>0</v>
      </c>
      <c r="O203" s="22">
        <f t="shared" si="35"/>
        <v>0</v>
      </c>
      <c r="P203" s="22">
        <f t="shared" si="35"/>
        <v>0</v>
      </c>
      <c r="Q203" s="65"/>
      <c r="R203" s="22">
        <f>SUM(R198:R202)</f>
        <v>0</v>
      </c>
      <c r="S203" s="65"/>
      <c r="T203" s="22"/>
      <c r="U203" s="65"/>
    </row>
    <row r="204" spans="1:21" s="3" customFormat="1" ht="14.15" customHeight="1" x14ac:dyDescent="0.35">
      <c r="A204" s="1104" t="s">
        <v>293</v>
      </c>
      <c r="B204" s="1105"/>
      <c r="C204" s="1106" t="s">
        <v>238</v>
      </c>
      <c r="D204" s="28">
        <f>D197+D203</f>
        <v>699</v>
      </c>
      <c r="E204" s="28">
        <f t="shared" ref="E204:P204" si="36">E197+E203</f>
        <v>699</v>
      </c>
      <c r="F204" s="28">
        <f t="shared" si="36"/>
        <v>381</v>
      </c>
      <c r="G204" s="28">
        <f t="shared" si="36"/>
        <v>381</v>
      </c>
      <c r="H204" s="28">
        <f t="shared" si="36"/>
        <v>127</v>
      </c>
      <c r="I204" s="58">
        <f t="shared" si="36"/>
        <v>127</v>
      </c>
      <c r="J204" s="58">
        <f t="shared" si="36"/>
        <v>0</v>
      </c>
      <c r="K204" s="58">
        <f t="shared" si="36"/>
        <v>0</v>
      </c>
      <c r="L204" s="58">
        <f t="shared" si="36"/>
        <v>191</v>
      </c>
      <c r="M204" s="58">
        <f t="shared" si="36"/>
        <v>191</v>
      </c>
      <c r="N204" s="58">
        <f t="shared" si="36"/>
        <v>0</v>
      </c>
      <c r="O204" s="58">
        <f t="shared" si="36"/>
        <v>0</v>
      </c>
      <c r="P204" s="58">
        <f t="shared" si="36"/>
        <v>0</v>
      </c>
      <c r="Q204" s="70"/>
      <c r="R204" s="58">
        <f>R197+R203</f>
        <v>0</v>
      </c>
      <c r="S204" s="70"/>
      <c r="T204" s="58"/>
      <c r="U204" s="70"/>
    </row>
    <row r="205" spans="1:21" ht="6.75" customHeight="1" x14ac:dyDescent="0.35">
      <c r="J205" s="60"/>
      <c r="K205" s="75"/>
      <c r="L205" s="60"/>
      <c r="M205" s="75"/>
      <c r="N205" s="60"/>
      <c r="O205" s="60"/>
      <c r="P205" s="60"/>
      <c r="Q205" s="60"/>
      <c r="R205" s="60"/>
      <c r="S205" s="60"/>
      <c r="T205" s="60"/>
      <c r="U205" s="60"/>
    </row>
    <row r="206" spans="1:21" ht="14.15" customHeight="1" x14ac:dyDescent="0.35">
      <c r="A206" s="1093" t="s">
        <v>294</v>
      </c>
      <c r="B206" s="1094"/>
      <c r="C206" s="1095"/>
      <c r="D206" s="29">
        <f>D204+D180</f>
        <v>190648</v>
      </c>
      <c r="E206" s="29">
        <f t="shared" ref="E206:Q206" si="37">E204+E180</f>
        <v>206798</v>
      </c>
      <c r="F206" s="29">
        <f t="shared" si="37"/>
        <v>62887</v>
      </c>
      <c r="G206" s="29">
        <f t="shared" si="37"/>
        <v>71061</v>
      </c>
      <c r="H206" s="29">
        <f t="shared" si="37"/>
        <v>21743</v>
      </c>
      <c r="I206" s="54">
        <f t="shared" si="37"/>
        <v>23251</v>
      </c>
      <c r="J206" s="54">
        <f t="shared" si="37"/>
        <v>14158</v>
      </c>
      <c r="K206" s="54">
        <f t="shared" si="37"/>
        <v>14045</v>
      </c>
      <c r="L206" s="54">
        <f t="shared" si="37"/>
        <v>83068</v>
      </c>
      <c r="M206" s="54">
        <f t="shared" si="37"/>
        <v>89519</v>
      </c>
      <c r="N206" s="54">
        <f t="shared" si="37"/>
        <v>7122</v>
      </c>
      <c r="O206" s="54">
        <f t="shared" si="37"/>
        <v>7922</v>
      </c>
      <c r="P206" s="54">
        <f t="shared" si="37"/>
        <v>960</v>
      </c>
      <c r="Q206" s="54">
        <f t="shared" si="37"/>
        <v>1000</v>
      </c>
      <c r="R206" s="54">
        <f>R204+R180</f>
        <v>710</v>
      </c>
      <c r="S206" s="67"/>
      <c r="T206" s="54"/>
      <c r="U206" s="67"/>
    </row>
    <row r="207" spans="1:21" ht="14.15" customHeight="1" x14ac:dyDescent="0.35">
      <c r="J207" s="73"/>
      <c r="K207" s="73"/>
      <c r="L207" s="73"/>
      <c r="M207" s="73"/>
      <c r="N207" s="73"/>
      <c r="O207" s="73"/>
      <c r="P207" s="73"/>
      <c r="Q207" s="73"/>
      <c r="R207" s="73"/>
      <c r="S207" s="73"/>
    </row>
    <row r="208" spans="1:21" ht="14.15" customHeight="1" x14ac:dyDescent="0.35">
      <c r="J208" s="48"/>
      <c r="K208" s="48"/>
      <c r="L208" s="48"/>
      <c r="M208" s="48"/>
      <c r="N208" s="48"/>
      <c r="O208" s="48"/>
      <c r="P208" s="48"/>
      <c r="Q208" s="48"/>
      <c r="R208" s="48"/>
      <c r="S208" s="48"/>
    </row>
    <row r="209" spans="1:21" ht="14.15" customHeight="1" x14ac:dyDescent="0.35">
      <c r="J209" s="48"/>
      <c r="K209" s="48"/>
      <c r="L209" s="48"/>
      <c r="M209" s="48"/>
      <c r="N209" s="48"/>
      <c r="O209" s="48"/>
      <c r="P209" s="48"/>
      <c r="Q209" s="48"/>
      <c r="R209" s="48"/>
      <c r="S209" s="48"/>
    </row>
    <row r="210" spans="1:21" ht="14.15" customHeight="1" x14ac:dyDescent="0.35">
      <c r="J210" s="48"/>
      <c r="K210" s="48"/>
      <c r="L210" s="48"/>
      <c r="M210" s="48"/>
      <c r="N210" s="48"/>
      <c r="O210" s="48"/>
      <c r="P210" s="48"/>
      <c r="Q210" s="48"/>
      <c r="R210" s="48"/>
      <c r="S210" s="48"/>
    </row>
    <row r="211" spans="1:21" s="1" customFormat="1" ht="12.75" customHeight="1" x14ac:dyDescent="0.35">
      <c r="A211" s="1101" t="s">
        <v>410</v>
      </c>
      <c r="B211" s="1101"/>
      <c r="C211" s="1101"/>
      <c r="D211" s="1101"/>
      <c r="E211" s="1101"/>
      <c r="F211" s="1101"/>
      <c r="G211" s="1101"/>
      <c r="H211" s="1101"/>
      <c r="I211" s="1101"/>
      <c r="J211" s="1101"/>
      <c r="K211" s="1101"/>
      <c r="L211" s="1101" t="s">
        <v>410</v>
      </c>
      <c r="M211" s="1101"/>
      <c r="N211" s="1101"/>
      <c r="O211" s="1101"/>
      <c r="P211" s="1101"/>
      <c r="Q211" s="1101"/>
      <c r="R211" s="1101"/>
      <c r="S211" s="1101"/>
      <c r="T211" s="1101"/>
      <c r="U211" s="1101"/>
    </row>
    <row r="212" spans="1:21" s="1" customFormat="1" ht="14.15" customHeight="1" x14ac:dyDescent="0.35">
      <c r="A212" s="1164" t="s">
        <v>0</v>
      </c>
      <c r="B212" s="1165" t="s">
        <v>1</v>
      </c>
      <c r="C212" s="1164" t="s">
        <v>2</v>
      </c>
      <c r="D212" s="1097" t="s">
        <v>260</v>
      </c>
      <c r="E212" s="1167" t="s">
        <v>259</v>
      </c>
      <c r="F212" s="1162" t="s">
        <v>411</v>
      </c>
      <c r="G212" s="1166"/>
      <c r="H212" s="1162" t="s">
        <v>412</v>
      </c>
      <c r="I212" s="1163"/>
      <c r="J212" s="1160" t="s">
        <v>413</v>
      </c>
      <c r="K212" s="1170"/>
      <c r="L212" s="1160" t="s">
        <v>414</v>
      </c>
      <c r="M212" s="1170"/>
      <c r="N212" s="1160" t="s">
        <v>415</v>
      </c>
      <c r="O212" s="1161"/>
      <c r="P212" s="1168" t="s">
        <v>416</v>
      </c>
      <c r="Q212" s="1169"/>
      <c r="R212" s="1168" t="s">
        <v>417</v>
      </c>
      <c r="S212" s="1169"/>
      <c r="T212" s="1168"/>
      <c r="U212" s="1169"/>
    </row>
    <row r="213" spans="1:21" s="3" customFormat="1" ht="23.25" customHeight="1" x14ac:dyDescent="0.35">
      <c r="A213" s="1101"/>
      <c r="B213" s="1102"/>
      <c r="C213" s="1101"/>
      <c r="D213" s="1103"/>
      <c r="E213" s="1097"/>
      <c r="F213" s="2" t="s">
        <v>260</v>
      </c>
      <c r="G213" s="2" t="s">
        <v>259</v>
      </c>
      <c r="H213" s="2" t="s">
        <v>260</v>
      </c>
      <c r="I213" s="47" t="s">
        <v>259</v>
      </c>
      <c r="J213" s="2" t="s">
        <v>260</v>
      </c>
      <c r="K213" s="47" t="s">
        <v>259</v>
      </c>
      <c r="L213" s="59" t="s">
        <v>260</v>
      </c>
      <c r="M213" s="74" t="s">
        <v>259</v>
      </c>
      <c r="N213" s="80" t="s">
        <v>260</v>
      </c>
      <c r="O213" s="46" t="s">
        <v>259</v>
      </c>
      <c r="P213" s="81" t="s">
        <v>260</v>
      </c>
      <c r="Q213" s="82" t="s">
        <v>259</v>
      </c>
      <c r="R213" s="81" t="s">
        <v>260</v>
      </c>
      <c r="S213" s="82" t="s">
        <v>259</v>
      </c>
      <c r="T213" s="81"/>
      <c r="U213" s="82"/>
    </row>
    <row r="214" spans="1:21" ht="5.65" customHeight="1" x14ac:dyDescent="0.35">
      <c r="J214" s="60"/>
      <c r="K214" s="75"/>
      <c r="L214" s="60"/>
      <c r="M214" s="75"/>
      <c r="N214" s="60"/>
      <c r="O214" s="60"/>
      <c r="P214" s="60"/>
      <c r="Q214" s="60"/>
      <c r="R214" s="60"/>
      <c r="S214" s="60"/>
      <c r="T214" s="60"/>
      <c r="U214" s="60"/>
    </row>
    <row r="215" spans="1:21" ht="14.15" customHeight="1" x14ac:dyDescent="0.35">
      <c r="A215" s="1100" t="s">
        <v>239</v>
      </c>
      <c r="B215" s="1100"/>
      <c r="C215" s="1100"/>
      <c r="D215" s="1100"/>
      <c r="E215" s="1100"/>
      <c r="F215" s="1100"/>
      <c r="G215" s="1100"/>
      <c r="H215" s="1100"/>
      <c r="I215" s="1100"/>
      <c r="J215" s="61"/>
      <c r="K215" s="76"/>
      <c r="L215" s="61"/>
      <c r="M215" s="76"/>
      <c r="N215" s="61"/>
      <c r="O215" s="61"/>
      <c r="P215" s="61"/>
      <c r="Q215" s="61"/>
      <c r="R215" s="61"/>
      <c r="S215" s="61"/>
      <c r="T215" s="61"/>
      <c r="U215" s="61"/>
    </row>
    <row r="216" spans="1:21" s="3" customFormat="1" ht="14.15" customHeight="1" x14ac:dyDescent="0.35">
      <c r="A216" s="20" t="s">
        <v>240</v>
      </c>
      <c r="B216" s="20"/>
      <c r="C216" s="21" t="s">
        <v>241</v>
      </c>
      <c r="D216" s="23">
        <f>SUM(D217:D226)</f>
        <v>15709</v>
      </c>
      <c r="E216" s="23">
        <f t="shared" ref="E216:K216" si="38">SUM(E217:E226)</f>
        <v>11910</v>
      </c>
      <c r="F216" s="23">
        <f t="shared" si="38"/>
        <v>0</v>
      </c>
      <c r="G216" s="23">
        <f t="shared" si="38"/>
        <v>0</v>
      </c>
      <c r="H216" s="23">
        <f t="shared" si="38"/>
        <v>200</v>
      </c>
      <c r="I216" s="57">
        <f t="shared" si="38"/>
        <v>318</v>
      </c>
      <c r="J216" s="57">
        <f t="shared" si="38"/>
        <v>6775</v>
      </c>
      <c r="K216" s="57">
        <f t="shared" si="38"/>
        <v>6160</v>
      </c>
      <c r="L216" s="57">
        <f t="shared" ref="L216:Q216" si="39">SUM(L217:L226)</f>
        <v>3400</v>
      </c>
      <c r="M216" s="57">
        <f t="shared" si="39"/>
        <v>3400</v>
      </c>
      <c r="N216" s="57">
        <f t="shared" si="39"/>
        <v>5334</v>
      </c>
      <c r="O216" s="57">
        <f t="shared" si="39"/>
        <v>2032</v>
      </c>
      <c r="P216" s="57">
        <f t="shared" si="39"/>
        <v>0</v>
      </c>
      <c r="Q216" s="57">
        <f t="shared" si="39"/>
        <v>0</v>
      </c>
      <c r="R216" s="57">
        <f>SUM(R217:R226)</f>
        <v>0</v>
      </c>
      <c r="S216" s="57">
        <f>SUM(S217:S226)</f>
        <v>0</v>
      </c>
      <c r="T216" s="57"/>
      <c r="U216" s="69"/>
    </row>
    <row r="217" spans="1:21" ht="14.15" customHeight="1" x14ac:dyDescent="0.35">
      <c r="A217" s="24" t="s">
        <v>242</v>
      </c>
      <c r="B217" s="24"/>
      <c r="C217" s="25" t="s">
        <v>243</v>
      </c>
      <c r="D217" s="26">
        <f t="shared" ref="D217:E226" si="40">F217+H217+J217+L217+N217+P217+R217</f>
        <v>0</v>
      </c>
      <c r="E217" s="26">
        <f t="shared" si="40"/>
        <v>0</v>
      </c>
      <c r="F217" s="26"/>
      <c r="G217" s="26"/>
      <c r="H217" s="26"/>
      <c r="I217" s="55"/>
      <c r="J217" s="60"/>
      <c r="K217" s="75"/>
      <c r="L217" s="60"/>
      <c r="M217" s="75"/>
      <c r="N217" s="60"/>
      <c r="O217" s="60"/>
      <c r="P217" s="60"/>
      <c r="Q217" s="60"/>
      <c r="R217" s="60"/>
      <c r="S217" s="60"/>
      <c r="T217" s="60"/>
      <c r="U217" s="60"/>
    </row>
    <row r="218" spans="1:21" ht="14.15" customHeight="1" x14ac:dyDescent="0.35">
      <c r="A218" s="24" t="s">
        <v>244</v>
      </c>
      <c r="B218" s="24"/>
      <c r="C218" s="25" t="s">
        <v>245</v>
      </c>
      <c r="D218" s="26">
        <f t="shared" si="40"/>
        <v>0</v>
      </c>
      <c r="E218" s="26">
        <f t="shared" si="40"/>
        <v>0</v>
      </c>
      <c r="F218" s="26"/>
      <c r="G218" s="26"/>
      <c r="H218" s="26"/>
      <c r="I218" s="55"/>
      <c r="J218" s="60"/>
      <c r="K218" s="75"/>
      <c r="L218" s="60"/>
      <c r="M218" s="75"/>
      <c r="N218" s="60"/>
      <c r="O218" s="60"/>
      <c r="P218" s="60"/>
      <c r="Q218" s="60"/>
      <c r="R218" s="60"/>
      <c r="S218" s="60"/>
      <c r="T218" s="60"/>
      <c r="U218" s="60"/>
    </row>
    <row r="219" spans="1:21" ht="14.15" customHeight="1" x14ac:dyDescent="0.35">
      <c r="A219" s="24" t="s">
        <v>246</v>
      </c>
      <c r="B219" s="24"/>
      <c r="C219" s="25" t="s">
        <v>247</v>
      </c>
      <c r="D219" s="26">
        <f t="shared" si="40"/>
        <v>0</v>
      </c>
      <c r="E219" s="26">
        <f t="shared" si="40"/>
        <v>0</v>
      </c>
      <c r="F219" s="26"/>
      <c r="G219" s="26"/>
      <c r="H219" s="26"/>
      <c r="I219" s="55"/>
      <c r="J219" s="60"/>
      <c r="K219" s="75"/>
      <c r="L219" s="60"/>
      <c r="M219" s="75"/>
      <c r="N219" s="60"/>
      <c r="O219" s="60"/>
      <c r="P219" s="60"/>
      <c r="Q219" s="60"/>
      <c r="R219" s="60"/>
      <c r="S219" s="60"/>
      <c r="T219" s="60"/>
      <c r="U219" s="60"/>
    </row>
    <row r="220" spans="1:21" ht="14.15" customHeight="1" x14ac:dyDescent="0.35">
      <c r="A220" s="24" t="s">
        <v>248</v>
      </c>
      <c r="B220" s="24"/>
      <c r="C220" s="25" t="s">
        <v>249</v>
      </c>
      <c r="D220" s="26">
        <f t="shared" si="40"/>
        <v>0</v>
      </c>
      <c r="E220" s="26">
        <f t="shared" si="40"/>
        <v>0</v>
      </c>
      <c r="F220" s="26"/>
      <c r="G220" s="26"/>
      <c r="H220" s="26"/>
      <c r="I220" s="55"/>
      <c r="J220" s="60"/>
      <c r="K220" s="75"/>
      <c r="L220" s="60"/>
      <c r="M220" s="75"/>
      <c r="N220" s="60"/>
      <c r="O220" s="60"/>
      <c r="P220" s="60"/>
      <c r="Q220" s="60"/>
      <c r="R220" s="60"/>
      <c r="S220" s="60"/>
      <c r="T220" s="60"/>
      <c r="U220" s="60"/>
    </row>
    <row r="221" spans="1:21" ht="14.15" customHeight="1" x14ac:dyDescent="0.35">
      <c r="A221" s="24" t="s">
        <v>296</v>
      </c>
      <c r="B221" s="24"/>
      <c r="C221" s="25" t="s">
        <v>297</v>
      </c>
      <c r="D221" s="26">
        <f t="shared" si="40"/>
        <v>13135</v>
      </c>
      <c r="E221" s="26">
        <f t="shared" si="40"/>
        <v>10100</v>
      </c>
      <c r="F221" s="26"/>
      <c r="G221" s="26"/>
      <c r="H221" s="26">
        <v>200</v>
      </c>
      <c r="I221" s="55">
        <v>250</v>
      </c>
      <c r="J221" s="60">
        <v>5335</v>
      </c>
      <c r="K221" s="75">
        <v>4850</v>
      </c>
      <c r="L221" s="60">
        <v>3400</v>
      </c>
      <c r="M221" s="75">
        <v>3400</v>
      </c>
      <c r="N221" s="60">
        <v>4200</v>
      </c>
      <c r="O221" s="60">
        <v>1600</v>
      </c>
      <c r="P221" s="60"/>
      <c r="Q221" s="60"/>
      <c r="R221" s="60"/>
      <c r="S221" s="60"/>
      <c r="T221" s="60"/>
      <c r="U221" s="60"/>
    </row>
    <row r="222" spans="1:21" ht="14.15" customHeight="1" x14ac:dyDescent="0.35">
      <c r="A222" s="24" t="s">
        <v>250</v>
      </c>
      <c r="B222" s="24"/>
      <c r="C222" s="25" t="s">
        <v>251</v>
      </c>
      <c r="D222" s="26">
        <f t="shared" si="40"/>
        <v>2574</v>
      </c>
      <c r="E222" s="26">
        <f t="shared" si="40"/>
        <v>1810</v>
      </c>
      <c r="F222" s="26"/>
      <c r="G222" s="26">
        <f>ROUND((G217+G218+G219+G220+G221)*0.27,0)</f>
        <v>0</v>
      </c>
      <c r="H222" s="26">
        <v>0</v>
      </c>
      <c r="I222" s="55">
        <f>ROUND((I217+I218+I219+I220+I221)*0.27,0)</f>
        <v>68</v>
      </c>
      <c r="J222" s="60">
        <v>1440</v>
      </c>
      <c r="K222" s="55">
        <f>ROUND((K217+K218+K219+K220+K221)*0.27,0)</f>
        <v>1310</v>
      </c>
      <c r="L222" s="60"/>
      <c r="M222" s="55">
        <v>0</v>
      </c>
      <c r="N222" s="60">
        <v>1134</v>
      </c>
      <c r="O222" s="55">
        <f>ROUND((O217+O218+O219+O220+O221)*0.27,0)</f>
        <v>432</v>
      </c>
      <c r="P222" s="60"/>
      <c r="Q222" s="60"/>
      <c r="R222" s="60"/>
      <c r="S222" s="60"/>
      <c r="T222" s="60"/>
      <c r="U222" s="60"/>
    </row>
    <row r="223" spans="1:21" ht="14.15" customHeight="1" x14ac:dyDescent="0.35">
      <c r="A223" s="24" t="s">
        <v>298</v>
      </c>
      <c r="B223" s="24"/>
      <c r="C223" s="25" t="s">
        <v>299</v>
      </c>
      <c r="D223" s="26">
        <f t="shared" si="40"/>
        <v>0</v>
      </c>
      <c r="E223" s="26">
        <f t="shared" si="40"/>
        <v>0</v>
      </c>
      <c r="F223" s="26"/>
      <c r="G223" s="26"/>
      <c r="H223" s="26">
        <v>0</v>
      </c>
      <c r="I223" s="55"/>
      <c r="J223" s="60"/>
      <c r="K223" s="75"/>
      <c r="L223" s="60"/>
      <c r="M223" s="75"/>
      <c r="N223" s="60"/>
      <c r="O223" s="60"/>
      <c r="P223" s="60"/>
      <c r="Q223" s="60"/>
      <c r="R223" s="60"/>
      <c r="S223" s="60"/>
      <c r="T223" s="60"/>
      <c r="U223" s="60"/>
    </row>
    <row r="224" spans="1:21" ht="14.15" customHeight="1" x14ac:dyDescent="0.35">
      <c r="A224" s="24" t="s">
        <v>252</v>
      </c>
      <c r="B224" s="24"/>
      <c r="C224" s="25" t="s">
        <v>253</v>
      </c>
      <c r="D224" s="26">
        <f t="shared" si="40"/>
        <v>0</v>
      </c>
      <c r="E224" s="26">
        <f t="shared" si="40"/>
        <v>0</v>
      </c>
      <c r="F224" s="26"/>
      <c r="G224" s="26"/>
      <c r="H224" s="26"/>
      <c r="I224" s="55"/>
      <c r="J224" s="60"/>
      <c r="K224" s="75"/>
      <c r="L224" s="60"/>
      <c r="M224" s="75"/>
      <c r="N224" s="60"/>
      <c r="O224" s="60"/>
      <c r="P224" s="60"/>
      <c r="Q224" s="60"/>
      <c r="R224" s="60"/>
      <c r="S224" s="60"/>
      <c r="T224" s="60"/>
      <c r="U224" s="60"/>
    </row>
    <row r="225" spans="1:21" ht="14.15" customHeight="1" x14ac:dyDescent="0.35">
      <c r="A225" s="24" t="s">
        <v>300</v>
      </c>
      <c r="B225" s="24"/>
      <c r="C225" s="25" t="s">
        <v>301</v>
      </c>
      <c r="D225" s="26">
        <f t="shared" si="40"/>
        <v>0</v>
      </c>
      <c r="E225" s="26">
        <f t="shared" si="40"/>
        <v>0</v>
      </c>
      <c r="F225" s="26"/>
      <c r="G225" s="26"/>
      <c r="H225" s="26"/>
      <c r="I225" s="55"/>
      <c r="J225" s="60"/>
      <c r="K225" s="75"/>
      <c r="L225" s="60"/>
      <c r="M225" s="75"/>
      <c r="N225" s="60"/>
      <c r="O225" s="60"/>
      <c r="P225" s="60"/>
      <c r="Q225" s="60"/>
      <c r="R225" s="60"/>
      <c r="S225" s="60"/>
      <c r="T225" s="60"/>
      <c r="U225" s="60"/>
    </row>
    <row r="226" spans="1:21" ht="14.15" customHeight="1" x14ac:dyDescent="0.35">
      <c r="A226" s="24" t="s">
        <v>254</v>
      </c>
      <c r="B226" s="24"/>
      <c r="C226" s="25" t="s">
        <v>255</v>
      </c>
      <c r="D226" s="26">
        <f t="shared" si="40"/>
        <v>0</v>
      </c>
      <c r="E226" s="26">
        <f t="shared" si="40"/>
        <v>0</v>
      </c>
      <c r="F226" s="26"/>
      <c r="G226" s="26"/>
      <c r="H226" s="26"/>
      <c r="I226" s="55"/>
      <c r="J226" s="60"/>
      <c r="K226" s="75"/>
      <c r="L226" s="60"/>
      <c r="M226" s="75"/>
      <c r="N226" s="60"/>
      <c r="O226" s="60"/>
      <c r="P226" s="60"/>
      <c r="Q226" s="60"/>
      <c r="R226" s="60"/>
      <c r="S226" s="60"/>
      <c r="T226" s="60"/>
      <c r="U226" s="60"/>
    </row>
    <row r="227" spans="1:21" s="3" customFormat="1" ht="14.15" customHeight="1" x14ac:dyDescent="0.35">
      <c r="A227" s="20" t="s">
        <v>256</v>
      </c>
      <c r="B227" s="20"/>
      <c r="C227" s="21" t="s">
        <v>257</v>
      </c>
      <c r="D227" s="23">
        <f>F227+H227+J227+L227+N227+P227+R227</f>
        <v>0</v>
      </c>
      <c r="E227" s="23">
        <f>G227+I227</f>
        <v>0</v>
      </c>
      <c r="F227" s="23">
        <v>0</v>
      </c>
      <c r="G227" s="23">
        <v>0</v>
      </c>
      <c r="H227" s="23">
        <v>0</v>
      </c>
      <c r="I227" s="57">
        <v>0</v>
      </c>
      <c r="J227" s="69">
        <v>0</v>
      </c>
      <c r="K227" s="69">
        <v>0</v>
      </c>
      <c r="L227" s="69">
        <v>0</v>
      </c>
      <c r="M227" s="69">
        <v>0</v>
      </c>
      <c r="N227" s="69">
        <v>0</v>
      </c>
      <c r="O227" s="69">
        <v>0</v>
      </c>
      <c r="P227" s="69">
        <v>0</v>
      </c>
      <c r="Q227" s="69">
        <v>0</v>
      </c>
      <c r="R227" s="69">
        <v>0</v>
      </c>
      <c r="S227" s="69">
        <v>0</v>
      </c>
      <c r="T227" s="69"/>
      <c r="U227" s="69"/>
    </row>
    <row r="228" spans="1:21" s="3" customFormat="1" ht="14.15" customHeight="1" x14ac:dyDescent="0.35">
      <c r="A228" s="1093" t="s">
        <v>295</v>
      </c>
      <c r="B228" s="1094"/>
      <c r="C228" s="1095"/>
      <c r="D228" s="29">
        <f>D216+D227</f>
        <v>15709</v>
      </c>
      <c r="E228" s="29">
        <f t="shared" ref="E228:Q228" si="41">E216+E227</f>
        <v>11910</v>
      </c>
      <c r="F228" s="29">
        <f t="shared" si="41"/>
        <v>0</v>
      </c>
      <c r="G228" s="29">
        <f t="shared" si="41"/>
        <v>0</v>
      </c>
      <c r="H228" s="29">
        <f t="shared" si="41"/>
        <v>200</v>
      </c>
      <c r="I228" s="54">
        <f t="shared" si="41"/>
        <v>318</v>
      </c>
      <c r="J228" s="54">
        <f t="shared" si="41"/>
        <v>6775</v>
      </c>
      <c r="K228" s="54">
        <f t="shared" si="41"/>
        <v>6160</v>
      </c>
      <c r="L228" s="29">
        <f t="shared" si="41"/>
        <v>3400</v>
      </c>
      <c r="M228" s="29">
        <f t="shared" si="41"/>
        <v>3400</v>
      </c>
      <c r="N228" s="29">
        <f t="shared" si="41"/>
        <v>5334</v>
      </c>
      <c r="O228" s="29">
        <f t="shared" si="41"/>
        <v>2032</v>
      </c>
      <c r="P228" s="29">
        <f t="shared" si="41"/>
        <v>0</v>
      </c>
      <c r="Q228" s="29">
        <f t="shared" si="41"/>
        <v>0</v>
      </c>
      <c r="R228" s="29">
        <f>R216+R227</f>
        <v>0</v>
      </c>
      <c r="S228" s="29">
        <f>S216+S227</f>
        <v>0</v>
      </c>
      <c r="T228" s="29"/>
      <c r="U228" s="67"/>
    </row>
  </sheetData>
  <sheetProtection selectLockedCells="1" selectUnlockedCells="1"/>
  <mergeCells count="69">
    <mergeCell ref="A215:I215"/>
    <mergeCell ref="A228:C228"/>
    <mergeCell ref="J2:K2"/>
    <mergeCell ref="L2:M2"/>
    <mergeCell ref="J97:K97"/>
    <mergeCell ref="J185:K185"/>
    <mergeCell ref="J212:K212"/>
    <mergeCell ref="L97:M97"/>
    <mergeCell ref="A188:I188"/>
    <mergeCell ref="E185:E186"/>
    <mergeCell ref="A204:C204"/>
    <mergeCell ref="A206:C206"/>
    <mergeCell ref="A212:A213"/>
    <mergeCell ref="B212:B213"/>
    <mergeCell ref="D212:D213"/>
    <mergeCell ref="C212:C213"/>
    <mergeCell ref="A1:K1"/>
    <mergeCell ref="L1:U1"/>
    <mergeCell ref="A96:K96"/>
    <mergeCell ref="L96:U96"/>
    <mergeCell ref="A184:K184"/>
    <mergeCell ref="L184:U184"/>
    <mergeCell ref="A5:I5"/>
    <mergeCell ref="A92:C92"/>
    <mergeCell ref="A97:A98"/>
    <mergeCell ref="B97:B98"/>
    <mergeCell ref="A100:I100"/>
    <mergeCell ref="A180:C180"/>
    <mergeCell ref="A2:A3"/>
    <mergeCell ref="H2:I2"/>
    <mergeCell ref="B2:B3"/>
    <mergeCell ref="C2:C3"/>
    <mergeCell ref="D2:D3"/>
    <mergeCell ref="C97:C98"/>
    <mergeCell ref="D97:D98"/>
    <mergeCell ref="E97:E98"/>
    <mergeCell ref="F97:G97"/>
    <mergeCell ref="H97:I97"/>
    <mergeCell ref="T212:U212"/>
    <mergeCell ref="R2:S2"/>
    <mergeCell ref="R97:S97"/>
    <mergeCell ref="R185:S185"/>
    <mergeCell ref="R212:S212"/>
    <mergeCell ref="L211:U211"/>
    <mergeCell ref="T2:U2"/>
    <mergeCell ref="T97:U97"/>
    <mergeCell ref="T185:U185"/>
    <mergeCell ref="L185:M185"/>
    <mergeCell ref="P212:Q212"/>
    <mergeCell ref="L212:M212"/>
    <mergeCell ref="P2:Q2"/>
    <mergeCell ref="P97:Q97"/>
    <mergeCell ref="P185:Q185"/>
    <mergeCell ref="N2:O2"/>
    <mergeCell ref="H212:I212"/>
    <mergeCell ref="A211:K211"/>
    <mergeCell ref="A185:A186"/>
    <mergeCell ref="B185:B186"/>
    <mergeCell ref="C185:C186"/>
    <mergeCell ref="D185:D186"/>
    <mergeCell ref="F185:G185"/>
    <mergeCell ref="H185:I185"/>
    <mergeCell ref="E2:E3"/>
    <mergeCell ref="F2:G2"/>
    <mergeCell ref="N97:O97"/>
    <mergeCell ref="N185:O185"/>
    <mergeCell ref="N212:O212"/>
    <mergeCell ref="E212:E213"/>
    <mergeCell ref="F212:G212"/>
  </mergeCells>
  <printOptions horizontalCentered="1"/>
  <pageMargins left="0.15748031496062992" right="0.15748031496062992" top="0.19685039370078741" bottom="0.15748031496062992" header="0.31496062992125984" footer="0.31496062992125984"/>
  <pageSetup paperSize="8" scale="82" fitToWidth="2" fitToHeight="0" orientation="portrait" useFirstPageNumber="1" copies="2" r:id="rId1"/>
  <headerFooter alignWithMargins="0"/>
  <rowBreaks count="2" manualBreakCount="2">
    <brk id="92" max="16383" man="1"/>
    <brk id="180" max="16383" man="1"/>
  </rowBreaks>
  <colBreaks count="1" manualBreakCount="1">
    <brk id="13" max="1048575" man="1"/>
  </colBreaks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V192"/>
  <sheetViews>
    <sheetView view="pageBreakPreview" zoomScale="150" zoomScaleNormal="100" zoomScaleSheetLayoutView="150" workbookViewId="0">
      <pane xSplit="5" ySplit="3" topLeftCell="S4" activePane="bottomRight" state="frozen"/>
      <selection pane="topRight" activeCell="F1" sqref="F1"/>
      <selection pane="bottomLeft" activeCell="A4" sqref="A4"/>
      <selection pane="bottomRight" activeCell="V9" sqref="V9"/>
    </sheetView>
  </sheetViews>
  <sheetFormatPr defaultColWidth="11.7265625" defaultRowHeight="14.15" customHeight="1" x14ac:dyDescent="0.35"/>
  <cols>
    <col min="1" max="1" width="5.7265625" style="4" customWidth="1"/>
    <col min="2" max="2" width="7.7265625" style="4" customWidth="1"/>
    <col min="3" max="3" width="31.7265625" style="5" customWidth="1"/>
    <col min="4" max="5" width="10.81640625" style="6" customWidth="1"/>
    <col min="6" max="6" width="9.81640625" style="6" bestFit="1" customWidth="1"/>
    <col min="7" max="7" width="9.81640625" style="6" customWidth="1"/>
    <col min="8" max="8" width="10.7265625" style="6" customWidth="1"/>
    <col min="9" max="21" width="12" style="6" customWidth="1"/>
    <col min="22" max="16384" width="11.7265625" style="5"/>
  </cols>
  <sheetData>
    <row r="1" spans="1:21" s="1" customFormat="1" ht="12.75" customHeight="1" x14ac:dyDescent="0.35">
      <c r="A1" s="1120" t="s">
        <v>599</v>
      </c>
      <c r="B1" s="1121"/>
      <c r="C1" s="1121"/>
      <c r="D1" s="1121"/>
      <c r="E1" s="1121"/>
      <c r="F1" s="1121"/>
      <c r="G1" s="1121"/>
      <c r="H1" s="1121"/>
      <c r="I1" s="1121"/>
      <c r="J1" s="1121"/>
      <c r="K1" s="1121"/>
      <c r="L1" s="1121"/>
      <c r="M1" s="1121"/>
      <c r="N1" s="1121" t="s">
        <v>599</v>
      </c>
      <c r="O1" s="1121"/>
      <c r="P1" s="1121"/>
      <c r="Q1" s="1121"/>
      <c r="R1" s="1121"/>
      <c r="S1" s="1121"/>
      <c r="T1" s="1121"/>
      <c r="U1" s="1122"/>
    </row>
    <row r="2" spans="1:21" s="1" customFormat="1" ht="14.15" customHeight="1" x14ac:dyDescent="0.35">
      <c r="A2" s="1164" t="s">
        <v>0</v>
      </c>
      <c r="B2" s="1165" t="s">
        <v>1</v>
      </c>
      <c r="C2" s="1164" t="s">
        <v>2</v>
      </c>
      <c r="D2" s="1097" t="s">
        <v>260</v>
      </c>
      <c r="E2" s="1167" t="s">
        <v>259</v>
      </c>
      <c r="F2" s="1162" t="s">
        <v>600</v>
      </c>
      <c r="G2" s="1166"/>
      <c r="H2" s="1162" t="s">
        <v>601</v>
      </c>
      <c r="I2" s="1163"/>
      <c r="J2" s="1174" t="s">
        <v>602</v>
      </c>
      <c r="K2" s="1160"/>
      <c r="L2" s="1177" t="s">
        <v>639</v>
      </c>
      <c r="M2" s="1177"/>
      <c r="N2" s="1177" t="s">
        <v>603</v>
      </c>
      <c r="O2" s="1177"/>
      <c r="P2" s="1178" t="s">
        <v>604</v>
      </c>
      <c r="Q2" s="1169"/>
      <c r="R2" s="1175" t="s">
        <v>605</v>
      </c>
      <c r="S2" s="1176"/>
      <c r="T2" s="1175" t="s">
        <v>606</v>
      </c>
      <c r="U2" s="1176"/>
    </row>
    <row r="3" spans="1:21" s="3" customFormat="1" ht="25.5" customHeight="1" x14ac:dyDescent="0.35">
      <c r="A3" s="1101"/>
      <c r="B3" s="1102"/>
      <c r="C3" s="1101"/>
      <c r="D3" s="1103"/>
      <c r="E3" s="1097"/>
      <c r="F3" s="2" t="s">
        <v>263</v>
      </c>
      <c r="G3" s="2" t="s">
        <v>259</v>
      </c>
      <c r="H3" s="2" t="s">
        <v>260</v>
      </c>
      <c r="I3" s="47" t="s">
        <v>259</v>
      </c>
      <c r="J3" s="59" t="s">
        <v>260</v>
      </c>
      <c r="K3" s="74" t="s">
        <v>259</v>
      </c>
      <c r="L3" s="148" t="s">
        <v>260</v>
      </c>
      <c r="M3" s="148" t="s">
        <v>259</v>
      </c>
      <c r="N3" s="148" t="s">
        <v>260</v>
      </c>
      <c r="O3" s="148" t="s">
        <v>259</v>
      </c>
      <c r="P3" s="81" t="s">
        <v>260</v>
      </c>
      <c r="Q3" s="82" t="s">
        <v>259</v>
      </c>
      <c r="R3" s="142" t="s">
        <v>260</v>
      </c>
      <c r="S3" s="143" t="s">
        <v>259</v>
      </c>
      <c r="T3" s="142" t="s">
        <v>260</v>
      </c>
      <c r="U3" s="143" t="s">
        <v>259</v>
      </c>
    </row>
    <row r="4" spans="1:21" ht="5.65" customHeight="1" x14ac:dyDescent="0.35">
      <c r="J4" s="60"/>
      <c r="K4" s="75"/>
      <c r="L4" s="147"/>
      <c r="M4" s="147"/>
    </row>
    <row r="5" spans="1:21" ht="14.15" customHeight="1" x14ac:dyDescent="0.35">
      <c r="A5" s="1100" t="s">
        <v>3</v>
      </c>
      <c r="B5" s="1100"/>
      <c r="C5" s="1100"/>
      <c r="D5" s="1100"/>
      <c r="E5" s="1100"/>
      <c r="F5" s="1100"/>
      <c r="G5" s="1100"/>
      <c r="H5" s="1100"/>
      <c r="I5" s="1100"/>
      <c r="J5" s="61"/>
      <c r="K5" s="76"/>
      <c r="L5" s="61"/>
      <c r="M5" s="76"/>
      <c r="N5" s="61"/>
      <c r="O5" s="61"/>
      <c r="P5" s="61"/>
      <c r="Q5" s="61"/>
      <c r="R5" s="61"/>
      <c r="S5" s="61"/>
      <c r="T5" s="61"/>
      <c r="U5" s="61"/>
    </row>
    <row r="6" spans="1:21" s="3" customFormat="1" ht="12.75" customHeight="1" x14ac:dyDescent="0.35">
      <c r="A6" s="7" t="s">
        <v>4</v>
      </c>
      <c r="B6" s="7" t="s">
        <v>5</v>
      </c>
      <c r="C6" s="8" t="s">
        <v>6</v>
      </c>
      <c r="D6" s="9">
        <f>F6+H6+J6+L6+N6+P6+R6+T6</f>
        <v>261300</v>
      </c>
      <c r="E6" s="9">
        <f>G6+I6+K6+M6+O6+Q6+S6+U6</f>
        <v>248292</v>
      </c>
      <c r="F6" s="10">
        <v>236139</v>
      </c>
      <c r="G6" s="10">
        <v>233094</v>
      </c>
      <c r="H6" s="10">
        <v>6600</v>
      </c>
      <c r="I6" s="49"/>
      <c r="J6" s="62">
        <v>1450</v>
      </c>
      <c r="K6" s="62"/>
      <c r="L6" s="62">
        <v>0</v>
      </c>
      <c r="M6" s="49">
        <v>0</v>
      </c>
      <c r="N6" s="62">
        <v>13987</v>
      </c>
      <c r="O6" s="62">
        <v>12074</v>
      </c>
      <c r="P6" s="62">
        <v>3124</v>
      </c>
      <c r="Q6" s="62">
        <v>3124</v>
      </c>
      <c r="R6" s="62">
        <v>0</v>
      </c>
      <c r="S6" s="62">
        <v>0</v>
      </c>
      <c r="T6" s="62">
        <v>0</v>
      </c>
      <c r="U6" s="62">
        <v>0</v>
      </c>
    </row>
    <row r="7" spans="1:21" s="15" customFormat="1" ht="11.5" customHeight="1" x14ac:dyDescent="0.35">
      <c r="A7" s="11"/>
      <c r="B7" s="11"/>
      <c r="C7" s="12"/>
      <c r="D7" s="13"/>
      <c r="E7" s="13"/>
      <c r="F7" s="14"/>
      <c r="G7" s="14"/>
      <c r="H7" s="14"/>
      <c r="I7" s="50"/>
      <c r="J7" s="63"/>
      <c r="K7" s="78"/>
      <c r="L7" s="63"/>
      <c r="M7" s="78"/>
      <c r="N7" s="63"/>
      <c r="O7" s="63"/>
      <c r="P7" s="63"/>
      <c r="Q7" s="63"/>
      <c r="R7" s="63"/>
      <c r="S7" s="63"/>
      <c r="T7" s="63"/>
      <c r="U7" s="63"/>
    </row>
    <row r="8" spans="1:21" s="3" customFormat="1" ht="12.75" customHeight="1" x14ac:dyDescent="0.35">
      <c r="A8" s="7" t="s">
        <v>7</v>
      </c>
      <c r="B8" s="7" t="s">
        <v>8</v>
      </c>
      <c r="C8" s="8" t="s">
        <v>9</v>
      </c>
      <c r="D8" s="9">
        <f t="shared" ref="D8:E10" si="0">F8+H8+J8+L8+N8+P8+R8+T8</f>
        <v>0</v>
      </c>
      <c r="E8" s="9">
        <f t="shared" si="0"/>
        <v>0</v>
      </c>
      <c r="F8" s="10">
        <v>0</v>
      </c>
      <c r="G8" s="10">
        <v>0</v>
      </c>
      <c r="H8" s="10">
        <v>0</v>
      </c>
      <c r="I8" s="49"/>
      <c r="J8" s="62">
        <v>0</v>
      </c>
      <c r="K8" s="62"/>
      <c r="L8" s="62">
        <v>0</v>
      </c>
      <c r="M8" s="77">
        <v>0</v>
      </c>
      <c r="N8" s="62">
        <v>0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</row>
    <row r="9" spans="1:21" s="3" customFormat="1" ht="12.75" customHeight="1" x14ac:dyDescent="0.35">
      <c r="A9" s="7" t="s">
        <v>10</v>
      </c>
      <c r="B9" s="7" t="s">
        <v>11</v>
      </c>
      <c r="C9" s="8" t="s">
        <v>12</v>
      </c>
      <c r="D9" s="9">
        <f t="shared" si="0"/>
        <v>0</v>
      </c>
      <c r="E9" s="9">
        <f t="shared" si="0"/>
        <v>900</v>
      </c>
      <c r="F9" s="10">
        <v>0</v>
      </c>
      <c r="G9" s="10">
        <v>900</v>
      </c>
      <c r="H9" s="10">
        <v>0</v>
      </c>
      <c r="I9" s="49"/>
      <c r="J9" s="62">
        <v>0</v>
      </c>
      <c r="K9" s="62"/>
      <c r="L9" s="62">
        <v>0</v>
      </c>
      <c r="M9" s="77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</row>
    <row r="10" spans="1:21" s="3" customFormat="1" ht="12.75" customHeight="1" x14ac:dyDescent="0.35">
      <c r="A10" s="7" t="s">
        <v>13</v>
      </c>
      <c r="B10" s="7" t="s">
        <v>14</v>
      </c>
      <c r="C10" s="8" t="s">
        <v>15</v>
      </c>
      <c r="D10" s="9">
        <f t="shared" si="0"/>
        <v>1123</v>
      </c>
      <c r="E10" s="9">
        <f t="shared" si="0"/>
        <v>1000</v>
      </c>
      <c r="F10" s="10">
        <v>1000</v>
      </c>
      <c r="G10" s="10">
        <f>SUM(G11:G12)</f>
        <v>1000</v>
      </c>
      <c r="H10" s="10">
        <v>0</v>
      </c>
      <c r="I10" s="49"/>
      <c r="J10" s="49">
        <f>SUM(J11:J12)</f>
        <v>123</v>
      </c>
      <c r="K10" s="49"/>
      <c r="L10" s="49">
        <v>0</v>
      </c>
      <c r="M10" s="49">
        <v>0</v>
      </c>
      <c r="N10" s="49">
        <v>0</v>
      </c>
      <c r="O10" s="49">
        <v>0</v>
      </c>
      <c r="P10" s="49">
        <f>SUM(P11:P12)</f>
        <v>0</v>
      </c>
      <c r="Q10" s="62">
        <v>0</v>
      </c>
      <c r="R10" s="49">
        <v>0</v>
      </c>
      <c r="S10" s="62">
        <v>0</v>
      </c>
      <c r="T10" s="49">
        <v>0</v>
      </c>
      <c r="U10" s="62">
        <v>0</v>
      </c>
    </row>
    <row r="11" spans="1:21" s="15" customFormat="1" ht="11.5" customHeight="1" x14ac:dyDescent="0.35">
      <c r="A11" s="11"/>
      <c r="B11" s="11"/>
      <c r="C11" s="12" t="s">
        <v>16</v>
      </c>
      <c r="D11" s="13"/>
      <c r="E11" s="13"/>
      <c r="F11" s="14"/>
      <c r="G11" s="14">
        <v>1000</v>
      </c>
      <c r="H11" s="14"/>
      <c r="I11" s="50"/>
      <c r="J11" s="63">
        <v>123</v>
      </c>
      <c r="K11" s="78"/>
      <c r="L11" s="63"/>
      <c r="M11" s="78"/>
      <c r="N11" s="63"/>
      <c r="O11" s="63"/>
      <c r="P11" s="63"/>
      <c r="Q11" s="63"/>
      <c r="R11" s="63"/>
      <c r="S11" s="63"/>
      <c r="T11" s="63"/>
      <c r="U11" s="63"/>
    </row>
    <row r="12" spans="1:21" s="15" customFormat="1" ht="11.5" customHeight="1" x14ac:dyDescent="0.35">
      <c r="A12" s="11"/>
      <c r="B12" s="11"/>
      <c r="C12" s="12" t="s">
        <v>17</v>
      </c>
      <c r="D12" s="13"/>
      <c r="E12" s="13"/>
      <c r="F12" s="14"/>
      <c r="G12" s="14"/>
      <c r="H12" s="14"/>
      <c r="I12" s="50"/>
      <c r="J12" s="63"/>
      <c r="K12" s="78"/>
      <c r="L12" s="63"/>
      <c r="M12" s="78"/>
      <c r="N12" s="63"/>
      <c r="O12" s="63"/>
      <c r="P12" s="63"/>
      <c r="Q12" s="63"/>
      <c r="R12" s="63"/>
      <c r="S12" s="63"/>
      <c r="T12" s="63"/>
      <c r="U12" s="63"/>
    </row>
    <row r="13" spans="1:21" s="3" customFormat="1" ht="12.75" customHeight="1" x14ac:dyDescent="0.35">
      <c r="A13" s="7" t="s">
        <v>18</v>
      </c>
      <c r="B13" s="7" t="s">
        <v>19</v>
      </c>
      <c r="C13" s="8" t="s">
        <v>20</v>
      </c>
      <c r="D13" s="9">
        <f>F13+H13+J13+L13+N13+P13+R13+T13</f>
        <v>8000</v>
      </c>
      <c r="E13" s="9">
        <f>G13+I13+K13+M13+O13+Q13+S13+U13</f>
        <v>5000</v>
      </c>
      <c r="F13" s="10">
        <v>8000</v>
      </c>
      <c r="G13" s="10">
        <v>5000</v>
      </c>
      <c r="H13" s="10">
        <v>0</v>
      </c>
      <c r="I13" s="49"/>
      <c r="J13" s="62">
        <v>0</v>
      </c>
      <c r="K13" s="62"/>
      <c r="L13" s="62">
        <v>0</v>
      </c>
      <c r="M13" s="77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</row>
    <row r="14" spans="1:21" s="3" customFormat="1" ht="12.75" customHeight="1" x14ac:dyDescent="0.35">
      <c r="A14" s="7" t="s">
        <v>21</v>
      </c>
      <c r="B14" s="7" t="s">
        <v>22</v>
      </c>
      <c r="C14" s="8" t="s">
        <v>23</v>
      </c>
      <c r="D14" s="9">
        <f>F14+H14+J14+L14+N14+P14+R14+T14</f>
        <v>1740</v>
      </c>
      <c r="E14" s="9">
        <f>G14+I14+K14+M14+O14+Q14+S14+U14</f>
        <v>2644</v>
      </c>
      <c r="F14" s="10">
        <v>1740</v>
      </c>
      <c r="G14" s="10">
        <v>2644</v>
      </c>
      <c r="H14" s="10">
        <v>0</v>
      </c>
      <c r="I14" s="49"/>
      <c r="J14" s="62">
        <v>0</v>
      </c>
      <c r="K14" s="62"/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</row>
    <row r="15" spans="1:21" s="3" customFormat="1" ht="12.75" customHeight="1" x14ac:dyDescent="0.35">
      <c r="A15" s="11"/>
      <c r="B15" s="11"/>
      <c r="C15" s="12"/>
      <c r="D15" s="13"/>
      <c r="E15" s="13"/>
      <c r="F15" s="14"/>
      <c r="G15" s="14"/>
      <c r="H15" s="14"/>
      <c r="I15" s="50"/>
      <c r="J15" s="63"/>
      <c r="K15" s="78"/>
      <c r="L15" s="63"/>
      <c r="M15" s="78"/>
      <c r="N15" s="63"/>
      <c r="O15" s="63"/>
      <c r="P15" s="63"/>
      <c r="Q15" s="63"/>
      <c r="R15" s="63"/>
      <c r="S15" s="63"/>
      <c r="T15" s="63"/>
      <c r="U15" s="63"/>
    </row>
    <row r="16" spans="1:21" s="3" customFormat="1" ht="12.75" customHeight="1" x14ac:dyDescent="0.35">
      <c r="A16" s="7" t="s">
        <v>24</v>
      </c>
      <c r="B16" s="7" t="s">
        <v>25</v>
      </c>
      <c r="C16" s="8" t="s">
        <v>26</v>
      </c>
      <c r="D16" s="9">
        <f>F16+H16+J16+L16+N16+P16+R16+T16</f>
        <v>13184</v>
      </c>
      <c r="E16" s="9">
        <f>G16+I16+K16+M16+O16+Q16+S16+U16</f>
        <v>13176</v>
      </c>
      <c r="F16" s="10">
        <f>SUM(F17:F18)</f>
        <v>12088</v>
      </c>
      <c r="G16" s="10">
        <f>SUM(G17:G18)</f>
        <v>12280</v>
      </c>
      <c r="H16" s="49">
        <v>0</v>
      </c>
      <c r="I16" s="49"/>
      <c r="J16" s="49">
        <v>0</v>
      </c>
      <c r="K16" s="49"/>
      <c r="L16" s="49">
        <v>0</v>
      </c>
      <c r="M16" s="49">
        <v>0</v>
      </c>
      <c r="N16" s="49">
        <f>SUM(N17:N18)</f>
        <v>1000</v>
      </c>
      <c r="O16" s="49">
        <f>SUM(O17:O18)</f>
        <v>800</v>
      </c>
      <c r="P16" s="49">
        <f>SUM(P17:P18)</f>
        <v>96</v>
      </c>
      <c r="Q16" s="49">
        <f>SUM(Q17:Q18)</f>
        <v>96</v>
      </c>
      <c r="R16" s="49">
        <v>0</v>
      </c>
      <c r="S16" s="62">
        <v>0</v>
      </c>
      <c r="T16" s="49">
        <v>0</v>
      </c>
      <c r="U16" s="62">
        <v>0</v>
      </c>
    </row>
    <row r="17" spans="1:21" s="15" customFormat="1" ht="11.5" customHeight="1" x14ac:dyDescent="0.35">
      <c r="A17" s="11"/>
      <c r="B17" s="11"/>
      <c r="C17" s="12" t="s">
        <v>278</v>
      </c>
      <c r="D17" s="13"/>
      <c r="E17" s="13"/>
      <c r="F17" s="14">
        <v>288</v>
      </c>
      <c r="G17" s="14">
        <v>480</v>
      </c>
      <c r="H17" s="14"/>
      <c r="I17" s="50"/>
      <c r="J17" s="63"/>
      <c r="K17" s="78"/>
      <c r="L17" s="63"/>
      <c r="M17" s="78"/>
      <c r="N17" s="63"/>
      <c r="O17" s="63"/>
      <c r="P17" s="63">
        <v>96</v>
      </c>
      <c r="Q17" s="63">
        <v>96</v>
      </c>
      <c r="R17" s="63"/>
      <c r="S17" s="63"/>
      <c r="T17" s="63"/>
      <c r="U17" s="63"/>
    </row>
    <row r="18" spans="1:21" s="15" customFormat="1" ht="11.5" customHeight="1" x14ac:dyDescent="0.35">
      <c r="A18" s="11"/>
      <c r="B18" s="11"/>
      <c r="C18" s="12" t="s">
        <v>607</v>
      </c>
      <c r="D18" s="13"/>
      <c r="E18" s="13"/>
      <c r="F18" s="14">
        <v>11800</v>
      </c>
      <c r="G18" s="14">
        <v>11800</v>
      </c>
      <c r="H18" s="14"/>
      <c r="I18" s="50"/>
      <c r="J18" s="63"/>
      <c r="K18" s="78"/>
      <c r="L18" s="63"/>
      <c r="M18" s="78"/>
      <c r="N18" s="63">
        <v>1000</v>
      </c>
      <c r="O18" s="63">
        <v>800</v>
      </c>
      <c r="P18" s="63"/>
      <c r="Q18" s="63"/>
      <c r="R18" s="63"/>
      <c r="S18" s="63"/>
      <c r="T18" s="63"/>
      <c r="U18" s="63"/>
    </row>
    <row r="19" spans="1:21" s="3" customFormat="1" ht="12.75" customHeight="1" x14ac:dyDescent="0.35">
      <c r="A19" s="7" t="s">
        <v>27</v>
      </c>
      <c r="B19" s="7" t="s">
        <v>28</v>
      </c>
      <c r="C19" s="8" t="s">
        <v>29</v>
      </c>
      <c r="D19" s="9">
        <f t="shared" ref="D19:E21" si="1">F19+H19+J19+L19+N19+P19+R19+T19</f>
        <v>0</v>
      </c>
      <c r="E19" s="9">
        <f t="shared" si="1"/>
        <v>0</v>
      </c>
      <c r="F19" s="10">
        <v>0</v>
      </c>
      <c r="G19" s="10">
        <v>0</v>
      </c>
      <c r="H19" s="10">
        <v>0</v>
      </c>
      <c r="I19" s="49"/>
      <c r="J19" s="62">
        <v>0</v>
      </c>
      <c r="K19" s="77"/>
      <c r="L19" s="62">
        <v>0</v>
      </c>
      <c r="M19" s="77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</row>
    <row r="20" spans="1:21" s="3" customFormat="1" ht="12.75" customHeight="1" x14ac:dyDescent="0.35">
      <c r="A20" s="7" t="s">
        <v>30</v>
      </c>
      <c r="B20" s="7" t="s">
        <v>31</v>
      </c>
      <c r="C20" s="8" t="s">
        <v>32</v>
      </c>
      <c r="D20" s="9">
        <f t="shared" si="1"/>
        <v>4810</v>
      </c>
      <c r="E20" s="9">
        <f t="shared" si="1"/>
        <v>4620</v>
      </c>
      <c r="F20" s="10">
        <v>4350</v>
      </c>
      <c r="G20" s="10">
        <v>4350</v>
      </c>
      <c r="H20" s="10">
        <v>150</v>
      </c>
      <c r="I20" s="49"/>
      <c r="J20" s="62">
        <v>30</v>
      </c>
      <c r="K20" s="77"/>
      <c r="L20" s="62">
        <v>0</v>
      </c>
      <c r="M20" s="77">
        <v>0</v>
      </c>
      <c r="N20" s="62">
        <v>270</v>
      </c>
      <c r="O20" s="62">
        <v>270</v>
      </c>
      <c r="P20" s="62">
        <v>10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</row>
    <row r="21" spans="1:21" s="3" customFormat="1" ht="12.75" customHeight="1" x14ac:dyDescent="0.35">
      <c r="A21" s="7" t="s">
        <v>33</v>
      </c>
      <c r="B21" s="7" t="s">
        <v>34</v>
      </c>
      <c r="C21" s="8" t="s">
        <v>35</v>
      </c>
      <c r="D21" s="9">
        <f t="shared" si="1"/>
        <v>1200</v>
      </c>
      <c r="E21" s="9">
        <f t="shared" si="1"/>
        <v>1828</v>
      </c>
      <c r="F21" s="10">
        <v>1200</v>
      </c>
      <c r="G21" s="10">
        <f>G22+G23</f>
        <v>1768</v>
      </c>
      <c r="H21" s="10">
        <v>0</v>
      </c>
      <c r="I21" s="49"/>
      <c r="J21" s="62">
        <v>0</v>
      </c>
      <c r="K21" s="77"/>
      <c r="L21" s="62">
        <v>0</v>
      </c>
      <c r="M21" s="77">
        <v>0</v>
      </c>
      <c r="N21" s="62">
        <v>0</v>
      </c>
      <c r="O21" s="62">
        <f>O22+O23</f>
        <v>48</v>
      </c>
      <c r="P21" s="62">
        <f>P22</f>
        <v>0</v>
      </c>
      <c r="Q21" s="62">
        <f>Q22+Q23</f>
        <v>12</v>
      </c>
      <c r="R21" s="62">
        <v>0</v>
      </c>
      <c r="S21" s="62">
        <v>0</v>
      </c>
      <c r="T21" s="62">
        <v>0</v>
      </c>
      <c r="U21" s="62">
        <v>0</v>
      </c>
    </row>
    <row r="22" spans="1:21" s="3" customFormat="1" ht="12.75" customHeight="1" x14ac:dyDescent="0.35">
      <c r="A22" s="11"/>
      <c r="B22" s="11"/>
      <c r="C22" s="12" t="s">
        <v>1023</v>
      </c>
      <c r="D22" s="13"/>
      <c r="E22" s="13"/>
      <c r="F22" s="14"/>
      <c r="G22" s="14">
        <v>1000</v>
      </c>
      <c r="H22" s="14"/>
      <c r="I22" s="50"/>
      <c r="J22" s="63"/>
      <c r="K22" s="78"/>
      <c r="L22" s="63"/>
      <c r="M22" s="78"/>
      <c r="N22" s="63"/>
      <c r="O22" s="63"/>
      <c r="P22" s="63"/>
      <c r="Q22" s="63"/>
      <c r="R22" s="63"/>
      <c r="S22" s="63"/>
      <c r="T22" s="63"/>
      <c r="U22" s="63"/>
    </row>
    <row r="23" spans="1:21" s="3" customFormat="1" ht="12.75" customHeight="1" x14ac:dyDescent="0.35">
      <c r="A23" s="11"/>
      <c r="B23" s="11"/>
      <c r="C23" s="12" t="s">
        <v>1257</v>
      </c>
      <c r="D23" s="13"/>
      <c r="E23" s="13"/>
      <c r="F23" s="14"/>
      <c r="G23" s="14">
        <v>768</v>
      </c>
      <c r="H23" s="14"/>
      <c r="I23" s="50"/>
      <c r="J23" s="63"/>
      <c r="K23" s="78"/>
      <c r="L23" s="63"/>
      <c r="M23" s="78"/>
      <c r="N23" s="63"/>
      <c r="O23" s="63">
        <v>48</v>
      </c>
      <c r="P23" s="63"/>
      <c r="Q23" s="63">
        <v>12</v>
      </c>
      <c r="R23" s="63"/>
      <c r="S23" s="63"/>
      <c r="T23" s="63"/>
      <c r="U23" s="63"/>
    </row>
    <row r="24" spans="1:21" s="3" customFormat="1" ht="12.75" customHeight="1" x14ac:dyDescent="0.35">
      <c r="A24" s="7" t="s">
        <v>36</v>
      </c>
      <c r="B24" s="7" t="s">
        <v>37</v>
      </c>
      <c r="C24" s="8" t="s">
        <v>38</v>
      </c>
      <c r="D24" s="9">
        <f t="shared" ref="D24:E26" si="2">F24+H24+J24+L24+N24+P24+R24+T24</f>
        <v>1440</v>
      </c>
      <c r="E24" s="9">
        <f t="shared" si="2"/>
        <v>3000</v>
      </c>
      <c r="F24" s="10">
        <f>F25</f>
        <v>1440</v>
      </c>
      <c r="G24" s="10">
        <f>G25</f>
        <v>3000</v>
      </c>
      <c r="H24" s="10">
        <v>0</v>
      </c>
      <c r="I24" s="49"/>
      <c r="J24" s="62">
        <v>0</v>
      </c>
      <c r="K24" s="77"/>
      <c r="L24" s="62">
        <v>0</v>
      </c>
      <c r="M24" s="77">
        <v>0</v>
      </c>
      <c r="N24" s="62">
        <v>0</v>
      </c>
      <c r="O24" s="62">
        <v>0</v>
      </c>
      <c r="P24" s="62">
        <f>P25</f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</row>
    <row r="25" spans="1:21" s="3" customFormat="1" ht="12.75" customHeight="1" x14ac:dyDescent="0.35">
      <c r="A25" s="11"/>
      <c r="B25" s="11"/>
      <c r="C25" s="12" t="s">
        <v>608</v>
      </c>
      <c r="D25" s="13"/>
      <c r="E25" s="13"/>
      <c r="F25" s="14">
        <v>1440</v>
      </c>
      <c r="G25" s="14">
        <v>3000</v>
      </c>
      <c r="H25" s="14"/>
      <c r="I25" s="50"/>
      <c r="J25" s="63"/>
      <c r="K25" s="78"/>
      <c r="L25" s="63"/>
      <c r="M25" s="78"/>
      <c r="N25" s="63"/>
      <c r="O25" s="63"/>
      <c r="P25" s="63"/>
      <c r="Q25" s="63"/>
      <c r="R25" s="63"/>
      <c r="S25" s="63"/>
      <c r="T25" s="63"/>
      <c r="U25" s="63"/>
    </row>
    <row r="26" spans="1:21" s="3" customFormat="1" ht="12.75" customHeight="1" x14ac:dyDescent="0.35">
      <c r="A26" s="7" t="s">
        <v>39</v>
      </c>
      <c r="B26" s="7" t="s">
        <v>40</v>
      </c>
      <c r="C26" s="8" t="s">
        <v>41</v>
      </c>
      <c r="D26" s="9">
        <f t="shared" si="2"/>
        <v>500</v>
      </c>
      <c r="E26" s="9">
        <f t="shared" si="2"/>
        <v>932</v>
      </c>
      <c r="F26" s="10">
        <v>500</v>
      </c>
      <c r="G26" s="10">
        <f>G27</f>
        <v>932</v>
      </c>
      <c r="H26" s="10">
        <v>0</v>
      </c>
      <c r="I26" s="49"/>
      <c r="J26" s="62">
        <v>0</v>
      </c>
      <c r="K26" s="77"/>
      <c r="L26" s="62">
        <v>0</v>
      </c>
      <c r="M26" s="77">
        <v>0</v>
      </c>
      <c r="N26" s="62">
        <v>0</v>
      </c>
      <c r="O26" s="62">
        <v>0</v>
      </c>
      <c r="P26" s="62">
        <f>P27</f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</row>
    <row r="27" spans="1:21" s="3" customFormat="1" ht="12.75" customHeight="1" x14ac:dyDescent="0.35">
      <c r="A27" s="11"/>
      <c r="B27" s="11"/>
      <c r="C27" s="12" t="s">
        <v>280</v>
      </c>
      <c r="D27" s="13"/>
      <c r="E27" s="13"/>
      <c r="F27" s="14"/>
      <c r="G27" s="14">
        <f>ROUND(G6*0.004,0)</f>
        <v>932</v>
      </c>
      <c r="H27" s="14"/>
      <c r="I27" s="14"/>
      <c r="J27" s="63"/>
      <c r="K27" s="78"/>
      <c r="L27" s="63"/>
      <c r="M27" s="14"/>
      <c r="N27" s="63"/>
      <c r="O27" s="63"/>
      <c r="P27" s="63"/>
      <c r="Q27" s="63"/>
      <c r="R27" s="63"/>
      <c r="S27" s="63"/>
      <c r="T27" s="63"/>
      <c r="U27" s="63"/>
    </row>
    <row r="28" spans="1:21" s="3" customFormat="1" ht="12.75" customHeight="1" x14ac:dyDescent="0.35">
      <c r="A28" s="7" t="s">
        <v>42</v>
      </c>
      <c r="B28" s="7" t="s">
        <v>43</v>
      </c>
      <c r="C28" s="8" t="s">
        <v>44</v>
      </c>
      <c r="D28" s="9">
        <f>F28+H28+J28+L28+N28+P28+R28+T28</f>
        <v>1500</v>
      </c>
      <c r="E28" s="9">
        <f>G28+I28+K28+M28+O28+Q28+S28+U28</f>
        <v>2200</v>
      </c>
      <c r="F28" s="10">
        <f>F29</f>
        <v>1500</v>
      </c>
      <c r="G28" s="10">
        <f>G29</f>
        <v>2000</v>
      </c>
      <c r="H28" s="10">
        <v>0</v>
      </c>
      <c r="I28" s="49"/>
      <c r="J28" s="62">
        <v>0</v>
      </c>
      <c r="K28" s="77"/>
      <c r="L28" s="62">
        <v>0</v>
      </c>
      <c r="M28" s="49">
        <v>0</v>
      </c>
      <c r="N28" s="62">
        <v>0</v>
      </c>
      <c r="O28" s="62">
        <v>200</v>
      </c>
      <c r="P28" s="62">
        <f>P29</f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</row>
    <row r="29" spans="1:21" s="15" customFormat="1" ht="11.5" customHeight="1" x14ac:dyDescent="0.35">
      <c r="A29" s="11"/>
      <c r="B29" s="11"/>
      <c r="C29" s="12" t="s">
        <v>408</v>
      </c>
      <c r="D29" s="13"/>
      <c r="E29" s="13"/>
      <c r="F29" s="14">
        <v>1500</v>
      </c>
      <c r="G29" s="14">
        <v>2000</v>
      </c>
      <c r="H29" s="14"/>
      <c r="I29" s="50"/>
      <c r="J29" s="63"/>
      <c r="K29" s="78"/>
      <c r="L29" s="63"/>
      <c r="M29" s="78"/>
      <c r="N29" s="63"/>
      <c r="O29" s="63"/>
      <c r="P29" s="63"/>
      <c r="Q29" s="63"/>
      <c r="R29" s="63"/>
      <c r="S29" s="63"/>
      <c r="T29" s="63"/>
      <c r="U29" s="63"/>
    </row>
    <row r="30" spans="1:21" s="3" customFormat="1" ht="12.75" customHeight="1" x14ac:dyDescent="0.35">
      <c r="A30" s="16" t="s">
        <v>45</v>
      </c>
      <c r="B30" s="16" t="s">
        <v>46</v>
      </c>
      <c r="C30" s="17" t="s">
        <v>47</v>
      </c>
      <c r="D30" s="18">
        <f>D6+D8+D9+D10+D13+D14+D16+D19+D20+D21+D24+D26+D28</f>
        <v>294797</v>
      </c>
      <c r="E30" s="18">
        <f>E6+E8+E9+E10+E13+E14+E16+E19+E20+E21+E24+E26+E28</f>
        <v>283592</v>
      </c>
      <c r="F30" s="18">
        <f>F6+F8+F9+F10+F13+F14+F16+F19+F20+F21+F24+F26+F28</f>
        <v>267957</v>
      </c>
      <c r="G30" s="18">
        <f t="shared" ref="G30:U30" si="3">G6+G8+G9+G10+G13+G14+G16+G19+G20+G21+G24+G26+G28</f>
        <v>266968</v>
      </c>
      <c r="H30" s="18">
        <f t="shared" si="3"/>
        <v>6750</v>
      </c>
      <c r="I30" s="18">
        <f t="shared" si="3"/>
        <v>0</v>
      </c>
      <c r="J30" s="18">
        <f t="shared" si="3"/>
        <v>1603</v>
      </c>
      <c r="K30" s="18">
        <f t="shared" si="3"/>
        <v>0</v>
      </c>
      <c r="L30" s="18">
        <f t="shared" si="3"/>
        <v>0</v>
      </c>
      <c r="M30" s="18">
        <f t="shared" si="3"/>
        <v>0</v>
      </c>
      <c r="N30" s="18">
        <f t="shared" si="3"/>
        <v>15257</v>
      </c>
      <c r="O30" s="18">
        <f t="shared" si="3"/>
        <v>13392</v>
      </c>
      <c r="P30" s="18">
        <f t="shared" si="3"/>
        <v>3230</v>
      </c>
      <c r="Q30" s="18">
        <f t="shared" si="3"/>
        <v>3232</v>
      </c>
      <c r="R30" s="18">
        <f t="shared" si="3"/>
        <v>0</v>
      </c>
      <c r="S30" s="18">
        <f t="shared" si="3"/>
        <v>0</v>
      </c>
      <c r="T30" s="18">
        <f t="shared" si="3"/>
        <v>0</v>
      </c>
      <c r="U30" s="18">
        <f t="shared" si="3"/>
        <v>0</v>
      </c>
    </row>
    <row r="31" spans="1:21" s="3" customFormat="1" ht="12.75" customHeight="1" x14ac:dyDescent="0.35">
      <c r="A31" s="7" t="s">
        <v>48</v>
      </c>
      <c r="B31" s="7" t="s">
        <v>49</v>
      </c>
      <c r="C31" s="8" t="s">
        <v>50</v>
      </c>
      <c r="D31" s="9">
        <f t="shared" ref="D31:E34" si="4">F31+H31+J31+L31+N31+P31+R31+T31</f>
        <v>18336</v>
      </c>
      <c r="E31" s="9">
        <f t="shared" si="4"/>
        <v>0</v>
      </c>
      <c r="F31" s="10">
        <f>SUM(F32:F33)</f>
        <v>18336</v>
      </c>
      <c r="G31" s="10">
        <f>SUM(G32:G33)</f>
        <v>0</v>
      </c>
      <c r="H31" s="10">
        <v>0</v>
      </c>
      <c r="I31" s="49"/>
      <c r="J31" s="62">
        <v>0</v>
      </c>
      <c r="K31" s="77"/>
      <c r="L31" s="62">
        <v>0</v>
      </c>
      <c r="M31" s="77">
        <v>0</v>
      </c>
      <c r="N31" s="62">
        <v>0</v>
      </c>
      <c r="O31" s="62">
        <v>0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</row>
    <row r="32" spans="1:21" s="15" customFormat="1" ht="11.5" customHeight="1" x14ac:dyDescent="0.35">
      <c r="A32" s="11"/>
      <c r="B32" s="11"/>
      <c r="C32" s="12" t="s">
        <v>609</v>
      </c>
      <c r="D32" s="13"/>
      <c r="E32" s="13"/>
      <c r="F32" s="14">
        <v>14016</v>
      </c>
      <c r="G32" s="14">
        <v>0</v>
      </c>
      <c r="H32" s="14"/>
      <c r="I32" s="50"/>
      <c r="J32" s="63"/>
      <c r="K32" s="78"/>
      <c r="L32" s="63"/>
      <c r="M32" s="78"/>
      <c r="N32" s="63"/>
      <c r="O32" s="63"/>
      <c r="P32" s="63"/>
      <c r="Q32" s="63"/>
      <c r="R32" s="63"/>
      <c r="S32" s="63"/>
      <c r="T32" s="63"/>
      <c r="U32" s="63"/>
    </row>
    <row r="33" spans="1:21" s="15" customFormat="1" ht="11.5" customHeight="1" x14ac:dyDescent="0.35">
      <c r="A33" s="11"/>
      <c r="B33" s="11"/>
      <c r="C33" s="12" t="s">
        <v>610</v>
      </c>
      <c r="D33" s="13"/>
      <c r="E33" s="13"/>
      <c r="F33" s="14">
        <v>4320</v>
      </c>
      <c r="G33" s="14">
        <v>0</v>
      </c>
      <c r="H33" s="14"/>
      <c r="I33" s="50"/>
      <c r="J33" s="63"/>
      <c r="K33" s="78"/>
      <c r="L33" s="63"/>
      <c r="M33" s="78"/>
      <c r="N33" s="63"/>
      <c r="O33" s="63"/>
      <c r="P33" s="63"/>
      <c r="Q33" s="63"/>
      <c r="R33" s="63"/>
      <c r="S33" s="63"/>
      <c r="T33" s="63"/>
      <c r="U33" s="63"/>
    </row>
    <row r="34" spans="1:21" s="3" customFormat="1" ht="12.75" customHeight="1" x14ac:dyDescent="0.35">
      <c r="A34" s="7" t="s">
        <v>51</v>
      </c>
      <c r="B34" s="7" t="s">
        <v>52</v>
      </c>
      <c r="C34" s="8" t="s">
        <v>53</v>
      </c>
      <c r="D34" s="9">
        <f t="shared" si="4"/>
        <v>24843</v>
      </c>
      <c r="E34" s="9">
        <f t="shared" si="4"/>
        <v>5922</v>
      </c>
      <c r="F34" s="10">
        <f>F35</f>
        <v>21000</v>
      </c>
      <c r="G34" s="10">
        <f>G35</f>
        <v>5922</v>
      </c>
      <c r="H34" s="10">
        <v>0</v>
      </c>
      <c r="I34" s="49"/>
      <c r="J34" s="62">
        <v>0</v>
      </c>
      <c r="K34" s="77"/>
      <c r="L34" s="62">
        <f>L35</f>
        <v>3818</v>
      </c>
      <c r="M34" s="62">
        <f>M35</f>
        <v>0</v>
      </c>
      <c r="N34" s="62">
        <f>N35</f>
        <v>25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</row>
    <row r="35" spans="1:21" s="15" customFormat="1" ht="11.5" customHeight="1" x14ac:dyDescent="0.35">
      <c r="A35" s="11"/>
      <c r="B35" s="11"/>
      <c r="C35" s="12" t="s">
        <v>282</v>
      </c>
      <c r="D35" s="13"/>
      <c r="E35" s="13"/>
      <c r="F35" s="14">
        <v>21000</v>
      </c>
      <c r="G35" s="14">
        <f>3000+922+2000</f>
        <v>5922</v>
      </c>
      <c r="H35" s="14"/>
      <c r="I35" s="50"/>
      <c r="J35" s="63"/>
      <c r="K35" s="78"/>
      <c r="L35" s="63">
        <v>3818</v>
      </c>
      <c r="M35" s="78"/>
      <c r="N35" s="63">
        <v>25</v>
      </c>
      <c r="O35" s="63"/>
      <c r="P35" s="63"/>
      <c r="Q35" s="63"/>
      <c r="R35" s="63"/>
      <c r="S35" s="63"/>
      <c r="T35" s="63"/>
      <c r="U35" s="63"/>
    </row>
    <row r="36" spans="1:21" s="3" customFormat="1" ht="12.75" customHeight="1" x14ac:dyDescent="0.35">
      <c r="A36" s="7" t="s">
        <v>54</v>
      </c>
      <c r="B36" s="7" t="s">
        <v>55</v>
      </c>
      <c r="C36" s="8" t="s">
        <v>285</v>
      </c>
      <c r="D36" s="9">
        <f>F36+H36+J36+L36+N36+P36+R36+T36</f>
        <v>22294</v>
      </c>
      <c r="E36" s="9">
        <f>G36+I36+K36+M36+O36+Q36+S36+U36</f>
        <v>3040</v>
      </c>
      <c r="F36" s="10">
        <f>SUM(F37:F38)</f>
        <v>3600</v>
      </c>
      <c r="G36" s="10">
        <f>SUM(G37:G38)</f>
        <v>3000</v>
      </c>
      <c r="H36" s="10">
        <v>0</v>
      </c>
      <c r="I36" s="49"/>
      <c r="J36" s="62">
        <v>0</v>
      </c>
      <c r="K36" s="77"/>
      <c r="L36" s="62">
        <f>SUM(L37:L38)</f>
        <v>18694</v>
      </c>
      <c r="M36" s="62">
        <f>SUM(M37:M38)</f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f>SUM(U37:U38)</f>
        <v>40</v>
      </c>
    </row>
    <row r="37" spans="1:21" s="15" customFormat="1" ht="11.5" customHeight="1" x14ac:dyDescent="0.35">
      <c r="A37" s="11"/>
      <c r="B37" s="11"/>
      <c r="C37" s="12" t="s">
        <v>283</v>
      </c>
      <c r="D37" s="13"/>
      <c r="E37" s="13"/>
      <c r="F37" s="14">
        <v>3000</v>
      </c>
      <c r="G37" s="14">
        <v>3000</v>
      </c>
      <c r="H37" s="14"/>
      <c r="I37" s="50"/>
      <c r="J37" s="63"/>
      <c r="K37" s="78"/>
      <c r="L37" s="63"/>
      <c r="M37" s="78"/>
      <c r="N37" s="63"/>
      <c r="O37" s="63"/>
      <c r="P37" s="63"/>
      <c r="Q37" s="63"/>
      <c r="R37" s="63"/>
      <c r="S37" s="63"/>
      <c r="T37" s="63"/>
      <c r="U37" s="63">
        <v>40</v>
      </c>
    </row>
    <row r="38" spans="1:21" s="15" customFormat="1" ht="11.5" customHeight="1" x14ac:dyDescent="0.35">
      <c r="A38" s="11"/>
      <c r="B38" s="11"/>
      <c r="C38" s="12" t="s">
        <v>285</v>
      </c>
      <c r="D38" s="13"/>
      <c r="E38" s="13"/>
      <c r="F38" s="14">
        <v>600</v>
      </c>
      <c r="G38" s="14">
        <v>0</v>
      </c>
      <c r="H38" s="14"/>
      <c r="I38" s="50"/>
      <c r="J38" s="87"/>
      <c r="K38" s="87"/>
      <c r="L38" s="87">
        <v>18694</v>
      </c>
      <c r="M38" s="87"/>
      <c r="N38" s="87"/>
      <c r="O38" s="87"/>
      <c r="P38" s="87"/>
      <c r="Q38" s="63"/>
      <c r="R38" s="87"/>
      <c r="S38" s="63"/>
      <c r="T38" s="87"/>
      <c r="U38" s="63"/>
    </row>
    <row r="39" spans="1:21" s="3" customFormat="1" ht="12.75" customHeight="1" x14ac:dyDescent="0.35">
      <c r="A39" s="16" t="s">
        <v>56</v>
      </c>
      <c r="B39" s="16" t="s">
        <v>57</v>
      </c>
      <c r="C39" s="17" t="s">
        <v>58</v>
      </c>
      <c r="D39" s="18">
        <f>D31+D34+D36</f>
        <v>65473</v>
      </c>
      <c r="E39" s="18">
        <f>E31+E34+E36</f>
        <v>8962</v>
      </c>
      <c r="F39" s="18">
        <f>F31+F34+F36</f>
        <v>42936</v>
      </c>
      <c r="G39" s="18">
        <f t="shared" ref="G39:U39" si="5">G31+G34+G36</f>
        <v>8922</v>
      </c>
      <c r="H39" s="18">
        <f t="shared" si="5"/>
        <v>0</v>
      </c>
      <c r="I39" s="18">
        <f t="shared" si="5"/>
        <v>0</v>
      </c>
      <c r="J39" s="18">
        <f t="shared" si="5"/>
        <v>0</v>
      </c>
      <c r="K39" s="18">
        <f t="shared" si="5"/>
        <v>0</v>
      </c>
      <c r="L39" s="18">
        <f t="shared" si="5"/>
        <v>22512</v>
      </c>
      <c r="M39" s="18">
        <f t="shared" si="5"/>
        <v>0</v>
      </c>
      <c r="N39" s="18">
        <f t="shared" si="5"/>
        <v>25</v>
      </c>
      <c r="O39" s="18">
        <f t="shared" si="5"/>
        <v>0</v>
      </c>
      <c r="P39" s="18">
        <f t="shared" si="5"/>
        <v>0</v>
      </c>
      <c r="Q39" s="18">
        <f t="shared" si="5"/>
        <v>0</v>
      </c>
      <c r="R39" s="18">
        <f t="shared" si="5"/>
        <v>0</v>
      </c>
      <c r="S39" s="18">
        <f t="shared" si="5"/>
        <v>0</v>
      </c>
      <c r="T39" s="18">
        <f t="shared" si="5"/>
        <v>0</v>
      </c>
      <c r="U39" s="18">
        <f t="shared" si="5"/>
        <v>40</v>
      </c>
    </row>
    <row r="40" spans="1:21" s="3" customFormat="1" ht="12.75" customHeight="1" x14ac:dyDescent="0.35">
      <c r="A40" s="20" t="s">
        <v>59</v>
      </c>
      <c r="B40" s="20" t="s">
        <v>60</v>
      </c>
      <c r="C40" s="21" t="s">
        <v>286</v>
      </c>
      <c r="D40" s="22">
        <f t="shared" ref="D40:Q40" si="6">D30+D39</f>
        <v>360270</v>
      </c>
      <c r="E40" s="22">
        <f t="shared" si="6"/>
        <v>292554</v>
      </c>
      <c r="F40" s="22">
        <f t="shared" si="6"/>
        <v>310893</v>
      </c>
      <c r="G40" s="22">
        <f t="shared" si="6"/>
        <v>275890</v>
      </c>
      <c r="H40" s="22">
        <f t="shared" si="6"/>
        <v>6750</v>
      </c>
      <c r="I40" s="52">
        <f t="shared" si="6"/>
        <v>0</v>
      </c>
      <c r="J40" s="52">
        <f t="shared" si="6"/>
        <v>1603</v>
      </c>
      <c r="K40" s="52">
        <f t="shared" si="6"/>
        <v>0</v>
      </c>
      <c r="L40" s="52">
        <f t="shared" si="6"/>
        <v>22512</v>
      </c>
      <c r="M40" s="52">
        <f t="shared" si="6"/>
        <v>0</v>
      </c>
      <c r="N40" s="52">
        <f t="shared" si="6"/>
        <v>15282</v>
      </c>
      <c r="O40" s="52">
        <f t="shared" si="6"/>
        <v>13392</v>
      </c>
      <c r="P40" s="52">
        <f t="shared" si="6"/>
        <v>3230</v>
      </c>
      <c r="Q40" s="52">
        <f t="shared" si="6"/>
        <v>3232</v>
      </c>
      <c r="R40" s="52">
        <f>R30+R39</f>
        <v>0</v>
      </c>
      <c r="S40" s="52">
        <f>S30+S39</f>
        <v>0</v>
      </c>
      <c r="T40" s="52">
        <f>T30+T39</f>
        <v>0</v>
      </c>
      <c r="U40" s="52">
        <f>U30+U39</f>
        <v>40</v>
      </c>
    </row>
    <row r="41" spans="1:21" s="15" customFormat="1" ht="11.5" customHeight="1" x14ac:dyDescent="0.35">
      <c r="A41" s="11"/>
      <c r="B41" s="11"/>
      <c r="C41" s="12" t="s">
        <v>284</v>
      </c>
      <c r="D41" s="13">
        <f>H41+F41+L41+N41+P41+R41+T41+J41</f>
        <v>79497</v>
      </c>
      <c r="E41" s="13">
        <f>I41+G41+M41+O41+Q41+S41+U41+K41</f>
        <v>72006</v>
      </c>
      <c r="F41" s="13">
        <v>66593</v>
      </c>
      <c r="G41" s="13">
        <f>ROUND((G6+G8+G9+G10+G13+G14+G26+G28+G34)*0.27,0)</f>
        <v>67903</v>
      </c>
      <c r="H41" s="13">
        <v>1782</v>
      </c>
      <c r="I41" s="53">
        <f>ROUND((I6+I8+I9+I10+I13+I14+I34)*0.27,0)</f>
        <v>0</v>
      </c>
      <c r="J41" s="66">
        <v>425</v>
      </c>
      <c r="K41" s="53">
        <f>ROUND((K6+K8+K9+K10+K13+K14+K34)*0.27,0)</f>
        <v>0</v>
      </c>
      <c r="L41" s="66">
        <v>6078</v>
      </c>
      <c r="M41" s="13">
        <f>ROUND((M6+M8+M9+M10+M13+M14+M26+M28+M34)*0.27,0)</f>
        <v>0</v>
      </c>
      <c r="N41" s="66">
        <v>3776</v>
      </c>
      <c r="O41" s="53">
        <f>ROUND((O6+O8+O9+O10+O13+O14+O34)*0.27,0)</f>
        <v>3260</v>
      </c>
      <c r="P41" s="66">
        <v>843</v>
      </c>
      <c r="Q41" s="53">
        <f>ROUND((Q6+Q8+Q9+Q10+Q13+Q14+Q34)*0.27,0)</f>
        <v>843</v>
      </c>
      <c r="R41" s="66"/>
      <c r="S41" s="66"/>
      <c r="T41" s="66"/>
      <c r="U41" s="13">
        <f>ROUND((U6+U8+U9+U10+U13+U14+U26+U28+U34)*0.27,0)</f>
        <v>0</v>
      </c>
    </row>
    <row r="42" spans="1:21" s="15" customFormat="1" ht="11.5" customHeight="1" x14ac:dyDescent="0.35">
      <c r="A42" s="11"/>
      <c r="B42" s="11"/>
      <c r="C42" s="12" t="s">
        <v>61</v>
      </c>
      <c r="D42" s="13">
        <f t="shared" ref="D42:E44" si="7">H42+F42+L42+N42+P42+R42+T42+J42</f>
        <v>3161</v>
      </c>
      <c r="E42" s="13">
        <f t="shared" si="7"/>
        <v>3268</v>
      </c>
      <c r="F42" s="14">
        <v>2978</v>
      </c>
      <c r="G42" s="13">
        <f>ROUND((G16+G17)*1.19*0.14+(G36)*1.19*0.27,0)</f>
        <v>3090</v>
      </c>
      <c r="H42" s="14">
        <v>0</v>
      </c>
      <c r="I42" s="13">
        <f>ROUND(I16*1.19*0.14+(I36)*1.19*0.27,0)</f>
        <v>0</v>
      </c>
      <c r="J42" s="63"/>
      <c r="K42" s="13">
        <f>ROUND(K16*1.19*0.14+(K36)*1.19*0.27,0)</f>
        <v>0</v>
      </c>
      <c r="L42" s="63">
        <v>0</v>
      </c>
      <c r="M42" s="13">
        <f>ROUND(M16*1.19*0.14+(M36)*1.19*0.27,0)</f>
        <v>0</v>
      </c>
      <c r="N42" s="63">
        <v>167</v>
      </c>
      <c r="O42" s="13">
        <f>ROUND((O16+O17)*1.19*0.14+(O36)*1.19*0.27,0)</f>
        <v>133</v>
      </c>
      <c r="P42" s="63">
        <v>16</v>
      </c>
      <c r="Q42" s="13">
        <f>ROUND((Q16+Q17)*1.19*0.14+(Q36)*1.19*0.27,0)</f>
        <v>32</v>
      </c>
      <c r="R42" s="63"/>
      <c r="S42" s="63"/>
      <c r="T42" s="63"/>
      <c r="U42" s="13">
        <f>ROUND((U16+U17)*1.19*0.14+(U36)*1.19*0.27,0)</f>
        <v>13</v>
      </c>
    </row>
    <row r="43" spans="1:21" s="15" customFormat="1" ht="11.5" customHeight="1" x14ac:dyDescent="0.35">
      <c r="A43" s="11"/>
      <c r="B43" s="11"/>
      <c r="C43" s="12" t="s">
        <v>62</v>
      </c>
      <c r="D43" s="13">
        <f t="shared" si="7"/>
        <v>3545</v>
      </c>
      <c r="E43" s="13">
        <f t="shared" si="7"/>
        <v>3545</v>
      </c>
      <c r="F43" s="14">
        <v>3545</v>
      </c>
      <c r="G43" s="14">
        <v>3545</v>
      </c>
      <c r="H43" s="14">
        <v>0</v>
      </c>
      <c r="I43" s="50"/>
      <c r="J43" s="63"/>
      <c r="K43" s="78"/>
      <c r="L43" s="63">
        <v>0</v>
      </c>
      <c r="M43" s="78">
        <v>0</v>
      </c>
      <c r="N43" s="63"/>
      <c r="O43" s="78"/>
      <c r="P43" s="63"/>
      <c r="Q43" s="78"/>
      <c r="R43" s="63"/>
      <c r="S43" s="63"/>
      <c r="T43" s="63"/>
      <c r="U43" s="14"/>
    </row>
    <row r="44" spans="1:21" s="15" customFormat="1" ht="11.5" customHeight="1" x14ac:dyDescent="0.35">
      <c r="A44" s="11"/>
      <c r="B44" s="11"/>
      <c r="C44" s="12" t="s">
        <v>63</v>
      </c>
      <c r="D44" s="13">
        <f t="shared" si="7"/>
        <v>3081</v>
      </c>
      <c r="E44" s="13">
        <f t="shared" si="7"/>
        <v>3087</v>
      </c>
      <c r="F44" s="14">
        <v>2873</v>
      </c>
      <c r="G44" s="14">
        <f>ROUND((G37+G17+G18)*1.19*0.16,0)</f>
        <v>2909</v>
      </c>
      <c r="H44" s="14">
        <v>0</v>
      </c>
      <c r="I44" s="14">
        <f>ROUND((I37+I17)*1.19*0.16,0)</f>
        <v>0</v>
      </c>
      <c r="J44" s="63"/>
      <c r="K44" s="14">
        <f>ROUND((K37+K17)*1.19*0.16,0)</f>
        <v>0</v>
      </c>
      <c r="L44" s="63">
        <v>0</v>
      </c>
      <c r="M44" s="14">
        <f>ROUND((M37+M17)*1.19*0.16,0)</f>
        <v>0</v>
      </c>
      <c r="N44" s="63">
        <v>190</v>
      </c>
      <c r="O44" s="14">
        <f>ROUND((O37+O17+O18)*1.19*0.16,0)</f>
        <v>152</v>
      </c>
      <c r="P44" s="63">
        <v>18</v>
      </c>
      <c r="Q44" s="14">
        <f>ROUND((Q37+Q17+Q18)*1.19*0.16,0)</f>
        <v>18</v>
      </c>
      <c r="R44" s="63"/>
      <c r="S44" s="63"/>
      <c r="T44" s="63"/>
      <c r="U44" s="14">
        <f>ROUND((U37+U17+U18)*1.19*0.16,0)</f>
        <v>8</v>
      </c>
    </row>
    <row r="45" spans="1:21" s="3" customFormat="1" ht="12.75" customHeight="1" x14ac:dyDescent="0.35">
      <c r="A45" s="20" t="s">
        <v>64</v>
      </c>
      <c r="B45" s="20" t="s">
        <v>65</v>
      </c>
      <c r="C45" s="21" t="s">
        <v>287</v>
      </c>
      <c r="D45" s="22">
        <f>D41+D42+D43+D44</f>
        <v>89284</v>
      </c>
      <c r="E45" s="22">
        <f>E41+E42+E43+E44</f>
        <v>81906</v>
      </c>
      <c r="F45" s="22">
        <f t="shared" ref="F45:Q45" si="8">F41+F42+F43+F44</f>
        <v>75989</v>
      </c>
      <c r="G45" s="22">
        <f t="shared" si="8"/>
        <v>77447</v>
      </c>
      <c r="H45" s="22">
        <f t="shared" si="8"/>
        <v>1782</v>
      </c>
      <c r="I45" s="52">
        <f t="shared" si="8"/>
        <v>0</v>
      </c>
      <c r="J45" s="52">
        <f t="shared" si="8"/>
        <v>425</v>
      </c>
      <c r="K45" s="52">
        <f t="shared" si="8"/>
        <v>0</v>
      </c>
      <c r="L45" s="22">
        <f t="shared" si="8"/>
        <v>6078</v>
      </c>
      <c r="M45" s="22">
        <f t="shared" si="8"/>
        <v>0</v>
      </c>
      <c r="N45" s="22">
        <f t="shared" si="8"/>
        <v>4133</v>
      </c>
      <c r="O45" s="22">
        <f t="shared" si="8"/>
        <v>3545</v>
      </c>
      <c r="P45" s="22">
        <f t="shared" si="8"/>
        <v>877</v>
      </c>
      <c r="Q45" s="22">
        <f t="shared" si="8"/>
        <v>893</v>
      </c>
      <c r="R45" s="22">
        <f>R41+R42+R43+R44</f>
        <v>0</v>
      </c>
      <c r="S45" s="22">
        <f>S41+S42+S43+S44</f>
        <v>0</v>
      </c>
      <c r="T45" s="22">
        <f>T41+T42+T43+T44</f>
        <v>0</v>
      </c>
      <c r="U45" s="22">
        <f>U41+U42+U43+U44</f>
        <v>21</v>
      </c>
    </row>
    <row r="46" spans="1:21" s="3" customFormat="1" ht="14.15" customHeight="1" x14ac:dyDescent="0.35">
      <c r="A46" s="1171" t="s">
        <v>66</v>
      </c>
      <c r="B46" s="1172"/>
      <c r="C46" s="1173"/>
      <c r="D46" s="83">
        <f>D40+D45</f>
        <v>449554</v>
      </c>
      <c r="E46" s="83">
        <f>E40+E45</f>
        <v>374460</v>
      </c>
      <c r="F46" s="83">
        <f t="shared" ref="F46:Q46" si="9">F40+F45</f>
        <v>386882</v>
      </c>
      <c r="G46" s="83">
        <f t="shared" si="9"/>
        <v>353337</v>
      </c>
      <c r="H46" s="83">
        <f t="shared" si="9"/>
        <v>8532</v>
      </c>
      <c r="I46" s="84">
        <f t="shared" si="9"/>
        <v>0</v>
      </c>
      <c r="J46" s="84">
        <f t="shared" si="9"/>
        <v>2028</v>
      </c>
      <c r="K46" s="84">
        <f t="shared" si="9"/>
        <v>0</v>
      </c>
      <c r="L46" s="83">
        <f t="shared" si="9"/>
        <v>28590</v>
      </c>
      <c r="M46" s="83">
        <f t="shared" si="9"/>
        <v>0</v>
      </c>
      <c r="N46" s="83">
        <f t="shared" si="9"/>
        <v>19415</v>
      </c>
      <c r="O46" s="83">
        <f t="shared" si="9"/>
        <v>16937</v>
      </c>
      <c r="P46" s="83">
        <f t="shared" si="9"/>
        <v>4107</v>
      </c>
      <c r="Q46" s="83">
        <f t="shared" si="9"/>
        <v>4125</v>
      </c>
      <c r="R46" s="83">
        <f>R40+R45</f>
        <v>0</v>
      </c>
      <c r="S46" s="83">
        <f>S40+S45</f>
        <v>0</v>
      </c>
      <c r="T46" s="83">
        <f>T40+T45</f>
        <v>0</v>
      </c>
      <c r="U46" s="83">
        <f>U40+U45</f>
        <v>61</v>
      </c>
    </row>
    <row r="47" spans="1:21" s="3" customFormat="1" ht="14.15" customHeight="1" x14ac:dyDescent="0.2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</row>
    <row r="48" spans="1:21" s="3" customFormat="1" ht="14.15" customHeight="1" x14ac:dyDescent="0.25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</row>
    <row r="49" spans="1:21" s="3" customFormat="1" ht="14.15" customHeight="1" x14ac:dyDescent="0.2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</row>
    <row r="50" spans="1:21" s="1" customFormat="1" ht="12.75" customHeight="1" x14ac:dyDescent="0.35">
      <c r="A50" s="1120" t="s">
        <v>599</v>
      </c>
      <c r="B50" s="1121"/>
      <c r="C50" s="1121"/>
      <c r="D50" s="1121"/>
      <c r="E50" s="1121"/>
      <c r="F50" s="1121"/>
      <c r="G50" s="1121"/>
      <c r="H50" s="1121"/>
      <c r="I50" s="1121"/>
      <c r="J50" s="1121"/>
      <c r="K50" s="1121"/>
      <c r="L50" s="1121"/>
      <c r="M50" s="1121"/>
      <c r="N50" s="1121" t="s">
        <v>599</v>
      </c>
      <c r="O50" s="1121"/>
      <c r="P50" s="1121"/>
      <c r="Q50" s="1121"/>
      <c r="R50" s="1121"/>
      <c r="S50" s="1121"/>
      <c r="T50" s="1121"/>
      <c r="U50" s="1122"/>
    </row>
    <row r="51" spans="1:21" s="1" customFormat="1" ht="14.15" customHeight="1" x14ac:dyDescent="0.35">
      <c r="A51" s="1164" t="s">
        <v>0</v>
      </c>
      <c r="B51" s="1165" t="s">
        <v>1</v>
      </c>
      <c r="C51" s="1164" t="s">
        <v>2</v>
      </c>
      <c r="D51" s="1097" t="s">
        <v>260</v>
      </c>
      <c r="E51" s="1167" t="s">
        <v>259</v>
      </c>
      <c r="F51" s="1162" t="s">
        <v>600</v>
      </c>
      <c r="G51" s="1166"/>
      <c r="H51" s="1162" t="s">
        <v>601</v>
      </c>
      <c r="I51" s="1163"/>
      <c r="J51" s="1174" t="s">
        <v>602</v>
      </c>
      <c r="K51" s="1160"/>
      <c r="L51" s="1177" t="s">
        <v>639</v>
      </c>
      <c r="M51" s="1177"/>
      <c r="N51" s="1168" t="s">
        <v>603</v>
      </c>
      <c r="O51" s="1169"/>
      <c r="P51" s="1168" t="s">
        <v>604</v>
      </c>
      <c r="Q51" s="1169"/>
      <c r="R51" s="1175" t="s">
        <v>605</v>
      </c>
      <c r="S51" s="1176"/>
      <c r="T51" s="1175" t="s">
        <v>606</v>
      </c>
      <c r="U51" s="1176"/>
    </row>
    <row r="52" spans="1:21" s="3" customFormat="1" ht="33" customHeight="1" x14ac:dyDescent="0.35">
      <c r="A52" s="1101"/>
      <c r="B52" s="1102"/>
      <c r="C52" s="1101"/>
      <c r="D52" s="1103"/>
      <c r="E52" s="1097"/>
      <c r="F52" s="2" t="s">
        <v>263</v>
      </c>
      <c r="G52" s="2" t="s">
        <v>259</v>
      </c>
      <c r="H52" s="2" t="s">
        <v>260</v>
      </c>
      <c r="I52" s="47" t="s">
        <v>259</v>
      </c>
      <c r="J52" s="59" t="s">
        <v>260</v>
      </c>
      <c r="K52" s="74" t="s">
        <v>259</v>
      </c>
      <c r="L52" s="148" t="s">
        <v>260</v>
      </c>
      <c r="M52" s="148" t="s">
        <v>259</v>
      </c>
      <c r="N52" s="81" t="s">
        <v>260</v>
      </c>
      <c r="O52" s="82" t="s">
        <v>259</v>
      </c>
      <c r="P52" s="81" t="s">
        <v>260</v>
      </c>
      <c r="Q52" s="82" t="s">
        <v>259</v>
      </c>
      <c r="R52" s="142" t="s">
        <v>260</v>
      </c>
      <c r="S52" s="143" t="s">
        <v>259</v>
      </c>
      <c r="T52" s="142" t="s">
        <v>260</v>
      </c>
      <c r="U52" s="143" t="s">
        <v>259</v>
      </c>
    </row>
    <row r="53" spans="1:21" ht="5.65" customHeight="1" x14ac:dyDescent="0.35">
      <c r="J53" s="60"/>
      <c r="K53" s="75"/>
      <c r="L53" s="60"/>
      <c r="M53" s="75"/>
      <c r="N53" s="60"/>
      <c r="O53" s="60"/>
      <c r="P53" s="60"/>
      <c r="Q53" s="60"/>
      <c r="R53" s="60"/>
      <c r="S53" s="60"/>
      <c r="T53" s="60"/>
      <c r="U53" s="60"/>
    </row>
    <row r="54" spans="1:21" ht="14.15" customHeight="1" x14ac:dyDescent="0.35">
      <c r="A54" s="1100" t="s">
        <v>288</v>
      </c>
      <c r="B54" s="1100"/>
      <c r="C54" s="1100"/>
      <c r="D54" s="1100"/>
      <c r="E54" s="1100"/>
      <c r="F54" s="1100"/>
      <c r="G54" s="1100"/>
      <c r="H54" s="1100"/>
      <c r="I54" s="1100"/>
      <c r="J54" s="61"/>
      <c r="K54" s="76"/>
      <c r="L54" s="61"/>
      <c r="M54" s="76"/>
      <c r="N54" s="61"/>
      <c r="O54" s="61"/>
      <c r="P54" s="61"/>
      <c r="Q54" s="61"/>
      <c r="R54" s="61"/>
      <c r="S54" s="61"/>
      <c r="T54" s="61"/>
      <c r="U54" s="61"/>
    </row>
    <row r="55" spans="1:21" s="3" customFormat="1" ht="14.15" customHeight="1" x14ac:dyDescent="0.35">
      <c r="A55" s="7" t="s">
        <v>67</v>
      </c>
      <c r="B55" s="7" t="s">
        <v>68</v>
      </c>
      <c r="C55" s="8" t="s">
        <v>69</v>
      </c>
      <c r="D55" s="9">
        <f>F55+H55+J55+L55+N55+P55+R55+T55</f>
        <v>1650</v>
      </c>
      <c r="E55" s="9">
        <f>G55+I55+K55+M55+O55+Q55+S55+U55</f>
        <v>400</v>
      </c>
      <c r="F55" s="10">
        <f>SUM(F56:F61)</f>
        <v>1650</v>
      </c>
      <c r="G55" s="10">
        <f>SUM(G56:G61)</f>
        <v>400</v>
      </c>
      <c r="H55" s="10">
        <v>0</v>
      </c>
      <c r="I55" s="49"/>
      <c r="J55" s="49">
        <v>0</v>
      </c>
      <c r="K55" s="49"/>
      <c r="L55" s="62">
        <v>0</v>
      </c>
      <c r="M55" s="62">
        <v>0</v>
      </c>
      <c r="N55" s="49">
        <v>0</v>
      </c>
      <c r="O55" s="62">
        <v>0</v>
      </c>
      <c r="P55" s="62">
        <f>SUM(P56:P61)</f>
        <v>0</v>
      </c>
      <c r="Q55" s="62">
        <v>0</v>
      </c>
      <c r="R55" s="62">
        <v>0</v>
      </c>
      <c r="S55" s="62">
        <v>0</v>
      </c>
      <c r="T55" s="62">
        <f>SUM(T56:T61)</f>
        <v>0</v>
      </c>
      <c r="U55" s="62">
        <f>SUM(U56:U61)</f>
        <v>0</v>
      </c>
    </row>
    <row r="56" spans="1:21" ht="14.15" customHeight="1" x14ac:dyDescent="0.35">
      <c r="A56" s="24"/>
      <c r="B56" s="24"/>
      <c r="C56" s="25" t="s">
        <v>70</v>
      </c>
      <c r="D56" s="26"/>
      <c r="E56" s="26"/>
      <c r="F56" s="26"/>
      <c r="G56" s="26"/>
      <c r="H56" s="26"/>
      <c r="I56" s="55"/>
      <c r="J56" s="60"/>
      <c r="K56" s="75"/>
      <c r="L56" s="60"/>
      <c r="M56" s="75"/>
      <c r="N56" s="60"/>
      <c r="O56" s="60"/>
      <c r="P56" s="60"/>
      <c r="Q56" s="60"/>
      <c r="R56" s="60"/>
      <c r="S56" s="60"/>
      <c r="T56" s="60"/>
      <c r="U56" s="60"/>
    </row>
    <row r="57" spans="1:21" ht="14.15" customHeight="1" x14ac:dyDescent="0.35">
      <c r="A57" s="24"/>
      <c r="B57" s="24"/>
      <c r="C57" s="25" t="s">
        <v>71</v>
      </c>
      <c r="D57" s="26"/>
      <c r="E57" s="26"/>
      <c r="F57" s="26"/>
      <c r="G57" s="26"/>
      <c r="H57" s="26"/>
      <c r="I57" s="55"/>
      <c r="J57" s="60"/>
      <c r="K57" s="75"/>
      <c r="L57" s="60"/>
      <c r="M57" s="75"/>
      <c r="N57" s="60"/>
      <c r="O57" s="60"/>
      <c r="P57" s="60"/>
      <c r="Q57" s="60"/>
      <c r="R57" s="60"/>
      <c r="S57" s="60"/>
      <c r="T57" s="60"/>
      <c r="U57" s="60"/>
    </row>
    <row r="58" spans="1:21" ht="14.15" customHeight="1" x14ac:dyDescent="0.35">
      <c r="A58" s="24"/>
      <c r="B58" s="24"/>
      <c r="C58" s="25" t="s">
        <v>72</v>
      </c>
      <c r="D58" s="26"/>
      <c r="E58" s="26"/>
      <c r="F58" s="26">
        <v>150</v>
      </c>
      <c r="G58" s="26">
        <v>100</v>
      </c>
      <c r="H58" s="26"/>
      <c r="I58" s="55"/>
      <c r="J58" s="60"/>
      <c r="K58" s="75"/>
      <c r="L58" s="60"/>
      <c r="M58" s="75"/>
      <c r="N58" s="60"/>
      <c r="O58" s="60"/>
      <c r="P58" s="60"/>
      <c r="Q58" s="60"/>
      <c r="R58" s="60"/>
      <c r="S58" s="60"/>
      <c r="T58" s="60"/>
      <c r="U58" s="60"/>
    </row>
    <row r="59" spans="1:21" ht="14.15" customHeight="1" x14ac:dyDescent="0.35">
      <c r="A59" s="24"/>
      <c r="B59" s="24"/>
      <c r="C59" s="25" t="s">
        <v>73</v>
      </c>
      <c r="D59" s="26"/>
      <c r="E59" s="26"/>
      <c r="F59" s="26">
        <v>100</v>
      </c>
      <c r="G59" s="26">
        <v>200</v>
      </c>
      <c r="H59" s="26"/>
      <c r="I59" s="55"/>
      <c r="J59" s="60"/>
      <c r="K59" s="75"/>
      <c r="L59" s="60"/>
      <c r="M59" s="75"/>
      <c r="N59" s="60"/>
      <c r="O59" s="60"/>
      <c r="P59" s="60"/>
      <c r="Q59" s="60"/>
      <c r="R59" s="60"/>
      <c r="S59" s="60"/>
      <c r="T59" s="60"/>
      <c r="U59" s="60"/>
    </row>
    <row r="60" spans="1:21" ht="14.15" customHeight="1" x14ac:dyDescent="0.35">
      <c r="A60" s="24"/>
      <c r="B60" s="24"/>
      <c r="C60" s="25" t="s">
        <v>74</v>
      </c>
      <c r="D60" s="26"/>
      <c r="E60" s="26"/>
      <c r="F60" s="26">
        <v>1350</v>
      </c>
      <c r="G60" s="26">
        <v>50</v>
      </c>
      <c r="H60" s="26"/>
      <c r="I60" s="55"/>
      <c r="J60" s="60"/>
      <c r="K60" s="75"/>
      <c r="L60" s="60"/>
      <c r="M60" s="75"/>
      <c r="N60" s="60"/>
      <c r="O60" s="60"/>
      <c r="P60" s="60"/>
      <c r="Q60" s="60"/>
      <c r="R60" s="60"/>
      <c r="S60" s="60"/>
      <c r="T60" s="60"/>
      <c r="U60" s="60"/>
    </row>
    <row r="61" spans="1:21" ht="14.15" customHeight="1" x14ac:dyDescent="0.35">
      <c r="A61" s="24"/>
      <c r="B61" s="24"/>
      <c r="C61" s="25" t="s">
        <v>75</v>
      </c>
      <c r="D61" s="26"/>
      <c r="E61" s="26"/>
      <c r="F61" s="26">
        <v>50</v>
      </c>
      <c r="G61" s="26">
        <v>50</v>
      </c>
      <c r="H61" s="26"/>
      <c r="I61" s="55"/>
      <c r="J61" s="60"/>
      <c r="K61" s="75"/>
      <c r="L61" s="60"/>
      <c r="M61" s="75"/>
      <c r="N61" s="60"/>
      <c r="O61" s="60"/>
      <c r="P61" s="60"/>
      <c r="Q61" s="60"/>
      <c r="R61" s="60"/>
      <c r="S61" s="60"/>
      <c r="T61" s="60"/>
      <c r="U61" s="60"/>
    </row>
    <row r="62" spans="1:21" s="3" customFormat="1" ht="14.15" customHeight="1" x14ac:dyDescent="0.35">
      <c r="A62" s="7" t="s">
        <v>76</v>
      </c>
      <c r="B62" s="7" t="s">
        <v>77</v>
      </c>
      <c r="C62" s="8" t="s">
        <v>78</v>
      </c>
      <c r="D62" s="9">
        <f>F62+H62+J62+L62+N62+P62+R62+T62</f>
        <v>7530</v>
      </c>
      <c r="E62" s="9">
        <f>G62+I62+K62+M62+O62+Q62+S62+U62</f>
        <v>8370</v>
      </c>
      <c r="F62" s="10">
        <f>SUM(F63:F68)</f>
        <v>6000</v>
      </c>
      <c r="G62" s="10">
        <f>SUM(G63:G68)</f>
        <v>6600</v>
      </c>
      <c r="H62" s="10">
        <v>0</v>
      </c>
      <c r="I62" s="49"/>
      <c r="J62" s="49">
        <v>0</v>
      </c>
      <c r="K62" s="49"/>
      <c r="L62" s="62">
        <v>0</v>
      </c>
      <c r="M62" s="62">
        <v>0</v>
      </c>
      <c r="N62" s="10">
        <f>SUM(N63:N68)</f>
        <v>950</v>
      </c>
      <c r="O62" s="10">
        <f>SUM(O63:O68)</f>
        <v>1000</v>
      </c>
      <c r="P62" s="62">
        <f>SUM(P63:P68)</f>
        <v>420</v>
      </c>
      <c r="Q62" s="62">
        <f>SUM(Q63:Q68)</f>
        <v>300</v>
      </c>
      <c r="R62" s="62">
        <v>0</v>
      </c>
      <c r="S62" s="62">
        <v>0</v>
      </c>
      <c r="T62" s="62">
        <f>SUM(T63:T68)</f>
        <v>160</v>
      </c>
      <c r="U62" s="62">
        <f>SUM(U63:U68)</f>
        <v>470</v>
      </c>
    </row>
    <row r="63" spans="1:21" ht="14.15" customHeight="1" x14ac:dyDescent="0.35">
      <c r="A63" s="24"/>
      <c r="B63" s="24"/>
      <c r="C63" s="25" t="s">
        <v>79</v>
      </c>
      <c r="D63" s="26"/>
      <c r="E63" s="26"/>
      <c r="F63" s="26"/>
      <c r="G63" s="26"/>
      <c r="H63" s="26"/>
      <c r="I63" s="55"/>
      <c r="J63" s="60"/>
      <c r="K63" s="75"/>
      <c r="L63" s="60"/>
      <c r="M63" s="75"/>
      <c r="N63" s="60"/>
      <c r="O63" s="60"/>
      <c r="P63" s="60"/>
      <c r="Q63" s="60"/>
      <c r="R63" s="60"/>
      <c r="S63" s="60"/>
      <c r="T63" s="60"/>
      <c r="U63" s="60"/>
    </row>
    <row r="64" spans="1:21" ht="14.15" customHeight="1" x14ac:dyDescent="0.35">
      <c r="A64" s="24"/>
      <c r="B64" s="24"/>
      <c r="C64" s="25" t="s">
        <v>80</v>
      </c>
      <c r="D64" s="26"/>
      <c r="E64" s="26"/>
      <c r="F64" s="26">
        <v>2550</v>
      </c>
      <c r="G64" s="26">
        <v>3500</v>
      </c>
      <c r="H64" s="26"/>
      <c r="I64" s="55"/>
      <c r="J64" s="60"/>
      <c r="K64" s="75"/>
      <c r="L64" s="60"/>
      <c r="M64" s="75"/>
      <c r="N64" s="60"/>
      <c r="O64" s="60"/>
      <c r="P64" s="60"/>
      <c r="Q64" s="60"/>
      <c r="R64" s="60"/>
      <c r="S64" s="60"/>
      <c r="T64" s="60">
        <v>150</v>
      </c>
      <c r="U64" s="60">
        <v>150</v>
      </c>
    </row>
    <row r="65" spans="1:21" ht="14.15" customHeight="1" x14ac:dyDescent="0.35">
      <c r="A65" s="24"/>
      <c r="B65" s="24"/>
      <c r="C65" s="25" t="s">
        <v>81</v>
      </c>
      <c r="D65" s="26"/>
      <c r="E65" s="26"/>
      <c r="F65" s="26"/>
      <c r="G65" s="26"/>
      <c r="H65" s="26"/>
      <c r="I65" s="55"/>
      <c r="J65" s="60"/>
      <c r="K65" s="75"/>
      <c r="L65" s="60"/>
      <c r="M65" s="75"/>
      <c r="N65" s="60"/>
      <c r="O65" s="60"/>
      <c r="P65" s="60"/>
      <c r="Q65" s="60"/>
      <c r="R65" s="60"/>
      <c r="S65" s="60"/>
      <c r="T65" s="60"/>
      <c r="U65" s="60"/>
    </row>
    <row r="66" spans="1:21" ht="14.15" customHeight="1" x14ac:dyDescent="0.35">
      <c r="A66" s="24"/>
      <c r="B66" s="24"/>
      <c r="C66" s="25" t="s">
        <v>82</v>
      </c>
      <c r="D66" s="26"/>
      <c r="E66" s="26"/>
      <c r="F66" s="26">
        <v>950</v>
      </c>
      <c r="G66" s="26">
        <v>1500</v>
      </c>
      <c r="H66" s="26"/>
      <c r="I66" s="55"/>
      <c r="J66" s="60"/>
      <c r="K66" s="75"/>
      <c r="L66" s="60"/>
      <c r="M66" s="75"/>
      <c r="N66" s="60">
        <v>500</v>
      </c>
      <c r="O66" s="60">
        <v>500</v>
      </c>
      <c r="P66" s="60">
        <v>300</v>
      </c>
      <c r="Q66" s="60">
        <v>150</v>
      </c>
      <c r="R66" s="60"/>
      <c r="S66" s="60"/>
      <c r="T66" s="60"/>
      <c r="U66" s="60"/>
    </row>
    <row r="67" spans="1:21" ht="14.15" customHeight="1" x14ac:dyDescent="0.35">
      <c r="A67" s="24"/>
      <c r="B67" s="24"/>
      <c r="C67" s="25" t="s">
        <v>83</v>
      </c>
      <c r="D67" s="26"/>
      <c r="E67" s="26"/>
      <c r="F67" s="26"/>
      <c r="G67" s="26"/>
      <c r="H67" s="26"/>
      <c r="I67" s="55"/>
      <c r="J67" s="60"/>
      <c r="K67" s="75"/>
      <c r="L67" s="60"/>
      <c r="M67" s="75"/>
      <c r="N67" s="60">
        <v>400</v>
      </c>
      <c r="O67" s="60">
        <v>400</v>
      </c>
      <c r="P67" s="60">
        <v>100</v>
      </c>
      <c r="Q67" s="60">
        <v>100</v>
      </c>
      <c r="R67" s="60"/>
      <c r="S67" s="60"/>
      <c r="T67" s="60"/>
      <c r="U67" s="60">
        <v>300</v>
      </c>
    </row>
    <row r="68" spans="1:21" ht="14.15" customHeight="1" x14ac:dyDescent="0.35">
      <c r="A68" s="24"/>
      <c r="B68" s="24"/>
      <c r="C68" s="25" t="s">
        <v>84</v>
      </c>
      <c r="D68" s="26"/>
      <c r="E68" s="26"/>
      <c r="F68" s="26">
        <v>2500</v>
      </c>
      <c r="G68" s="26">
        <v>1600</v>
      </c>
      <c r="H68" s="26"/>
      <c r="I68" s="55"/>
      <c r="J68" s="60"/>
      <c r="K68" s="75"/>
      <c r="L68" s="60"/>
      <c r="M68" s="75"/>
      <c r="N68" s="60">
        <v>50</v>
      </c>
      <c r="O68" s="60">
        <v>100</v>
      </c>
      <c r="P68" s="60">
        <v>20</v>
      </c>
      <c r="Q68" s="60">
        <v>50</v>
      </c>
      <c r="R68" s="60"/>
      <c r="S68" s="60"/>
      <c r="T68" s="60">
        <v>10</v>
      </c>
      <c r="U68" s="60">
        <v>20</v>
      </c>
    </row>
    <row r="69" spans="1:21" s="3" customFormat="1" ht="14.15" customHeight="1" x14ac:dyDescent="0.35">
      <c r="A69" s="7" t="s">
        <v>85</v>
      </c>
      <c r="B69" s="7" t="s">
        <v>86</v>
      </c>
      <c r="C69" s="8" t="s">
        <v>87</v>
      </c>
      <c r="D69" s="9">
        <f>F69+H69+J69+L69+N69+P69+R69+T69</f>
        <v>0</v>
      </c>
      <c r="E69" s="9">
        <f>G69+I69+K69+M69+O69+Q69+S69+U69</f>
        <v>0</v>
      </c>
      <c r="F69" s="10">
        <f>SUM(F70:F71)</f>
        <v>0</v>
      </c>
      <c r="G69" s="10">
        <f>SUM(G70:G71)</f>
        <v>0</v>
      </c>
      <c r="H69" s="10">
        <v>0</v>
      </c>
      <c r="I69" s="49"/>
      <c r="J69" s="49">
        <v>0</v>
      </c>
      <c r="K69" s="49"/>
      <c r="L69" s="49">
        <v>0</v>
      </c>
      <c r="M69" s="49">
        <v>0</v>
      </c>
      <c r="N69" s="49">
        <v>0</v>
      </c>
      <c r="O69" s="49">
        <v>0</v>
      </c>
      <c r="P69" s="49">
        <f>SUM(P70:P71)</f>
        <v>0</v>
      </c>
      <c r="Q69" s="49">
        <f>SUM(Q70:Q71)</f>
        <v>0</v>
      </c>
      <c r="R69" s="49">
        <v>0</v>
      </c>
      <c r="S69" s="62">
        <v>0</v>
      </c>
      <c r="T69" s="49">
        <v>0</v>
      </c>
      <c r="U69" s="49">
        <v>0</v>
      </c>
    </row>
    <row r="70" spans="1:21" ht="14.15" customHeight="1" x14ac:dyDescent="0.35">
      <c r="A70" s="24"/>
      <c r="B70" s="24"/>
      <c r="C70" s="25" t="s">
        <v>88</v>
      </c>
      <c r="D70" s="26"/>
      <c r="E70" s="26"/>
      <c r="F70" s="26"/>
      <c r="G70" s="26"/>
      <c r="H70" s="26"/>
      <c r="I70" s="55"/>
      <c r="J70" s="60"/>
      <c r="K70" s="75"/>
      <c r="L70" s="60"/>
      <c r="M70" s="75"/>
      <c r="N70" s="60"/>
      <c r="O70" s="60"/>
      <c r="P70" s="60"/>
      <c r="Q70" s="60"/>
      <c r="R70" s="60"/>
      <c r="S70" s="60"/>
      <c r="T70" s="60"/>
      <c r="U70" s="60"/>
    </row>
    <row r="71" spans="1:21" ht="14.15" customHeight="1" x14ac:dyDescent="0.35">
      <c r="A71" s="24"/>
      <c r="B71" s="24"/>
      <c r="C71" s="25" t="s">
        <v>89</v>
      </c>
      <c r="D71" s="26"/>
      <c r="E71" s="26"/>
      <c r="F71" s="26"/>
      <c r="G71" s="26"/>
      <c r="H71" s="26"/>
      <c r="I71" s="55"/>
      <c r="J71" s="60"/>
      <c r="K71" s="75"/>
      <c r="L71" s="60"/>
      <c r="M71" s="75"/>
      <c r="N71" s="60"/>
      <c r="O71" s="60"/>
      <c r="P71" s="60"/>
      <c r="Q71" s="60"/>
      <c r="R71" s="60"/>
      <c r="S71" s="60"/>
      <c r="T71" s="60"/>
      <c r="U71" s="60"/>
    </row>
    <row r="72" spans="1:21" s="3" customFormat="1" ht="14.15" customHeight="1" x14ac:dyDescent="0.35">
      <c r="A72" s="16" t="s">
        <v>90</v>
      </c>
      <c r="B72" s="16" t="s">
        <v>91</v>
      </c>
      <c r="C72" s="17" t="s">
        <v>92</v>
      </c>
      <c r="D72" s="19">
        <f>D55+D62</f>
        <v>9180</v>
      </c>
      <c r="E72" s="19">
        <f>E55+E62</f>
        <v>8770</v>
      </c>
      <c r="F72" s="19">
        <f>F55+F62</f>
        <v>7650</v>
      </c>
      <c r="G72" s="19">
        <f t="shared" ref="G72:U72" si="10">G55+G62</f>
        <v>7000</v>
      </c>
      <c r="H72" s="19">
        <f t="shared" si="10"/>
        <v>0</v>
      </c>
      <c r="I72" s="19">
        <f t="shared" si="10"/>
        <v>0</v>
      </c>
      <c r="J72" s="19">
        <f t="shared" si="10"/>
        <v>0</v>
      </c>
      <c r="K72" s="19">
        <f t="shared" si="10"/>
        <v>0</v>
      </c>
      <c r="L72" s="19">
        <f t="shared" si="10"/>
        <v>0</v>
      </c>
      <c r="M72" s="19">
        <f t="shared" si="10"/>
        <v>0</v>
      </c>
      <c r="N72" s="19">
        <f t="shared" si="10"/>
        <v>950</v>
      </c>
      <c r="O72" s="19">
        <f t="shared" si="10"/>
        <v>1000</v>
      </c>
      <c r="P72" s="19">
        <f t="shared" si="10"/>
        <v>420</v>
      </c>
      <c r="Q72" s="19">
        <f t="shared" si="10"/>
        <v>300</v>
      </c>
      <c r="R72" s="19">
        <f t="shared" si="10"/>
        <v>0</v>
      </c>
      <c r="S72" s="19">
        <f t="shared" si="10"/>
        <v>0</v>
      </c>
      <c r="T72" s="19">
        <f t="shared" si="10"/>
        <v>160</v>
      </c>
      <c r="U72" s="19">
        <f t="shared" si="10"/>
        <v>470</v>
      </c>
    </row>
    <row r="73" spans="1:21" s="3" customFormat="1" ht="14.15" customHeight="1" x14ac:dyDescent="0.35">
      <c r="A73" s="7" t="s">
        <v>93</v>
      </c>
      <c r="B73" s="7" t="s">
        <v>94</v>
      </c>
      <c r="C73" s="8" t="s">
        <v>95</v>
      </c>
      <c r="D73" s="9">
        <f>F73+H73+J73+L73+N73+P73+R73+T73</f>
        <v>22253</v>
      </c>
      <c r="E73" s="9">
        <f>G73+I73+K73+M73+O73+Q73+S73+U73</f>
        <v>22192</v>
      </c>
      <c r="F73" s="10">
        <f>SUM(F74:F79)</f>
        <v>20753</v>
      </c>
      <c r="G73" s="10">
        <f>SUM(G74:G79)</f>
        <v>21592</v>
      </c>
      <c r="H73" s="10">
        <v>0</v>
      </c>
      <c r="I73" s="49"/>
      <c r="J73" s="49">
        <v>0</v>
      </c>
      <c r="K73" s="49"/>
      <c r="L73" s="49">
        <v>0</v>
      </c>
      <c r="M73" s="49">
        <v>0</v>
      </c>
      <c r="N73" s="10">
        <f>SUM(N74:N79)</f>
        <v>0</v>
      </c>
      <c r="O73" s="49">
        <v>0</v>
      </c>
      <c r="P73" s="49">
        <f>SUM(P74:P79)</f>
        <v>0</v>
      </c>
      <c r="Q73" s="49">
        <f>SUM(Q74:Q79)</f>
        <v>0</v>
      </c>
      <c r="R73" s="49">
        <v>0</v>
      </c>
      <c r="S73" s="62">
        <v>0</v>
      </c>
      <c r="T73" s="49">
        <f>SUM(T74:T79)</f>
        <v>1500</v>
      </c>
      <c r="U73" s="49">
        <f>SUM(U74:U79)</f>
        <v>600</v>
      </c>
    </row>
    <row r="74" spans="1:21" ht="14.15" customHeight="1" x14ac:dyDescent="0.35">
      <c r="A74" s="24"/>
      <c r="B74" s="24"/>
      <c r="C74" s="25" t="s">
        <v>96</v>
      </c>
      <c r="D74" s="26"/>
      <c r="E74" s="26"/>
      <c r="F74" s="26"/>
      <c r="G74" s="26"/>
      <c r="H74" s="26"/>
      <c r="I74" s="55"/>
      <c r="J74" s="60"/>
      <c r="K74" s="75"/>
      <c r="L74" s="60"/>
      <c r="M74" s="75"/>
      <c r="N74" s="60"/>
      <c r="O74" s="60"/>
      <c r="P74" s="60" t="s">
        <v>612</v>
      </c>
      <c r="Q74" s="60"/>
      <c r="R74" s="60"/>
      <c r="S74" s="60"/>
      <c r="T74" s="60"/>
      <c r="U74" s="60"/>
    </row>
    <row r="75" spans="1:21" ht="14.15" customHeight="1" x14ac:dyDescent="0.35">
      <c r="A75" s="24"/>
      <c r="B75" s="24"/>
      <c r="C75" s="25" t="s">
        <v>97</v>
      </c>
      <c r="D75" s="26"/>
      <c r="E75" s="26"/>
      <c r="F75" s="26">
        <v>12241</v>
      </c>
      <c r="G75" s="26"/>
      <c r="H75" s="26"/>
      <c r="I75" s="55"/>
      <c r="J75" s="60"/>
      <c r="K75" s="75"/>
      <c r="L75" s="60"/>
      <c r="M75" s="75"/>
      <c r="N75" s="60"/>
      <c r="O75" s="60"/>
      <c r="P75" s="60"/>
      <c r="Q75" s="60"/>
      <c r="R75" s="60"/>
      <c r="S75" s="60"/>
      <c r="T75" s="60">
        <v>1500</v>
      </c>
      <c r="U75" s="60">
        <v>600</v>
      </c>
    </row>
    <row r="76" spans="1:21" ht="14.15" customHeight="1" x14ac:dyDescent="0.35">
      <c r="A76" s="24"/>
      <c r="B76" s="24"/>
      <c r="C76" s="25" t="s">
        <v>98</v>
      </c>
      <c r="D76" s="26"/>
      <c r="E76" s="26"/>
      <c r="F76" s="26">
        <v>4752</v>
      </c>
      <c r="G76" s="26"/>
      <c r="H76" s="26"/>
      <c r="I76" s="55"/>
      <c r="J76" s="60"/>
      <c r="K76" s="75"/>
      <c r="L76" s="60"/>
      <c r="M76" s="75"/>
      <c r="N76" s="60"/>
      <c r="O76" s="60"/>
      <c r="P76" s="60"/>
      <c r="Q76" s="60"/>
      <c r="R76" s="60"/>
      <c r="S76" s="60"/>
      <c r="T76" s="60"/>
      <c r="U76" s="60"/>
    </row>
    <row r="77" spans="1:21" ht="14.15" customHeight="1" x14ac:dyDescent="0.35">
      <c r="A77" s="24"/>
      <c r="B77" s="24"/>
      <c r="C77" s="25" t="s">
        <v>99</v>
      </c>
      <c r="D77" s="26"/>
      <c r="E77" s="26"/>
      <c r="F77" s="26">
        <v>200</v>
      </c>
      <c r="G77" s="26"/>
      <c r="H77" s="26"/>
      <c r="I77" s="55"/>
      <c r="J77" s="60"/>
      <c r="K77" s="75"/>
      <c r="L77" s="60"/>
      <c r="M77" s="75"/>
      <c r="N77" s="60"/>
      <c r="O77" s="60"/>
      <c r="P77" s="60"/>
      <c r="Q77" s="60"/>
      <c r="R77" s="60"/>
      <c r="S77" s="60"/>
      <c r="T77" s="60"/>
      <c r="U77" s="60"/>
    </row>
    <row r="78" spans="1:21" ht="14.15" customHeight="1" x14ac:dyDescent="0.35">
      <c r="A78" s="24"/>
      <c r="B78" s="24"/>
      <c r="C78" s="25" t="s">
        <v>100</v>
      </c>
      <c r="D78" s="26"/>
      <c r="E78" s="26"/>
      <c r="F78" s="26">
        <v>3530</v>
      </c>
      <c r="G78" s="26"/>
      <c r="H78" s="26"/>
      <c r="I78" s="55"/>
      <c r="J78" s="60"/>
      <c r="K78" s="75"/>
      <c r="L78" s="60"/>
      <c r="M78" s="75"/>
      <c r="N78" s="60"/>
      <c r="O78" s="60"/>
      <c r="P78" s="60"/>
      <c r="Q78" s="60"/>
      <c r="R78" s="60"/>
      <c r="S78" s="60"/>
      <c r="T78" s="60"/>
      <c r="U78" s="60"/>
    </row>
    <row r="79" spans="1:21" ht="14.15" customHeight="1" x14ac:dyDescent="0.35">
      <c r="A79" s="24"/>
      <c r="B79" s="24"/>
      <c r="C79" s="25" t="s">
        <v>101</v>
      </c>
      <c r="D79" s="26"/>
      <c r="E79" s="26"/>
      <c r="F79" s="26">
        <v>30</v>
      </c>
      <c r="G79" s="26">
        <v>21592</v>
      </c>
      <c r="H79" s="26"/>
      <c r="I79" s="55"/>
      <c r="J79" s="60"/>
      <c r="K79" s="75"/>
      <c r="L79" s="60"/>
      <c r="M79" s="75"/>
      <c r="N79" s="60"/>
      <c r="O79" s="60"/>
      <c r="P79" s="60"/>
      <c r="Q79" s="60"/>
      <c r="R79" s="60"/>
      <c r="S79" s="60"/>
      <c r="T79" s="60"/>
      <c r="U79" s="60"/>
    </row>
    <row r="80" spans="1:21" s="3" customFormat="1" ht="14.15" customHeight="1" x14ac:dyDescent="0.35">
      <c r="A80" s="7" t="s">
        <v>102</v>
      </c>
      <c r="B80" s="7" t="s">
        <v>103</v>
      </c>
      <c r="C80" s="8" t="s">
        <v>104</v>
      </c>
      <c r="D80" s="9">
        <f>F80+H80+J80+L80+N80+P80+R80+T80</f>
        <v>3514</v>
      </c>
      <c r="E80" s="9">
        <f>G80+I80+K80+M80+O80+Q80+S80+U80</f>
        <v>3510</v>
      </c>
      <c r="F80" s="10">
        <f>SUM(F81:F82)</f>
        <v>2684</v>
      </c>
      <c r="G80" s="10">
        <f>SUM(G81:G82)</f>
        <v>2600</v>
      </c>
      <c r="H80" s="10">
        <v>0</v>
      </c>
      <c r="I80" s="49"/>
      <c r="J80" s="49">
        <v>0</v>
      </c>
      <c r="K80" s="49"/>
      <c r="L80" s="49">
        <v>0</v>
      </c>
      <c r="M80" s="49">
        <v>0</v>
      </c>
      <c r="N80" s="10">
        <f>SUM(N81:N82)</f>
        <v>230</v>
      </c>
      <c r="O80" s="10">
        <f>SUM(O81:O82)</f>
        <v>200</v>
      </c>
      <c r="P80" s="49">
        <f>SUM(P81:P82)</f>
        <v>50</v>
      </c>
      <c r="Q80" s="49">
        <f>SUM(Q81:Q82)</f>
        <v>50</v>
      </c>
      <c r="R80" s="49">
        <v>0</v>
      </c>
      <c r="S80" s="62">
        <v>0</v>
      </c>
      <c r="T80" s="49">
        <f>SUM(T81:T82)</f>
        <v>550</v>
      </c>
      <c r="U80" s="49">
        <f>SUM(U81:U82)</f>
        <v>660</v>
      </c>
    </row>
    <row r="81" spans="1:21" ht="14.15" customHeight="1" x14ac:dyDescent="0.35">
      <c r="A81" s="24"/>
      <c r="B81" s="24"/>
      <c r="C81" s="25" t="s">
        <v>105</v>
      </c>
      <c r="D81" s="26"/>
      <c r="E81" s="26"/>
      <c r="F81" s="26">
        <v>2234</v>
      </c>
      <c r="G81" s="26">
        <v>2600</v>
      </c>
      <c r="H81" s="26"/>
      <c r="I81" s="55"/>
      <c r="J81" s="60"/>
      <c r="K81" s="75"/>
      <c r="L81" s="60"/>
      <c r="M81" s="75"/>
      <c r="N81" s="60">
        <v>230</v>
      </c>
      <c r="O81" s="60">
        <v>200</v>
      </c>
      <c r="P81" s="60">
        <v>50</v>
      </c>
      <c r="Q81" s="60">
        <v>50</v>
      </c>
      <c r="R81" s="60"/>
      <c r="S81" s="60"/>
      <c r="T81" s="60">
        <v>550</v>
      </c>
      <c r="U81" s="60">
        <v>660</v>
      </c>
    </row>
    <row r="82" spans="1:21" ht="14.15" customHeight="1" x14ac:dyDescent="0.35">
      <c r="A82" s="24"/>
      <c r="B82" s="24"/>
      <c r="C82" s="25" t="s">
        <v>106</v>
      </c>
      <c r="D82" s="26"/>
      <c r="E82" s="26"/>
      <c r="F82" s="26">
        <v>450</v>
      </c>
      <c r="G82" s="26">
        <v>0</v>
      </c>
      <c r="H82" s="26"/>
      <c r="I82" s="55"/>
      <c r="J82" s="60"/>
      <c r="K82" s="75"/>
      <c r="L82" s="60"/>
      <c r="M82" s="75"/>
      <c r="N82" s="60"/>
      <c r="O82" s="60"/>
      <c r="P82" s="60"/>
      <c r="Q82" s="60"/>
      <c r="R82" s="60"/>
      <c r="S82" s="60"/>
      <c r="T82" s="60"/>
      <c r="U82" s="60"/>
    </row>
    <row r="83" spans="1:21" s="3" customFormat="1" ht="14.15" customHeight="1" x14ac:dyDescent="0.35">
      <c r="A83" s="16" t="s">
        <v>107</v>
      </c>
      <c r="B83" s="16" t="s">
        <v>108</v>
      </c>
      <c r="C83" s="17" t="s">
        <v>109</v>
      </c>
      <c r="D83" s="19">
        <f>D73+D80</f>
        <v>25767</v>
      </c>
      <c r="E83" s="19">
        <f>E73+E80</f>
        <v>25702</v>
      </c>
      <c r="F83" s="19">
        <f>F73+F80</f>
        <v>23437</v>
      </c>
      <c r="G83" s="19">
        <f t="shared" ref="G83:U83" si="11">G73+G80</f>
        <v>24192</v>
      </c>
      <c r="H83" s="19">
        <f t="shared" si="11"/>
        <v>0</v>
      </c>
      <c r="I83" s="19">
        <f t="shared" si="11"/>
        <v>0</v>
      </c>
      <c r="J83" s="19">
        <f t="shared" si="11"/>
        <v>0</v>
      </c>
      <c r="K83" s="19">
        <f t="shared" si="11"/>
        <v>0</v>
      </c>
      <c r="L83" s="19">
        <f t="shared" si="11"/>
        <v>0</v>
      </c>
      <c r="M83" s="19">
        <f t="shared" si="11"/>
        <v>0</v>
      </c>
      <c r="N83" s="19">
        <f t="shared" si="11"/>
        <v>230</v>
      </c>
      <c r="O83" s="19">
        <f t="shared" si="11"/>
        <v>200</v>
      </c>
      <c r="P83" s="19">
        <f t="shared" si="11"/>
        <v>50</v>
      </c>
      <c r="Q83" s="19">
        <f t="shared" si="11"/>
        <v>50</v>
      </c>
      <c r="R83" s="19">
        <f t="shared" si="11"/>
        <v>0</v>
      </c>
      <c r="S83" s="19">
        <f t="shared" si="11"/>
        <v>0</v>
      </c>
      <c r="T83" s="19">
        <f t="shared" si="11"/>
        <v>2050</v>
      </c>
      <c r="U83" s="19">
        <f t="shared" si="11"/>
        <v>1260</v>
      </c>
    </row>
    <row r="84" spans="1:21" s="3" customFormat="1" ht="14.15" customHeight="1" x14ac:dyDescent="0.35">
      <c r="A84" s="7" t="s">
        <v>110</v>
      </c>
      <c r="B84" s="7" t="s">
        <v>111</v>
      </c>
      <c r="C84" s="8" t="s">
        <v>112</v>
      </c>
      <c r="D84" s="9">
        <f>F84+H84+J84+L84+N84+P84+R84+T84</f>
        <v>7850</v>
      </c>
      <c r="E84" s="9">
        <f>G84+I84+K84+M84+O84+Q84+S84+U84</f>
        <v>7750</v>
      </c>
      <c r="F84" s="10">
        <f>SUM(F85:F87)</f>
        <v>7850</v>
      </c>
      <c r="G84" s="10">
        <f>SUM(G85:G87)</f>
        <v>7750</v>
      </c>
      <c r="H84" s="10">
        <v>0</v>
      </c>
      <c r="I84" s="49"/>
      <c r="J84" s="49">
        <v>0</v>
      </c>
      <c r="K84" s="49"/>
      <c r="L84" s="49">
        <v>0</v>
      </c>
      <c r="M84" s="49">
        <v>0</v>
      </c>
      <c r="N84" s="10">
        <f>SUM(N85:N87)</f>
        <v>0</v>
      </c>
      <c r="O84" s="49">
        <v>0</v>
      </c>
      <c r="P84" s="49">
        <f>SUM(P85:P87)</f>
        <v>0</v>
      </c>
      <c r="Q84" s="49">
        <f>SUM(Q85:Q87)</f>
        <v>0</v>
      </c>
      <c r="R84" s="49">
        <v>0</v>
      </c>
      <c r="S84" s="62">
        <v>0</v>
      </c>
      <c r="T84" s="49">
        <f>SUM(T85:T87)</f>
        <v>0</v>
      </c>
      <c r="U84" s="49">
        <f>SUM(U85:U87)</f>
        <v>0</v>
      </c>
    </row>
    <row r="85" spans="1:21" ht="14.15" customHeight="1" x14ac:dyDescent="0.35">
      <c r="A85" s="24"/>
      <c r="B85" s="24"/>
      <c r="C85" s="25" t="s">
        <v>113</v>
      </c>
      <c r="D85" s="26"/>
      <c r="E85" s="26"/>
      <c r="F85" s="26">
        <v>3300</v>
      </c>
      <c r="G85" s="26">
        <v>3300</v>
      </c>
      <c r="H85" s="26"/>
      <c r="I85" s="55"/>
      <c r="J85" s="60"/>
      <c r="K85" s="75"/>
      <c r="L85" s="60"/>
      <c r="M85" s="75"/>
      <c r="N85" s="60"/>
      <c r="O85" s="60"/>
      <c r="P85" s="60"/>
      <c r="Q85" s="60"/>
      <c r="R85" s="60"/>
      <c r="S85" s="60"/>
      <c r="T85" s="60"/>
      <c r="U85" s="60"/>
    </row>
    <row r="86" spans="1:21" ht="14.15" customHeight="1" x14ac:dyDescent="0.35">
      <c r="A86" s="24"/>
      <c r="B86" s="24"/>
      <c r="C86" s="25" t="s">
        <v>114</v>
      </c>
      <c r="D86" s="26"/>
      <c r="E86" s="26"/>
      <c r="F86" s="26">
        <v>4000</v>
      </c>
      <c r="G86" s="26">
        <v>4000</v>
      </c>
      <c r="H86" s="26"/>
      <c r="I86" s="55"/>
      <c r="J86" s="60"/>
      <c r="K86" s="75"/>
      <c r="L86" s="60"/>
      <c r="M86" s="75"/>
      <c r="N86" s="60"/>
      <c r="O86" s="60"/>
      <c r="P86" s="60"/>
      <c r="Q86" s="60"/>
      <c r="R86" s="60"/>
      <c r="S86" s="60"/>
      <c r="T86" s="60"/>
      <c r="U86" s="60"/>
    </row>
    <row r="87" spans="1:21" ht="14.15" customHeight="1" x14ac:dyDescent="0.35">
      <c r="A87" s="24"/>
      <c r="B87" s="24"/>
      <c r="C87" s="25" t="s">
        <v>115</v>
      </c>
      <c r="D87" s="26"/>
      <c r="E87" s="26"/>
      <c r="F87" s="26">
        <v>550</v>
      </c>
      <c r="G87" s="26">
        <v>450</v>
      </c>
      <c r="H87" s="26"/>
      <c r="I87" s="55"/>
      <c r="J87" s="60"/>
      <c r="K87" s="75"/>
      <c r="L87" s="60"/>
      <c r="M87" s="75"/>
      <c r="N87" s="60"/>
      <c r="O87" s="60"/>
      <c r="P87" s="60"/>
      <c r="Q87" s="60"/>
      <c r="R87" s="60"/>
      <c r="S87" s="60"/>
      <c r="T87" s="60"/>
      <c r="U87" s="60"/>
    </row>
    <row r="88" spans="1:21" s="3" customFormat="1" ht="14.15" customHeight="1" x14ac:dyDescent="0.35">
      <c r="A88" s="7" t="s">
        <v>116</v>
      </c>
      <c r="B88" s="7" t="s">
        <v>117</v>
      </c>
      <c r="C88" s="8" t="s">
        <v>118</v>
      </c>
      <c r="D88" s="9">
        <f>F88+H88+J88+L88+N88+P88+R88+T88</f>
        <v>0</v>
      </c>
      <c r="E88" s="9">
        <f>G88+I88+K88+M88+O88+Q88+S88+U88</f>
        <v>0</v>
      </c>
      <c r="F88" s="10">
        <v>0</v>
      </c>
      <c r="G88" s="10">
        <v>0</v>
      </c>
      <c r="H88" s="10">
        <v>0</v>
      </c>
      <c r="I88" s="49"/>
      <c r="J88" s="49">
        <v>0</v>
      </c>
      <c r="K88" s="49"/>
      <c r="L88" s="49">
        <v>0</v>
      </c>
      <c r="M88" s="77">
        <v>0</v>
      </c>
      <c r="N88" s="49">
        <v>0</v>
      </c>
      <c r="O88" s="49">
        <v>0</v>
      </c>
      <c r="P88" s="49">
        <v>0</v>
      </c>
      <c r="Q88" s="62">
        <v>0</v>
      </c>
      <c r="R88" s="49">
        <v>0</v>
      </c>
      <c r="S88" s="62">
        <v>0</v>
      </c>
      <c r="T88" s="49">
        <v>0</v>
      </c>
      <c r="U88" s="49">
        <v>0</v>
      </c>
    </row>
    <row r="89" spans="1:21" s="3" customFormat="1" ht="14.15" customHeight="1" x14ac:dyDescent="0.35">
      <c r="A89" s="7" t="s">
        <v>119</v>
      </c>
      <c r="B89" s="7" t="s">
        <v>120</v>
      </c>
      <c r="C89" s="8" t="s">
        <v>121</v>
      </c>
      <c r="D89" s="9">
        <f>F89+H89+J89+L89+N89+P89+R89+T89</f>
        <v>9290</v>
      </c>
      <c r="E89" s="9">
        <f>G89+I89+K89+M89+O89+Q89+S89+U89</f>
        <v>9115</v>
      </c>
      <c r="F89" s="10">
        <f>SUM(F90:F91)</f>
        <v>9290</v>
      </c>
      <c r="G89" s="10">
        <f>SUM(G90:G91)</f>
        <v>9115</v>
      </c>
      <c r="H89" s="10">
        <v>0</v>
      </c>
      <c r="I89" s="49"/>
      <c r="J89" s="49">
        <v>0</v>
      </c>
      <c r="K89" s="49"/>
      <c r="L89" s="49">
        <v>0</v>
      </c>
      <c r="M89" s="49">
        <v>0</v>
      </c>
      <c r="N89" s="10">
        <f>SUM(N90:N91)</f>
        <v>0</v>
      </c>
      <c r="O89" s="49">
        <v>0</v>
      </c>
      <c r="P89" s="49">
        <f>SUM(P90:P91)</f>
        <v>0</v>
      </c>
      <c r="Q89" s="49">
        <f>SUM(Q90:Q91)</f>
        <v>0</v>
      </c>
      <c r="R89" s="49">
        <v>0</v>
      </c>
      <c r="S89" s="62">
        <v>0</v>
      </c>
      <c r="T89" s="49">
        <f>SUM(T90:T91)</f>
        <v>0</v>
      </c>
      <c r="U89" s="49">
        <f>SUM(U90:U91)</f>
        <v>0</v>
      </c>
    </row>
    <row r="90" spans="1:21" ht="14.15" customHeight="1" x14ac:dyDescent="0.35">
      <c r="A90" s="24"/>
      <c r="B90" s="24"/>
      <c r="C90" s="25" t="s">
        <v>122</v>
      </c>
      <c r="D90" s="26"/>
      <c r="E90" s="26"/>
      <c r="F90" s="26"/>
      <c r="G90" s="26"/>
      <c r="H90" s="26"/>
      <c r="I90" s="55"/>
      <c r="J90" s="60"/>
      <c r="K90" s="75"/>
      <c r="L90" s="60"/>
      <c r="M90" s="75"/>
      <c r="N90" s="60"/>
      <c r="O90" s="60"/>
      <c r="P90" s="60"/>
      <c r="Q90" s="60"/>
      <c r="R90" s="60"/>
      <c r="S90" s="60"/>
      <c r="T90" s="60"/>
      <c r="U90" s="60"/>
    </row>
    <row r="91" spans="1:21" ht="14.15" customHeight="1" x14ac:dyDescent="0.35">
      <c r="A91" s="24"/>
      <c r="B91" s="24"/>
      <c r="C91" s="25" t="s">
        <v>123</v>
      </c>
      <c r="D91" s="26"/>
      <c r="E91" s="26"/>
      <c r="F91" s="26">
        <v>9290</v>
      </c>
      <c r="G91" s="26">
        <v>9115</v>
      </c>
      <c r="H91" s="26"/>
      <c r="I91" s="55"/>
      <c r="J91" s="60"/>
      <c r="K91" s="75"/>
      <c r="L91" s="60"/>
      <c r="M91" s="75"/>
      <c r="N91" s="60"/>
      <c r="O91" s="60"/>
      <c r="P91" s="60"/>
      <c r="Q91" s="60"/>
      <c r="R91" s="60"/>
      <c r="S91" s="60"/>
      <c r="T91" s="60"/>
      <c r="U91" s="60"/>
    </row>
    <row r="92" spans="1:21" s="3" customFormat="1" ht="14.15" customHeight="1" x14ac:dyDescent="0.35">
      <c r="A92" s="7" t="s">
        <v>124</v>
      </c>
      <c r="B92" s="7" t="s">
        <v>125</v>
      </c>
      <c r="C92" s="8" t="s">
        <v>126</v>
      </c>
      <c r="D92" s="9">
        <f>F92+H92+J92+L92+N92+P92+R92+T92</f>
        <v>1650</v>
      </c>
      <c r="E92" s="9">
        <f>G92+I92+K92+M92+O92+Q92+S92+U92</f>
        <v>1895</v>
      </c>
      <c r="F92" s="10">
        <v>1450</v>
      </c>
      <c r="G92" s="10">
        <v>1650</v>
      </c>
      <c r="H92" s="10">
        <v>0</v>
      </c>
      <c r="I92" s="49"/>
      <c r="J92" s="62">
        <v>0</v>
      </c>
      <c r="K92" s="77"/>
      <c r="L92" s="62">
        <v>0</v>
      </c>
      <c r="M92" s="77">
        <v>0</v>
      </c>
      <c r="N92" s="62">
        <v>100</v>
      </c>
      <c r="O92" s="62">
        <f>100+55+40</f>
        <v>195</v>
      </c>
      <c r="P92" s="62">
        <v>100</v>
      </c>
      <c r="Q92" s="62">
        <f>50</f>
        <v>50</v>
      </c>
      <c r="R92" s="62">
        <v>0</v>
      </c>
      <c r="S92" s="62">
        <v>0</v>
      </c>
      <c r="T92" s="62">
        <v>0</v>
      </c>
      <c r="U92" s="62">
        <v>0</v>
      </c>
    </row>
    <row r="93" spans="1:21" s="3" customFormat="1" ht="14.15" customHeight="1" x14ac:dyDescent="0.35">
      <c r="A93" s="7" t="s">
        <v>127</v>
      </c>
      <c r="B93" s="7" t="s">
        <v>128</v>
      </c>
      <c r="C93" s="8" t="s">
        <v>129</v>
      </c>
      <c r="D93" s="9">
        <f>F93+H93+J93+L93+N93+P93+R93+T93</f>
        <v>1160</v>
      </c>
      <c r="E93" s="9">
        <f>G93+I93+K93+M93+O93+Q93+S93+U93</f>
        <v>1160</v>
      </c>
      <c r="F93" s="10">
        <f>SUM(F94:F95)</f>
        <v>1000</v>
      </c>
      <c r="G93" s="10">
        <f>SUM(G94:G95)</f>
        <v>1000</v>
      </c>
      <c r="H93" s="10">
        <v>0</v>
      </c>
      <c r="I93" s="49"/>
      <c r="J93" s="49">
        <v>0</v>
      </c>
      <c r="K93" s="49"/>
      <c r="L93" s="49">
        <v>0</v>
      </c>
      <c r="M93" s="49">
        <v>0</v>
      </c>
      <c r="N93" s="10">
        <f>SUM(N94:N95)</f>
        <v>0</v>
      </c>
      <c r="O93" s="10">
        <f>SUM(O94:O95)</f>
        <v>0</v>
      </c>
      <c r="P93" s="49">
        <f>SUM(P94:P95)</f>
        <v>0</v>
      </c>
      <c r="Q93" s="62">
        <v>0</v>
      </c>
      <c r="R93" s="49">
        <v>0</v>
      </c>
      <c r="S93" s="62">
        <v>0</v>
      </c>
      <c r="T93" s="49">
        <f>SUM(T94:T95)</f>
        <v>160</v>
      </c>
      <c r="U93" s="49">
        <f>SUM(U94:U95)</f>
        <v>160</v>
      </c>
    </row>
    <row r="94" spans="1:21" ht="14.15" customHeight="1" x14ac:dyDescent="0.35">
      <c r="A94" s="24"/>
      <c r="B94" s="24"/>
      <c r="C94" s="25" t="s">
        <v>130</v>
      </c>
      <c r="D94" s="26"/>
      <c r="E94" s="26"/>
      <c r="F94" s="26">
        <v>500</v>
      </c>
      <c r="G94" s="26">
        <v>500</v>
      </c>
      <c r="H94" s="26"/>
      <c r="I94" s="55"/>
      <c r="J94" s="60"/>
      <c r="K94" s="75"/>
      <c r="L94" s="60"/>
      <c r="M94" s="75"/>
      <c r="N94" s="60"/>
      <c r="O94" s="60"/>
      <c r="P94" s="60"/>
      <c r="Q94" s="60"/>
      <c r="R94" s="60"/>
      <c r="S94" s="60"/>
      <c r="T94" s="60"/>
      <c r="U94" s="60"/>
    </row>
    <row r="95" spans="1:21" ht="14.15" customHeight="1" x14ac:dyDescent="0.35">
      <c r="A95" s="24"/>
      <c r="B95" s="24"/>
      <c r="C95" s="25" t="s">
        <v>131</v>
      </c>
      <c r="D95" s="26"/>
      <c r="E95" s="26"/>
      <c r="F95" s="26">
        <v>500</v>
      </c>
      <c r="G95" s="26">
        <v>500</v>
      </c>
      <c r="H95" s="26"/>
      <c r="I95" s="55"/>
      <c r="J95" s="60"/>
      <c r="K95" s="75"/>
      <c r="L95" s="60"/>
      <c r="M95" s="75"/>
      <c r="N95" s="60"/>
      <c r="O95" s="60"/>
      <c r="P95" s="60"/>
      <c r="Q95" s="60"/>
      <c r="R95" s="60"/>
      <c r="S95" s="60"/>
      <c r="T95" s="60">
        <v>160</v>
      </c>
      <c r="U95" s="60">
        <v>160</v>
      </c>
    </row>
    <row r="96" spans="1:21" s="3" customFormat="1" ht="14.15" customHeight="1" x14ac:dyDescent="0.35">
      <c r="A96" s="7" t="s">
        <v>132</v>
      </c>
      <c r="B96" s="7" t="s">
        <v>133</v>
      </c>
      <c r="C96" s="8" t="s">
        <v>134</v>
      </c>
      <c r="D96" s="9">
        <f>F96+H96+J96+L96+N96+P96+R96+T96</f>
        <v>10115</v>
      </c>
      <c r="E96" s="9">
        <f>G96+I96+K96+M96+O96+Q96+S96+U96</f>
        <v>13000</v>
      </c>
      <c r="F96" s="10">
        <f>SUM(F97:F99)</f>
        <v>8490</v>
      </c>
      <c r="G96" s="10">
        <f>SUM(G97:G99)</f>
        <v>13000</v>
      </c>
      <c r="H96" s="10">
        <v>0</v>
      </c>
      <c r="I96" s="49"/>
      <c r="J96" s="49">
        <v>0</v>
      </c>
      <c r="K96" s="49"/>
      <c r="L96" s="49">
        <v>0</v>
      </c>
      <c r="M96" s="49">
        <v>0</v>
      </c>
      <c r="N96" s="10">
        <f>SUM(N97:N99)</f>
        <v>0</v>
      </c>
      <c r="O96" s="10">
        <f>SUM(O97:O99)</f>
        <v>0</v>
      </c>
      <c r="P96" s="49">
        <f>SUM(P97:P99)</f>
        <v>25</v>
      </c>
      <c r="Q96" s="62">
        <v>0</v>
      </c>
      <c r="R96" s="49">
        <v>0</v>
      </c>
      <c r="S96" s="62">
        <v>0</v>
      </c>
      <c r="T96" s="49">
        <f>SUM(T97:T99)</f>
        <v>1600</v>
      </c>
      <c r="U96" s="49">
        <f>SUM(U97:U99)</f>
        <v>0</v>
      </c>
    </row>
    <row r="97" spans="1:21" ht="14.15" customHeight="1" x14ac:dyDescent="0.35">
      <c r="A97" s="24"/>
      <c r="B97" s="24"/>
      <c r="C97" s="25" t="s">
        <v>135</v>
      </c>
      <c r="D97" s="26"/>
      <c r="E97" s="26"/>
      <c r="F97" s="26"/>
      <c r="G97" s="26"/>
      <c r="H97" s="26"/>
      <c r="I97" s="55"/>
      <c r="J97" s="60"/>
      <c r="K97" s="75"/>
      <c r="L97" s="60"/>
      <c r="M97" s="75"/>
      <c r="N97" s="60"/>
      <c r="O97" s="60"/>
      <c r="P97" s="60"/>
      <c r="Q97" s="60"/>
      <c r="R97" s="60"/>
      <c r="S97" s="60"/>
      <c r="T97" s="60"/>
      <c r="U97" s="60"/>
    </row>
    <row r="98" spans="1:21" ht="14.15" customHeight="1" x14ac:dyDescent="0.35">
      <c r="A98" s="24"/>
      <c r="B98" s="24"/>
      <c r="C98" s="25" t="s">
        <v>136</v>
      </c>
      <c r="D98" s="26"/>
      <c r="E98" s="26"/>
      <c r="F98" s="26"/>
      <c r="G98" s="26"/>
      <c r="H98" s="26"/>
      <c r="I98" s="55"/>
      <c r="J98" s="60"/>
      <c r="K98" s="75"/>
      <c r="L98" s="60"/>
      <c r="M98" s="75"/>
      <c r="N98" s="60"/>
      <c r="O98" s="60"/>
      <c r="P98" s="60"/>
      <c r="Q98" s="60"/>
      <c r="R98" s="60"/>
      <c r="S98" s="60"/>
      <c r="T98" s="60"/>
      <c r="U98" s="60"/>
    </row>
    <row r="99" spans="1:21" ht="14.15" customHeight="1" x14ac:dyDescent="0.35">
      <c r="A99" s="24"/>
      <c r="B99" s="24"/>
      <c r="C99" s="25" t="s">
        <v>137</v>
      </c>
      <c r="D99" s="26"/>
      <c r="E99" s="26"/>
      <c r="F99" s="26">
        <v>8490</v>
      </c>
      <c r="G99" s="26">
        <v>13000</v>
      </c>
      <c r="H99" s="26"/>
      <c r="I99" s="55"/>
      <c r="J99" s="60"/>
      <c r="K99" s="75"/>
      <c r="L99" s="60"/>
      <c r="M99" s="75"/>
      <c r="N99" s="60"/>
      <c r="O99" s="60"/>
      <c r="P99" s="60">
        <v>25</v>
      </c>
      <c r="Q99" s="60"/>
      <c r="R99" s="60"/>
      <c r="S99" s="60"/>
      <c r="T99" s="60">
        <v>1600</v>
      </c>
      <c r="U99" s="60">
        <v>0</v>
      </c>
    </row>
    <row r="100" spans="1:21" s="3" customFormat="1" ht="14.15" customHeight="1" x14ac:dyDescent="0.35">
      <c r="A100" s="7" t="s">
        <v>138</v>
      </c>
      <c r="B100" s="7" t="s">
        <v>139</v>
      </c>
      <c r="C100" s="8" t="s">
        <v>140</v>
      </c>
      <c r="D100" s="9">
        <f>F100+H100+J100+L100+N100+P100+R100+T100</f>
        <v>21218</v>
      </c>
      <c r="E100" s="9">
        <f>G100+I100+K100+M100+O100+Q100+S100+U100</f>
        <v>25742</v>
      </c>
      <c r="F100" s="10">
        <f>SUM(F101:F104)</f>
        <v>21023</v>
      </c>
      <c r="G100" s="10">
        <f>SUM(G101:G104)</f>
        <v>23357</v>
      </c>
      <c r="H100" s="10">
        <v>0</v>
      </c>
      <c r="I100" s="49"/>
      <c r="J100" s="49">
        <v>0</v>
      </c>
      <c r="K100" s="49"/>
      <c r="L100" s="49">
        <v>0</v>
      </c>
      <c r="M100" s="49">
        <v>0</v>
      </c>
      <c r="N100" s="10">
        <f>SUM(N101:N104)</f>
        <v>170</v>
      </c>
      <c r="O100" s="10">
        <f>SUM(O101:O104)</f>
        <v>320</v>
      </c>
      <c r="P100" s="49">
        <f>SUM(P101:P104)</f>
        <v>25</v>
      </c>
      <c r="Q100" s="49">
        <f>SUM(Q101:Q104)</f>
        <v>25</v>
      </c>
      <c r="R100" s="49">
        <v>0</v>
      </c>
      <c r="S100" s="62">
        <v>0</v>
      </c>
      <c r="T100" s="49">
        <f>SUM(T101:T104)</f>
        <v>0</v>
      </c>
      <c r="U100" s="49">
        <f>SUM(U101:U104)</f>
        <v>2040</v>
      </c>
    </row>
    <row r="101" spans="1:21" ht="14.15" customHeight="1" x14ac:dyDescent="0.35">
      <c r="A101" s="24"/>
      <c r="B101" s="24"/>
      <c r="C101" s="25" t="s">
        <v>141</v>
      </c>
      <c r="D101" s="26"/>
      <c r="E101" s="26"/>
      <c r="F101" s="26">
        <v>447</v>
      </c>
      <c r="G101" s="26"/>
      <c r="H101" s="26"/>
      <c r="I101" s="55"/>
      <c r="J101" s="60"/>
      <c r="K101" s="75"/>
      <c r="L101" s="60"/>
      <c r="M101" s="75"/>
      <c r="N101" s="60">
        <v>120</v>
      </c>
      <c r="O101" s="60">
        <v>120</v>
      </c>
      <c r="P101" s="60">
        <v>6</v>
      </c>
      <c r="Q101" s="60">
        <v>6</v>
      </c>
      <c r="R101" s="60"/>
      <c r="S101" s="60"/>
      <c r="T101" s="60"/>
      <c r="U101" s="60"/>
    </row>
    <row r="102" spans="1:21" ht="14.15" customHeight="1" x14ac:dyDescent="0.35">
      <c r="A102" s="24"/>
      <c r="B102" s="24"/>
      <c r="C102" s="25" t="s">
        <v>142</v>
      </c>
      <c r="D102" s="26"/>
      <c r="E102" s="26"/>
      <c r="F102" s="26">
        <v>900</v>
      </c>
      <c r="G102" s="26"/>
      <c r="H102" s="26"/>
      <c r="I102" s="55"/>
      <c r="J102" s="60"/>
      <c r="K102" s="75"/>
      <c r="L102" s="60"/>
      <c r="M102" s="75"/>
      <c r="N102" s="60"/>
      <c r="O102" s="60"/>
      <c r="P102" s="60"/>
      <c r="Q102" s="60"/>
      <c r="R102" s="60"/>
      <c r="S102" s="60"/>
      <c r="T102" s="60"/>
      <c r="U102" s="60"/>
    </row>
    <row r="103" spans="1:21" ht="14.15" customHeight="1" x14ac:dyDescent="0.35">
      <c r="A103" s="24"/>
      <c r="B103" s="24"/>
      <c r="C103" s="25" t="s">
        <v>143</v>
      </c>
      <c r="D103" s="26"/>
      <c r="E103" s="26"/>
      <c r="F103" s="26"/>
      <c r="G103" s="26"/>
      <c r="H103" s="26"/>
      <c r="I103" s="55"/>
      <c r="J103" s="60"/>
      <c r="K103" s="75"/>
      <c r="L103" s="60"/>
      <c r="M103" s="75"/>
      <c r="N103" s="60"/>
      <c r="O103" s="60"/>
      <c r="P103" s="60"/>
      <c r="Q103" s="60"/>
      <c r="R103" s="60"/>
      <c r="S103" s="60"/>
      <c r="T103" s="60"/>
      <c r="U103" s="60"/>
    </row>
    <row r="104" spans="1:21" ht="14.15" customHeight="1" x14ac:dyDescent="0.35">
      <c r="A104" s="24"/>
      <c r="B104" s="24"/>
      <c r="C104" s="25" t="s">
        <v>144</v>
      </c>
      <c r="D104" s="26"/>
      <c r="E104" s="26"/>
      <c r="F104" s="26">
        <v>19676</v>
      </c>
      <c r="G104" s="26">
        <v>23357</v>
      </c>
      <c r="H104" s="26"/>
      <c r="I104" s="55"/>
      <c r="J104" s="60"/>
      <c r="K104" s="75"/>
      <c r="L104" s="60"/>
      <c r="M104" s="75"/>
      <c r="N104" s="60">
        <v>50</v>
      </c>
      <c r="O104" s="60">
        <v>200</v>
      </c>
      <c r="P104" s="60">
        <v>19</v>
      </c>
      <c r="Q104" s="60">
        <v>19</v>
      </c>
      <c r="R104" s="60"/>
      <c r="S104" s="60"/>
      <c r="T104" s="60"/>
      <c r="U104" s="60">
        <f>680*3</f>
        <v>2040</v>
      </c>
    </row>
    <row r="105" spans="1:21" s="3" customFormat="1" ht="14.15" customHeight="1" x14ac:dyDescent="0.35">
      <c r="A105" s="16" t="s">
        <v>145</v>
      </c>
      <c r="B105" s="16" t="s">
        <v>146</v>
      </c>
      <c r="C105" s="17" t="s">
        <v>147</v>
      </c>
      <c r="D105" s="19">
        <f>D84+D88+D89+D92+D93+D96+D100</f>
        <v>51283</v>
      </c>
      <c r="E105" s="19">
        <f>E84+E88+E89+E92+E93+E96+E100</f>
        <v>58662</v>
      </c>
      <c r="F105" s="19">
        <f>F84+F88+F89+F92+F93+F96+F100</f>
        <v>49103</v>
      </c>
      <c r="G105" s="19">
        <f t="shared" ref="G105:U105" si="12">G84+G88+G89+G92+G93+G96+G100</f>
        <v>55872</v>
      </c>
      <c r="H105" s="19">
        <f t="shared" si="12"/>
        <v>0</v>
      </c>
      <c r="I105" s="19">
        <f t="shared" si="12"/>
        <v>0</v>
      </c>
      <c r="J105" s="19">
        <f t="shared" si="12"/>
        <v>0</v>
      </c>
      <c r="K105" s="19">
        <f t="shared" si="12"/>
        <v>0</v>
      </c>
      <c r="L105" s="19">
        <f t="shared" si="12"/>
        <v>0</v>
      </c>
      <c r="M105" s="19">
        <f t="shared" si="12"/>
        <v>0</v>
      </c>
      <c r="N105" s="19">
        <f t="shared" si="12"/>
        <v>270</v>
      </c>
      <c r="O105" s="19">
        <f t="shared" si="12"/>
        <v>515</v>
      </c>
      <c r="P105" s="19">
        <f t="shared" si="12"/>
        <v>150</v>
      </c>
      <c r="Q105" s="19">
        <f t="shared" si="12"/>
        <v>75</v>
      </c>
      <c r="R105" s="19">
        <f t="shared" si="12"/>
        <v>0</v>
      </c>
      <c r="S105" s="19">
        <f t="shared" si="12"/>
        <v>0</v>
      </c>
      <c r="T105" s="19">
        <f t="shared" si="12"/>
        <v>1760</v>
      </c>
      <c r="U105" s="19">
        <f t="shared" si="12"/>
        <v>2200</v>
      </c>
    </row>
    <row r="106" spans="1:21" s="3" customFormat="1" ht="14.15" customHeight="1" x14ac:dyDescent="0.35">
      <c r="A106" s="7" t="s">
        <v>148</v>
      </c>
      <c r="B106" s="7" t="s">
        <v>149</v>
      </c>
      <c r="C106" s="8" t="s">
        <v>150</v>
      </c>
      <c r="D106" s="9">
        <f>F106+H106+J106+L106+N106+P106+R106+T106</f>
        <v>460</v>
      </c>
      <c r="E106" s="9">
        <f>G106+I106+K106+M106+O106+Q106+S106+U106</f>
        <v>350</v>
      </c>
      <c r="F106" s="10">
        <f>SUM(F107:F108)</f>
        <v>400</v>
      </c>
      <c r="G106" s="10">
        <f>SUM(G107:G108)</f>
        <v>300</v>
      </c>
      <c r="H106" s="10">
        <v>0</v>
      </c>
      <c r="I106" s="49"/>
      <c r="J106" s="49">
        <v>0</v>
      </c>
      <c r="K106" s="49"/>
      <c r="L106" s="49">
        <v>0</v>
      </c>
      <c r="M106" s="49">
        <v>0</v>
      </c>
      <c r="N106" s="49">
        <f>SUM(N107:N108)</f>
        <v>60</v>
      </c>
      <c r="O106" s="49">
        <f>SUM(O107:O108)</f>
        <v>50</v>
      </c>
      <c r="P106" s="49">
        <f>SUM(P107:P108)</f>
        <v>0</v>
      </c>
      <c r="Q106" s="49">
        <f>SUM(Q107:Q108)</f>
        <v>0</v>
      </c>
      <c r="R106" s="49">
        <v>0</v>
      </c>
      <c r="S106" s="62">
        <v>0</v>
      </c>
      <c r="T106" s="49">
        <f>SUM(T107:T108)</f>
        <v>0</v>
      </c>
      <c r="U106" s="49">
        <f>SUM(U107:U108)</f>
        <v>0</v>
      </c>
    </row>
    <row r="107" spans="1:21" ht="14.15" customHeight="1" x14ac:dyDescent="0.35">
      <c r="A107" s="24"/>
      <c r="B107" s="24"/>
      <c r="C107" s="25" t="s">
        <v>151</v>
      </c>
      <c r="D107" s="26"/>
      <c r="E107" s="26"/>
      <c r="F107" s="26">
        <v>400</v>
      </c>
      <c r="G107" s="26">
        <v>300</v>
      </c>
      <c r="H107" s="26"/>
      <c r="I107" s="55"/>
      <c r="J107" s="60"/>
      <c r="K107" s="75"/>
      <c r="L107" s="60"/>
      <c r="M107" s="75"/>
      <c r="N107" s="60">
        <v>60</v>
      </c>
      <c r="O107" s="60">
        <v>50</v>
      </c>
      <c r="P107" s="60"/>
      <c r="Q107" s="60"/>
      <c r="R107" s="60"/>
      <c r="S107" s="60"/>
      <c r="T107" s="60"/>
      <c r="U107" s="60"/>
    </row>
    <row r="108" spans="1:21" ht="14.15" customHeight="1" x14ac:dyDescent="0.35">
      <c r="A108" s="24"/>
      <c r="B108" s="24"/>
      <c r="C108" s="25" t="s">
        <v>152</v>
      </c>
      <c r="D108" s="26"/>
      <c r="E108" s="26"/>
      <c r="F108" s="26">
        <v>0</v>
      </c>
      <c r="G108" s="26"/>
      <c r="H108" s="26"/>
      <c r="I108" s="55"/>
      <c r="J108" s="60"/>
      <c r="K108" s="75"/>
      <c r="L108" s="60"/>
      <c r="M108" s="75"/>
      <c r="N108" s="60"/>
      <c r="O108" s="60"/>
      <c r="P108" s="60"/>
      <c r="Q108" s="60"/>
      <c r="R108" s="60"/>
      <c r="S108" s="60"/>
      <c r="T108" s="60"/>
      <c r="U108" s="60"/>
    </row>
    <row r="109" spans="1:21" s="3" customFormat="1" ht="14.15" customHeight="1" x14ac:dyDescent="0.35">
      <c r="A109" s="7" t="s">
        <v>153</v>
      </c>
      <c r="B109" s="7" t="s">
        <v>154</v>
      </c>
      <c r="C109" s="8" t="s">
        <v>155</v>
      </c>
      <c r="D109" s="9">
        <f>F109+H109+J109+L109+N109+P109+R109+T109</f>
        <v>0</v>
      </c>
      <c r="E109" s="9">
        <f>G109+I109+K109+M109+O109+Q109+S109+U109</f>
        <v>0</v>
      </c>
      <c r="F109" s="10">
        <v>0</v>
      </c>
      <c r="G109" s="10">
        <v>0</v>
      </c>
      <c r="H109" s="10">
        <v>0</v>
      </c>
      <c r="I109" s="49"/>
      <c r="J109" s="49">
        <v>0</v>
      </c>
      <c r="K109" s="77"/>
      <c r="L109" s="62">
        <v>0</v>
      </c>
      <c r="M109" s="77">
        <v>0</v>
      </c>
      <c r="N109" s="62">
        <v>0</v>
      </c>
      <c r="O109" s="62">
        <v>0</v>
      </c>
      <c r="P109" s="62">
        <v>0</v>
      </c>
      <c r="Q109" s="62"/>
      <c r="R109" s="62">
        <v>0</v>
      </c>
      <c r="S109" s="62">
        <v>0</v>
      </c>
      <c r="T109" s="62">
        <v>0</v>
      </c>
      <c r="U109" s="62">
        <v>0</v>
      </c>
    </row>
    <row r="110" spans="1:21" s="3" customFormat="1" ht="14.15" customHeight="1" x14ac:dyDescent="0.35">
      <c r="A110" s="16" t="s">
        <v>156</v>
      </c>
      <c r="B110" s="16" t="s">
        <v>157</v>
      </c>
      <c r="C110" s="17" t="s">
        <v>158</v>
      </c>
      <c r="D110" s="19">
        <f>D106+D109</f>
        <v>460</v>
      </c>
      <c r="E110" s="19">
        <f>E106+E109</f>
        <v>350</v>
      </c>
      <c r="F110" s="19">
        <f>F106+F109</f>
        <v>400</v>
      </c>
      <c r="G110" s="19">
        <f t="shared" ref="G110:U110" si="13">G106+G109</f>
        <v>300</v>
      </c>
      <c r="H110" s="19">
        <f t="shared" si="13"/>
        <v>0</v>
      </c>
      <c r="I110" s="19">
        <f t="shared" si="13"/>
        <v>0</v>
      </c>
      <c r="J110" s="19">
        <f t="shared" si="13"/>
        <v>0</v>
      </c>
      <c r="K110" s="19">
        <f t="shared" si="13"/>
        <v>0</v>
      </c>
      <c r="L110" s="19">
        <f t="shared" si="13"/>
        <v>0</v>
      </c>
      <c r="M110" s="19">
        <f t="shared" si="13"/>
        <v>0</v>
      </c>
      <c r="N110" s="19">
        <f t="shared" si="13"/>
        <v>60</v>
      </c>
      <c r="O110" s="19">
        <f t="shared" si="13"/>
        <v>50</v>
      </c>
      <c r="P110" s="19">
        <f t="shared" si="13"/>
        <v>0</v>
      </c>
      <c r="Q110" s="19">
        <f t="shared" si="13"/>
        <v>0</v>
      </c>
      <c r="R110" s="19">
        <f t="shared" si="13"/>
        <v>0</v>
      </c>
      <c r="S110" s="19">
        <f t="shared" si="13"/>
        <v>0</v>
      </c>
      <c r="T110" s="19">
        <f t="shared" si="13"/>
        <v>0</v>
      </c>
      <c r="U110" s="19">
        <f t="shared" si="13"/>
        <v>0</v>
      </c>
    </row>
    <row r="111" spans="1:21" s="3" customFormat="1" ht="14.15" customHeight="1" x14ac:dyDescent="0.35">
      <c r="A111" s="7" t="s">
        <v>159</v>
      </c>
      <c r="B111" s="7" t="s">
        <v>160</v>
      </c>
      <c r="C111" s="8" t="s">
        <v>161</v>
      </c>
      <c r="D111" s="9">
        <f>F111+H111+J111+L111+N111+P111+R111+T111</f>
        <v>22742</v>
      </c>
      <c r="E111" s="9">
        <f>G111+I111+K111+M111+O111+Q111+S111+U111</f>
        <v>25146</v>
      </c>
      <c r="F111" s="10">
        <f>SUM(F112:F113)</f>
        <v>21543</v>
      </c>
      <c r="G111" s="10">
        <f t="shared" ref="G111:Q111" si="14">SUM(G112:G113)</f>
        <v>23507</v>
      </c>
      <c r="H111" s="10">
        <f t="shared" si="14"/>
        <v>0</v>
      </c>
      <c r="I111" s="49">
        <f t="shared" si="14"/>
        <v>0</v>
      </c>
      <c r="J111" s="49">
        <f t="shared" si="14"/>
        <v>0</v>
      </c>
      <c r="K111" s="49">
        <f t="shared" si="14"/>
        <v>0</v>
      </c>
      <c r="L111" s="49">
        <f t="shared" si="14"/>
        <v>0</v>
      </c>
      <c r="M111" s="77">
        <v>0</v>
      </c>
      <c r="N111" s="49">
        <f t="shared" si="14"/>
        <v>392</v>
      </c>
      <c r="O111" s="49">
        <f t="shared" si="14"/>
        <v>463</v>
      </c>
      <c r="P111" s="49">
        <f t="shared" si="14"/>
        <v>167</v>
      </c>
      <c r="Q111" s="49">
        <f t="shared" si="14"/>
        <v>115</v>
      </c>
      <c r="R111" s="49">
        <f>SUM(R112:R113)</f>
        <v>0</v>
      </c>
      <c r="S111" s="62">
        <v>0</v>
      </c>
      <c r="T111" s="49">
        <f>SUM(T112:T113)</f>
        <v>640</v>
      </c>
      <c r="U111" s="49">
        <f>SUM(U112:U113)</f>
        <v>1061</v>
      </c>
    </row>
    <row r="112" spans="1:21" ht="14.15" customHeight="1" x14ac:dyDescent="0.35">
      <c r="A112" s="24"/>
      <c r="B112" s="24"/>
      <c r="C112" s="25" t="s">
        <v>162</v>
      </c>
      <c r="D112" s="26"/>
      <c r="E112" s="26"/>
      <c r="F112" s="26"/>
      <c r="G112" s="26"/>
      <c r="H112" s="26"/>
      <c r="I112" s="55"/>
      <c r="J112" s="60"/>
      <c r="K112" s="75"/>
      <c r="L112" s="60"/>
      <c r="M112" s="75"/>
      <c r="N112" s="60"/>
      <c r="O112" s="60"/>
      <c r="P112" s="60"/>
      <c r="Q112" s="60"/>
      <c r="R112" s="60"/>
      <c r="S112" s="60"/>
      <c r="T112" s="60"/>
      <c r="U112" s="60"/>
    </row>
    <row r="113" spans="1:21" ht="14.15" customHeight="1" x14ac:dyDescent="0.35">
      <c r="A113" s="24"/>
      <c r="B113" s="24"/>
      <c r="C113" s="25" t="s">
        <v>163</v>
      </c>
      <c r="D113" s="26"/>
      <c r="E113" s="26"/>
      <c r="F113" s="26">
        <v>21543</v>
      </c>
      <c r="G113" s="26">
        <f>ROUND((G72+G83+G105+G109)*0.27,0)</f>
        <v>23507</v>
      </c>
      <c r="H113" s="26"/>
      <c r="I113" s="55"/>
      <c r="J113" s="60"/>
      <c r="K113" s="55"/>
      <c r="L113" s="60"/>
      <c r="M113" s="55"/>
      <c r="N113" s="60">
        <v>392</v>
      </c>
      <c r="O113" s="26">
        <f>ROUND((O72+O83+O105+O109)*0.27,0)</f>
        <v>463</v>
      </c>
      <c r="P113" s="60">
        <v>167</v>
      </c>
      <c r="Q113" s="26">
        <f>ROUND((Q72+Q83+Q105+Q109)*0.27,0)</f>
        <v>115</v>
      </c>
      <c r="R113" s="60"/>
      <c r="S113" s="60"/>
      <c r="T113" s="60">
        <v>640</v>
      </c>
      <c r="U113" s="26">
        <f>ROUND((U72+U83+U105+U109)*0.27,0)</f>
        <v>1061</v>
      </c>
    </row>
    <row r="114" spans="1:21" s="3" customFormat="1" ht="14.15" customHeight="1" x14ac:dyDescent="0.35">
      <c r="A114" s="7" t="s">
        <v>164</v>
      </c>
      <c r="B114" s="7" t="s">
        <v>165</v>
      </c>
      <c r="C114" s="8" t="s">
        <v>166</v>
      </c>
      <c r="D114" s="9">
        <f>F114+H114+J114+L114+N114+P114+R114+T114</f>
        <v>0</v>
      </c>
      <c r="E114" s="9">
        <f>G114+I114+K114+M114+O114+Q114+S114+U114</f>
        <v>400</v>
      </c>
      <c r="F114" s="10">
        <f>SUM(F115:F117)</f>
        <v>0</v>
      </c>
      <c r="G114" s="10">
        <f>SUM(G115:G117)</f>
        <v>400</v>
      </c>
      <c r="H114" s="10">
        <v>0</v>
      </c>
      <c r="I114" s="49"/>
      <c r="J114" s="49">
        <v>0</v>
      </c>
      <c r="K114" s="49"/>
      <c r="L114" s="49">
        <v>0</v>
      </c>
      <c r="M114" s="49">
        <v>0</v>
      </c>
      <c r="N114" s="49">
        <v>0</v>
      </c>
      <c r="O114" s="49">
        <v>0</v>
      </c>
      <c r="P114" s="49">
        <f>SUM(P115:P117)</f>
        <v>0</v>
      </c>
      <c r="Q114" s="49">
        <f>SUM(Q115:Q117)</f>
        <v>0</v>
      </c>
      <c r="R114" s="49">
        <v>0</v>
      </c>
      <c r="S114" s="62">
        <v>0</v>
      </c>
      <c r="T114" s="49">
        <f>SUM(T115:T117)</f>
        <v>0</v>
      </c>
      <c r="U114" s="49">
        <f>SUM(U115:U117)</f>
        <v>0</v>
      </c>
    </row>
    <row r="115" spans="1:21" ht="14.15" customHeight="1" x14ac:dyDescent="0.35">
      <c r="A115" s="24"/>
      <c r="B115" s="24"/>
      <c r="C115" s="25" t="s">
        <v>167</v>
      </c>
      <c r="D115" s="26"/>
      <c r="E115" s="26"/>
      <c r="F115" s="26"/>
      <c r="G115" s="26">
        <v>400</v>
      </c>
      <c r="H115" s="26"/>
      <c r="I115" s="55"/>
      <c r="J115" s="60"/>
      <c r="K115" s="75"/>
      <c r="L115" s="60"/>
      <c r="M115" s="75"/>
      <c r="N115" s="60"/>
      <c r="O115" s="60"/>
      <c r="P115" s="60"/>
      <c r="Q115" s="60"/>
      <c r="R115" s="60"/>
      <c r="S115" s="60"/>
      <c r="T115" s="60"/>
      <c r="U115" s="60"/>
    </row>
    <row r="116" spans="1:21" ht="14.15" customHeight="1" x14ac:dyDescent="0.35">
      <c r="A116" s="24"/>
      <c r="B116" s="24"/>
      <c r="C116" s="25" t="s">
        <v>168</v>
      </c>
      <c r="D116" s="26"/>
      <c r="E116" s="26"/>
      <c r="F116" s="26"/>
      <c r="G116" s="26"/>
      <c r="H116" s="26"/>
      <c r="I116" s="55"/>
      <c r="J116" s="60"/>
      <c r="K116" s="75"/>
      <c r="L116" s="60"/>
      <c r="M116" s="75"/>
      <c r="N116" s="60"/>
      <c r="O116" s="60"/>
      <c r="P116" s="60"/>
      <c r="Q116" s="60"/>
      <c r="R116" s="60"/>
      <c r="S116" s="60"/>
      <c r="T116" s="60"/>
      <c r="U116" s="60"/>
    </row>
    <row r="117" spans="1:21" ht="14.15" customHeight="1" x14ac:dyDescent="0.35">
      <c r="A117" s="24"/>
      <c r="B117" s="24"/>
      <c r="C117" s="25" t="s">
        <v>169</v>
      </c>
      <c r="D117" s="26"/>
      <c r="E117" s="26"/>
      <c r="F117" s="26"/>
      <c r="G117" s="26"/>
      <c r="H117" s="26"/>
      <c r="I117" s="55"/>
      <c r="J117" s="60"/>
      <c r="K117" s="75"/>
      <c r="L117" s="60"/>
      <c r="M117" s="75"/>
      <c r="N117" s="60"/>
      <c r="O117" s="60"/>
      <c r="P117" s="60"/>
      <c r="Q117" s="60"/>
      <c r="R117" s="60"/>
      <c r="S117" s="60"/>
      <c r="T117" s="60"/>
      <c r="U117" s="60"/>
    </row>
    <row r="118" spans="1:21" s="3" customFormat="1" ht="14.15" customHeight="1" x14ac:dyDescent="0.35">
      <c r="A118" s="7" t="s">
        <v>170</v>
      </c>
      <c r="B118" s="7" t="s">
        <v>171</v>
      </c>
      <c r="C118" s="8" t="s">
        <v>172</v>
      </c>
      <c r="D118" s="9">
        <f>F118+H118+J118+L118+N118+P118+R118+T118</f>
        <v>0</v>
      </c>
      <c r="E118" s="9">
        <f>G118+I118+K118+M118+O118+Q118+S118+U118</f>
        <v>0</v>
      </c>
      <c r="F118" s="10">
        <f>SUM(F119:F122)</f>
        <v>0</v>
      </c>
      <c r="G118" s="10">
        <f>SUM(G119:G122)</f>
        <v>0</v>
      </c>
      <c r="H118" s="10">
        <v>0</v>
      </c>
      <c r="I118" s="49"/>
      <c r="J118" s="49">
        <v>0</v>
      </c>
      <c r="K118" s="49"/>
      <c r="L118" s="49">
        <v>0</v>
      </c>
      <c r="M118" s="49">
        <v>0</v>
      </c>
      <c r="N118" s="49">
        <v>0</v>
      </c>
      <c r="O118" s="49">
        <v>0</v>
      </c>
      <c r="P118" s="49">
        <f>SUM(P119:P122)</f>
        <v>0</v>
      </c>
      <c r="Q118" s="49">
        <f>SUM(Q119:Q122)</f>
        <v>0</v>
      </c>
      <c r="R118" s="49">
        <v>0</v>
      </c>
      <c r="S118" s="62">
        <v>0</v>
      </c>
      <c r="T118" s="49">
        <f>SUM(T119:T122)</f>
        <v>0</v>
      </c>
      <c r="U118" s="49">
        <f>SUM(U119:U122)</f>
        <v>0</v>
      </c>
    </row>
    <row r="119" spans="1:21" ht="14.15" customHeight="1" x14ac:dyDescent="0.35">
      <c r="A119" s="24"/>
      <c r="B119" s="24"/>
      <c r="C119" s="25" t="s">
        <v>173</v>
      </c>
      <c r="D119" s="26"/>
      <c r="E119" s="26"/>
      <c r="F119" s="26"/>
      <c r="G119" s="26"/>
      <c r="H119" s="26"/>
      <c r="I119" s="55"/>
      <c r="J119" s="60"/>
      <c r="K119" s="75"/>
      <c r="L119" s="60"/>
      <c r="M119" s="75"/>
      <c r="N119" s="60"/>
      <c r="O119" s="60"/>
      <c r="P119" s="60"/>
      <c r="Q119" s="60"/>
      <c r="R119" s="60"/>
      <c r="S119" s="60"/>
      <c r="T119" s="60"/>
      <c r="U119" s="60"/>
    </row>
    <row r="120" spans="1:21" ht="14.15" customHeight="1" x14ac:dyDescent="0.35">
      <c r="A120" s="24"/>
      <c r="B120" s="24"/>
      <c r="C120" s="25" t="s">
        <v>174</v>
      </c>
      <c r="D120" s="26"/>
      <c r="E120" s="26"/>
      <c r="F120" s="26"/>
      <c r="G120" s="26"/>
      <c r="H120" s="26"/>
      <c r="I120" s="55"/>
      <c r="J120" s="60"/>
      <c r="K120" s="75"/>
      <c r="L120" s="60"/>
      <c r="M120" s="75"/>
      <c r="N120" s="60"/>
      <c r="O120" s="60"/>
      <c r="P120" s="60"/>
      <c r="Q120" s="60"/>
      <c r="R120" s="60"/>
      <c r="S120" s="60"/>
      <c r="T120" s="60"/>
      <c r="U120" s="60"/>
    </row>
    <row r="121" spans="1:21" ht="14.15" customHeight="1" x14ac:dyDescent="0.35">
      <c r="A121" s="24"/>
      <c r="B121" s="24"/>
      <c r="C121" s="25" t="s">
        <v>175</v>
      </c>
      <c r="D121" s="26"/>
      <c r="E121" s="26"/>
      <c r="F121" s="26"/>
      <c r="G121" s="26"/>
      <c r="H121" s="26"/>
      <c r="I121" s="55"/>
      <c r="J121" s="60"/>
      <c r="K121" s="75"/>
      <c r="L121" s="60"/>
      <c r="M121" s="75"/>
      <c r="N121" s="60"/>
      <c r="O121" s="60"/>
      <c r="P121" s="60"/>
      <c r="Q121" s="60"/>
      <c r="R121" s="60"/>
      <c r="S121" s="60"/>
      <c r="T121" s="60"/>
      <c r="U121" s="60"/>
    </row>
    <row r="122" spans="1:21" ht="14.15" customHeight="1" x14ac:dyDescent="0.35">
      <c r="A122" s="24"/>
      <c r="B122" s="24"/>
      <c r="C122" s="25" t="s">
        <v>176</v>
      </c>
      <c r="D122" s="26"/>
      <c r="E122" s="26"/>
      <c r="F122" s="26"/>
      <c r="G122" s="26"/>
      <c r="H122" s="26"/>
      <c r="I122" s="55"/>
      <c r="J122" s="60"/>
      <c r="K122" s="75"/>
      <c r="L122" s="60"/>
      <c r="M122" s="75"/>
      <c r="N122" s="60"/>
      <c r="O122" s="60"/>
      <c r="P122" s="60"/>
      <c r="Q122" s="60"/>
      <c r="R122" s="60"/>
      <c r="S122" s="60"/>
      <c r="T122" s="60"/>
      <c r="U122" s="60"/>
    </row>
    <row r="123" spans="1:21" s="3" customFormat="1" ht="14.15" customHeight="1" x14ac:dyDescent="0.35">
      <c r="A123" s="7" t="s">
        <v>177</v>
      </c>
      <c r="B123" s="7" t="s">
        <v>178</v>
      </c>
      <c r="C123" s="8" t="s">
        <v>179</v>
      </c>
      <c r="D123" s="9">
        <f>F123+H123+J123+L123+N123+P123+R123+T123</f>
        <v>0</v>
      </c>
      <c r="E123" s="9">
        <f>G123+I123+K123+M123+O123+Q123+S123+U123</f>
        <v>0</v>
      </c>
      <c r="F123" s="10">
        <f>SUM(F124:F125)</f>
        <v>0</v>
      </c>
      <c r="G123" s="10">
        <f>SUM(G124:G125)</f>
        <v>0</v>
      </c>
      <c r="H123" s="10">
        <v>0</v>
      </c>
      <c r="I123" s="49"/>
      <c r="J123" s="49">
        <v>0</v>
      </c>
      <c r="K123" s="49"/>
      <c r="L123" s="49">
        <v>0</v>
      </c>
      <c r="M123" s="49">
        <v>0</v>
      </c>
      <c r="N123" s="49">
        <v>0</v>
      </c>
      <c r="O123" s="49">
        <v>0</v>
      </c>
      <c r="P123" s="49">
        <f>SUM(P124:P125)</f>
        <v>0</v>
      </c>
      <c r="Q123" s="49">
        <f>SUM(Q124:Q125)</f>
        <v>0</v>
      </c>
      <c r="R123" s="49">
        <v>0</v>
      </c>
      <c r="S123" s="62">
        <v>0</v>
      </c>
      <c r="T123" s="49">
        <f>SUM(T124:T125)</f>
        <v>0</v>
      </c>
      <c r="U123" s="49">
        <f>SUM(U124:U125)</f>
        <v>0</v>
      </c>
    </row>
    <row r="124" spans="1:21" ht="14.15" customHeight="1" x14ac:dyDescent="0.35">
      <c r="A124" s="24"/>
      <c r="B124" s="24"/>
      <c r="C124" s="25" t="s">
        <v>180</v>
      </c>
      <c r="D124" s="26"/>
      <c r="E124" s="26"/>
      <c r="F124" s="26"/>
      <c r="G124" s="26"/>
      <c r="H124" s="26"/>
      <c r="I124" s="55"/>
      <c r="J124" s="60"/>
      <c r="K124" s="75"/>
      <c r="L124" s="60"/>
      <c r="M124" s="75"/>
      <c r="N124" s="60"/>
      <c r="O124" s="60"/>
      <c r="P124" s="60"/>
      <c r="Q124" s="60"/>
      <c r="R124" s="60"/>
      <c r="S124" s="60"/>
      <c r="T124" s="60"/>
      <c r="U124" s="60"/>
    </row>
    <row r="125" spans="1:21" ht="14.15" customHeight="1" x14ac:dyDescent="0.35">
      <c r="A125" s="24"/>
      <c r="B125" s="24"/>
      <c r="C125" s="25" t="s">
        <v>181</v>
      </c>
      <c r="D125" s="26"/>
      <c r="E125" s="26"/>
      <c r="F125" s="26"/>
      <c r="G125" s="26"/>
      <c r="H125" s="26"/>
      <c r="I125" s="55"/>
      <c r="J125" s="60"/>
      <c r="K125" s="75"/>
      <c r="L125" s="60"/>
      <c r="M125" s="75"/>
      <c r="N125" s="60"/>
      <c r="O125" s="60"/>
      <c r="P125" s="60"/>
      <c r="Q125" s="60"/>
      <c r="R125" s="60"/>
      <c r="S125" s="60"/>
      <c r="T125" s="60"/>
      <c r="U125" s="60"/>
    </row>
    <row r="126" spans="1:21" s="3" customFormat="1" ht="14.15" customHeight="1" x14ac:dyDescent="0.35">
      <c r="A126" s="7" t="s">
        <v>182</v>
      </c>
      <c r="B126" s="7" t="s">
        <v>183</v>
      </c>
      <c r="C126" s="8" t="s">
        <v>184</v>
      </c>
      <c r="D126" s="9">
        <f>F126+H126+J126+L126+N126+P126+R126+T126</f>
        <v>1140</v>
      </c>
      <c r="E126" s="9">
        <f>G126+I126+K126+M126+O126+Q126+S126+U126</f>
        <v>2600</v>
      </c>
      <c r="F126" s="10">
        <f>SUM(F127:F130)</f>
        <v>1110</v>
      </c>
      <c r="G126" s="10">
        <f>SUM(G127:G130)</f>
        <v>2530</v>
      </c>
      <c r="H126" s="10">
        <v>0</v>
      </c>
      <c r="I126" s="49"/>
      <c r="J126" s="49">
        <v>0</v>
      </c>
      <c r="K126" s="49"/>
      <c r="L126" s="49">
        <v>0</v>
      </c>
      <c r="M126" s="49">
        <v>0</v>
      </c>
      <c r="N126" s="49">
        <f>SUM(N127:N130)</f>
        <v>20</v>
      </c>
      <c r="O126" s="49">
        <f>SUM(O127:O130)</f>
        <v>70</v>
      </c>
      <c r="P126" s="49">
        <f>SUM(P127:P130)</f>
        <v>10</v>
      </c>
      <c r="Q126" s="49">
        <f>SUM(Q127:Q130)</f>
        <v>0</v>
      </c>
      <c r="R126" s="49">
        <v>0</v>
      </c>
      <c r="S126" s="62">
        <v>0</v>
      </c>
      <c r="T126" s="49">
        <f>SUM(T127:T130)</f>
        <v>0</v>
      </c>
      <c r="U126" s="49">
        <f>SUM(U127:U130)</f>
        <v>0</v>
      </c>
    </row>
    <row r="127" spans="1:21" ht="14.15" customHeight="1" x14ac:dyDescent="0.35">
      <c r="A127" s="24"/>
      <c r="B127" s="24"/>
      <c r="C127" s="25" t="s">
        <v>185</v>
      </c>
      <c r="D127" s="26"/>
      <c r="E127" s="26"/>
      <c r="F127" s="26">
        <v>450</v>
      </c>
      <c r="G127" s="26">
        <v>530</v>
      </c>
      <c r="H127" s="26"/>
      <c r="I127" s="55"/>
      <c r="J127" s="60"/>
      <c r="K127" s="75"/>
      <c r="L127" s="60"/>
      <c r="M127" s="75"/>
      <c r="N127" s="60"/>
      <c r="O127" s="60"/>
      <c r="P127" s="60"/>
      <c r="Q127" s="60"/>
      <c r="R127" s="60"/>
      <c r="S127" s="60"/>
      <c r="T127" s="60"/>
      <c r="U127" s="60"/>
    </row>
    <row r="128" spans="1:21" ht="14.15" customHeight="1" x14ac:dyDescent="0.35">
      <c r="A128" s="24"/>
      <c r="B128" s="24"/>
      <c r="C128" s="25" t="s">
        <v>186</v>
      </c>
      <c r="D128" s="26"/>
      <c r="E128" s="26"/>
      <c r="F128" s="26">
        <v>560</v>
      </c>
      <c r="G128" s="26">
        <v>1500</v>
      </c>
      <c r="H128" s="26"/>
      <c r="I128" s="55"/>
      <c r="J128" s="60"/>
      <c r="K128" s="75"/>
      <c r="L128" s="60"/>
      <c r="M128" s="75"/>
      <c r="N128" s="60">
        <v>20</v>
      </c>
      <c r="O128" s="60">
        <v>20</v>
      </c>
      <c r="P128" s="60"/>
      <c r="Q128" s="60"/>
      <c r="R128" s="60"/>
      <c r="S128" s="60"/>
      <c r="T128" s="60"/>
      <c r="U128" s="60"/>
    </row>
    <row r="129" spans="1:256" ht="14.15" customHeight="1" x14ac:dyDescent="0.35">
      <c r="A129" s="24"/>
      <c r="B129" s="24"/>
      <c r="C129" s="25" t="s">
        <v>187</v>
      </c>
      <c r="D129" s="26"/>
      <c r="E129" s="26"/>
      <c r="F129" s="26"/>
      <c r="G129" s="26"/>
      <c r="H129" s="26"/>
      <c r="I129" s="55"/>
      <c r="J129" s="60"/>
      <c r="K129" s="75"/>
      <c r="L129" s="60"/>
      <c r="M129" s="75"/>
      <c r="N129" s="60"/>
      <c r="O129" s="60"/>
      <c r="P129" s="60"/>
      <c r="Q129" s="60"/>
      <c r="R129" s="60"/>
      <c r="S129" s="60"/>
      <c r="T129" s="60"/>
      <c r="U129" s="60"/>
    </row>
    <row r="130" spans="1:256" ht="14.15" customHeight="1" x14ac:dyDescent="0.35">
      <c r="A130" s="24"/>
      <c r="B130" s="24"/>
      <c r="C130" s="25" t="s">
        <v>188</v>
      </c>
      <c r="D130" s="26"/>
      <c r="E130" s="26"/>
      <c r="F130" s="26">
        <v>100</v>
      </c>
      <c r="G130" s="26">
        <v>500</v>
      </c>
      <c r="H130" s="26"/>
      <c r="I130" s="55"/>
      <c r="J130" s="60"/>
      <c r="K130" s="75"/>
      <c r="L130" s="60"/>
      <c r="M130" s="75"/>
      <c r="N130" s="60"/>
      <c r="O130" s="60">
        <v>50</v>
      </c>
      <c r="P130" s="60">
        <v>10</v>
      </c>
      <c r="Q130" s="60"/>
      <c r="R130" s="60"/>
      <c r="S130" s="60"/>
      <c r="T130" s="60"/>
      <c r="U130" s="60"/>
    </row>
    <row r="131" spans="1:256" s="3" customFormat="1" ht="14.15" customHeight="1" x14ac:dyDescent="0.35">
      <c r="A131" s="16" t="s">
        <v>189</v>
      </c>
      <c r="B131" s="16" t="s">
        <v>190</v>
      </c>
      <c r="C131" s="17" t="s">
        <v>191</v>
      </c>
      <c r="D131" s="19">
        <f>D111+D114+D118+D123+D126</f>
        <v>23882</v>
      </c>
      <c r="E131" s="19">
        <f>E111+E114+E118+E123+E126</f>
        <v>28146</v>
      </c>
      <c r="F131" s="19">
        <f>F111+F114+F118+F123+F126</f>
        <v>22653</v>
      </c>
      <c r="G131" s="19">
        <f t="shared" ref="G131:U131" si="15">G111+G114+G118+G123+G126</f>
        <v>26437</v>
      </c>
      <c r="H131" s="19">
        <f t="shared" si="15"/>
        <v>0</v>
      </c>
      <c r="I131" s="19">
        <f t="shared" si="15"/>
        <v>0</v>
      </c>
      <c r="J131" s="19">
        <f t="shared" si="15"/>
        <v>0</v>
      </c>
      <c r="K131" s="19">
        <f t="shared" si="15"/>
        <v>0</v>
      </c>
      <c r="L131" s="19">
        <f t="shared" si="15"/>
        <v>0</v>
      </c>
      <c r="M131" s="19">
        <f t="shared" si="15"/>
        <v>0</v>
      </c>
      <c r="N131" s="19">
        <f t="shared" si="15"/>
        <v>412</v>
      </c>
      <c r="O131" s="19">
        <f t="shared" si="15"/>
        <v>533</v>
      </c>
      <c r="P131" s="19">
        <f t="shared" si="15"/>
        <v>177</v>
      </c>
      <c r="Q131" s="19">
        <f t="shared" si="15"/>
        <v>115</v>
      </c>
      <c r="R131" s="19">
        <f t="shared" si="15"/>
        <v>0</v>
      </c>
      <c r="S131" s="19">
        <f t="shared" si="15"/>
        <v>0</v>
      </c>
      <c r="T131" s="19">
        <f t="shared" si="15"/>
        <v>640</v>
      </c>
      <c r="U131" s="19">
        <f t="shared" si="15"/>
        <v>1061</v>
      </c>
    </row>
    <row r="132" spans="1:256" s="3" customFormat="1" ht="14.15" customHeight="1" x14ac:dyDescent="0.35">
      <c r="A132" s="20" t="s">
        <v>192</v>
      </c>
      <c r="B132" s="20" t="s">
        <v>193</v>
      </c>
      <c r="C132" s="21" t="s">
        <v>292</v>
      </c>
      <c r="D132" s="23">
        <f>D72+D83+D105+D110+D131</f>
        <v>110572</v>
      </c>
      <c r="E132" s="23">
        <f>E72+E83+E105+E110+E131</f>
        <v>121630</v>
      </c>
      <c r="F132" s="23">
        <f>F72+F83+F105+F110+F131</f>
        <v>103243</v>
      </c>
      <c r="G132" s="23">
        <f t="shared" ref="G132:U132" si="16">G72+G83+G105+G110+G131</f>
        <v>113801</v>
      </c>
      <c r="H132" s="23">
        <f t="shared" si="16"/>
        <v>0</v>
      </c>
      <c r="I132" s="23">
        <f t="shared" si="16"/>
        <v>0</v>
      </c>
      <c r="J132" s="23">
        <f t="shared" si="16"/>
        <v>0</v>
      </c>
      <c r="K132" s="23">
        <f t="shared" si="16"/>
        <v>0</v>
      </c>
      <c r="L132" s="23">
        <f t="shared" si="16"/>
        <v>0</v>
      </c>
      <c r="M132" s="23">
        <f t="shared" si="16"/>
        <v>0</v>
      </c>
      <c r="N132" s="23">
        <f t="shared" si="16"/>
        <v>1922</v>
      </c>
      <c r="O132" s="23">
        <f t="shared" si="16"/>
        <v>2298</v>
      </c>
      <c r="P132" s="23">
        <f t="shared" si="16"/>
        <v>797</v>
      </c>
      <c r="Q132" s="23">
        <f t="shared" si="16"/>
        <v>540</v>
      </c>
      <c r="R132" s="23">
        <f t="shared" si="16"/>
        <v>0</v>
      </c>
      <c r="S132" s="23">
        <f t="shared" si="16"/>
        <v>0</v>
      </c>
      <c r="T132" s="23">
        <f t="shared" si="16"/>
        <v>4610</v>
      </c>
      <c r="U132" s="23">
        <f t="shared" si="16"/>
        <v>4991</v>
      </c>
    </row>
    <row r="133" spans="1:256" ht="14.15" customHeight="1" x14ac:dyDescent="0.35">
      <c r="A133" s="24" t="s">
        <v>615</v>
      </c>
      <c r="B133" s="24" t="s">
        <v>623</v>
      </c>
      <c r="C133" s="25" t="s">
        <v>631</v>
      </c>
      <c r="D133" s="26">
        <f>F133+H133+J133+L133+N133+P133+R133+T133</f>
        <v>0</v>
      </c>
      <c r="E133" s="26">
        <f>G133+I133+K133+M133+O133+Q133+S133+U133</f>
        <v>0</v>
      </c>
      <c r="F133" s="26"/>
      <c r="G133" s="26"/>
      <c r="H133" s="26"/>
      <c r="I133" s="55"/>
      <c r="J133" s="60"/>
      <c r="K133" s="75"/>
      <c r="L133" s="60"/>
      <c r="M133" s="75"/>
      <c r="N133" s="60"/>
      <c r="O133" s="60"/>
      <c r="P133" s="60"/>
      <c r="Q133" s="60"/>
      <c r="R133" s="60"/>
      <c r="S133" s="60"/>
      <c r="T133" s="60"/>
      <c r="U133" s="60"/>
    </row>
    <row r="134" spans="1:256" ht="14.15" customHeight="1" x14ac:dyDescent="0.35">
      <c r="A134" s="24" t="s">
        <v>616</v>
      </c>
      <c r="B134" s="24" t="s">
        <v>624</v>
      </c>
      <c r="C134" s="25" t="s">
        <v>632</v>
      </c>
      <c r="D134" s="26">
        <f t="shared" ref="D134:E140" si="17">F134+H134+J134+L134+N134+P134+R134+T134</f>
        <v>20</v>
      </c>
      <c r="E134" s="26">
        <f t="shared" si="17"/>
        <v>0</v>
      </c>
      <c r="F134" s="26"/>
      <c r="G134" s="26"/>
      <c r="H134" s="26"/>
      <c r="I134" s="55"/>
      <c r="J134" s="60"/>
      <c r="K134" s="75"/>
      <c r="L134" s="60"/>
      <c r="M134" s="75"/>
      <c r="N134" s="60"/>
      <c r="O134" s="60"/>
      <c r="P134" s="60"/>
      <c r="Q134" s="60"/>
      <c r="R134" s="60">
        <v>20</v>
      </c>
      <c r="S134" s="60"/>
      <c r="T134" s="60"/>
      <c r="U134" s="60"/>
    </row>
    <row r="135" spans="1:256" ht="14.15" customHeight="1" x14ac:dyDescent="0.35">
      <c r="A135" s="24" t="s">
        <v>617</v>
      </c>
      <c r="B135" s="24" t="s">
        <v>625</v>
      </c>
      <c r="C135" s="25" t="s">
        <v>633</v>
      </c>
      <c r="D135" s="26">
        <f t="shared" si="17"/>
        <v>0</v>
      </c>
      <c r="E135" s="26">
        <f t="shared" si="17"/>
        <v>0</v>
      </c>
      <c r="F135" s="26"/>
      <c r="G135" s="26"/>
      <c r="H135" s="26"/>
      <c r="I135" s="55"/>
      <c r="J135" s="60"/>
      <c r="K135" s="75"/>
      <c r="L135" s="60"/>
      <c r="M135" s="75"/>
      <c r="N135" s="60"/>
      <c r="O135" s="60"/>
      <c r="P135" s="60"/>
      <c r="Q135" s="60"/>
      <c r="R135" s="60"/>
      <c r="S135" s="60"/>
      <c r="T135" s="60"/>
      <c r="U135" s="60"/>
    </row>
    <row r="136" spans="1:256" ht="14.15" customHeight="1" x14ac:dyDescent="0.35">
      <c r="A136" s="24" t="s">
        <v>618</v>
      </c>
      <c r="B136" s="24" t="s">
        <v>626</v>
      </c>
      <c r="C136" s="25" t="s">
        <v>634</v>
      </c>
      <c r="D136" s="26">
        <f t="shared" si="17"/>
        <v>0</v>
      </c>
      <c r="E136" s="26">
        <f t="shared" si="17"/>
        <v>0</v>
      </c>
      <c r="F136" s="26"/>
      <c r="G136" s="26"/>
      <c r="H136" s="26"/>
      <c r="I136" s="55"/>
      <c r="J136" s="60"/>
      <c r="K136" s="75"/>
      <c r="L136" s="60"/>
      <c r="M136" s="75"/>
      <c r="N136" s="60"/>
      <c r="O136" s="60"/>
      <c r="P136" s="60"/>
      <c r="Q136" s="60"/>
      <c r="R136" s="60"/>
      <c r="S136" s="60"/>
      <c r="T136" s="60"/>
      <c r="U136" s="60"/>
    </row>
    <row r="137" spans="1:256" ht="14.15" customHeight="1" x14ac:dyDescent="0.35">
      <c r="A137" s="24" t="s">
        <v>619</v>
      </c>
      <c r="B137" s="24" t="s">
        <v>627</v>
      </c>
      <c r="C137" s="25" t="s">
        <v>635</v>
      </c>
      <c r="D137" s="26">
        <f t="shared" si="17"/>
        <v>2000</v>
      </c>
      <c r="E137" s="26">
        <f t="shared" si="17"/>
        <v>0</v>
      </c>
      <c r="F137" s="26"/>
      <c r="G137" s="26"/>
      <c r="H137" s="26"/>
      <c r="I137" s="55"/>
      <c r="J137" s="60"/>
      <c r="K137" s="75"/>
      <c r="L137" s="60"/>
      <c r="M137" s="75"/>
      <c r="N137" s="60"/>
      <c r="O137" s="60"/>
      <c r="P137" s="60"/>
      <c r="Q137" s="60"/>
      <c r="R137" s="60">
        <v>2000</v>
      </c>
      <c r="S137" s="60"/>
      <c r="T137" s="60"/>
      <c r="U137" s="60"/>
    </row>
    <row r="138" spans="1:256" ht="14.15" customHeight="1" x14ac:dyDescent="0.35">
      <c r="A138" s="24" t="s">
        <v>620</v>
      </c>
      <c r="B138" s="24" t="s">
        <v>628</v>
      </c>
      <c r="C138" s="25" t="s">
        <v>636</v>
      </c>
      <c r="D138" s="26">
        <f t="shared" si="17"/>
        <v>0</v>
      </c>
      <c r="E138" s="26">
        <f t="shared" si="17"/>
        <v>0</v>
      </c>
      <c r="F138" s="26"/>
      <c r="G138" s="26"/>
      <c r="H138" s="26"/>
      <c r="I138" s="55"/>
      <c r="J138" s="60"/>
      <c r="K138" s="75"/>
      <c r="L138" s="60"/>
      <c r="M138" s="75"/>
      <c r="N138" s="60"/>
      <c r="O138" s="60"/>
      <c r="P138" s="60"/>
      <c r="Q138" s="60"/>
      <c r="R138" s="60"/>
      <c r="S138" s="60"/>
      <c r="T138" s="60"/>
      <c r="U138" s="60"/>
    </row>
    <row r="139" spans="1:256" ht="14.15" customHeight="1" x14ac:dyDescent="0.35">
      <c r="A139" s="24" t="s">
        <v>621</v>
      </c>
      <c r="B139" s="24" t="s">
        <v>629</v>
      </c>
      <c r="C139" s="25" t="s">
        <v>637</v>
      </c>
      <c r="D139" s="26">
        <f t="shared" si="17"/>
        <v>0</v>
      </c>
      <c r="E139" s="26">
        <f t="shared" si="17"/>
        <v>0</v>
      </c>
      <c r="F139" s="26"/>
      <c r="G139" s="26"/>
      <c r="H139" s="26"/>
      <c r="I139" s="55"/>
      <c r="J139" s="60"/>
      <c r="K139" s="75"/>
      <c r="L139" s="60"/>
      <c r="M139" s="75"/>
      <c r="N139" s="60"/>
      <c r="O139" s="60"/>
      <c r="P139" s="60"/>
      <c r="Q139" s="60"/>
      <c r="R139" s="60"/>
      <c r="S139" s="60"/>
      <c r="T139" s="60"/>
      <c r="U139" s="60"/>
    </row>
    <row r="140" spans="1:256" ht="14.15" customHeight="1" x14ac:dyDescent="0.35">
      <c r="A140" s="24" t="s">
        <v>622</v>
      </c>
      <c r="B140" s="24" t="s">
        <v>630</v>
      </c>
      <c r="C140" s="25" t="s">
        <v>638</v>
      </c>
      <c r="D140" s="26">
        <f t="shared" si="17"/>
        <v>2600</v>
      </c>
      <c r="E140" s="26">
        <f t="shared" si="17"/>
        <v>0</v>
      </c>
      <c r="F140" s="26"/>
      <c r="G140" s="26"/>
      <c r="H140" s="26"/>
      <c r="I140" s="55"/>
      <c r="J140" s="60"/>
      <c r="K140" s="75"/>
      <c r="L140" s="60"/>
      <c r="M140" s="75"/>
      <c r="N140" s="60"/>
      <c r="O140" s="60"/>
      <c r="P140" s="60"/>
      <c r="Q140" s="60"/>
      <c r="R140" s="60">
        <v>2600</v>
      </c>
      <c r="S140" s="60"/>
      <c r="T140" s="60"/>
      <c r="U140" s="60"/>
    </row>
    <row r="141" spans="1:256" s="3" customFormat="1" ht="14.15" customHeight="1" x14ac:dyDescent="0.35">
      <c r="A141" s="144" t="s">
        <v>613</v>
      </c>
      <c r="B141" s="145" t="s">
        <v>614</v>
      </c>
      <c r="C141" s="146" t="s">
        <v>337</v>
      </c>
      <c r="D141" s="23">
        <f>SUM(D133:D140)</f>
        <v>4620</v>
      </c>
      <c r="E141" s="23">
        <f t="shared" ref="E141:U141" si="18">SUM(E133:E140)</f>
        <v>0</v>
      </c>
      <c r="F141" s="23">
        <f t="shared" si="18"/>
        <v>0</v>
      </c>
      <c r="G141" s="23">
        <f t="shared" si="18"/>
        <v>0</v>
      </c>
      <c r="H141" s="23">
        <f t="shared" si="18"/>
        <v>0</v>
      </c>
      <c r="I141" s="23">
        <f t="shared" si="18"/>
        <v>0</v>
      </c>
      <c r="J141" s="23">
        <f t="shared" si="18"/>
        <v>0</v>
      </c>
      <c r="K141" s="23">
        <f t="shared" si="18"/>
        <v>0</v>
      </c>
      <c r="L141" s="23">
        <f t="shared" si="18"/>
        <v>0</v>
      </c>
      <c r="M141" s="23">
        <f t="shared" si="18"/>
        <v>0</v>
      </c>
      <c r="N141" s="23">
        <f t="shared" si="18"/>
        <v>0</v>
      </c>
      <c r="O141" s="23">
        <f t="shared" si="18"/>
        <v>0</v>
      </c>
      <c r="P141" s="23">
        <f t="shared" si="18"/>
        <v>0</v>
      </c>
      <c r="Q141" s="23">
        <f t="shared" si="18"/>
        <v>0</v>
      </c>
      <c r="R141" s="23">
        <f t="shared" si="18"/>
        <v>4620</v>
      </c>
      <c r="S141" s="23">
        <f t="shared" si="18"/>
        <v>0</v>
      </c>
      <c r="T141" s="23">
        <f t="shared" si="18"/>
        <v>0</v>
      </c>
      <c r="U141" s="23">
        <f t="shared" si="18"/>
        <v>0</v>
      </c>
    </row>
    <row r="142" spans="1:256" ht="14.15" customHeight="1" x14ac:dyDescent="0.25">
      <c r="A142" s="1104" t="s">
        <v>291</v>
      </c>
      <c r="B142" s="1105"/>
      <c r="C142" s="1106"/>
      <c r="D142" s="28">
        <f>D46+D132+D141</f>
        <v>564746</v>
      </c>
      <c r="E142" s="28">
        <f t="shared" ref="E142:U142" si="19">E46+E132+E141</f>
        <v>496090</v>
      </c>
      <c r="F142" s="28">
        <f t="shared" si="19"/>
        <v>490125</v>
      </c>
      <c r="G142" s="28">
        <f t="shared" si="19"/>
        <v>467138</v>
      </c>
      <c r="H142" s="28">
        <f t="shared" si="19"/>
        <v>8532</v>
      </c>
      <c r="I142" s="28">
        <f t="shared" si="19"/>
        <v>0</v>
      </c>
      <c r="J142" s="28">
        <f t="shared" si="19"/>
        <v>2028</v>
      </c>
      <c r="K142" s="28">
        <f t="shared" si="19"/>
        <v>0</v>
      </c>
      <c r="L142" s="28">
        <f t="shared" si="19"/>
        <v>28590</v>
      </c>
      <c r="M142" s="28">
        <f t="shared" si="19"/>
        <v>0</v>
      </c>
      <c r="N142" s="28">
        <f t="shared" si="19"/>
        <v>21337</v>
      </c>
      <c r="O142" s="28">
        <f t="shared" si="19"/>
        <v>19235</v>
      </c>
      <c r="P142" s="28">
        <f t="shared" si="19"/>
        <v>4904</v>
      </c>
      <c r="Q142" s="28">
        <f t="shared" si="19"/>
        <v>4665</v>
      </c>
      <c r="R142" s="28">
        <f t="shared" si="19"/>
        <v>4620</v>
      </c>
      <c r="S142" s="28">
        <f t="shared" si="19"/>
        <v>0</v>
      </c>
      <c r="T142" s="28">
        <f t="shared" si="19"/>
        <v>4610</v>
      </c>
      <c r="U142" s="28">
        <f t="shared" si="19"/>
        <v>5052</v>
      </c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</row>
    <row r="143" spans="1:256" ht="12.75" customHeight="1" x14ac:dyDescent="0.25">
      <c r="A143" s="27"/>
      <c r="B143" s="27"/>
      <c r="C143" s="27"/>
      <c r="D143" s="27"/>
      <c r="E143" s="27"/>
      <c r="F143" s="27"/>
      <c r="G143" s="27"/>
      <c r="H143" s="27"/>
      <c r="I143" s="27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</row>
    <row r="144" spans="1:256" ht="14.15" customHeight="1" x14ac:dyDescent="0.25">
      <c r="A144" s="27"/>
      <c r="B144" s="27"/>
      <c r="C144" s="27"/>
      <c r="D144" s="27"/>
      <c r="E144" s="27"/>
      <c r="F144" s="27"/>
      <c r="G144" s="27"/>
      <c r="H144" s="27"/>
      <c r="I144" s="27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</row>
    <row r="145" spans="1:21" ht="14.15" customHeight="1" x14ac:dyDescent="0.35">
      <c r="J145" s="48"/>
      <c r="K145" s="48"/>
      <c r="L145" s="48"/>
      <c r="M145" s="48"/>
      <c r="N145" s="48"/>
      <c r="O145" s="48"/>
      <c r="P145" s="48"/>
      <c r="Q145" s="48"/>
      <c r="R145" s="48"/>
      <c r="S145" s="48"/>
    </row>
    <row r="146" spans="1:21" s="1" customFormat="1" ht="12.75" customHeight="1" x14ac:dyDescent="0.35">
      <c r="A146" s="1120" t="s">
        <v>599</v>
      </c>
      <c r="B146" s="1121"/>
      <c r="C146" s="1121"/>
      <c r="D146" s="1121"/>
      <c r="E146" s="1121"/>
      <c r="F146" s="1121"/>
      <c r="G146" s="1121"/>
      <c r="H146" s="1121"/>
      <c r="I146" s="1121"/>
      <c r="J146" s="1121"/>
      <c r="K146" s="1121"/>
      <c r="L146" s="1121"/>
      <c r="M146" s="1121"/>
      <c r="N146" s="1121" t="s">
        <v>599</v>
      </c>
      <c r="O146" s="1121"/>
      <c r="P146" s="1121"/>
      <c r="Q146" s="1121"/>
      <c r="R146" s="1121"/>
      <c r="S146" s="1121"/>
      <c r="T146" s="1121"/>
      <c r="U146" s="1122"/>
    </row>
    <row r="147" spans="1:21" s="1" customFormat="1" ht="14.15" customHeight="1" x14ac:dyDescent="0.35">
      <c r="A147" s="1164" t="s">
        <v>0</v>
      </c>
      <c r="B147" s="1165" t="s">
        <v>1</v>
      </c>
      <c r="C147" s="1164" t="s">
        <v>2</v>
      </c>
      <c r="D147" s="1097" t="s">
        <v>260</v>
      </c>
      <c r="E147" s="1167" t="s">
        <v>259</v>
      </c>
      <c r="F147" s="1162" t="s">
        <v>600</v>
      </c>
      <c r="G147" s="1166"/>
      <c r="H147" s="1162" t="s">
        <v>601</v>
      </c>
      <c r="I147" s="1163"/>
      <c r="J147" s="1174" t="s">
        <v>602</v>
      </c>
      <c r="K147" s="1160"/>
      <c r="L147" s="1177" t="s">
        <v>639</v>
      </c>
      <c r="M147" s="1177"/>
      <c r="N147" s="1168" t="s">
        <v>603</v>
      </c>
      <c r="O147" s="1169"/>
      <c r="P147" s="1168" t="s">
        <v>604</v>
      </c>
      <c r="Q147" s="1169"/>
      <c r="R147" s="1175" t="s">
        <v>605</v>
      </c>
      <c r="S147" s="1176"/>
      <c r="T147" s="1175" t="s">
        <v>606</v>
      </c>
      <c r="U147" s="1176"/>
    </row>
    <row r="148" spans="1:21" s="3" customFormat="1" ht="27" customHeight="1" x14ac:dyDescent="0.35">
      <c r="A148" s="1101"/>
      <c r="B148" s="1102"/>
      <c r="C148" s="1101"/>
      <c r="D148" s="1103"/>
      <c r="E148" s="1097"/>
      <c r="F148" s="2" t="s">
        <v>263</v>
      </c>
      <c r="G148" s="2" t="s">
        <v>259</v>
      </c>
      <c r="H148" s="2" t="s">
        <v>260</v>
      </c>
      <c r="I148" s="47" t="s">
        <v>259</v>
      </c>
      <c r="J148" s="59" t="s">
        <v>260</v>
      </c>
      <c r="K148" s="74" t="s">
        <v>259</v>
      </c>
      <c r="L148" s="148" t="s">
        <v>260</v>
      </c>
      <c r="M148" s="148" t="s">
        <v>259</v>
      </c>
      <c r="N148" s="81" t="s">
        <v>260</v>
      </c>
      <c r="O148" s="82" t="s">
        <v>259</v>
      </c>
      <c r="P148" s="81" t="s">
        <v>260</v>
      </c>
      <c r="Q148" s="82" t="s">
        <v>259</v>
      </c>
      <c r="R148" s="142" t="s">
        <v>260</v>
      </c>
      <c r="S148" s="143" t="s">
        <v>259</v>
      </c>
      <c r="T148" s="142" t="s">
        <v>260</v>
      </c>
      <c r="U148" s="143" t="s">
        <v>259</v>
      </c>
    </row>
    <row r="149" spans="1:21" ht="5.65" customHeight="1" x14ac:dyDescent="0.35">
      <c r="J149" s="60"/>
      <c r="K149" s="75"/>
      <c r="L149" s="60"/>
      <c r="M149" s="75"/>
      <c r="N149" s="60"/>
      <c r="O149" s="60"/>
      <c r="P149" s="60"/>
      <c r="Q149" s="60"/>
      <c r="R149" s="60"/>
      <c r="S149" s="60"/>
      <c r="T149" s="60"/>
      <c r="U149" s="60"/>
    </row>
    <row r="150" spans="1:21" ht="14.15" customHeight="1" x14ac:dyDescent="0.35">
      <c r="A150" s="1100" t="s">
        <v>194</v>
      </c>
      <c r="B150" s="1100"/>
      <c r="C150" s="1100"/>
      <c r="D150" s="1100"/>
      <c r="E150" s="1100"/>
      <c r="F150" s="1100"/>
      <c r="G150" s="1100"/>
      <c r="H150" s="1100"/>
      <c r="I150" s="1100"/>
      <c r="J150" s="61"/>
      <c r="K150" s="76"/>
      <c r="L150" s="61"/>
      <c r="M150" s="76"/>
      <c r="N150" s="61"/>
      <c r="O150" s="61"/>
      <c r="P150" s="61"/>
      <c r="Q150" s="61"/>
      <c r="R150" s="61"/>
      <c r="S150" s="61"/>
      <c r="T150" s="61"/>
      <c r="U150" s="61"/>
    </row>
    <row r="151" spans="1:21" ht="14.15" customHeight="1" x14ac:dyDescent="0.35">
      <c r="A151" s="24" t="s">
        <v>195</v>
      </c>
      <c r="B151" s="24" t="s">
        <v>196</v>
      </c>
      <c r="C151" s="25" t="s">
        <v>197</v>
      </c>
      <c r="D151" s="26">
        <f>F151+H151+J151+L151+N151+P151+R151+T151</f>
        <v>0</v>
      </c>
      <c r="E151" s="26">
        <f>G151+I151+K151+M151+O151+Q151+S151+U151</f>
        <v>2083</v>
      </c>
      <c r="F151" s="26"/>
      <c r="G151" s="26">
        <v>2083</v>
      </c>
      <c r="H151" s="26"/>
      <c r="I151" s="55"/>
      <c r="J151" s="60"/>
      <c r="K151" s="75"/>
      <c r="L151" s="60"/>
      <c r="M151" s="75"/>
      <c r="N151" s="60"/>
      <c r="O151" s="60"/>
      <c r="P151" s="60"/>
      <c r="Q151" s="60"/>
      <c r="R151" s="60"/>
      <c r="S151" s="60"/>
      <c r="T151" s="60"/>
      <c r="U151" s="60"/>
    </row>
    <row r="152" spans="1:21" ht="14.15" customHeight="1" x14ac:dyDescent="0.35">
      <c r="A152" s="24" t="s">
        <v>198</v>
      </c>
      <c r="B152" s="24" t="s">
        <v>199</v>
      </c>
      <c r="C152" s="25" t="s">
        <v>200</v>
      </c>
      <c r="D152" s="26">
        <f t="shared" ref="D152:E158" si="20">F152+H152+J152+L152+N152+P152+R152+T152</f>
        <v>0</v>
      </c>
      <c r="E152" s="26">
        <f t="shared" si="20"/>
        <v>0</v>
      </c>
      <c r="F152" s="26"/>
      <c r="G152" s="26"/>
      <c r="H152" s="26"/>
      <c r="I152" s="55"/>
      <c r="J152" s="60"/>
      <c r="K152" s="75"/>
      <c r="L152" s="60"/>
      <c r="M152" s="75"/>
      <c r="N152" s="60"/>
      <c r="O152" s="60"/>
      <c r="P152" s="60"/>
      <c r="Q152" s="60"/>
      <c r="R152" s="60"/>
      <c r="S152" s="60"/>
      <c r="T152" s="60"/>
      <c r="U152" s="60"/>
    </row>
    <row r="153" spans="1:21" ht="14.15" customHeight="1" x14ac:dyDescent="0.35">
      <c r="A153" s="24" t="s">
        <v>201</v>
      </c>
      <c r="B153" s="24" t="s">
        <v>202</v>
      </c>
      <c r="C153" s="25" t="s">
        <v>203</v>
      </c>
      <c r="D153" s="26">
        <f t="shared" si="20"/>
        <v>1000</v>
      </c>
      <c r="E153" s="26">
        <f t="shared" si="20"/>
        <v>1000</v>
      </c>
      <c r="F153" s="26">
        <v>1000</v>
      </c>
      <c r="G153" s="26">
        <v>1000</v>
      </c>
      <c r="H153" s="26"/>
      <c r="I153" s="55"/>
      <c r="J153" s="60"/>
      <c r="K153" s="75"/>
      <c r="L153" s="60"/>
      <c r="M153" s="75"/>
      <c r="N153" s="60"/>
      <c r="O153" s="60"/>
      <c r="P153" s="60"/>
      <c r="Q153" s="60"/>
      <c r="R153" s="60"/>
      <c r="S153" s="60"/>
      <c r="T153" s="60"/>
      <c r="U153" s="60"/>
    </row>
    <row r="154" spans="1:21" ht="14.15" customHeight="1" x14ac:dyDescent="0.35">
      <c r="A154" s="24" t="s">
        <v>204</v>
      </c>
      <c r="B154" s="24" t="s">
        <v>205</v>
      </c>
      <c r="C154" s="25" t="s">
        <v>206</v>
      </c>
      <c r="D154" s="26">
        <f t="shared" si="20"/>
        <v>900</v>
      </c>
      <c r="E154" s="26">
        <f t="shared" si="20"/>
        <v>4220</v>
      </c>
      <c r="F154" s="26">
        <v>800</v>
      </c>
      <c r="G154" s="26">
        <f>1000+3150</f>
        <v>4150</v>
      </c>
      <c r="H154" s="26"/>
      <c r="I154" s="55"/>
      <c r="J154" s="60"/>
      <c r="K154" s="75"/>
      <c r="L154" s="60"/>
      <c r="M154" s="75"/>
      <c r="N154" s="60">
        <v>100</v>
      </c>
      <c r="O154" s="60">
        <v>40</v>
      </c>
      <c r="P154" s="60"/>
      <c r="Q154" s="60"/>
      <c r="R154" s="60"/>
      <c r="S154" s="60"/>
      <c r="T154" s="60"/>
      <c r="U154" s="60">
        <v>30</v>
      </c>
    </row>
    <row r="155" spans="1:21" ht="14.15" customHeight="1" x14ac:dyDescent="0.35">
      <c r="A155" s="24"/>
      <c r="B155" s="24" t="s">
        <v>207</v>
      </c>
      <c r="C155" s="25" t="s">
        <v>208</v>
      </c>
      <c r="D155" s="26">
        <f t="shared" si="20"/>
        <v>5000</v>
      </c>
      <c r="E155" s="26">
        <f t="shared" si="20"/>
        <v>0</v>
      </c>
      <c r="F155" s="26">
        <v>5000</v>
      </c>
      <c r="G155" s="26"/>
      <c r="H155" s="26"/>
      <c r="I155" s="55"/>
      <c r="J155" s="60"/>
      <c r="K155" s="75"/>
      <c r="L155" s="60"/>
      <c r="M155" s="75"/>
      <c r="N155" s="60"/>
      <c r="O155" s="60"/>
      <c r="P155" s="60"/>
      <c r="Q155" s="60"/>
      <c r="R155" s="60"/>
      <c r="S155" s="60"/>
      <c r="T155" s="60"/>
      <c r="U155" s="60"/>
    </row>
    <row r="156" spans="1:21" ht="14.15" customHeight="1" x14ac:dyDescent="0.35">
      <c r="A156" s="24" t="s">
        <v>209</v>
      </c>
      <c r="B156" s="24" t="s">
        <v>210</v>
      </c>
      <c r="C156" s="25" t="s">
        <v>211</v>
      </c>
      <c r="D156" s="26">
        <f t="shared" si="20"/>
        <v>0</v>
      </c>
      <c r="E156" s="26">
        <f t="shared" si="20"/>
        <v>0</v>
      </c>
      <c r="F156" s="26"/>
      <c r="G156" s="26"/>
      <c r="H156" s="26"/>
      <c r="I156" s="55"/>
      <c r="J156" s="60"/>
      <c r="K156" s="75"/>
      <c r="L156" s="60"/>
      <c r="M156" s="75"/>
      <c r="N156" s="60"/>
      <c r="O156" s="60"/>
      <c r="P156" s="60"/>
      <c r="Q156" s="60"/>
      <c r="R156" s="60"/>
      <c r="S156" s="60"/>
      <c r="T156" s="60"/>
      <c r="U156" s="60"/>
    </row>
    <row r="157" spans="1:21" ht="14.15" customHeight="1" x14ac:dyDescent="0.35">
      <c r="A157" s="24" t="s">
        <v>212</v>
      </c>
      <c r="B157" s="24" t="s">
        <v>213</v>
      </c>
      <c r="C157" s="25" t="s">
        <v>214</v>
      </c>
      <c r="D157" s="26">
        <f t="shared" si="20"/>
        <v>0</v>
      </c>
      <c r="E157" s="26">
        <f t="shared" si="20"/>
        <v>0</v>
      </c>
      <c r="F157" s="26"/>
      <c r="G157" s="26"/>
      <c r="H157" s="26"/>
      <c r="I157" s="55"/>
      <c r="J157" s="60"/>
      <c r="K157" s="75"/>
      <c r="L157" s="60"/>
      <c r="M157" s="75"/>
      <c r="N157" s="60"/>
      <c r="O157" s="60"/>
      <c r="P157" s="60"/>
      <c r="Q157" s="60"/>
      <c r="R157" s="60"/>
      <c r="S157" s="60"/>
      <c r="T157" s="60"/>
      <c r="U157" s="60"/>
    </row>
    <row r="158" spans="1:21" ht="14.15" customHeight="1" x14ac:dyDescent="0.35">
      <c r="A158" s="24" t="s">
        <v>215</v>
      </c>
      <c r="B158" s="24" t="s">
        <v>216</v>
      </c>
      <c r="C158" s="25" t="s">
        <v>217</v>
      </c>
      <c r="D158" s="26">
        <f t="shared" si="20"/>
        <v>1863</v>
      </c>
      <c r="E158" s="26">
        <f t="shared" si="20"/>
        <v>1972</v>
      </c>
      <c r="F158" s="26">
        <v>1836</v>
      </c>
      <c r="G158" s="26">
        <f>ROUND((G151+G152+G153+G154+G155)*0.27,0)</f>
        <v>1953</v>
      </c>
      <c r="H158" s="26"/>
      <c r="I158" s="55"/>
      <c r="J158" s="60"/>
      <c r="K158" s="75"/>
      <c r="L158" s="60"/>
      <c r="M158" s="55"/>
      <c r="N158" s="60">
        <v>27</v>
      </c>
      <c r="O158" s="26">
        <f>ROUND((O151+O152+O153+O154+O155)*0.27,0)</f>
        <v>11</v>
      </c>
      <c r="P158" s="60"/>
      <c r="Q158" s="60"/>
      <c r="R158" s="60"/>
      <c r="S158" s="60"/>
      <c r="T158" s="60"/>
      <c r="U158" s="26">
        <f>ROUND((U151+U152+U153+U154+U155)*0.27,0)</f>
        <v>8</v>
      </c>
    </row>
    <row r="159" spans="1:21" s="3" customFormat="1" ht="14.15" customHeight="1" x14ac:dyDescent="0.35">
      <c r="A159" s="20" t="s">
        <v>218</v>
      </c>
      <c r="B159" s="20" t="s">
        <v>219</v>
      </c>
      <c r="C159" s="21" t="s">
        <v>220</v>
      </c>
      <c r="D159" s="22">
        <f>SUM(D151:D158)</f>
        <v>8763</v>
      </c>
      <c r="E159" s="22">
        <f>SUM(E151:E158)</f>
        <v>9275</v>
      </c>
      <c r="F159" s="22">
        <f t="shared" ref="F159:U159" si="21">SUM(F151:F158)</f>
        <v>8636</v>
      </c>
      <c r="G159" s="22">
        <f t="shared" si="21"/>
        <v>9186</v>
      </c>
      <c r="H159" s="22">
        <f t="shared" si="21"/>
        <v>0</v>
      </c>
      <c r="I159" s="22">
        <f t="shared" si="21"/>
        <v>0</v>
      </c>
      <c r="J159" s="22">
        <f t="shared" si="21"/>
        <v>0</v>
      </c>
      <c r="K159" s="22">
        <f t="shared" si="21"/>
        <v>0</v>
      </c>
      <c r="L159" s="22">
        <f t="shared" si="21"/>
        <v>0</v>
      </c>
      <c r="M159" s="22">
        <f t="shared" si="21"/>
        <v>0</v>
      </c>
      <c r="N159" s="22">
        <f t="shared" si="21"/>
        <v>127</v>
      </c>
      <c r="O159" s="22">
        <f t="shared" si="21"/>
        <v>51</v>
      </c>
      <c r="P159" s="22">
        <f t="shared" si="21"/>
        <v>0</v>
      </c>
      <c r="Q159" s="22">
        <f t="shared" si="21"/>
        <v>0</v>
      </c>
      <c r="R159" s="22">
        <f t="shared" si="21"/>
        <v>0</v>
      </c>
      <c r="S159" s="22">
        <f t="shared" si="21"/>
        <v>0</v>
      </c>
      <c r="T159" s="22">
        <f t="shared" si="21"/>
        <v>0</v>
      </c>
      <c r="U159" s="22">
        <f t="shared" si="21"/>
        <v>38</v>
      </c>
    </row>
    <row r="160" spans="1:21" ht="14.15" customHeight="1" x14ac:dyDescent="0.35">
      <c r="A160" s="24" t="s">
        <v>221</v>
      </c>
      <c r="B160" s="24" t="s">
        <v>222</v>
      </c>
      <c r="C160" s="25" t="s">
        <v>223</v>
      </c>
      <c r="D160" s="26">
        <f>F160+H160+J160+L160+N160+P160+R160+T160</f>
        <v>0</v>
      </c>
      <c r="E160" s="26">
        <f>G160+I160+K160+M160+O160+Q160+S160+U160</f>
        <v>0</v>
      </c>
      <c r="F160" s="26"/>
      <c r="G160" s="26"/>
      <c r="H160" s="26"/>
      <c r="I160" s="55"/>
      <c r="J160" s="60"/>
      <c r="K160" s="75"/>
      <c r="L160" s="60"/>
      <c r="M160" s="75"/>
      <c r="N160" s="60"/>
      <c r="O160" s="60"/>
      <c r="P160" s="60"/>
      <c r="Q160" s="60"/>
      <c r="R160" s="60"/>
      <c r="S160" s="60"/>
      <c r="T160" s="60"/>
      <c r="U160" s="60"/>
    </row>
    <row r="161" spans="1:21" ht="14.15" customHeight="1" x14ac:dyDescent="0.35">
      <c r="A161" s="24" t="s">
        <v>224</v>
      </c>
      <c r="B161" s="24" t="s">
        <v>225</v>
      </c>
      <c r="C161" s="25" t="s">
        <v>226</v>
      </c>
      <c r="D161" s="26">
        <f t="shared" ref="D161:E164" si="22">F161+H161+J161+L161+N161+P161+R161+T161</f>
        <v>0</v>
      </c>
      <c r="E161" s="26">
        <f t="shared" si="22"/>
        <v>0</v>
      </c>
      <c r="F161" s="26"/>
      <c r="G161" s="26"/>
      <c r="H161" s="26"/>
      <c r="I161" s="55"/>
      <c r="J161" s="60"/>
      <c r="K161" s="75"/>
      <c r="L161" s="60"/>
      <c r="M161" s="75"/>
      <c r="N161" s="60"/>
      <c r="O161" s="60"/>
      <c r="P161" s="60"/>
      <c r="Q161" s="60"/>
      <c r="R161" s="60"/>
      <c r="S161" s="60"/>
      <c r="T161" s="60"/>
      <c r="U161" s="60"/>
    </row>
    <row r="162" spans="1:21" ht="14.15" customHeight="1" x14ac:dyDescent="0.35">
      <c r="A162" s="24" t="s">
        <v>227</v>
      </c>
      <c r="B162" s="24" t="s">
        <v>228</v>
      </c>
      <c r="C162" s="25" t="s">
        <v>229</v>
      </c>
      <c r="D162" s="26">
        <f t="shared" si="22"/>
        <v>0</v>
      </c>
      <c r="E162" s="26">
        <f t="shared" si="22"/>
        <v>0</v>
      </c>
      <c r="F162" s="26"/>
      <c r="G162" s="26"/>
      <c r="H162" s="26"/>
      <c r="I162" s="55"/>
      <c r="J162" s="60"/>
      <c r="K162" s="75"/>
      <c r="L162" s="60"/>
      <c r="M162" s="75"/>
      <c r="N162" s="60"/>
      <c r="O162" s="60"/>
      <c r="P162" s="60"/>
      <c r="Q162" s="60"/>
      <c r="R162" s="60"/>
      <c r="S162" s="60"/>
      <c r="T162" s="60"/>
      <c r="U162" s="60"/>
    </row>
    <row r="163" spans="1:21" ht="14.15" customHeight="1" x14ac:dyDescent="0.35">
      <c r="A163" s="24"/>
      <c r="B163" s="24" t="s">
        <v>230</v>
      </c>
      <c r="C163" s="25" t="s">
        <v>231</v>
      </c>
      <c r="D163" s="26">
        <f t="shared" si="22"/>
        <v>0</v>
      </c>
      <c r="E163" s="26">
        <f t="shared" si="22"/>
        <v>0</v>
      </c>
      <c r="F163" s="26"/>
      <c r="G163" s="26"/>
      <c r="H163" s="26"/>
      <c r="I163" s="55"/>
      <c r="J163" s="60"/>
      <c r="K163" s="75"/>
      <c r="L163" s="60"/>
      <c r="M163" s="75"/>
      <c r="N163" s="60"/>
      <c r="O163" s="60"/>
      <c r="P163" s="60"/>
      <c r="Q163" s="60"/>
      <c r="R163" s="60"/>
      <c r="S163" s="60"/>
      <c r="T163" s="60"/>
      <c r="U163" s="60"/>
    </row>
    <row r="164" spans="1:21" ht="14.15" customHeight="1" x14ac:dyDescent="0.35">
      <c r="A164" s="24" t="s">
        <v>232</v>
      </c>
      <c r="B164" s="24" t="s">
        <v>233</v>
      </c>
      <c r="C164" s="25" t="s">
        <v>234</v>
      </c>
      <c r="D164" s="26">
        <f t="shared" si="22"/>
        <v>0</v>
      </c>
      <c r="E164" s="26">
        <f t="shared" si="22"/>
        <v>0</v>
      </c>
      <c r="F164" s="26"/>
      <c r="G164" s="26">
        <f>ROUND((G160+G161+G162+G163)*0.27,0)</f>
        <v>0</v>
      </c>
      <c r="H164" s="26"/>
      <c r="I164" s="55"/>
      <c r="J164" s="60"/>
      <c r="K164" s="75"/>
      <c r="L164" s="60"/>
      <c r="M164" s="75"/>
      <c r="N164" s="60"/>
      <c r="O164" s="60"/>
      <c r="P164" s="60"/>
      <c r="Q164" s="60"/>
      <c r="R164" s="60"/>
      <c r="S164" s="60"/>
      <c r="T164" s="60"/>
      <c r="U164" s="60"/>
    </row>
    <row r="165" spans="1:21" s="3" customFormat="1" ht="14.15" customHeight="1" x14ac:dyDescent="0.35">
      <c r="A165" s="20" t="s">
        <v>235</v>
      </c>
      <c r="B165" s="20" t="s">
        <v>236</v>
      </c>
      <c r="C165" s="21" t="s">
        <v>237</v>
      </c>
      <c r="D165" s="22">
        <f>SUM(D160:D164)</f>
        <v>0</v>
      </c>
      <c r="E165" s="22">
        <f>SUM(E160:E164)</f>
        <v>0</v>
      </c>
      <c r="F165" s="22">
        <f t="shared" ref="F165:U165" si="23">SUM(F160:F164)</f>
        <v>0</v>
      </c>
      <c r="G165" s="22">
        <f t="shared" si="23"/>
        <v>0</v>
      </c>
      <c r="H165" s="22">
        <f t="shared" si="23"/>
        <v>0</v>
      </c>
      <c r="I165" s="22">
        <f t="shared" si="23"/>
        <v>0</v>
      </c>
      <c r="J165" s="22">
        <f t="shared" si="23"/>
        <v>0</v>
      </c>
      <c r="K165" s="22">
        <f t="shared" si="23"/>
        <v>0</v>
      </c>
      <c r="L165" s="22">
        <f t="shared" si="23"/>
        <v>0</v>
      </c>
      <c r="M165" s="22">
        <f t="shared" si="23"/>
        <v>0</v>
      </c>
      <c r="N165" s="22">
        <f t="shared" si="23"/>
        <v>0</v>
      </c>
      <c r="O165" s="22">
        <f t="shared" si="23"/>
        <v>0</v>
      </c>
      <c r="P165" s="22">
        <f t="shared" si="23"/>
        <v>0</v>
      </c>
      <c r="Q165" s="22">
        <f t="shared" si="23"/>
        <v>0</v>
      </c>
      <c r="R165" s="22">
        <f t="shared" si="23"/>
        <v>0</v>
      </c>
      <c r="S165" s="22">
        <f t="shared" si="23"/>
        <v>0</v>
      </c>
      <c r="T165" s="22">
        <f t="shared" si="23"/>
        <v>0</v>
      </c>
      <c r="U165" s="22">
        <f t="shared" si="23"/>
        <v>0</v>
      </c>
    </row>
    <row r="166" spans="1:21" s="3" customFormat="1" ht="14.15" customHeight="1" x14ac:dyDescent="0.35">
      <c r="A166" s="1104" t="s">
        <v>293</v>
      </c>
      <c r="B166" s="1105"/>
      <c r="C166" s="1106" t="s">
        <v>238</v>
      </c>
      <c r="D166" s="28">
        <f>D159+D165</f>
        <v>8763</v>
      </c>
      <c r="E166" s="28">
        <f>E159+E165</f>
        <v>9275</v>
      </c>
      <c r="F166" s="28">
        <f t="shared" ref="F166:U166" si="24">F159+F165</f>
        <v>8636</v>
      </c>
      <c r="G166" s="28">
        <f t="shared" si="24"/>
        <v>9186</v>
      </c>
      <c r="H166" s="28">
        <f t="shared" si="24"/>
        <v>0</v>
      </c>
      <c r="I166" s="28">
        <f t="shared" si="24"/>
        <v>0</v>
      </c>
      <c r="J166" s="28">
        <f t="shared" si="24"/>
        <v>0</v>
      </c>
      <c r="K166" s="28">
        <f t="shared" si="24"/>
        <v>0</v>
      </c>
      <c r="L166" s="28">
        <f t="shared" si="24"/>
        <v>0</v>
      </c>
      <c r="M166" s="28">
        <f t="shared" si="24"/>
        <v>0</v>
      </c>
      <c r="N166" s="28">
        <f t="shared" si="24"/>
        <v>127</v>
      </c>
      <c r="O166" s="28">
        <f t="shared" si="24"/>
        <v>51</v>
      </c>
      <c r="P166" s="28">
        <f t="shared" si="24"/>
        <v>0</v>
      </c>
      <c r="Q166" s="28">
        <f t="shared" si="24"/>
        <v>0</v>
      </c>
      <c r="R166" s="28">
        <f t="shared" si="24"/>
        <v>0</v>
      </c>
      <c r="S166" s="28">
        <f t="shared" si="24"/>
        <v>0</v>
      </c>
      <c r="T166" s="28">
        <f t="shared" si="24"/>
        <v>0</v>
      </c>
      <c r="U166" s="28">
        <f t="shared" si="24"/>
        <v>38</v>
      </c>
    </row>
    <row r="167" spans="1:21" ht="6.75" customHeight="1" x14ac:dyDescent="0.35">
      <c r="J167" s="60"/>
      <c r="K167" s="75"/>
      <c r="L167" s="60"/>
      <c r="M167" s="75"/>
      <c r="N167" s="60"/>
      <c r="O167" s="60"/>
      <c r="P167" s="60"/>
      <c r="Q167" s="60"/>
      <c r="R167" s="60"/>
      <c r="S167" s="60"/>
      <c r="T167" s="60"/>
      <c r="U167" s="60"/>
    </row>
    <row r="168" spans="1:21" ht="14.15" customHeight="1" x14ac:dyDescent="0.35">
      <c r="A168" s="1093" t="s">
        <v>294</v>
      </c>
      <c r="B168" s="1094"/>
      <c r="C168" s="1095"/>
      <c r="D168" s="29">
        <f>D166+D142</f>
        <v>573509</v>
      </c>
      <c r="E168" s="29">
        <f>E166+E142</f>
        <v>505365</v>
      </c>
      <c r="F168" s="29">
        <f t="shared" ref="F168:U168" si="25">F166+F142</f>
        <v>498761</v>
      </c>
      <c r="G168" s="29">
        <f t="shared" si="25"/>
        <v>476324</v>
      </c>
      <c r="H168" s="29">
        <f t="shared" si="25"/>
        <v>8532</v>
      </c>
      <c r="I168" s="29">
        <f t="shared" si="25"/>
        <v>0</v>
      </c>
      <c r="J168" s="29">
        <f t="shared" si="25"/>
        <v>2028</v>
      </c>
      <c r="K168" s="29">
        <f t="shared" si="25"/>
        <v>0</v>
      </c>
      <c r="L168" s="29">
        <f t="shared" si="25"/>
        <v>28590</v>
      </c>
      <c r="M168" s="29">
        <f t="shared" si="25"/>
        <v>0</v>
      </c>
      <c r="N168" s="29">
        <f t="shared" si="25"/>
        <v>21464</v>
      </c>
      <c r="O168" s="29">
        <f t="shared" si="25"/>
        <v>19286</v>
      </c>
      <c r="P168" s="29">
        <f t="shared" si="25"/>
        <v>4904</v>
      </c>
      <c r="Q168" s="29">
        <f t="shared" si="25"/>
        <v>4665</v>
      </c>
      <c r="R168" s="29">
        <f t="shared" si="25"/>
        <v>4620</v>
      </c>
      <c r="S168" s="29">
        <f t="shared" si="25"/>
        <v>0</v>
      </c>
      <c r="T168" s="29">
        <f t="shared" si="25"/>
        <v>4610</v>
      </c>
      <c r="U168" s="29">
        <f t="shared" si="25"/>
        <v>5090</v>
      </c>
    </row>
    <row r="169" spans="1:21" ht="14.15" customHeight="1" x14ac:dyDescent="0.35">
      <c r="J169" s="73"/>
      <c r="K169" s="73"/>
      <c r="L169" s="73"/>
      <c r="M169" s="73"/>
      <c r="N169" s="73"/>
      <c r="O169" s="73"/>
      <c r="P169" s="73"/>
      <c r="Q169" s="73"/>
      <c r="R169" s="73"/>
      <c r="S169" s="73"/>
    </row>
    <row r="170" spans="1:21" ht="14.15" customHeight="1" x14ac:dyDescent="0.35">
      <c r="J170" s="48"/>
      <c r="K170" s="48"/>
      <c r="L170" s="48"/>
      <c r="M170" s="48"/>
      <c r="N170" s="48"/>
      <c r="O170" s="48"/>
      <c r="P170" s="48"/>
      <c r="Q170" s="48"/>
      <c r="R170" s="48"/>
      <c r="S170" s="48"/>
    </row>
    <row r="171" spans="1:21" ht="14.15" customHeight="1" x14ac:dyDescent="0.35">
      <c r="J171" s="48"/>
      <c r="K171" s="48"/>
      <c r="L171" s="48"/>
      <c r="M171" s="48"/>
      <c r="N171" s="48"/>
      <c r="O171" s="48"/>
      <c r="P171" s="48"/>
      <c r="Q171" s="48"/>
      <c r="R171" s="48"/>
      <c r="S171" s="48"/>
    </row>
    <row r="172" spans="1:21" ht="14.15" customHeight="1" x14ac:dyDescent="0.35">
      <c r="J172" s="48"/>
      <c r="K172" s="48"/>
      <c r="L172" s="48"/>
      <c r="M172" s="48"/>
      <c r="N172" s="48"/>
      <c r="O172" s="48"/>
      <c r="P172" s="48"/>
      <c r="Q172" s="48"/>
      <c r="R172" s="48"/>
      <c r="S172" s="48"/>
    </row>
    <row r="173" spans="1:21" s="1" customFormat="1" ht="12.75" customHeight="1" x14ac:dyDescent="0.35">
      <c r="A173" s="1120" t="s">
        <v>599</v>
      </c>
      <c r="B173" s="1121"/>
      <c r="C173" s="1121"/>
      <c r="D173" s="1121"/>
      <c r="E173" s="1121"/>
      <c r="F173" s="1121"/>
      <c r="G173" s="1121"/>
      <c r="H173" s="1121"/>
      <c r="I173" s="1121"/>
      <c r="J173" s="1121"/>
      <c r="K173" s="1121"/>
      <c r="L173" s="1121"/>
      <c r="M173" s="1121"/>
      <c r="N173" s="1121" t="s">
        <v>599</v>
      </c>
      <c r="O173" s="1121"/>
      <c r="P173" s="1121"/>
      <c r="Q173" s="1121"/>
      <c r="R173" s="1121"/>
      <c r="S173" s="1121"/>
      <c r="T173" s="1121"/>
      <c r="U173" s="1122"/>
    </row>
    <row r="174" spans="1:21" s="1" customFormat="1" ht="14.15" customHeight="1" x14ac:dyDescent="0.35">
      <c r="A174" s="1164" t="s">
        <v>0</v>
      </c>
      <c r="B174" s="1165" t="s">
        <v>1</v>
      </c>
      <c r="C174" s="1164" t="s">
        <v>2</v>
      </c>
      <c r="D174" s="1097" t="s">
        <v>260</v>
      </c>
      <c r="E174" s="1167" t="s">
        <v>259</v>
      </c>
      <c r="F174" s="1162" t="s">
        <v>600</v>
      </c>
      <c r="G174" s="1166"/>
      <c r="H174" s="1162" t="s">
        <v>601</v>
      </c>
      <c r="I174" s="1163"/>
      <c r="J174" s="1174" t="s">
        <v>602</v>
      </c>
      <c r="K174" s="1160"/>
      <c r="L174" s="1177" t="s">
        <v>639</v>
      </c>
      <c r="M174" s="1177"/>
      <c r="N174" s="1168" t="s">
        <v>603</v>
      </c>
      <c r="O174" s="1169"/>
      <c r="P174" s="1168" t="s">
        <v>604</v>
      </c>
      <c r="Q174" s="1169"/>
      <c r="R174" s="1175" t="s">
        <v>605</v>
      </c>
      <c r="S174" s="1176"/>
      <c r="T174" s="1175" t="s">
        <v>606</v>
      </c>
      <c r="U174" s="1176"/>
    </row>
    <row r="175" spans="1:21" s="3" customFormat="1" ht="23.25" customHeight="1" x14ac:dyDescent="0.35">
      <c r="A175" s="1101"/>
      <c r="B175" s="1102"/>
      <c r="C175" s="1101"/>
      <c r="D175" s="1103"/>
      <c r="E175" s="1097"/>
      <c r="F175" s="2" t="s">
        <v>263</v>
      </c>
      <c r="G175" s="2" t="s">
        <v>259</v>
      </c>
      <c r="H175" s="2" t="s">
        <v>260</v>
      </c>
      <c r="I175" s="47" t="s">
        <v>259</v>
      </c>
      <c r="J175" s="59" t="s">
        <v>260</v>
      </c>
      <c r="K175" s="74" t="s">
        <v>259</v>
      </c>
      <c r="L175" s="148" t="s">
        <v>260</v>
      </c>
      <c r="M175" s="148" t="s">
        <v>259</v>
      </c>
      <c r="N175" s="81" t="s">
        <v>260</v>
      </c>
      <c r="O175" s="82" t="s">
        <v>259</v>
      </c>
      <c r="P175" s="81" t="s">
        <v>260</v>
      </c>
      <c r="Q175" s="82" t="s">
        <v>259</v>
      </c>
      <c r="R175" s="142" t="s">
        <v>260</v>
      </c>
      <c r="S175" s="143" t="s">
        <v>259</v>
      </c>
      <c r="T175" s="142" t="s">
        <v>260</v>
      </c>
      <c r="U175" s="143" t="s">
        <v>259</v>
      </c>
    </row>
    <row r="176" spans="1:21" ht="5.65" customHeight="1" x14ac:dyDescent="0.35">
      <c r="J176" s="60"/>
      <c r="K176" s="75"/>
      <c r="L176" s="60"/>
      <c r="M176" s="75"/>
      <c r="N176" s="60"/>
      <c r="O176" s="60"/>
      <c r="P176" s="60"/>
      <c r="Q176" s="60"/>
      <c r="R176" s="60"/>
      <c r="S176" s="60"/>
      <c r="T176" s="60"/>
      <c r="U176" s="60"/>
    </row>
    <row r="177" spans="1:21" ht="14.15" customHeight="1" x14ac:dyDescent="0.35">
      <c r="A177" s="1100" t="s">
        <v>239</v>
      </c>
      <c r="B177" s="1100"/>
      <c r="C177" s="1100"/>
      <c r="D177" s="1100"/>
      <c r="E177" s="1100"/>
      <c r="F177" s="1100"/>
      <c r="G177" s="1100"/>
      <c r="H177" s="1100"/>
      <c r="I177" s="1100"/>
      <c r="J177" s="61"/>
      <c r="K177" s="76"/>
      <c r="L177" s="61"/>
      <c r="M177" s="76"/>
      <c r="N177" s="61"/>
      <c r="O177" s="61"/>
      <c r="P177" s="61"/>
      <c r="Q177" s="61"/>
      <c r="R177" s="61"/>
      <c r="S177" s="61"/>
      <c r="T177" s="61"/>
      <c r="U177" s="61"/>
    </row>
    <row r="178" spans="1:21" s="3" customFormat="1" ht="14.15" customHeight="1" x14ac:dyDescent="0.35">
      <c r="A178" s="20" t="s">
        <v>611</v>
      </c>
      <c r="B178" s="20"/>
      <c r="C178" s="21" t="s">
        <v>484</v>
      </c>
      <c r="D178" s="23">
        <f>D179</f>
        <v>1000</v>
      </c>
      <c r="E178" s="23">
        <f t="shared" ref="E178:U178" si="26">E179</f>
        <v>1000</v>
      </c>
      <c r="F178" s="23">
        <f t="shared" si="26"/>
        <v>1000</v>
      </c>
      <c r="G178" s="23">
        <f t="shared" si="26"/>
        <v>1000</v>
      </c>
      <c r="H178" s="23">
        <f t="shared" si="26"/>
        <v>0</v>
      </c>
      <c r="I178" s="23">
        <f t="shared" si="26"/>
        <v>0</v>
      </c>
      <c r="J178" s="23">
        <f t="shared" si="26"/>
        <v>0</v>
      </c>
      <c r="K178" s="23">
        <f t="shared" si="26"/>
        <v>0</v>
      </c>
      <c r="L178" s="23">
        <f t="shared" si="26"/>
        <v>0</v>
      </c>
      <c r="M178" s="23">
        <f t="shared" si="26"/>
        <v>0</v>
      </c>
      <c r="N178" s="23">
        <f t="shared" si="26"/>
        <v>0</v>
      </c>
      <c r="O178" s="23">
        <f t="shared" si="26"/>
        <v>0</v>
      </c>
      <c r="P178" s="23">
        <f t="shared" si="26"/>
        <v>0</v>
      </c>
      <c r="Q178" s="23">
        <f t="shared" si="26"/>
        <v>0</v>
      </c>
      <c r="R178" s="23">
        <f t="shared" si="26"/>
        <v>0</v>
      </c>
      <c r="S178" s="23">
        <f t="shared" si="26"/>
        <v>0</v>
      </c>
      <c r="T178" s="23">
        <f t="shared" si="26"/>
        <v>0</v>
      </c>
      <c r="U178" s="23">
        <f t="shared" si="26"/>
        <v>0</v>
      </c>
    </row>
    <row r="179" spans="1:21" ht="14.15" customHeight="1" x14ac:dyDescent="0.35">
      <c r="A179" s="24"/>
      <c r="B179" s="24"/>
      <c r="C179" s="25" t="s">
        <v>496</v>
      </c>
      <c r="D179" s="26">
        <f>F179+H179+J179+L179+N179+P179+R179+T179</f>
        <v>1000</v>
      </c>
      <c r="E179" s="26">
        <f t="shared" ref="E179:E190" si="27">G179+I179+K179+M179+O179+Q179+S179</f>
        <v>1000</v>
      </c>
      <c r="F179" s="26">
        <v>1000</v>
      </c>
      <c r="G179" s="26">
        <v>1000</v>
      </c>
      <c r="H179" s="26"/>
      <c r="I179" s="55"/>
      <c r="J179" s="60"/>
      <c r="K179" s="75"/>
      <c r="L179" s="60"/>
      <c r="M179" s="75"/>
      <c r="N179" s="60"/>
      <c r="O179" s="60"/>
      <c r="P179" s="60"/>
      <c r="Q179" s="60"/>
      <c r="R179" s="60"/>
      <c r="S179" s="60"/>
      <c r="T179" s="60"/>
      <c r="U179" s="60"/>
    </row>
    <row r="180" spans="1:21" s="3" customFormat="1" ht="14.15" customHeight="1" x14ac:dyDescent="0.35">
      <c r="A180" s="20" t="s">
        <v>240</v>
      </c>
      <c r="B180" s="20"/>
      <c r="C180" s="21" t="s">
        <v>241</v>
      </c>
      <c r="D180" s="23">
        <f>SUM(D181:D190)</f>
        <v>1473</v>
      </c>
      <c r="E180" s="23">
        <f t="shared" ref="E180:U180" si="28">SUM(E181:E190)</f>
        <v>1270</v>
      </c>
      <c r="F180" s="23">
        <f t="shared" si="28"/>
        <v>1270</v>
      </c>
      <c r="G180" s="23">
        <f t="shared" si="28"/>
        <v>1270</v>
      </c>
      <c r="H180" s="23">
        <f t="shared" si="28"/>
        <v>0</v>
      </c>
      <c r="I180" s="23">
        <f t="shared" si="28"/>
        <v>0</v>
      </c>
      <c r="J180" s="23">
        <f t="shared" si="28"/>
        <v>0</v>
      </c>
      <c r="K180" s="23">
        <f t="shared" si="28"/>
        <v>0</v>
      </c>
      <c r="L180" s="23">
        <f t="shared" si="28"/>
        <v>0</v>
      </c>
      <c r="M180" s="23">
        <f t="shared" si="28"/>
        <v>0</v>
      </c>
      <c r="N180" s="23">
        <f t="shared" si="28"/>
        <v>0</v>
      </c>
      <c r="O180" s="23">
        <f t="shared" si="28"/>
        <v>0</v>
      </c>
      <c r="P180" s="23">
        <f t="shared" si="28"/>
        <v>0</v>
      </c>
      <c r="Q180" s="23">
        <f t="shared" si="28"/>
        <v>0</v>
      </c>
      <c r="R180" s="23">
        <f t="shared" si="28"/>
        <v>0</v>
      </c>
      <c r="S180" s="23">
        <f t="shared" si="28"/>
        <v>0</v>
      </c>
      <c r="T180" s="23">
        <f t="shared" si="28"/>
        <v>203</v>
      </c>
      <c r="U180" s="23">
        <f t="shared" si="28"/>
        <v>0</v>
      </c>
    </row>
    <row r="181" spans="1:21" ht="14.15" customHeight="1" x14ac:dyDescent="0.35">
      <c r="A181" s="24" t="s">
        <v>242</v>
      </c>
      <c r="B181" s="24"/>
      <c r="C181" s="25" t="s">
        <v>243</v>
      </c>
      <c r="D181" s="26">
        <f>F181+H181+J181+L181+N181+P181+R181+T181</f>
        <v>0</v>
      </c>
      <c r="E181" s="26">
        <f t="shared" si="27"/>
        <v>0</v>
      </c>
      <c r="F181" s="26"/>
      <c r="G181" s="26"/>
      <c r="H181" s="26"/>
      <c r="I181" s="55"/>
      <c r="J181" s="60"/>
      <c r="K181" s="75"/>
      <c r="L181" s="60"/>
      <c r="M181" s="75"/>
      <c r="N181" s="60"/>
      <c r="O181" s="60"/>
      <c r="P181" s="60"/>
      <c r="Q181" s="60"/>
      <c r="R181" s="60"/>
      <c r="S181" s="60"/>
      <c r="T181" s="60"/>
      <c r="U181" s="60"/>
    </row>
    <row r="182" spans="1:21" ht="14.15" customHeight="1" x14ac:dyDescent="0.35">
      <c r="A182" s="24" t="s">
        <v>244</v>
      </c>
      <c r="B182" s="24"/>
      <c r="C182" s="25" t="s">
        <v>245</v>
      </c>
      <c r="D182" s="26">
        <f t="shared" ref="D182:D190" si="29">F182+H182+J182+L182+N182+P182+R182+T182</f>
        <v>0</v>
      </c>
      <c r="E182" s="26">
        <f t="shared" si="27"/>
        <v>0</v>
      </c>
      <c r="F182" s="26"/>
      <c r="G182" s="26"/>
      <c r="H182" s="26"/>
      <c r="I182" s="55"/>
      <c r="J182" s="60"/>
      <c r="K182" s="75"/>
      <c r="L182" s="60"/>
      <c r="M182" s="75"/>
      <c r="N182" s="60"/>
      <c r="O182" s="60"/>
      <c r="P182" s="60"/>
      <c r="Q182" s="60"/>
      <c r="R182" s="60"/>
      <c r="S182" s="60"/>
      <c r="T182" s="60"/>
      <c r="U182" s="60"/>
    </row>
    <row r="183" spans="1:21" ht="14.15" customHeight="1" x14ac:dyDescent="0.35">
      <c r="A183" s="24" t="s">
        <v>246</v>
      </c>
      <c r="B183" s="24"/>
      <c r="C183" s="25" t="s">
        <v>247</v>
      </c>
      <c r="D183" s="26">
        <f>F183+H183+J183+L183+N183+P183+R183+T183</f>
        <v>1160</v>
      </c>
      <c r="E183" s="26">
        <f t="shared" si="27"/>
        <v>1000</v>
      </c>
      <c r="F183" s="26">
        <v>1000</v>
      </c>
      <c r="G183" s="26">
        <v>1000</v>
      </c>
      <c r="H183" s="26"/>
      <c r="I183" s="55"/>
      <c r="J183" s="60"/>
      <c r="K183" s="75"/>
      <c r="L183" s="60"/>
      <c r="M183" s="75"/>
      <c r="N183" s="60"/>
      <c r="O183" s="60"/>
      <c r="P183" s="60"/>
      <c r="Q183" s="60"/>
      <c r="R183" s="60"/>
      <c r="S183" s="60"/>
      <c r="T183" s="60">
        <v>160</v>
      </c>
      <c r="U183" s="60"/>
    </row>
    <row r="184" spans="1:21" ht="14.15" customHeight="1" x14ac:dyDescent="0.35">
      <c r="A184" s="24" t="s">
        <v>248</v>
      </c>
      <c r="B184" s="24"/>
      <c r="C184" s="25" t="s">
        <v>249</v>
      </c>
      <c r="D184" s="26">
        <f t="shared" si="29"/>
        <v>0</v>
      </c>
      <c r="E184" s="26">
        <f t="shared" si="27"/>
        <v>0</v>
      </c>
      <c r="F184" s="26"/>
      <c r="G184" s="26"/>
      <c r="H184" s="26"/>
      <c r="I184" s="55"/>
      <c r="J184" s="60"/>
      <c r="K184" s="75"/>
      <c r="L184" s="60"/>
      <c r="M184" s="75"/>
      <c r="N184" s="60"/>
      <c r="O184" s="60"/>
      <c r="P184" s="60"/>
      <c r="Q184" s="60"/>
      <c r="R184" s="60"/>
      <c r="S184" s="60"/>
      <c r="T184" s="60"/>
      <c r="U184" s="60"/>
    </row>
    <row r="185" spans="1:21" ht="14.15" customHeight="1" x14ac:dyDescent="0.35">
      <c r="A185" s="24" t="s">
        <v>296</v>
      </c>
      <c r="B185" s="24"/>
      <c r="C185" s="25" t="s">
        <v>297</v>
      </c>
      <c r="D185" s="26">
        <f t="shared" si="29"/>
        <v>0</v>
      </c>
      <c r="E185" s="26">
        <f t="shared" si="27"/>
        <v>0</v>
      </c>
      <c r="F185" s="26"/>
      <c r="G185" s="26"/>
      <c r="H185" s="26"/>
      <c r="I185" s="55"/>
      <c r="J185" s="60"/>
      <c r="K185" s="75"/>
      <c r="L185" s="60"/>
      <c r="M185" s="75"/>
      <c r="N185" s="60"/>
      <c r="O185" s="60"/>
      <c r="P185" s="60"/>
      <c r="Q185" s="60"/>
      <c r="R185" s="60"/>
      <c r="S185" s="60"/>
      <c r="T185" s="60"/>
      <c r="U185" s="60"/>
    </row>
    <row r="186" spans="1:21" ht="14.15" customHeight="1" x14ac:dyDescent="0.35">
      <c r="A186" s="24" t="s">
        <v>250</v>
      </c>
      <c r="B186" s="24"/>
      <c r="C186" s="25" t="s">
        <v>251</v>
      </c>
      <c r="D186" s="26">
        <f t="shared" si="29"/>
        <v>313</v>
      </c>
      <c r="E186" s="26">
        <f t="shared" si="27"/>
        <v>270</v>
      </c>
      <c r="F186" s="26">
        <v>270</v>
      </c>
      <c r="G186" s="26">
        <f>ROUND((G181+G182+G183+G184+G185)*0.27,0)</f>
        <v>270</v>
      </c>
      <c r="H186" s="26"/>
      <c r="I186" s="55"/>
      <c r="J186" s="60"/>
      <c r="K186" s="55"/>
      <c r="L186" s="60"/>
      <c r="M186" s="55"/>
      <c r="N186" s="60"/>
      <c r="O186" s="55"/>
      <c r="P186" s="60"/>
      <c r="Q186" s="60"/>
      <c r="R186" s="60"/>
      <c r="S186" s="60"/>
      <c r="T186" s="60">
        <v>43</v>
      </c>
      <c r="U186" s="60"/>
    </row>
    <row r="187" spans="1:21" ht="14.15" customHeight="1" x14ac:dyDescent="0.35">
      <c r="A187" s="24" t="s">
        <v>298</v>
      </c>
      <c r="B187" s="24"/>
      <c r="C187" s="25" t="s">
        <v>299</v>
      </c>
      <c r="D187" s="26">
        <f t="shared" si="29"/>
        <v>0</v>
      </c>
      <c r="E187" s="26">
        <f t="shared" si="27"/>
        <v>0</v>
      </c>
      <c r="F187" s="26"/>
      <c r="G187" s="26"/>
      <c r="H187" s="26"/>
      <c r="I187" s="55"/>
      <c r="J187" s="60"/>
      <c r="K187" s="75"/>
      <c r="L187" s="60"/>
      <c r="M187" s="75"/>
      <c r="N187" s="60"/>
      <c r="O187" s="60"/>
      <c r="P187" s="60"/>
      <c r="Q187" s="60"/>
      <c r="R187" s="60"/>
      <c r="S187" s="60"/>
      <c r="T187" s="60"/>
      <c r="U187" s="60"/>
    </row>
    <row r="188" spans="1:21" ht="14.15" customHeight="1" x14ac:dyDescent="0.35">
      <c r="A188" s="24" t="s">
        <v>252</v>
      </c>
      <c r="B188" s="24"/>
      <c r="C188" s="25" t="s">
        <v>253</v>
      </c>
      <c r="D188" s="26">
        <f t="shared" si="29"/>
        <v>0</v>
      </c>
      <c r="E188" s="26">
        <f t="shared" si="27"/>
        <v>0</v>
      </c>
      <c r="F188" s="26"/>
      <c r="G188" s="26"/>
      <c r="H188" s="26"/>
      <c r="I188" s="55"/>
      <c r="J188" s="60"/>
      <c r="K188" s="75"/>
      <c r="L188" s="60"/>
      <c r="M188" s="75"/>
      <c r="N188" s="60"/>
      <c r="O188" s="60"/>
      <c r="P188" s="60"/>
      <c r="Q188" s="60"/>
      <c r="R188" s="60"/>
      <c r="S188" s="60"/>
      <c r="T188" s="60"/>
      <c r="U188" s="60"/>
    </row>
    <row r="189" spans="1:21" ht="14.15" customHeight="1" x14ac:dyDescent="0.35">
      <c r="A189" s="24" t="s">
        <v>300</v>
      </c>
      <c r="B189" s="24"/>
      <c r="C189" s="25" t="s">
        <v>301</v>
      </c>
      <c r="D189" s="26">
        <f t="shared" si="29"/>
        <v>0</v>
      </c>
      <c r="E189" s="26">
        <f t="shared" si="27"/>
        <v>0</v>
      </c>
      <c r="F189" s="26"/>
      <c r="G189" s="26"/>
      <c r="H189" s="26"/>
      <c r="I189" s="55"/>
      <c r="J189" s="60"/>
      <c r="K189" s="75"/>
      <c r="L189" s="60"/>
      <c r="M189" s="75"/>
      <c r="N189" s="60"/>
      <c r="O189" s="60"/>
      <c r="P189" s="60"/>
      <c r="Q189" s="60"/>
      <c r="R189" s="60"/>
      <c r="S189" s="60"/>
      <c r="T189" s="60"/>
      <c r="U189" s="60"/>
    </row>
    <row r="190" spans="1:21" ht="14.15" customHeight="1" x14ac:dyDescent="0.35">
      <c r="A190" s="24" t="s">
        <v>254</v>
      </c>
      <c r="B190" s="24"/>
      <c r="C190" s="25" t="s">
        <v>255</v>
      </c>
      <c r="D190" s="26">
        <f t="shared" si="29"/>
        <v>0</v>
      </c>
      <c r="E190" s="26">
        <f t="shared" si="27"/>
        <v>0</v>
      </c>
      <c r="F190" s="26"/>
      <c r="G190" s="26"/>
      <c r="H190" s="26"/>
      <c r="I190" s="55"/>
      <c r="J190" s="60"/>
      <c r="K190" s="75"/>
      <c r="L190" s="60"/>
      <c r="M190" s="75"/>
      <c r="N190" s="60"/>
      <c r="O190" s="60"/>
      <c r="P190" s="60"/>
      <c r="Q190" s="60"/>
      <c r="R190" s="60"/>
      <c r="S190" s="60"/>
      <c r="T190" s="60"/>
      <c r="U190" s="60"/>
    </row>
    <row r="191" spans="1:21" s="3" customFormat="1" ht="14.15" customHeight="1" x14ac:dyDescent="0.35">
      <c r="A191" s="20" t="s">
        <v>256</v>
      </c>
      <c r="B191" s="20"/>
      <c r="C191" s="21" t="s">
        <v>257</v>
      </c>
      <c r="D191" s="23">
        <f>F191+H191+J191+L191+N191+P191+R191</f>
        <v>0</v>
      </c>
      <c r="E191" s="23">
        <f>G191+I191</f>
        <v>0</v>
      </c>
      <c r="F191" s="23">
        <v>0</v>
      </c>
      <c r="G191" s="23">
        <v>0</v>
      </c>
      <c r="H191" s="23">
        <v>0</v>
      </c>
      <c r="I191" s="57">
        <v>0</v>
      </c>
      <c r="J191" s="69">
        <v>0</v>
      </c>
      <c r="K191" s="79">
        <v>0</v>
      </c>
      <c r="L191" s="69">
        <v>0</v>
      </c>
      <c r="M191" s="79">
        <v>0</v>
      </c>
      <c r="N191" s="69">
        <v>0</v>
      </c>
      <c r="O191" s="69">
        <v>0</v>
      </c>
      <c r="P191" s="69">
        <v>0</v>
      </c>
      <c r="Q191" s="69">
        <v>0</v>
      </c>
      <c r="R191" s="69">
        <v>0</v>
      </c>
      <c r="S191" s="69">
        <v>0</v>
      </c>
      <c r="T191" s="69">
        <v>0</v>
      </c>
      <c r="U191" s="69">
        <v>0</v>
      </c>
    </row>
    <row r="192" spans="1:21" s="3" customFormat="1" ht="14.15" customHeight="1" x14ac:dyDescent="0.35">
      <c r="A192" s="1093" t="s">
        <v>295</v>
      </c>
      <c r="B192" s="1094"/>
      <c r="C192" s="1095"/>
      <c r="D192" s="29">
        <f>D180+D191+D178</f>
        <v>2473</v>
      </c>
      <c r="E192" s="29">
        <f t="shared" ref="E192:U192" si="30">E180+E191+E178</f>
        <v>2270</v>
      </c>
      <c r="F192" s="29">
        <f t="shared" si="30"/>
        <v>2270</v>
      </c>
      <c r="G192" s="29">
        <f t="shared" si="30"/>
        <v>2270</v>
      </c>
      <c r="H192" s="29">
        <f t="shared" si="30"/>
        <v>0</v>
      </c>
      <c r="I192" s="29">
        <f t="shared" si="30"/>
        <v>0</v>
      </c>
      <c r="J192" s="29">
        <f t="shared" si="30"/>
        <v>0</v>
      </c>
      <c r="K192" s="29">
        <f t="shared" si="30"/>
        <v>0</v>
      </c>
      <c r="L192" s="29">
        <f t="shared" si="30"/>
        <v>0</v>
      </c>
      <c r="M192" s="29">
        <f t="shared" si="30"/>
        <v>0</v>
      </c>
      <c r="N192" s="29">
        <f t="shared" si="30"/>
        <v>0</v>
      </c>
      <c r="O192" s="29">
        <f t="shared" si="30"/>
        <v>0</v>
      </c>
      <c r="P192" s="29">
        <f t="shared" si="30"/>
        <v>0</v>
      </c>
      <c r="Q192" s="29">
        <f t="shared" si="30"/>
        <v>0</v>
      </c>
      <c r="R192" s="29">
        <f t="shared" si="30"/>
        <v>0</v>
      </c>
      <c r="S192" s="29">
        <f t="shared" si="30"/>
        <v>0</v>
      </c>
      <c r="T192" s="29">
        <f t="shared" si="30"/>
        <v>203</v>
      </c>
      <c r="U192" s="29">
        <f t="shared" si="30"/>
        <v>0</v>
      </c>
    </row>
  </sheetData>
  <sheetProtection selectLockedCells="1" selectUnlockedCells="1"/>
  <mergeCells count="69">
    <mergeCell ref="R174:S174"/>
    <mergeCell ref="E174:E175"/>
    <mergeCell ref="T174:U174"/>
    <mergeCell ref="A177:I177"/>
    <mergeCell ref="A192:C192"/>
    <mergeCell ref="P174:Q174"/>
    <mergeCell ref="A174:A175"/>
    <mergeCell ref="B174:B175"/>
    <mergeCell ref="C174:C175"/>
    <mergeCell ref="D174:D175"/>
    <mergeCell ref="H174:I174"/>
    <mergeCell ref="J174:K174"/>
    <mergeCell ref="L174:M174"/>
    <mergeCell ref="N174:O174"/>
    <mergeCell ref="F174:G174"/>
    <mergeCell ref="N1:U1"/>
    <mergeCell ref="A50:M50"/>
    <mergeCell ref="N50:U50"/>
    <mergeCell ref="A146:M146"/>
    <mergeCell ref="N146:U146"/>
    <mergeCell ref="N51:O51"/>
    <mergeCell ref="J2:K2"/>
    <mergeCell ref="A5:I5"/>
    <mergeCell ref="A2:A3"/>
    <mergeCell ref="P51:Q51"/>
    <mergeCell ref="R51:S51"/>
    <mergeCell ref="A147:A148"/>
    <mergeCell ref="A1:M1"/>
    <mergeCell ref="A150:I150"/>
    <mergeCell ref="B147:B148"/>
    <mergeCell ref="C147:C148"/>
    <mergeCell ref="D147:D148"/>
    <mergeCell ref="E147:E148"/>
    <mergeCell ref="A54:I54"/>
    <mergeCell ref="A142:C142"/>
    <mergeCell ref="L2:M2"/>
    <mergeCell ref="H51:I51"/>
    <mergeCell ref="J51:K51"/>
    <mergeCell ref="L51:M51"/>
    <mergeCell ref="A173:M173"/>
    <mergeCell ref="F147:G147"/>
    <mergeCell ref="T51:U51"/>
    <mergeCell ref="A46:C46"/>
    <mergeCell ref="A51:A52"/>
    <mergeCell ref="B51:B52"/>
    <mergeCell ref="C51:C52"/>
    <mergeCell ref="D51:D52"/>
    <mergeCell ref="E51:E52"/>
    <mergeCell ref="F51:G51"/>
    <mergeCell ref="A166:C166"/>
    <mergeCell ref="A168:C168"/>
    <mergeCell ref="N173:U173"/>
    <mergeCell ref="H147:I147"/>
    <mergeCell ref="J147:K147"/>
    <mergeCell ref="L147:M147"/>
    <mergeCell ref="T147:U147"/>
    <mergeCell ref="H2:I2"/>
    <mergeCell ref="B2:B3"/>
    <mergeCell ref="C2:C3"/>
    <mergeCell ref="D2:D3"/>
    <mergeCell ref="E2:E3"/>
    <mergeCell ref="F2:G2"/>
    <mergeCell ref="T2:U2"/>
    <mergeCell ref="N147:O147"/>
    <mergeCell ref="P147:Q147"/>
    <mergeCell ref="R147:S147"/>
    <mergeCell ref="N2:O2"/>
    <mergeCell ref="P2:Q2"/>
    <mergeCell ref="R2:S2"/>
  </mergeCells>
  <printOptions horizontalCentered="1"/>
  <pageMargins left="0.15748031496062992" right="0.15748031496062992" top="0.19685039370078741" bottom="0.15748031496062992" header="0.31496062992125984" footer="0.31496062992125984"/>
  <pageSetup paperSize="8" scale="82" fitToWidth="2" fitToHeight="0" orientation="portrait" useFirstPageNumber="1" copies="2" r:id="rId1"/>
  <headerFooter alignWithMargins="0"/>
  <rowBreaks count="2" manualBreakCount="2">
    <brk id="46" max="16383" man="1"/>
    <brk id="110" max="16383" man="1"/>
  </rowBreaks>
  <colBreaks count="1" manualBreakCount="1">
    <brk id="1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38</vt:i4>
      </vt:variant>
      <vt:variant>
        <vt:lpstr>Névvel ellátott tartományok</vt:lpstr>
      </vt:variant>
      <vt:variant>
        <vt:i4>52</vt:i4>
      </vt:variant>
    </vt:vector>
  </HeadingPairs>
  <TitlesOfParts>
    <vt:vector size="90" baseType="lpstr">
      <vt:lpstr>Egyenlegmutató</vt:lpstr>
      <vt:lpstr>0.Mérleg</vt:lpstr>
      <vt:lpstr>1.1 melléklet</vt:lpstr>
      <vt:lpstr>1.2 melléklet</vt:lpstr>
      <vt:lpstr>1.3 melléklet</vt:lpstr>
      <vt:lpstr>2.1 melléklet</vt:lpstr>
      <vt:lpstr>2.2 melléklet</vt:lpstr>
      <vt:lpstr>2.3 melléklet</vt:lpstr>
      <vt:lpstr>2.4 melléklet</vt:lpstr>
      <vt:lpstr>2.5 melléklet</vt:lpstr>
      <vt:lpstr>2.6 melléklet</vt:lpstr>
      <vt:lpstr>3.1 melléklet</vt:lpstr>
      <vt:lpstr>3.2 melléklet</vt:lpstr>
      <vt:lpstr>4.1 melléklet</vt:lpstr>
      <vt:lpstr>4.2 melléklet</vt:lpstr>
      <vt:lpstr>4.3 melléklet</vt:lpstr>
      <vt:lpstr>4.4 melléklet</vt:lpstr>
      <vt:lpstr>4.5 melléklet</vt:lpstr>
      <vt:lpstr>4.6 melléklet</vt:lpstr>
      <vt:lpstr>4.7 melléklet</vt:lpstr>
      <vt:lpstr>Walla</vt:lpstr>
      <vt:lpstr>4.8 melléklet</vt:lpstr>
      <vt:lpstr>5. melléklet</vt:lpstr>
      <vt:lpstr>6. melléklet</vt:lpstr>
      <vt:lpstr>Könyvtár</vt:lpstr>
      <vt:lpstr>Beruházás</vt:lpstr>
      <vt:lpstr>Felújítás</vt:lpstr>
      <vt:lpstr>7. projektek</vt:lpstr>
      <vt:lpstr>7. melléklet</vt:lpstr>
      <vt:lpstr>8. melléklet</vt:lpstr>
      <vt:lpstr>9. melléklet</vt:lpstr>
      <vt:lpstr>10. melléklet</vt:lpstr>
      <vt:lpstr>ÖK kiad</vt:lpstr>
      <vt:lpstr>MMMH</vt:lpstr>
      <vt:lpstr>Nyitnikék</vt:lpstr>
      <vt:lpstr>Bóbita</vt:lpstr>
      <vt:lpstr>SKSZ</vt:lpstr>
      <vt:lpstr>PH</vt:lpstr>
      <vt:lpstr>'1.1 melléklet'!Nyomtatási_cím</vt:lpstr>
      <vt:lpstr>'1.2 melléklet'!Nyomtatási_cím</vt:lpstr>
      <vt:lpstr>'1.3 melléklet'!Nyomtatási_cím</vt:lpstr>
      <vt:lpstr>'2.1 melléklet'!Nyomtatási_cím</vt:lpstr>
      <vt:lpstr>'2.2 melléklet'!Nyomtatási_cím</vt:lpstr>
      <vt:lpstr>'2.3 melléklet'!Nyomtatási_cím</vt:lpstr>
      <vt:lpstr>'3.1 melléklet'!Nyomtatási_cím</vt:lpstr>
      <vt:lpstr>'3.2 melléklet'!Nyomtatási_cím</vt:lpstr>
      <vt:lpstr>'4.1 melléklet'!Nyomtatási_cím</vt:lpstr>
      <vt:lpstr>'4.2 melléklet'!Nyomtatási_cím</vt:lpstr>
      <vt:lpstr>'4.3 melléklet'!Nyomtatási_cím</vt:lpstr>
      <vt:lpstr>'4.4 melléklet'!Nyomtatási_cím</vt:lpstr>
      <vt:lpstr>'4.5 melléklet'!Nyomtatási_cím</vt:lpstr>
      <vt:lpstr>'4.6 melléklet'!Nyomtatási_cím</vt:lpstr>
      <vt:lpstr>'4.7 melléklet'!Nyomtatási_cím</vt:lpstr>
      <vt:lpstr>'4.8 melléklet'!Nyomtatási_cím</vt:lpstr>
      <vt:lpstr>'5. melléklet'!Nyomtatási_cím</vt:lpstr>
      <vt:lpstr>Beruházás!Nyomtatási_cím</vt:lpstr>
      <vt:lpstr>Könyvtár!Nyomtatási_cím</vt:lpstr>
      <vt:lpstr>MMMH!Nyomtatási_cím</vt:lpstr>
      <vt:lpstr>'ÖK kiad'!Nyomtatási_cím</vt:lpstr>
      <vt:lpstr>PH!Nyomtatási_cím</vt:lpstr>
      <vt:lpstr>SKSZ!Nyomtatási_cím</vt:lpstr>
      <vt:lpstr>Walla!Nyomtatási_cím</vt:lpstr>
      <vt:lpstr>'0.Mérleg'!Nyomtatási_terület</vt:lpstr>
      <vt:lpstr>'1.1 melléklet'!Nyomtatási_terület</vt:lpstr>
      <vt:lpstr>'1.2 melléklet'!Nyomtatási_terület</vt:lpstr>
      <vt:lpstr>'1.3 melléklet'!Nyomtatási_terület</vt:lpstr>
      <vt:lpstr>'10. melléklet'!Nyomtatási_terület</vt:lpstr>
      <vt:lpstr>'2.1 melléklet'!Nyomtatási_terület</vt:lpstr>
      <vt:lpstr>'2.2 melléklet'!Nyomtatási_terület</vt:lpstr>
      <vt:lpstr>'2.3 melléklet'!Nyomtatási_terület</vt:lpstr>
      <vt:lpstr>'2.4 melléklet'!Nyomtatási_terület</vt:lpstr>
      <vt:lpstr>'2.5 melléklet'!Nyomtatási_terület</vt:lpstr>
      <vt:lpstr>'2.6 melléklet'!Nyomtatási_terület</vt:lpstr>
      <vt:lpstr>'3.1 melléklet'!Nyomtatási_terület</vt:lpstr>
      <vt:lpstr>'3.2 melléklet'!Nyomtatási_terület</vt:lpstr>
      <vt:lpstr>'4.1 melléklet'!Nyomtatási_terület</vt:lpstr>
      <vt:lpstr>'4.2 melléklet'!Nyomtatási_terület</vt:lpstr>
      <vt:lpstr>'4.3 melléklet'!Nyomtatási_terület</vt:lpstr>
      <vt:lpstr>'4.4 melléklet'!Nyomtatási_terület</vt:lpstr>
      <vt:lpstr>'4.5 melléklet'!Nyomtatási_terület</vt:lpstr>
      <vt:lpstr>'4.6 melléklet'!Nyomtatási_terület</vt:lpstr>
      <vt:lpstr>'4.7 melléklet'!Nyomtatási_terület</vt:lpstr>
      <vt:lpstr>'4.8 melléklet'!Nyomtatási_terület</vt:lpstr>
      <vt:lpstr>'5. melléklet'!Nyomtatási_terület</vt:lpstr>
      <vt:lpstr>'6. melléklet'!Nyomtatási_terület</vt:lpstr>
      <vt:lpstr>'7. melléklet'!Nyomtatási_terület</vt:lpstr>
      <vt:lpstr>'7. projektek'!Nyomtatási_terület</vt:lpstr>
      <vt:lpstr>'8. melléklet'!Nyomtatási_terület</vt:lpstr>
      <vt:lpstr>Beruházás!Nyomtatási_terület</vt:lpstr>
      <vt:lpstr>Felújítás!Nyomtatási_terület</vt:lpstr>
    </vt:vector>
  </TitlesOfParts>
  <Company>Polgármesteri 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Katalin Volosin</dc:creator>
  <cp:lastModifiedBy>Volosin Katalin</cp:lastModifiedBy>
  <cp:lastPrinted>2021-06-17T15:13:18Z</cp:lastPrinted>
  <dcterms:created xsi:type="dcterms:W3CDTF">2015-10-26T12:21:43Z</dcterms:created>
  <dcterms:modified xsi:type="dcterms:W3CDTF">2021-06-29T12:53:49Z</dcterms:modified>
</cp:coreProperties>
</file>