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360" windowWidth="28860" windowHeight="6420" tabRatio="824" firstSheet="18" activeTab="22"/>
  </bookViews>
  <sheets>
    <sheet name="Tartalomjegyzék" sheetId="129" r:id="rId1"/>
    <sheet name="1.mell._Össz_Mérleg2020" sheetId="61" r:id="rId2"/>
    <sheet name="1.1.mell._ÖNK_Mérleg2020" sheetId="64" r:id="rId3"/>
    <sheet name="1.2.mell._HKÖH_Mérleg2020" sheetId="65" r:id="rId4"/>
    <sheet name="1.3.mell._HVÓBKI_Mérleg2020" sheetId="66" r:id="rId5"/>
    <sheet name="1.4.mell._HKK_Mérleg2020" sheetId="67" r:id="rId6"/>
    <sheet name="1.5._mell._MŐSZ_Mérleg2020" sheetId="97" r:id="rId7"/>
    <sheet name="1.6._mell._HVGYKCSSZ_Mérleg2020" sheetId="109" r:id="rId8"/>
    <sheet name="2.a.mell._MMérleg2020" sheetId="68" r:id="rId9"/>
    <sheet name="2.b.mell._FMérleg2020" sheetId="69" r:id="rId10"/>
    <sheet name="3. mell._létszám2020" sheetId="70" r:id="rId11"/>
    <sheet name="4. mell. EUprojektek2020" sheetId="116" r:id="rId12"/>
    <sheet name="5.mell_adósság2020" sheetId="72" r:id="rId13"/>
    <sheet name="6.mell_Többévesköt.2020" sheetId="73" r:id="rId14"/>
    <sheet name="7. mell_KözvetettTám2020" sheetId="74" r:id="rId15"/>
    <sheet name="8.mell_EIfelhterv2020" sheetId="75" r:id="rId16"/>
    <sheet name="9.mell_ÖsszMérleg(telj)2020" sheetId="76" r:id="rId17"/>
    <sheet name="10.mell_támogatások2020" sheetId="77" r:id="rId18"/>
    <sheet name="11.mell_felhKiad2020" sheetId="78" r:id="rId19"/>
    <sheet name="12.mell_céltámogatások2020" sheetId="79" r:id="rId20"/>
    <sheet name="13.mell_ÖNKfeladatok2020" sheetId="84" r:id="rId21"/>
    <sheet name="14.mell_Önk kiegészítés2020" sheetId="85" r:id="rId22"/>
    <sheet name="15.mell 2020K01" sheetId="117" r:id="rId23"/>
    <sheet name="16.mell 2020K02" sheetId="118" r:id="rId24"/>
    <sheet name="17.mell 2020K03" sheetId="119" r:id="rId25"/>
    <sheet name="18.mell 2020K04" sheetId="120" r:id="rId26"/>
    <sheet name="19.mell 2020K12" sheetId="121" r:id="rId27"/>
    <sheet name="20.mell 2020K13" sheetId="122" r:id="rId28"/>
    <sheet name="21.mell Vagyonkim2020" sheetId="123" r:id="rId29"/>
    <sheet name="22.mell Részesedések2020" sheetId="124" r:id="rId30"/>
    <sheet name="23.mell_Adósságáll2020" sheetId="125" r:id="rId31"/>
    <sheet name="24.Hitelek2020" sheetId="126" r:id="rId32"/>
    <sheet name="25.mell_maradvány2020" sheetId="127" r:id="rId33"/>
    <sheet name="26.mell_maradványfeloszt2020" sheetId="128" r:id="rId34"/>
    <sheet name="15.mell_Tartozások2020" sheetId="88" state="hidden" r:id="rId35"/>
    <sheet name="16.mell_Étkezésdíj2020" sheetId="89" state="hidden" r:id="rId36"/>
    <sheet name="1.függVárosüzem2020" sheetId="91" state="hidden" r:id="rId37"/>
    <sheet name="2.függ_adósság2019 (határozat)" sheetId="90" state="hidden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kst" localSheetId="31">#REF!</definedName>
    <definedName name="kst" localSheetId="0">#REF!</definedName>
    <definedName name="kst">#REF!</definedName>
    <definedName name="nev" localSheetId="31">[1]kod!$CD$8:$CD$3150</definedName>
    <definedName name="nev">[2]kod!$CD$8:$CD$3150</definedName>
    <definedName name="_xlnm.Print_Titles" localSheetId="17">'10.mell_támogatások2020'!$6:$7</definedName>
    <definedName name="_xlnm.Print_Titles" localSheetId="20">'13.mell_ÖNKfeladatok2020'!$A:$F,'13.mell_ÖNKfeladatok2020'!$170:$173</definedName>
    <definedName name="_xlnm.Print_Titles" localSheetId="21">'14.mell_Önk kiegészítés2020'!$B:$B</definedName>
    <definedName name="_xlnm.Print_Titles" localSheetId="22">'15.mell 2020K01'!$A$3:$IG$5</definedName>
    <definedName name="_xlnm.Print_Titles" localSheetId="23">'16.mell 2020K02'!$A$3:$IR$5</definedName>
    <definedName name="_xlnm.Print_Area" localSheetId="2">'1.1.mell._ÖNK_Mérleg2020'!$A$1:$I$242</definedName>
    <definedName name="_xlnm.Print_Area" localSheetId="3">'1.2.mell._HKÖH_Mérleg2020'!$A$1:$I$242</definedName>
    <definedName name="_xlnm.Print_Area" localSheetId="4">'1.3.mell._HVÓBKI_Mérleg2020'!$A$1:$I$242</definedName>
    <definedName name="_xlnm.Print_Area" localSheetId="5">'1.4.mell._HKK_Mérleg2020'!$A$1:$I$242</definedName>
    <definedName name="_xlnm.Print_Area" localSheetId="6">'1.5._mell._MŐSZ_Mérleg2020'!$A$1:$I$242</definedName>
    <definedName name="_xlnm.Print_Area" localSheetId="7">'1.6._mell._HVGYKCSSZ_Mérleg2020'!$A$1:$I$242</definedName>
    <definedName name="_xlnm.Print_Area" localSheetId="36">'1.függVárosüzem2020'!$A$1:$H$126</definedName>
    <definedName name="_xlnm.Print_Area" localSheetId="1">'1.mell._Össz_Mérleg2020'!$A$1:$I$242</definedName>
    <definedName name="_xlnm.Print_Area" localSheetId="17">'10.mell_támogatások2020'!$A$1:$G$137</definedName>
    <definedName name="_xlnm.Print_Area" localSheetId="18">'11.mell_felhKiad2020'!$A$1:$J$132</definedName>
    <definedName name="_xlnm.Print_Area" localSheetId="19">'12.mell_céltámogatások2020'!$A$1:$G$43</definedName>
    <definedName name="_xlnm.Print_Area" localSheetId="20">'13.mell_ÖNKfeladatok2020'!$A$1:$AX$329</definedName>
    <definedName name="_xlnm.Print_Area" localSheetId="21">'14.mell_Önk kiegészítés2020'!$A$1:$W$283</definedName>
    <definedName name="_xlnm.Print_Area" localSheetId="22">'15.mell 2020K01'!$A$1:$E$272</definedName>
    <definedName name="_xlnm.Print_Area" localSheetId="23">'16.mell 2020K02'!$A$1:$E$287</definedName>
    <definedName name="_xlnm.Print_Area" localSheetId="35">'16.mell_Étkezésdíj2020'!$A$1:$F$23</definedName>
    <definedName name="_xlnm.Print_Area" localSheetId="24">'17.mell 2020K03'!$A$1:$E$45</definedName>
    <definedName name="_xlnm.Print_Area" localSheetId="25">'18.mell 2020K04'!$A$1:$E$37</definedName>
    <definedName name="_xlnm.Print_Area" localSheetId="8">'2.a.mell._MMérleg2020'!$A$1:$Q$35</definedName>
    <definedName name="_xlnm.Print_Area" localSheetId="9">'2.b.mell._FMérleg2020'!$A$1:$Q$35</definedName>
    <definedName name="_xlnm.Print_Area" localSheetId="37">'2.függ_adósság2019 (határozat)'!$A$1:$F$38</definedName>
    <definedName name="_xlnm.Print_Area" localSheetId="28">'21.mell Vagyonkim2020'!$A$1:$J$94</definedName>
    <definedName name="_xlnm.Print_Area" localSheetId="30">'23.mell_Adósságáll2020'!$A$1:$K$23</definedName>
    <definedName name="_xlnm.Print_Area" localSheetId="32">'25.mell_maradvány2020'!$A$1:$I$24</definedName>
    <definedName name="_xlnm.Print_Area" localSheetId="10">'3. mell._létszám2020'!$A$1:$I$86</definedName>
    <definedName name="_xlnm.Print_Area" localSheetId="11">'4. mell. EUprojektek2020'!$A$1:$U$362</definedName>
    <definedName name="_xlnm.Print_Area" localSheetId="14">'7. mell_KözvetettTám2020'!$A$1:$J$25</definedName>
    <definedName name="_xlnm.Print_Area" localSheetId="15">'8.mell_EIfelhterv2020'!$A$1:$S$30</definedName>
    <definedName name="_xlnm.Print_Area" localSheetId="16">'9.mell_ÖsszMérleg(telj)2020'!$A$1:$H$242</definedName>
    <definedName name="onev" localSheetId="31">[3]kod!$BT$34:$BT$3184</definedName>
    <definedName name="onev">[4]kod!$BT$34:$BT$3184</definedName>
  </definedNames>
  <calcPr calcId="125725" fullCalcOnLoad="1"/>
</workbook>
</file>

<file path=xl/calcChain.xml><?xml version="1.0" encoding="utf-8"?>
<calcChain xmlns="http://schemas.openxmlformats.org/spreadsheetml/2006/main">
  <c r="I130" i="78"/>
  <c r="I127"/>
  <c r="I124"/>
  <c r="I121"/>
  <c r="I118"/>
  <c r="I115"/>
  <c r="G130"/>
  <c r="F130"/>
  <c r="E130"/>
  <c r="D130"/>
  <c r="G127"/>
  <c r="F127"/>
  <c r="E127"/>
  <c r="D127"/>
  <c r="G124"/>
  <c r="F124"/>
  <c r="E124"/>
  <c r="D124"/>
  <c r="G121"/>
  <c r="F121"/>
  <c r="E121"/>
  <c r="D121"/>
  <c r="G118"/>
  <c r="F118"/>
  <c r="E118"/>
  <c r="D118"/>
  <c r="G115"/>
  <c r="F115"/>
  <c r="E115"/>
  <c r="E132"/>
  <c r="D115"/>
  <c r="I112"/>
  <c r="I132"/>
  <c r="G112"/>
  <c r="G132"/>
  <c r="F112"/>
  <c r="E112"/>
  <c r="D112"/>
  <c r="G42"/>
  <c r="F42"/>
  <c r="D42"/>
  <c r="D22" i="123"/>
  <c r="D16"/>
  <c r="G80"/>
  <c r="G72"/>
  <c r="I81" i="78"/>
  <c r="O80"/>
  <c r="P80"/>
  <c r="J80"/>
  <c r="H80"/>
  <c r="O40"/>
  <c r="P40"/>
  <c r="J40"/>
  <c r="H40"/>
  <c r="D132"/>
  <c r="F132"/>
  <c r="H21" i="128"/>
  <c r="G19" i="74"/>
  <c r="H16"/>
  <c r="G16"/>
  <c r="H48" i="128"/>
  <c r="H20"/>
  <c r="F12"/>
  <c r="AT15" i="125"/>
  <c r="AN15"/>
  <c r="AZ15"/>
  <c r="BX15"/>
  <c r="G15" i="75"/>
  <c r="G14"/>
  <c r="H145" i="64"/>
  <c r="H122"/>
  <c r="H120"/>
  <c r="AB15" i="125"/>
  <c r="F9" i="78"/>
  <c r="F25"/>
  <c r="V15" i="125"/>
  <c r="R15"/>
  <c r="T27"/>
  <c r="T15"/>
  <c r="P27"/>
  <c r="V27"/>
  <c r="P34"/>
  <c r="P15"/>
  <c r="Q15"/>
  <c r="F11" i="124"/>
  <c r="F8"/>
  <c r="V208" i="85"/>
  <c r="V206"/>
  <c r="V203"/>
  <c r="V204"/>
  <c r="V209"/>
  <c r="V200"/>
  <c r="V198"/>
  <c r="V196"/>
  <c r="V192"/>
  <c r="V190"/>
  <c r="V188"/>
  <c r="V186"/>
  <c r="V182"/>
  <c r="V180"/>
  <c r="V178"/>
  <c r="V183"/>
  <c r="V172"/>
  <c r="V170"/>
  <c r="V163"/>
  <c r="V166"/>
  <c r="V173"/>
  <c r="V160"/>
  <c r="V158"/>
  <c r="V154"/>
  <c r="V155"/>
  <c r="V161"/>
  <c r="V133"/>
  <c r="V116"/>
  <c r="V93"/>
  <c r="V84"/>
  <c r="AG203"/>
  <c r="AG186"/>
  <c r="AG175"/>
  <c r="AI163"/>
  <c r="AG163"/>
  <c r="AI154"/>
  <c r="AE154"/>
  <c r="AG133"/>
  <c r="AG116"/>
  <c r="AG105"/>
  <c r="AI93"/>
  <c r="AG93"/>
  <c r="AI84"/>
  <c r="AE84"/>
  <c r="V201"/>
  <c r="V193"/>
  <c r="V211"/>
  <c r="V213"/>
  <c r="X175" i="84"/>
  <c r="Y196"/>
  <c r="X196"/>
  <c r="Y202"/>
  <c r="X202"/>
  <c r="Y175"/>
  <c r="Y252"/>
  <c r="X252"/>
  <c r="Y250"/>
  <c r="X250"/>
  <c r="Y247"/>
  <c r="M247"/>
  <c r="X247"/>
  <c r="L247"/>
  <c r="AS202"/>
  <c r="AR202"/>
  <c r="AR213"/>
  <c r="AS213"/>
  <c r="AS196"/>
  <c r="AR196"/>
  <c r="AN175"/>
  <c r="AN247"/>
  <c r="AJ247"/>
  <c r="AO247"/>
  <c r="AK247"/>
  <c r="AO238"/>
  <c r="AN238"/>
  <c r="AF175"/>
  <c r="AG175"/>
  <c r="AF253"/>
  <c r="AF222"/>
  <c r="AF186"/>
  <c r="AB234"/>
  <c r="AC234"/>
  <c r="T175"/>
  <c r="U175"/>
  <c r="P175"/>
  <c r="Q175"/>
  <c r="Q176"/>
  <c r="AR85"/>
  <c r="AB9"/>
  <c r="AC9"/>
  <c r="AN15"/>
  <c r="X9"/>
  <c r="Y16"/>
  <c r="X16"/>
  <c r="Y9"/>
  <c r="T9"/>
  <c r="T12"/>
  <c r="U9"/>
  <c r="AK26"/>
  <c r="AJ26"/>
  <c r="W351" i="116"/>
  <c r="W350"/>
  <c r="W349"/>
  <c r="W348"/>
  <c r="W347"/>
  <c r="Y347"/>
  <c r="W346"/>
  <c r="W345"/>
  <c r="W344"/>
  <c r="W340"/>
  <c r="W339"/>
  <c r="W338"/>
  <c r="W337"/>
  <c r="W336"/>
  <c r="AX211" i="84"/>
  <c r="AT211"/>
  <c r="AP211"/>
  <c r="AK211"/>
  <c r="AL211"/>
  <c r="AJ211"/>
  <c r="AI211"/>
  <c r="AH211"/>
  <c r="AD211"/>
  <c r="Z211"/>
  <c r="V211"/>
  <c r="R211"/>
  <c r="M211"/>
  <c r="L211"/>
  <c r="K211"/>
  <c r="G211"/>
  <c r="AX247"/>
  <c r="AT247"/>
  <c r="AI247"/>
  <c r="AH247"/>
  <c r="AD247"/>
  <c r="V247"/>
  <c r="R247"/>
  <c r="K247"/>
  <c r="G247"/>
  <c r="AT45"/>
  <c r="AP45"/>
  <c r="AL45"/>
  <c r="AH45"/>
  <c r="AG45"/>
  <c r="AF45"/>
  <c r="AE45"/>
  <c r="AD45"/>
  <c r="Z45"/>
  <c r="V45"/>
  <c r="R45"/>
  <c r="M45"/>
  <c r="I45"/>
  <c r="L45"/>
  <c r="H45"/>
  <c r="K45"/>
  <c r="G45"/>
  <c r="AT80"/>
  <c r="AP80"/>
  <c r="AL80"/>
  <c r="AG80"/>
  <c r="AH80"/>
  <c r="AF80"/>
  <c r="AE80"/>
  <c r="AD80"/>
  <c r="Z80"/>
  <c r="V80"/>
  <c r="R80"/>
  <c r="M80"/>
  <c r="I80"/>
  <c r="J80"/>
  <c r="L80"/>
  <c r="K80"/>
  <c r="H80"/>
  <c r="G80"/>
  <c r="N80"/>
  <c r="J45"/>
  <c r="N211"/>
  <c r="N45"/>
  <c r="I211"/>
  <c r="H247"/>
  <c r="I247"/>
  <c r="J247"/>
  <c r="Z247"/>
  <c r="AP247"/>
  <c r="AL247"/>
  <c r="N247"/>
  <c r="H211"/>
  <c r="J211"/>
  <c r="X261"/>
  <c r="Y261"/>
  <c r="T261"/>
  <c r="U261"/>
  <c r="P261"/>
  <c r="Q261"/>
  <c r="X101"/>
  <c r="T95"/>
  <c r="X283"/>
  <c r="Y283"/>
  <c r="Y281"/>
  <c r="T281"/>
  <c r="P281"/>
  <c r="X117"/>
  <c r="Y117"/>
  <c r="AN297"/>
  <c r="X295"/>
  <c r="X296"/>
  <c r="Y296"/>
  <c r="T295"/>
  <c r="U295"/>
  <c r="P295"/>
  <c r="AX298"/>
  <c r="AT298"/>
  <c r="AP298"/>
  <c r="AK298"/>
  <c r="AJ298"/>
  <c r="AL298"/>
  <c r="AI298"/>
  <c r="AH298"/>
  <c r="AD298"/>
  <c r="Z298"/>
  <c r="V298"/>
  <c r="R298"/>
  <c r="M298"/>
  <c r="L298"/>
  <c r="H298"/>
  <c r="K298"/>
  <c r="G298"/>
  <c r="I298"/>
  <c r="AX299"/>
  <c r="AT299"/>
  <c r="AP299"/>
  <c r="AK299"/>
  <c r="AL299"/>
  <c r="AJ299"/>
  <c r="AI299"/>
  <c r="AH299"/>
  <c r="AD299"/>
  <c r="Z299"/>
  <c r="V299"/>
  <c r="R299"/>
  <c r="N299"/>
  <c r="M299"/>
  <c r="L299"/>
  <c r="H299"/>
  <c r="K299"/>
  <c r="G299"/>
  <c r="R131"/>
  <c r="X131"/>
  <c r="AT131"/>
  <c r="AP131"/>
  <c r="AL131"/>
  <c r="AG131"/>
  <c r="AH131"/>
  <c r="AF131"/>
  <c r="AE131"/>
  <c r="AD131"/>
  <c r="V131"/>
  <c r="M131"/>
  <c r="K131"/>
  <c r="G131"/>
  <c r="AT132"/>
  <c r="AP132"/>
  <c r="AL132"/>
  <c r="AG132"/>
  <c r="AH132"/>
  <c r="AF132"/>
  <c r="AE132"/>
  <c r="G132"/>
  <c r="AD132"/>
  <c r="Z132"/>
  <c r="V132"/>
  <c r="R132"/>
  <c r="M132"/>
  <c r="L132"/>
  <c r="K132"/>
  <c r="J298"/>
  <c r="I131"/>
  <c r="N298"/>
  <c r="I132"/>
  <c r="I299"/>
  <c r="J299"/>
  <c r="L131"/>
  <c r="N131"/>
  <c r="Z131"/>
  <c r="N132"/>
  <c r="H132"/>
  <c r="J132"/>
  <c r="X319"/>
  <c r="Y319"/>
  <c r="U319"/>
  <c r="P319"/>
  <c r="G78" i="78"/>
  <c r="H78"/>
  <c r="G77"/>
  <c r="O78"/>
  <c r="P78"/>
  <c r="O76"/>
  <c r="P76"/>
  <c r="J76"/>
  <c r="H76"/>
  <c r="O77"/>
  <c r="P77"/>
  <c r="J77"/>
  <c r="O75"/>
  <c r="P75"/>
  <c r="F75"/>
  <c r="F81"/>
  <c r="E75"/>
  <c r="E81"/>
  <c r="B75"/>
  <c r="O24"/>
  <c r="P24"/>
  <c r="J24"/>
  <c r="H24"/>
  <c r="O23"/>
  <c r="P23"/>
  <c r="J23"/>
  <c r="H23"/>
  <c r="G9"/>
  <c r="G19"/>
  <c r="I36"/>
  <c r="I42"/>
  <c r="O25"/>
  <c r="P25"/>
  <c r="J25"/>
  <c r="H25"/>
  <c r="O22"/>
  <c r="P22"/>
  <c r="J22"/>
  <c r="H22"/>
  <c r="O21"/>
  <c r="P21"/>
  <c r="J21"/>
  <c r="H21"/>
  <c r="O20"/>
  <c r="P20"/>
  <c r="H20"/>
  <c r="J20"/>
  <c r="I31"/>
  <c r="G31"/>
  <c r="F31"/>
  <c r="E31"/>
  <c r="D31"/>
  <c r="B31"/>
  <c r="O30"/>
  <c r="P30"/>
  <c r="J30"/>
  <c r="H30"/>
  <c r="J28"/>
  <c r="H28"/>
  <c r="H75"/>
  <c r="H77"/>
  <c r="G81"/>
  <c r="J75"/>
  <c r="H131" i="84"/>
  <c r="J131"/>
  <c r="J78" i="78"/>
  <c r="I50"/>
  <c r="G50"/>
  <c r="F50"/>
  <c r="E50"/>
  <c r="D50"/>
  <c r="B50"/>
  <c r="O49"/>
  <c r="P49"/>
  <c r="J49"/>
  <c r="H49"/>
  <c r="O48"/>
  <c r="P48"/>
  <c r="J48"/>
  <c r="H48"/>
  <c r="O17"/>
  <c r="P17"/>
  <c r="J17"/>
  <c r="H17"/>
  <c r="O16"/>
  <c r="P16"/>
  <c r="J16"/>
  <c r="H16"/>
  <c r="O15"/>
  <c r="P15"/>
  <c r="J15"/>
  <c r="H15"/>
  <c r="I106"/>
  <c r="G106"/>
  <c r="F106"/>
  <c r="E106"/>
  <c r="D106"/>
  <c r="B106"/>
  <c r="I67"/>
  <c r="G67"/>
  <c r="F67"/>
  <c r="E67"/>
  <c r="D67"/>
  <c r="B67"/>
  <c r="O65"/>
  <c r="P65"/>
  <c r="J65"/>
  <c r="H65"/>
  <c r="O64"/>
  <c r="P64"/>
  <c r="J64"/>
  <c r="H64"/>
  <c r="O63"/>
  <c r="P63"/>
  <c r="J63"/>
  <c r="H63"/>
  <c r="O104"/>
  <c r="P104"/>
  <c r="J104"/>
  <c r="H104"/>
  <c r="O62"/>
  <c r="P62"/>
  <c r="J62"/>
  <c r="H62"/>
  <c r="O105"/>
  <c r="P105"/>
  <c r="J105"/>
  <c r="H105"/>
  <c r="O61"/>
  <c r="P61"/>
  <c r="J61"/>
  <c r="H61"/>
  <c r="O59"/>
  <c r="P59"/>
  <c r="J59"/>
  <c r="H59"/>
  <c r="O60"/>
  <c r="P60"/>
  <c r="J60"/>
  <c r="H60"/>
  <c r="O103"/>
  <c r="P103"/>
  <c r="J103"/>
  <c r="H103"/>
  <c r="P58"/>
  <c r="O58"/>
  <c r="J58"/>
  <c r="H58"/>
  <c r="O101"/>
  <c r="P101"/>
  <c r="J101"/>
  <c r="H101"/>
  <c r="O57"/>
  <c r="P57"/>
  <c r="J57"/>
  <c r="H57"/>
  <c r="O56"/>
  <c r="P56"/>
  <c r="J56"/>
  <c r="H56"/>
  <c r="O100"/>
  <c r="P100"/>
  <c r="J100"/>
  <c r="H100"/>
  <c r="O55"/>
  <c r="P55"/>
  <c r="J55"/>
  <c r="H55"/>
  <c r="O102"/>
  <c r="P102"/>
  <c r="J102"/>
  <c r="H102"/>
  <c r="O54"/>
  <c r="P54"/>
  <c r="J54"/>
  <c r="H54"/>
  <c r="O99"/>
  <c r="P99"/>
  <c r="J99"/>
  <c r="H99"/>
  <c r="O53"/>
  <c r="P53"/>
  <c r="J53"/>
  <c r="H53"/>
  <c r="O98"/>
  <c r="P98"/>
  <c r="J98"/>
  <c r="H98"/>
  <c r="O52"/>
  <c r="P52"/>
  <c r="J52"/>
  <c r="H52"/>
  <c r="E27" i="79"/>
  <c r="E18"/>
  <c r="J106" i="78"/>
  <c r="E17" i="79"/>
  <c r="E20"/>
  <c r="G33"/>
  <c r="G32"/>
  <c r="G12"/>
  <c r="G31"/>
  <c r="F25"/>
  <c r="G30"/>
  <c r="F22"/>
  <c r="F21"/>
  <c r="G29"/>
  <c r="E9"/>
  <c r="G9"/>
  <c r="G11"/>
  <c r="G10"/>
  <c r="D9"/>
  <c r="E134" i="77"/>
  <c r="E101"/>
  <c r="E96"/>
  <c r="E132"/>
  <c r="E85"/>
  <c r="E94"/>
  <c r="E82"/>
  <c r="E64"/>
  <c r="E68"/>
  <c r="E59"/>
  <c r="E58"/>
  <c r="E57"/>
  <c r="E54"/>
  <c r="E52"/>
  <c r="E51"/>
  <c r="E38"/>
  <c r="E36"/>
  <c r="E35"/>
  <c r="E34"/>
  <c r="E30"/>
  <c r="E27"/>
  <c r="E32"/>
  <c r="E19"/>
  <c r="E16"/>
  <c r="E17"/>
  <c r="E11"/>
  <c r="E10"/>
  <c r="F82"/>
  <c r="F27"/>
  <c r="F59"/>
  <c r="F19"/>
  <c r="F16"/>
  <c r="F64"/>
  <c r="F52"/>
  <c r="F36"/>
  <c r="F35"/>
  <c r="E9"/>
  <c r="E26"/>
  <c r="E135"/>
  <c r="E62"/>
  <c r="E70"/>
  <c r="E137"/>
  <c r="F10"/>
  <c r="F30"/>
  <c r="F11"/>
  <c r="L40" i="73"/>
  <c r="H40"/>
  <c r="L41"/>
  <c r="H41"/>
  <c r="L42"/>
  <c r="H42"/>
  <c r="H23"/>
  <c r="L23"/>
  <c r="H21"/>
  <c r="L21"/>
  <c r="E117" i="64"/>
  <c r="D117"/>
  <c r="AG340" i="116"/>
  <c r="AF340"/>
  <c r="AG337"/>
  <c r="AF337"/>
  <c r="AF345"/>
  <c r="AG345"/>
  <c r="AG346"/>
  <c r="AF347"/>
  <c r="AG347"/>
  <c r="AF348"/>
  <c r="AG348"/>
  <c r="AF349"/>
  <c r="AG349"/>
  <c r="AF350"/>
  <c r="AG350"/>
  <c r="AF351"/>
  <c r="AG351"/>
  <c r="AG344"/>
  <c r="AF344"/>
  <c r="E71"/>
  <c r="E250"/>
  <c r="E249"/>
  <c r="E245"/>
  <c r="E244"/>
  <c r="P346"/>
  <c r="E321"/>
  <c r="AF346"/>
  <c r="T327"/>
  <c r="T310"/>
  <c r="T316"/>
  <c r="S327"/>
  <c r="S310"/>
  <c r="S316"/>
  <c r="R327"/>
  <c r="R310"/>
  <c r="R316"/>
  <c r="P327"/>
  <c r="P310"/>
  <c r="O327"/>
  <c r="N327"/>
  <c r="M327"/>
  <c r="M310"/>
  <c r="M316"/>
  <c r="U326"/>
  <c r="Q326"/>
  <c r="U325"/>
  <c r="Q325"/>
  <c r="U324"/>
  <c r="Q324"/>
  <c r="U323"/>
  <c r="Q323"/>
  <c r="U322"/>
  <c r="Q322"/>
  <c r="U321"/>
  <c r="Q321"/>
  <c r="U320"/>
  <c r="Q320"/>
  <c r="U319"/>
  <c r="Q319"/>
  <c r="P316"/>
  <c r="U315"/>
  <c r="Q315"/>
  <c r="U314"/>
  <c r="Q314"/>
  <c r="U313"/>
  <c r="Q313"/>
  <c r="U312"/>
  <c r="Q312"/>
  <c r="U311"/>
  <c r="Q311"/>
  <c r="O310"/>
  <c r="O316"/>
  <c r="N310"/>
  <c r="N316"/>
  <c r="B27"/>
  <c r="B10"/>
  <c r="B16"/>
  <c r="P212"/>
  <c r="Q327"/>
  <c r="U327"/>
  <c r="U310"/>
  <c r="U316"/>
  <c r="Q310"/>
  <c r="Q316"/>
  <c r="Z351"/>
  <c r="AE351"/>
  <c r="Z350"/>
  <c r="AE350"/>
  <c r="Z349"/>
  <c r="AE349"/>
  <c r="Z348"/>
  <c r="AE348"/>
  <c r="Z347"/>
  <c r="AE347"/>
  <c r="Z346"/>
  <c r="AE346"/>
  <c r="Z345"/>
  <c r="AE345"/>
  <c r="Z344"/>
  <c r="AE344"/>
  <c r="Z337"/>
  <c r="AE337" s="1"/>
  <c r="Z338"/>
  <c r="Z339"/>
  <c r="Z340"/>
  <c r="AE340"/>
  <c r="Z336"/>
  <c r="I327"/>
  <c r="I310"/>
  <c r="I316"/>
  <c r="H327"/>
  <c r="H310"/>
  <c r="H316"/>
  <c r="G327"/>
  <c r="G310"/>
  <c r="G316"/>
  <c r="E327"/>
  <c r="D327"/>
  <c r="D310"/>
  <c r="D316"/>
  <c r="C327"/>
  <c r="J326"/>
  <c r="F326"/>
  <c r="J325"/>
  <c r="F325"/>
  <c r="J324"/>
  <c r="F324"/>
  <c r="J323"/>
  <c r="F323"/>
  <c r="J322"/>
  <c r="F322"/>
  <c r="F321"/>
  <c r="B321"/>
  <c r="J321"/>
  <c r="F320"/>
  <c r="B320"/>
  <c r="J320"/>
  <c r="F319"/>
  <c r="B319"/>
  <c r="B327"/>
  <c r="J315"/>
  <c r="F315"/>
  <c r="J314"/>
  <c r="F314"/>
  <c r="J313"/>
  <c r="F313"/>
  <c r="F312"/>
  <c r="B312"/>
  <c r="J312"/>
  <c r="J311"/>
  <c r="F311"/>
  <c r="C310"/>
  <c r="C316"/>
  <c r="B310"/>
  <c r="B316"/>
  <c r="J319"/>
  <c r="J327"/>
  <c r="J310"/>
  <c r="J316"/>
  <c r="F327"/>
  <c r="E310"/>
  <c r="E316"/>
  <c r="F316"/>
  <c r="F310"/>
  <c r="M246"/>
  <c r="M245"/>
  <c r="M244"/>
  <c r="M237"/>
  <c r="B249"/>
  <c r="B248"/>
  <c r="B246"/>
  <c r="B245"/>
  <c r="B244"/>
  <c r="B237"/>
  <c r="M223"/>
  <c r="M221"/>
  <c r="M220"/>
  <c r="M219"/>
  <c r="M212"/>
  <c r="B224"/>
  <c r="B221"/>
  <c r="B220"/>
  <c r="B219"/>
  <c r="B212"/>
  <c r="M200"/>
  <c r="M196"/>
  <c r="B196"/>
  <c r="M171"/>
  <c r="B171"/>
  <c r="B170"/>
  <c r="B169"/>
  <c r="B150"/>
  <c r="B146"/>
  <c r="M124"/>
  <c r="M121"/>
  <c r="B121"/>
  <c r="B120"/>
  <c r="B119"/>
  <c r="B96"/>
  <c r="M71"/>
  <c r="B71"/>
  <c r="M37"/>
  <c r="M21"/>
  <c r="E76" i="64"/>
  <c r="E91"/>
  <c r="D91"/>
  <c r="D76"/>
  <c r="C44" i="122"/>
  <c r="C18"/>
  <c r="C31" i="121"/>
  <c r="C33"/>
  <c r="E145" i="64"/>
  <c r="E134"/>
  <c r="D134"/>
  <c r="D118" i="65"/>
  <c r="D121" i="64"/>
  <c r="D138"/>
  <c r="D38"/>
  <c r="E33"/>
  <c r="D33"/>
  <c r="E33" i="65"/>
  <c r="D33"/>
  <c r="E112" i="64"/>
  <c r="E29"/>
  <c r="C204" i="118"/>
  <c r="J289"/>
  <c r="E134" i="65"/>
  <c r="D134"/>
  <c r="E34" i="64"/>
  <c r="D34"/>
  <c r="C128" i="117"/>
  <c r="C186"/>
  <c r="C8"/>
  <c r="C7" i="120"/>
  <c r="H7"/>
  <c r="C8" i="119"/>
  <c r="I23" i="120"/>
  <c r="C22"/>
  <c r="C27" i="119"/>
  <c r="C59" i="117"/>
  <c r="C47"/>
  <c r="C41"/>
  <c r="C23"/>
  <c r="K109" i="118"/>
  <c r="K184"/>
  <c r="E184"/>
  <c r="E185"/>
  <c r="K185"/>
  <c r="E12"/>
  <c r="K12"/>
  <c r="E11"/>
  <c r="K11"/>
  <c r="D10"/>
  <c r="D14"/>
  <c r="C10"/>
  <c r="C14"/>
  <c r="D90" i="117"/>
  <c r="C90"/>
  <c r="E91"/>
  <c r="K91"/>
  <c r="E89"/>
  <c r="K89"/>
  <c r="E88"/>
  <c r="K88"/>
  <c r="E87"/>
  <c r="K87"/>
  <c r="E239" i="66"/>
  <c r="D239"/>
  <c r="E121" i="109"/>
  <c r="D121"/>
  <c r="N19" i="64"/>
  <c r="N20"/>
  <c r="M19"/>
  <c r="M20" s="1"/>
  <c r="C37" i="70"/>
  <c r="C36"/>
  <c r="D158" i="66"/>
  <c r="E158"/>
  <c r="D118"/>
  <c r="D239" i="65"/>
  <c r="H26" i="70"/>
  <c r="H24"/>
  <c r="E23"/>
  <c r="C23"/>
  <c r="B23"/>
  <c r="I27"/>
  <c r="F27"/>
  <c r="G27"/>
  <c r="K27"/>
  <c r="H23"/>
  <c r="D35" i="65"/>
  <c r="E158"/>
  <c r="D158"/>
  <c r="L16" i="70"/>
  <c r="M16"/>
  <c r="D241" i="64"/>
  <c r="E241"/>
  <c r="G241"/>
  <c r="H9" i="70"/>
  <c r="E9"/>
  <c r="B9"/>
  <c r="I16"/>
  <c r="F16"/>
  <c r="G16"/>
  <c r="K16"/>
  <c r="I15"/>
  <c r="F15"/>
  <c r="G15"/>
  <c r="K15"/>
  <c r="I14"/>
  <c r="F14"/>
  <c r="G14"/>
  <c r="K14"/>
  <c r="I13"/>
  <c r="F13"/>
  <c r="G13"/>
  <c r="K13"/>
  <c r="I12"/>
  <c r="F12"/>
  <c r="G12"/>
  <c r="C11"/>
  <c r="I11"/>
  <c r="C9"/>
  <c r="F11"/>
  <c r="G11"/>
  <c r="K11"/>
  <c r="I9"/>
  <c r="F9"/>
  <c r="K12"/>
  <c r="E183" i="64"/>
  <c r="D183"/>
  <c r="D155"/>
  <c r="E122"/>
  <c r="D12" i="76"/>
  <c r="Q64" i="128"/>
  <c r="O63"/>
  <c r="Q63"/>
  <c r="Q62"/>
  <c r="N59"/>
  <c r="F47"/>
  <c r="H49"/>
  <c r="F44"/>
  <c r="F41"/>
  <c r="F17"/>
  <c r="F37"/>
  <c r="F33"/>
  <c r="F29"/>
  <c r="F25"/>
  <c r="F13"/>
  <c r="F10"/>
  <c r="J8"/>
  <c r="I33" i="127"/>
  <c r="H33"/>
  <c r="G33"/>
  <c r="F33"/>
  <c r="E33"/>
  <c r="D29"/>
  <c r="I28"/>
  <c r="I32"/>
  <c r="H28"/>
  <c r="H32"/>
  <c r="G28"/>
  <c r="G32"/>
  <c r="F28"/>
  <c r="F32"/>
  <c r="E28"/>
  <c r="E32"/>
  <c r="D28"/>
  <c r="D32"/>
  <c r="I27"/>
  <c r="I31"/>
  <c r="H27"/>
  <c r="H31"/>
  <c r="G27"/>
  <c r="G31"/>
  <c r="F27"/>
  <c r="F31"/>
  <c r="E27"/>
  <c r="E31"/>
  <c r="D27"/>
  <c r="D31"/>
  <c r="I26"/>
  <c r="I30"/>
  <c r="H26"/>
  <c r="G26"/>
  <c r="G30"/>
  <c r="F26"/>
  <c r="F30"/>
  <c r="E26"/>
  <c r="E30"/>
  <c r="D26"/>
  <c r="D30"/>
  <c r="C21"/>
  <c r="I18"/>
  <c r="H18"/>
  <c r="G18"/>
  <c r="F18"/>
  <c r="E18"/>
  <c r="D18"/>
  <c r="C18"/>
  <c r="C17"/>
  <c r="C16"/>
  <c r="I15"/>
  <c r="I19"/>
  <c r="H15"/>
  <c r="H19"/>
  <c r="G15"/>
  <c r="G19"/>
  <c r="F15"/>
  <c r="E15"/>
  <c r="E19"/>
  <c r="D15"/>
  <c r="D19"/>
  <c r="C14"/>
  <c r="C13"/>
  <c r="I11"/>
  <c r="H11"/>
  <c r="G11"/>
  <c r="F11"/>
  <c r="E11"/>
  <c r="C9"/>
  <c r="I8"/>
  <c r="I12"/>
  <c r="I20"/>
  <c r="I22"/>
  <c r="G8"/>
  <c r="G12"/>
  <c r="F8"/>
  <c r="E8"/>
  <c r="D8"/>
  <c r="C7"/>
  <c r="H6"/>
  <c r="C6"/>
  <c r="K16" i="126"/>
  <c r="I16"/>
  <c r="H16"/>
  <c r="F16"/>
  <c r="G14"/>
  <c r="G16"/>
  <c r="G18"/>
  <c r="K13"/>
  <c r="I13"/>
  <c r="I18"/>
  <c r="H13"/>
  <c r="H18"/>
  <c r="G13"/>
  <c r="F13"/>
  <c r="J11"/>
  <c r="J13"/>
  <c r="CE35" i="125"/>
  <c r="CF35"/>
  <c r="BS35"/>
  <c r="BT35"/>
  <c r="BG35"/>
  <c r="BH35"/>
  <c r="AU35"/>
  <c r="AV35"/>
  <c r="AI35"/>
  <c r="AJ35"/>
  <c r="W35"/>
  <c r="I35"/>
  <c r="H35"/>
  <c r="G35"/>
  <c r="F35"/>
  <c r="E35"/>
  <c r="D35"/>
  <c r="C35"/>
  <c r="CE34"/>
  <c r="CF34"/>
  <c r="BS34"/>
  <c r="BT34"/>
  <c r="BG34"/>
  <c r="BH34"/>
  <c r="AU34"/>
  <c r="AV34"/>
  <c r="AI34"/>
  <c r="AJ34"/>
  <c r="W34"/>
  <c r="C34"/>
  <c r="I34"/>
  <c r="H34"/>
  <c r="G34"/>
  <c r="F34"/>
  <c r="E34"/>
  <c r="D34"/>
  <c r="CF30"/>
  <c r="CE30"/>
  <c r="CD30"/>
  <c r="CC30"/>
  <c r="CB30"/>
  <c r="CA30"/>
  <c r="BZ30"/>
  <c r="BY30"/>
  <c r="BX30"/>
  <c r="BT30"/>
  <c r="BS30"/>
  <c r="BR30"/>
  <c r="BQ30"/>
  <c r="BP30"/>
  <c r="BO30"/>
  <c r="BN30"/>
  <c r="BM30"/>
  <c r="BL30"/>
  <c r="BF30"/>
  <c r="BE30"/>
  <c r="BD30"/>
  <c r="BC30"/>
  <c r="BB30"/>
  <c r="BA30"/>
  <c r="AZ30"/>
  <c r="AT30"/>
  <c r="AS30"/>
  <c r="AR30"/>
  <c r="AQ30"/>
  <c r="AP30"/>
  <c r="AO30"/>
  <c r="AN30"/>
  <c r="AH30"/>
  <c r="AG30"/>
  <c r="AF30"/>
  <c r="AE30"/>
  <c r="AD30"/>
  <c r="AC30"/>
  <c r="AB30"/>
  <c r="V30"/>
  <c r="U30"/>
  <c r="T30"/>
  <c r="S30"/>
  <c r="R30"/>
  <c r="BG29"/>
  <c r="BH29"/>
  <c r="AU29"/>
  <c r="AV29"/>
  <c r="AI29"/>
  <c r="AJ29"/>
  <c r="W29"/>
  <c r="I29"/>
  <c r="H29"/>
  <c r="G29"/>
  <c r="F29"/>
  <c r="E29"/>
  <c r="D29"/>
  <c r="C29"/>
  <c r="BG28"/>
  <c r="BH28"/>
  <c r="AU28"/>
  <c r="AV28"/>
  <c r="AJ28"/>
  <c r="AI28"/>
  <c r="W28"/>
  <c r="X28"/>
  <c r="I28"/>
  <c r="H28"/>
  <c r="G28"/>
  <c r="F28"/>
  <c r="E28"/>
  <c r="D28"/>
  <c r="C28"/>
  <c r="BG27"/>
  <c r="BH27"/>
  <c r="AU27"/>
  <c r="AV27"/>
  <c r="AI27"/>
  <c r="AJ27"/>
  <c r="W27"/>
  <c r="I27"/>
  <c r="H27"/>
  <c r="G27"/>
  <c r="F27"/>
  <c r="E27"/>
  <c r="C27"/>
  <c r="BG26"/>
  <c r="BH26"/>
  <c r="AU26"/>
  <c r="AV26"/>
  <c r="AI26"/>
  <c r="AJ26"/>
  <c r="W26"/>
  <c r="I26"/>
  <c r="H26"/>
  <c r="G26"/>
  <c r="F26"/>
  <c r="E26"/>
  <c r="D26"/>
  <c r="C26"/>
  <c r="BG25"/>
  <c r="BH25"/>
  <c r="AU25"/>
  <c r="AV25"/>
  <c r="AI25"/>
  <c r="AJ25"/>
  <c r="W25"/>
  <c r="X25"/>
  <c r="I25"/>
  <c r="H25"/>
  <c r="G25"/>
  <c r="F25"/>
  <c r="E25"/>
  <c r="D25"/>
  <c r="C25"/>
  <c r="CD21"/>
  <c r="CC21"/>
  <c r="CB21"/>
  <c r="CA21"/>
  <c r="BZ21"/>
  <c r="BY21"/>
  <c r="BX21"/>
  <c r="BR21"/>
  <c r="BQ21"/>
  <c r="BP21"/>
  <c r="BO21"/>
  <c r="BN21"/>
  <c r="BM21"/>
  <c r="BL21"/>
  <c r="BF21"/>
  <c r="BE21"/>
  <c r="BD21"/>
  <c r="BC21"/>
  <c r="BB21"/>
  <c r="BA21"/>
  <c r="AZ21"/>
  <c r="AT21"/>
  <c r="AS21"/>
  <c r="AR21"/>
  <c r="AQ21"/>
  <c r="AP21"/>
  <c r="AO21"/>
  <c r="AN21"/>
  <c r="AH21"/>
  <c r="AG21"/>
  <c r="AF21"/>
  <c r="AE21"/>
  <c r="AD21"/>
  <c r="AC21"/>
  <c r="AB21"/>
  <c r="W21"/>
  <c r="V21"/>
  <c r="U21"/>
  <c r="T21"/>
  <c r="S21"/>
  <c r="R21"/>
  <c r="Q21"/>
  <c r="P21"/>
  <c r="E21"/>
  <c r="CE20"/>
  <c r="CF20"/>
  <c r="BT20"/>
  <c r="BS20"/>
  <c r="BG20"/>
  <c r="BH20"/>
  <c r="AU20"/>
  <c r="AV20"/>
  <c r="AJ20"/>
  <c r="AI20"/>
  <c r="W20"/>
  <c r="X20"/>
  <c r="I20"/>
  <c r="H20"/>
  <c r="G20"/>
  <c r="F20"/>
  <c r="E20"/>
  <c r="D20"/>
  <c r="C20"/>
  <c r="CF19"/>
  <c r="CE19"/>
  <c r="CE21"/>
  <c r="BS19"/>
  <c r="BS21"/>
  <c r="BG19"/>
  <c r="BG21"/>
  <c r="AU19"/>
  <c r="AV19"/>
  <c r="AI19"/>
  <c r="X19"/>
  <c r="W19"/>
  <c r="I19"/>
  <c r="I21"/>
  <c r="H19"/>
  <c r="G19"/>
  <c r="F19"/>
  <c r="E19"/>
  <c r="D19"/>
  <c r="D21"/>
  <c r="C19"/>
  <c r="C21"/>
  <c r="CD17"/>
  <c r="CD22"/>
  <c r="CC17"/>
  <c r="CC22"/>
  <c r="CB17"/>
  <c r="CB22"/>
  <c r="CA17"/>
  <c r="CA22"/>
  <c r="BZ17"/>
  <c r="BY17"/>
  <c r="BY22"/>
  <c r="BX17"/>
  <c r="BX22"/>
  <c r="BR17"/>
  <c r="BR22"/>
  <c r="BQ17"/>
  <c r="BQ22"/>
  <c r="BP17"/>
  <c r="BP22"/>
  <c r="BO17"/>
  <c r="BO22"/>
  <c r="BN17"/>
  <c r="BN22"/>
  <c r="BM17"/>
  <c r="BL17"/>
  <c r="BL22"/>
  <c r="BF17"/>
  <c r="BF22"/>
  <c r="BE17"/>
  <c r="BE22"/>
  <c r="BD17"/>
  <c r="BD22"/>
  <c r="BC17"/>
  <c r="BC22"/>
  <c r="BB17"/>
  <c r="BB22"/>
  <c r="BA17"/>
  <c r="BA22"/>
  <c r="AZ17"/>
  <c r="AT17"/>
  <c r="AT22"/>
  <c r="AS17"/>
  <c r="AS22"/>
  <c r="AR17"/>
  <c r="AR22"/>
  <c r="AQ17"/>
  <c r="AQ22"/>
  <c r="AP17"/>
  <c r="AP22"/>
  <c r="AO17"/>
  <c r="AO22"/>
  <c r="AN17"/>
  <c r="AH17"/>
  <c r="AH22"/>
  <c r="AG17"/>
  <c r="AG22"/>
  <c r="AF17"/>
  <c r="AF22"/>
  <c r="AD17"/>
  <c r="AD22"/>
  <c r="AC17"/>
  <c r="AC22"/>
  <c r="AB17"/>
  <c r="AB22"/>
  <c r="U17"/>
  <c r="U22"/>
  <c r="T17"/>
  <c r="T22"/>
  <c r="R17"/>
  <c r="R22"/>
  <c r="P17"/>
  <c r="P22"/>
  <c r="CE16"/>
  <c r="CF16"/>
  <c r="BT16"/>
  <c r="BS16"/>
  <c r="BG16"/>
  <c r="BH16"/>
  <c r="AU16"/>
  <c r="AV16"/>
  <c r="AI16"/>
  <c r="AJ16"/>
  <c r="W16"/>
  <c r="I16"/>
  <c r="H16"/>
  <c r="G16"/>
  <c r="F16"/>
  <c r="E16"/>
  <c r="D16"/>
  <c r="C16"/>
  <c r="CE15"/>
  <c r="CF15"/>
  <c r="BS15"/>
  <c r="BT15"/>
  <c r="BG15"/>
  <c r="AU15"/>
  <c r="AV15"/>
  <c r="AI15"/>
  <c r="AJ15"/>
  <c r="AE17"/>
  <c r="AE22"/>
  <c r="I15"/>
  <c r="S17"/>
  <c r="S22"/>
  <c r="W15"/>
  <c r="H15"/>
  <c r="G15"/>
  <c r="F15"/>
  <c r="E15"/>
  <c r="CE14"/>
  <c r="CF14"/>
  <c r="BS14"/>
  <c r="BT14"/>
  <c r="BG14"/>
  <c r="BH14"/>
  <c r="AV14"/>
  <c r="AU14"/>
  <c r="AI14"/>
  <c r="AJ14"/>
  <c r="W14"/>
  <c r="X14"/>
  <c r="I14"/>
  <c r="H14"/>
  <c r="G14"/>
  <c r="F14"/>
  <c r="E14"/>
  <c r="D14"/>
  <c r="C14"/>
  <c r="CE13"/>
  <c r="CF13"/>
  <c r="BS13"/>
  <c r="BT13"/>
  <c r="BG13"/>
  <c r="BH13"/>
  <c r="AV13"/>
  <c r="AU13"/>
  <c r="AI13"/>
  <c r="AJ13"/>
  <c r="W13"/>
  <c r="I13"/>
  <c r="H13"/>
  <c r="G13"/>
  <c r="F13"/>
  <c r="E13"/>
  <c r="D13"/>
  <c r="C13"/>
  <c r="CE12"/>
  <c r="CF12"/>
  <c r="BS12"/>
  <c r="BT12"/>
  <c r="BG12"/>
  <c r="BH12"/>
  <c r="AV12"/>
  <c r="AU12"/>
  <c r="AI12"/>
  <c r="AJ12"/>
  <c r="W12"/>
  <c r="J12"/>
  <c r="I12"/>
  <c r="H12"/>
  <c r="G12"/>
  <c r="F12"/>
  <c r="E12"/>
  <c r="D12"/>
  <c r="C12"/>
  <c r="CE11"/>
  <c r="CF11"/>
  <c r="BS11"/>
  <c r="BT11"/>
  <c r="BH11"/>
  <c r="BG11"/>
  <c r="AU11"/>
  <c r="AV11"/>
  <c r="AI11"/>
  <c r="AJ11"/>
  <c r="W11"/>
  <c r="X11"/>
  <c r="J11"/>
  <c r="I11"/>
  <c r="H11"/>
  <c r="G11"/>
  <c r="F11"/>
  <c r="E11"/>
  <c r="D11"/>
  <c r="C11"/>
  <c r="CE10"/>
  <c r="BS10"/>
  <c r="BT10"/>
  <c r="BG10"/>
  <c r="BH10"/>
  <c r="AU10"/>
  <c r="AV10"/>
  <c r="AI10"/>
  <c r="W10"/>
  <c r="X10"/>
  <c r="I10"/>
  <c r="H10"/>
  <c r="G10"/>
  <c r="F10"/>
  <c r="E10"/>
  <c r="D10"/>
  <c r="C10"/>
  <c r="H15" i="124"/>
  <c r="E15"/>
  <c r="D15"/>
  <c r="C15"/>
  <c r="G14"/>
  <c r="F14"/>
  <c r="F13"/>
  <c r="G12"/>
  <c r="F12"/>
  <c r="F10"/>
  <c r="F9"/>
  <c r="F7"/>
  <c r="G68" i="123"/>
  <c r="F66"/>
  <c r="E66"/>
  <c r="D66"/>
  <c r="C66"/>
  <c r="B66"/>
  <c r="G57"/>
  <c r="G49"/>
  <c r="E41"/>
  <c r="G41"/>
  <c r="E39"/>
  <c r="G39"/>
  <c r="E37"/>
  <c r="G37"/>
  <c r="E36"/>
  <c r="E35"/>
  <c r="G35"/>
  <c r="J34"/>
  <c r="I34"/>
  <c r="F34"/>
  <c r="D34"/>
  <c r="C34"/>
  <c r="B34"/>
  <c r="E32"/>
  <c r="G32"/>
  <c r="E31"/>
  <c r="G31"/>
  <c r="E30"/>
  <c r="G30"/>
  <c r="E29"/>
  <c r="G29"/>
  <c r="J28"/>
  <c r="I28"/>
  <c r="F28"/>
  <c r="D28"/>
  <c r="C28"/>
  <c r="B28"/>
  <c r="E26"/>
  <c r="G26"/>
  <c r="E25"/>
  <c r="G25"/>
  <c r="J24"/>
  <c r="I24"/>
  <c r="F24"/>
  <c r="D24"/>
  <c r="C24"/>
  <c r="B24"/>
  <c r="E22"/>
  <c r="G22"/>
  <c r="E21"/>
  <c r="G21"/>
  <c r="E20"/>
  <c r="E19"/>
  <c r="G19"/>
  <c r="L18"/>
  <c r="J18"/>
  <c r="I18"/>
  <c r="F18"/>
  <c r="D18"/>
  <c r="C18"/>
  <c r="B18"/>
  <c r="E17"/>
  <c r="G17"/>
  <c r="E16"/>
  <c r="G16"/>
  <c r="E15"/>
  <c r="G15"/>
  <c r="E14"/>
  <c r="G14"/>
  <c r="E13"/>
  <c r="J12"/>
  <c r="I12"/>
  <c r="F12"/>
  <c r="C12"/>
  <c r="B12"/>
  <c r="E11"/>
  <c r="G11"/>
  <c r="D47" i="122"/>
  <c r="C47"/>
  <c r="E46"/>
  <c r="E45"/>
  <c r="E44"/>
  <c r="E43"/>
  <c r="E42"/>
  <c r="E41"/>
  <c r="E40"/>
  <c r="E39"/>
  <c r="E38"/>
  <c r="D37"/>
  <c r="D48"/>
  <c r="C37"/>
  <c r="E36"/>
  <c r="E35"/>
  <c r="E34"/>
  <c r="E33"/>
  <c r="E32"/>
  <c r="E31"/>
  <c r="E30"/>
  <c r="E28"/>
  <c r="E27"/>
  <c r="D26"/>
  <c r="C26"/>
  <c r="E25"/>
  <c r="E24"/>
  <c r="E23"/>
  <c r="D22"/>
  <c r="C22"/>
  <c r="E21"/>
  <c r="E20"/>
  <c r="E19"/>
  <c r="E18"/>
  <c r="D17"/>
  <c r="C17"/>
  <c r="E16"/>
  <c r="E15"/>
  <c r="E14"/>
  <c r="E13"/>
  <c r="D12"/>
  <c r="C12"/>
  <c r="E11"/>
  <c r="E10"/>
  <c r="E12"/>
  <c r="D9"/>
  <c r="C9"/>
  <c r="E8"/>
  <c r="E7"/>
  <c r="E6"/>
  <c r="E35" i="121"/>
  <c r="L64" i="123"/>
  <c r="M64" s="1"/>
  <c r="E34" i="121"/>
  <c r="L62" i="123"/>
  <c r="M62"/>
  <c r="D33" i="121"/>
  <c r="E32"/>
  <c r="L60" i="123"/>
  <c r="M60"/>
  <c r="E31" i="121"/>
  <c r="L59" i="123"/>
  <c r="M59"/>
  <c r="E30" i="121"/>
  <c r="L58" i="123"/>
  <c r="M58" s="1"/>
  <c r="D29" i="121"/>
  <c r="D36"/>
  <c r="C29"/>
  <c r="E28"/>
  <c r="L55" i="123"/>
  <c r="M55"/>
  <c r="E27" i="121"/>
  <c r="L54" i="123"/>
  <c r="M54"/>
  <c r="E26" i="121"/>
  <c r="L53" i="123"/>
  <c r="M53" s="1"/>
  <c r="E25" i="121"/>
  <c r="E23"/>
  <c r="L41" i="123"/>
  <c r="E22" i="121"/>
  <c r="L39" i="123"/>
  <c r="D21" i="121"/>
  <c r="C21"/>
  <c r="E20"/>
  <c r="L37" i="123"/>
  <c r="E19" i="121"/>
  <c r="L36" i="123"/>
  <c r="E18" i="121"/>
  <c r="D17"/>
  <c r="C17"/>
  <c r="E16"/>
  <c r="L31" i="123"/>
  <c r="M31"/>
  <c r="E15" i="121"/>
  <c r="L30" i="123"/>
  <c r="E14" i="121"/>
  <c r="L29" i="123"/>
  <c r="D13" i="121"/>
  <c r="C13"/>
  <c r="E12"/>
  <c r="L26" i="123"/>
  <c r="M26"/>
  <c r="E11" i="121"/>
  <c r="L25" i="123"/>
  <c r="D10" i="121"/>
  <c r="D24"/>
  <c r="C10"/>
  <c r="E9"/>
  <c r="L22" i="123"/>
  <c r="E8" i="121"/>
  <c r="E7"/>
  <c r="L12" i="123"/>
  <c r="E6" i="121"/>
  <c r="E36" i="120"/>
  <c r="K36"/>
  <c r="E35"/>
  <c r="K35"/>
  <c r="D34"/>
  <c r="C34"/>
  <c r="E33"/>
  <c r="K33"/>
  <c r="E32"/>
  <c r="K32"/>
  <c r="E31"/>
  <c r="K31"/>
  <c r="E30"/>
  <c r="K30"/>
  <c r="E29"/>
  <c r="E27"/>
  <c r="K27"/>
  <c r="D27"/>
  <c r="C27"/>
  <c r="E26"/>
  <c r="K26"/>
  <c r="E25"/>
  <c r="K25"/>
  <c r="E24"/>
  <c r="K24"/>
  <c r="E23"/>
  <c r="K23"/>
  <c r="E22"/>
  <c r="K22"/>
  <c r="E21"/>
  <c r="K21"/>
  <c r="E20"/>
  <c r="D19"/>
  <c r="C19"/>
  <c r="E18"/>
  <c r="K18"/>
  <c r="E17"/>
  <c r="D16"/>
  <c r="C16"/>
  <c r="E15"/>
  <c r="K15"/>
  <c r="E14"/>
  <c r="K14"/>
  <c r="E13"/>
  <c r="K13"/>
  <c r="E12"/>
  <c r="K12"/>
  <c r="E11"/>
  <c r="K11"/>
  <c r="E10"/>
  <c r="D9"/>
  <c r="C9"/>
  <c r="E8"/>
  <c r="K8"/>
  <c r="E7"/>
  <c r="K7"/>
  <c r="E6"/>
  <c r="E44" i="119"/>
  <c r="K44"/>
  <c r="E43"/>
  <c r="K43"/>
  <c r="D42"/>
  <c r="C42"/>
  <c r="E41"/>
  <c r="K41"/>
  <c r="E40"/>
  <c r="K40"/>
  <c r="E39"/>
  <c r="K39"/>
  <c r="E38"/>
  <c r="K38"/>
  <c r="E37"/>
  <c r="K37"/>
  <c r="E36"/>
  <c r="K36"/>
  <c r="E35"/>
  <c r="K35"/>
  <c r="D33"/>
  <c r="C33"/>
  <c r="E32"/>
  <c r="K32"/>
  <c r="E31"/>
  <c r="K31"/>
  <c r="E30"/>
  <c r="K30"/>
  <c r="E29"/>
  <c r="K29"/>
  <c r="E28"/>
  <c r="K28"/>
  <c r="E27"/>
  <c r="K27"/>
  <c r="E26"/>
  <c r="E25"/>
  <c r="K25"/>
  <c r="D24"/>
  <c r="C24"/>
  <c r="E23"/>
  <c r="K23"/>
  <c r="E22"/>
  <c r="K22"/>
  <c r="E21"/>
  <c r="K21"/>
  <c r="E20"/>
  <c r="K20"/>
  <c r="E19"/>
  <c r="K19"/>
  <c r="E18"/>
  <c r="K18"/>
  <c r="E17"/>
  <c r="K17"/>
  <c r="E16"/>
  <c r="K16"/>
  <c r="E15"/>
  <c r="K15"/>
  <c r="E14"/>
  <c r="K14"/>
  <c r="E13"/>
  <c r="K13"/>
  <c r="E12"/>
  <c r="D11"/>
  <c r="C11"/>
  <c r="C34"/>
  <c r="C45"/>
  <c r="E10"/>
  <c r="K10"/>
  <c r="E9"/>
  <c r="K9"/>
  <c r="E8"/>
  <c r="K8"/>
  <c r="E7"/>
  <c r="K7"/>
  <c r="E6"/>
  <c r="K6"/>
  <c r="E285" i="118"/>
  <c r="K285"/>
  <c r="E284"/>
  <c r="K284"/>
  <c r="E283"/>
  <c r="K283"/>
  <c r="E282"/>
  <c r="K282"/>
  <c r="E281"/>
  <c r="K281"/>
  <c r="E280"/>
  <c r="K280"/>
  <c r="E279"/>
  <c r="K279"/>
  <c r="E278"/>
  <c r="K278"/>
  <c r="E277"/>
  <c r="K277"/>
  <c r="E276"/>
  <c r="K276"/>
  <c r="E275"/>
  <c r="K275"/>
  <c r="D274"/>
  <c r="C274"/>
  <c r="E273"/>
  <c r="K273"/>
  <c r="E272"/>
  <c r="K272"/>
  <c r="E271"/>
  <c r="K271"/>
  <c r="E270"/>
  <c r="K270"/>
  <c r="E269"/>
  <c r="K269"/>
  <c r="E268"/>
  <c r="K268"/>
  <c r="E267"/>
  <c r="K267"/>
  <c r="E266"/>
  <c r="K266"/>
  <c r="E265"/>
  <c r="K265"/>
  <c r="D264"/>
  <c r="C264"/>
  <c r="E263"/>
  <c r="K263"/>
  <c r="E262"/>
  <c r="K262"/>
  <c r="E261"/>
  <c r="K261"/>
  <c r="E259"/>
  <c r="K259"/>
  <c r="E258"/>
  <c r="K258"/>
  <c r="E257"/>
  <c r="K257"/>
  <c r="E256"/>
  <c r="K256"/>
  <c r="E255"/>
  <c r="K255"/>
  <c r="E254"/>
  <c r="K254"/>
  <c r="E253"/>
  <c r="K253"/>
  <c r="E252"/>
  <c r="K252"/>
  <c r="E251"/>
  <c r="K251"/>
  <c r="E250"/>
  <c r="K250"/>
  <c r="E249"/>
  <c r="K249"/>
  <c r="D248"/>
  <c r="C248"/>
  <c r="E247"/>
  <c r="K247"/>
  <c r="E246"/>
  <c r="K246"/>
  <c r="E245"/>
  <c r="K245"/>
  <c r="E244"/>
  <c r="K244"/>
  <c r="E243"/>
  <c r="K243"/>
  <c r="E242"/>
  <c r="K242"/>
  <c r="E241"/>
  <c r="K241"/>
  <c r="E240"/>
  <c r="K240"/>
  <c r="E239"/>
  <c r="K239"/>
  <c r="D238"/>
  <c r="C238"/>
  <c r="E237"/>
  <c r="K237"/>
  <c r="E236"/>
  <c r="K236"/>
  <c r="E235"/>
  <c r="K235"/>
  <c r="D234"/>
  <c r="C234"/>
  <c r="E233"/>
  <c r="K233"/>
  <c r="E232"/>
  <c r="K232"/>
  <c r="E231"/>
  <c r="K231"/>
  <c r="E230"/>
  <c r="K230"/>
  <c r="E229"/>
  <c r="K229"/>
  <c r="E228"/>
  <c r="K228"/>
  <c r="E227"/>
  <c r="K227"/>
  <c r="E226"/>
  <c r="K226"/>
  <c r="E224"/>
  <c r="K224"/>
  <c r="E223"/>
  <c r="K223"/>
  <c r="E222"/>
  <c r="K222"/>
  <c r="E221"/>
  <c r="K221"/>
  <c r="D220"/>
  <c r="C220"/>
  <c r="E219"/>
  <c r="K219"/>
  <c r="E218"/>
  <c r="K218"/>
  <c r="E217"/>
  <c r="K217"/>
  <c r="E216"/>
  <c r="K216"/>
  <c r="E215"/>
  <c r="K215"/>
  <c r="E214"/>
  <c r="K214"/>
  <c r="E213"/>
  <c r="K213"/>
  <c r="D212"/>
  <c r="C212"/>
  <c r="E211"/>
  <c r="K211"/>
  <c r="E210"/>
  <c r="K210"/>
  <c r="E209"/>
  <c r="K209"/>
  <c r="E208"/>
  <c r="K208"/>
  <c r="E207"/>
  <c r="K207"/>
  <c r="E206"/>
  <c r="K206"/>
  <c r="E205"/>
  <c r="K205"/>
  <c r="E204"/>
  <c r="K204"/>
  <c r="E203"/>
  <c r="K203"/>
  <c r="E202"/>
  <c r="K202"/>
  <c r="E201"/>
  <c r="K201"/>
  <c r="E200"/>
  <c r="K200"/>
  <c r="E199"/>
  <c r="K199"/>
  <c r="E198"/>
  <c r="K198"/>
  <c r="E197"/>
  <c r="K197"/>
  <c r="E196"/>
  <c r="K196"/>
  <c r="E195"/>
  <c r="K195"/>
  <c r="E194"/>
  <c r="K194"/>
  <c r="E193"/>
  <c r="K193"/>
  <c r="E192"/>
  <c r="K192"/>
  <c r="E191"/>
  <c r="K191"/>
  <c r="E190"/>
  <c r="K190"/>
  <c r="E188"/>
  <c r="K188"/>
  <c r="E187"/>
  <c r="K187"/>
  <c r="E186"/>
  <c r="K186"/>
  <c r="E183"/>
  <c r="K183"/>
  <c r="E182"/>
  <c r="K182"/>
  <c r="E181"/>
  <c r="K181"/>
  <c r="E180"/>
  <c r="K180"/>
  <c r="E179"/>
  <c r="K179"/>
  <c r="E178"/>
  <c r="K178"/>
  <c r="E177"/>
  <c r="K177"/>
  <c r="E176"/>
  <c r="K176"/>
  <c r="E175"/>
  <c r="K175"/>
  <c r="E174"/>
  <c r="K174"/>
  <c r="E173"/>
  <c r="K173"/>
  <c r="E172"/>
  <c r="K172"/>
  <c r="E171"/>
  <c r="K171"/>
  <c r="E170"/>
  <c r="K170"/>
  <c r="E168"/>
  <c r="K168"/>
  <c r="E167"/>
  <c r="K167"/>
  <c r="E166"/>
  <c r="K166"/>
  <c r="E165"/>
  <c r="K165"/>
  <c r="E164"/>
  <c r="K164"/>
  <c r="E163"/>
  <c r="K163"/>
  <c r="E162"/>
  <c r="K162"/>
  <c r="E161"/>
  <c r="K161"/>
  <c r="E160"/>
  <c r="K160"/>
  <c r="E159"/>
  <c r="K159"/>
  <c r="E158"/>
  <c r="K158"/>
  <c r="E157"/>
  <c r="K157"/>
  <c r="E156"/>
  <c r="K156"/>
  <c r="E155"/>
  <c r="K155"/>
  <c r="E154"/>
  <c r="K154"/>
  <c r="E153"/>
  <c r="K153"/>
  <c r="D152"/>
  <c r="C152"/>
  <c r="E151"/>
  <c r="K151"/>
  <c r="E150"/>
  <c r="K150"/>
  <c r="E149"/>
  <c r="K149"/>
  <c r="E148"/>
  <c r="K148"/>
  <c r="D147"/>
  <c r="C147"/>
  <c r="E146"/>
  <c r="K146"/>
  <c r="E145"/>
  <c r="K145"/>
  <c r="E144"/>
  <c r="K144"/>
  <c r="E143"/>
  <c r="K143"/>
  <c r="D142"/>
  <c r="C142"/>
  <c r="E141"/>
  <c r="K141"/>
  <c r="E140"/>
  <c r="K140"/>
  <c r="E139"/>
  <c r="K139"/>
  <c r="E138"/>
  <c r="K138"/>
  <c r="E137"/>
  <c r="K137"/>
  <c r="E136"/>
  <c r="K136"/>
  <c r="E135"/>
  <c r="K135"/>
  <c r="E134"/>
  <c r="K134"/>
  <c r="E133"/>
  <c r="K133"/>
  <c r="E132"/>
  <c r="K132"/>
  <c r="E131"/>
  <c r="K131"/>
  <c r="E130"/>
  <c r="K130"/>
  <c r="E129"/>
  <c r="K129"/>
  <c r="E128"/>
  <c r="K128"/>
  <c r="E127"/>
  <c r="K127"/>
  <c r="E126"/>
  <c r="K126"/>
  <c r="E125"/>
  <c r="K125"/>
  <c r="E124"/>
  <c r="K124"/>
  <c r="E123"/>
  <c r="K123"/>
  <c r="E122"/>
  <c r="K122"/>
  <c r="D121"/>
  <c r="C121"/>
  <c r="E120"/>
  <c r="K120"/>
  <c r="E119"/>
  <c r="K119"/>
  <c r="E118"/>
  <c r="K118"/>
  <c r="E117"/>
  <c r="K117"/>
  <c r="E116"/>
  <c r="K116"/>
  <c r="E115"/>
  <c r="K115"/>
  <c r="D114"/>
  <c r="C114"/>
  <c r="E113"/>
  <c r="K113"/>
  <c r="E112"/>
  <c r="K112"/>
  <c r="E111"/>
  <c r="K111"/>
  <c r="E110"/>
  <c r="K110"/>
  <c r="C109"/>
  <c r="E108"/>
  <c r="K108"/>
  <c r="E107"/>
  <c r="K107"/>
  <c r="E106"/>
  <c r="K106"/>
  <c r="E105"/>
  <c r="K105"/>
  <c r="E104"/>
  <c r="K104"/>
  <c r="E103"/>
  <c r="K103"/>
  <c r="E102"/>
  <c r="K102"/>
  <c r="E101"/>
  <c r="K101"/>
  <c r="E100"/>
  <c r="K100"/>
  <c r="D99"/>
  <c r="C99"/>
  <c r="E97"/>
  <c r="K97"/>
  <c r="E96"/>
  <c r="K96"/>
  <c r="E95"/>
  <c r="K95"/>
  <c r="E94"/>
  <c r="K94"/>
  <c r="E93"/>
  <c r="K93"/>
  <c r="E92"/>
  <c r="K92"/>
  <c r="E91"/>
  <c r="K91"/>
  <c r="D90"/>
  <c r="C90"/>
  <c r="E89"/>
  <c r="K89"/>
  <c r="E88"/>
  <c r="K88"/>
  <c r="D87"/>
  <c r="C87"/>
  <c r="E85"/>
  <c r="K85"/>
  <c r="E84"/>
  <c r="K84"/>
  <c r="E83"/>
  <c r="K83"/>
  <c r="E82"/>
  <c r="K82"/>
  <c r="E81"/>
  <c r="K81"/>
  <c r="E80"/>
  <c r="K80"/>
  <c r="E79"/>
  <c r="K79"/>
  <c r="E78"/>
  <c r="K78"/>
  <c r="E77"/>
  <c r="K77"/>
  <c r="E76"/>
  <c r="K76"/>
  <c r="D75"/>
  <c r="C75"/>
  <c r="E74"/>
  <c r="K74"/>
  <c r="E73"/>
  <c r="K73"/>
  <c r="E72"/>
  <c r="K72"/>
  <c r="E71"/>
  <c r="K71"/>
  <c r="E70"/>
  <c r="K70"/>
  <c r="E69"/>
  <c r="K69"/>
  <c r="E68"/>
  <c r="K68"/>
  <c r="E67"/>
  <c r="K67"/>
  <c r="E66"/>
  <c r="K66"/>
  <c r="E65"/>
  <c r="K65"/>
  <c r="D64"/>
  <c r="C64"/>
  <c r="E63"/>
  <c r="K63"/>
  <c r="E62"/>
  <c r="K62"/>
  <c r="E61"/>
  <c r="K61"/>
  <c r="E60"/>
  <c r="K60"/>
  <c r="E59"/>
  <c r="K59"/>
  <c r="E58"/>
  <c r="K58"/>
  <c r="E57"/>
  <c r="K57"/>
  <c r="E56"/>
  <c r="K56"/>
  <c r="E55"/>
  <c r="K55"/>
  <c r="E54"/>
  <c r="K54"/>
  <c r="D53"/>
  <c r="C53"/>
  <c r="E52"/>
  <c r="K52"/>
  <c r="E51"/>
  <c r="K51"/>
  <c r="E49"/>
  <c r="K49"/>
  <c r="E48"/>
  <c r="K48"/>
  <c r="E47"/>
  <c r="K47"/>
  <c r="E46"/>
  <c r="K46"/>
  <c r="E45"/>
  <c r="K45"/>
  <c r="E44"/>
  <c r="K44"/>
  <c r="E43"/>
  <c r="K43"/>
  <c r="E42"/>
  <c r="K42"/>
  <c r="E41"/>
  <c r="K41"/>
  <c r="E40"/>
  <c r="K40"/>
  <c r="D39"/>
  <c r="C39"/>
  <c r="E38"/>
  <c r="K38"/>
  <c r="E37"/>
  <c r="K37"/>
  <c r="E36"/>
  <c r="K36"/>
  <c r="E35"/>
  <c r="K35"/>
  <c r="E34"/>
  <c r="K34"/>
  <c r="E33"/>
  <c r="K33"/>
  <c r="E32"/>
  <c r="K32"/>
  <c r="E31"/>
  <c r="K31"/>
  <c r="E30"/>
  <c r="K30"/>
  <c r="E29"/>
  <c r="K29"/>
  <c r="D28"/>
  <c r="C28"/>
  <c r="E27"/>
  <c r="K27"/>
  <c r="E26"/>
  <c r="K26"/>
  <c r="E25"/>
  <c r="K25"/>
  <c r="E24"/>
  <c r="K24"/>
  <c r="E23"/>
  <c r="K23"/>
  <c r="E22"/>
  <c r="K22"/>
  <c r="E21"/>
  <c r="K21"/>
  <c r="E20"/>
  <c r="K20"/>
  <c r="E19"/>
  <c r="K19"/>
  <c r="E18"/>
  <c r="K18"/>
  <c r="D17"/>
  <c r="C17"/>
  <c r="E16"/>
  <c r="K16"/>
  <c r="E15"/>
  <c r="K15"/>
  <c r="E13"/>
  <c r="K13"/>
  <c r="E9"/>
  <c r="K9"/>
  <c r="E8"/>
  <c r="K8"/>
  <c r="E7"/>
  <c r="K7"/>
  <c r="E6"/>
  <c r="K6"/>
  <c r="E270" i="117"/>
  <c r="K270"/>
  <c r="E269"/>
  <c r="K269"/>
  <c r="E268"/>
  <c r="K268"/>
  <c r="E267"/>
  <c r="K267"/>
  <c r="E266"/>
  <c r="K266"/>
  <c r="E265"/>
  <c r="K265"/>
  <c r="E264"/>
  <c r="K264"/>
  <c r="E263"/>
  <c r="K263"/>
  <c r="E262"/>
  <c r="K262"/>
  <c r="E261"/>
  <c r="K261"/>
  <c r="D260"/>
  <c r="C260"/>
  <c r="E259"/>
  <c r="E258"/>
  <c r="E257"/>
  <c r="K257"/>
  <c r="E256"/>
  <c r="K256"/>
  <c r="E255"/>
  <c r="K255"/>
  <c r="E254"/>
  <c r="K254"/>
  <c r="E253"/>
  <c r="K253"/>
  <c r="E252"/>
  <c r="K252"/>
  <c r="E251"/>
  <c r="K251"/>
  <c r="E250"/>
  <c r="K250"/>
  <c r="E249"/>
  <c r="K249"/>
  <c r="E248"/>
  <c r="K248"/>
  <c r="E247"/>
  <c r="K247"/>
  <c r="D246"/>
  <c r="C246"/>
  <c r="E245"/>
  <c r="K245"/>
  <c r="E244"/>
  <c r="E243"/>
  <c r="K243"/>
  <c r="E242"/>
  <c r="K242"/>
  <c r="E241"/>
  <c r="K241"/>
  <c r="E240"/>
  <c r="K240"/>
  <c r="E239"/>
  <c r="K239"/>
  <c r="E238"/>
  <c r="K238"/>
  <c r="E237"/>
  <c r="K237"/>
  <c r="E236"/>
  <c r="K236"/>
  <c r="E235"/>
  <c r="K235"/>
  <c r="E234"/>
  <c r="K234"/>
  <c r="D233"/>
  <c r="C233"/>
  <c r="E232"/>
  <c r="K232"/>
  <c r="E231"/>
  <c r="K231"/>
  <c r="E230"/>
  <c r="K230"/>
  <c r="E229"/>
  <c r="K229"/>
  <c r="E228"/>
  <c r="K228"/>
  <c r="E227"/>
  <c r="K227"/>
  <c r="E226"/>
  <c r="K226"/>
  <c r="E225"/>
  <c r="K225"/>
  <c r="E224"/>
  <c r="K224"/>
  <c r="E223"/>
  <c r="K223"/>
  <c r="D222"/>
  <c r="C222"/>
  <c r="E221"/>
  <c r="K221"/>
  <c r="E220"/>
  <c r="K220"/>
  <c r="E219"/>
  <c r="K219"/>
  <c r="E218"/>
  <c r="K218"/>
  <c r="E217"/>
  <c r="K217"/>
  <c r="E216"/>
  <c r="K216"/>
  <c r="E215"/>
  <c r="K215"/>
  <c r="E214"/>
  <c r="K214"/>
  <c r="E213"/>
  <c r="K213"/>
  <c r="E212"/>
  <c r="K212"/>
  <c r="D211"/>
  <c r="C211"/>
  <c r="E210"/>
  <c r="K210"/>
  <c r="D209"/>
  <c r="C209"/>
  <c r="E208"/>
  <c r="K208"/>
  <c r="E207"/>
  <c r="E206"/>
  <c r="K206"/>
  <c r="E205"/>
  <c r="K205"/>
  <c r="D204"/>
  <c r="C204"/>
  <c r="E203"/>
  <c r="K203"/>
  <c r="E202"/>
  <c r="K202"/>
  <c r="E201"/>
  <c r="K201"/>
  <c r="E200"/>
  <c r="K200"/>
  <c r="E199"/>
  <c r="E198"/>
  <c r="K198"/>
  <c r="E197"/>
  <c r="K197"/>
  <c r="E196"/>
  <c r="K196"/>
  <c r="E194"/>
  <c r="K194"/>
  <c r="E193"/>
  <c r="K193"/>
  <c r="E192"/>
  <c r="K192"/>
  <c r="E191"/>
  <c r="K191"/>
  <c r="E190"/>
  <c r="K190"/>
  <c r="E189"/>
  <c r="K189"/>
  <c r="E188"/>
  <c r="K188"/>
  <c r="E187"/>
  <c r="K187"/>
  <c r="E186"/>
  <c r="K186"/>
  <c r="E185"/>
  <c r="K185"/>
  <c r="E184"/>
  <c r="K184"/>
  <c r="D183"/>
  <c r="C183"/>
  <c r="E182"/>
  <c r="K182"/>
  <c r="E181"/>
  <c r="E180"/>
  <c r="K180"/>
  <c r="E179"/>
  <c r="K179"/>
  <c r="E178"/>
  <c r="K178"/>
  <c r="E177"/>
  <c r="K177"/>
  <c r="E176"/>
  <c r="K176"/>
  <c r="E175"/>
  <c r="K175"/>
  <c r="E174"/>
  <c r="K174"/>
  <c r="E173"/>
  <c r="K173"/>
  <c r="E172"/>
  <c r="K172"/>
  <c r="E171"/>
  <c r="K171"/>
  <c r="E170"/>
  <c r="K170"/>
  <c r="E169"/>
  <c r="K169"/>
  <c r="D168"/>
  <c r="C168"/>
  <c r="E167"/>
  <c r="K167"/>
  <c r="E166"/>
  <c r="K166"/>
  <c r="E165"/>
  <c r="K165"/>
  <c r="E164"/>
  <c r="K164"/>
  <c r="E163"/>
  <c r="K163"/>
  <c r="E162"/>
  <c r="K162"/>
  <c r="E161"/>
  <c r="K161"/>
  <c r="E160"/>
  <c r="K160"/>
  <c r="E159"/>
  <c r="K159"/>
  <c r="E158"/>
  <c r="K158"/>
  <c r="E157"/>
  <c r="K157"/>
  <c r="E156"/>
  <c r="K156"/>
  <c r="D155"/>
  <c r="C155"/>
  <c r="E154"/>
  <c r="K154"/>
  <c r="E153"/>
  <c r="K153"/>
  <c r="E152"/>
  <c r="K152"/>
  <c r="E151"/>
  <c r="K151"/>
  <c r="E150"/>
  <c r="K150"/>
  <c r="E149"/>
  <c r="K149"/>
  <c r="E148"/>
  <c r="K148"/>
  <c r="E147"/>
  <c r="K147"/>
  <c r="E146"/>
  <c r="K146"/>
  <c r="E145"/>
  <c r="K145"/>
  <c r="D144"/>
  <c r="C144"/>
  <c r="E143"/>
  <c r="K143"/>
  <c r="E142"/>
  <c r="K142"/>
  <c r="E141"/>
  <c r="K141"/>
  <c r="E140"/>
  <c r="K140"/>
  <c r="E139"/>
  <c r="K139"/>
  <c r="E138"/>
  <c r="K138"/>
  <c r="E137"/>
  <c r="K137"/>
  <c r="E136"/>
  <c r="K136"/>
  <c r="E135"/>
  <c r="K135"/>
  <c r="E134"/>
  <c r="K134"/>
  <c r="D133"/>
  <c r="C133"/>
  <c r="E132"/>
  <c r="K132"/>
  <c r="D131"/>
  <c r="C131"/>
  <c r="E130"/>
  <c r="K130"/>
  <c r="E129"/>
  <c r="K129"/>
  <c r="E128"/>
  <c r="K128"/>
  <c r="E127"/>
  <c r="K127"/>
  <c r="E126"/>
  <c r="E124"/>
  <c r="K124"/>
  <c r="E123"/>
  <c r="K123"/>
  <c r="E122"/>
  <c r="K122"/>
  <c r="E121"/>
  <c r="K121"/>
  <c r="E120"/>
  <c r="K120"/>
  <c r="E119"/>
  <c r="K119"/>
  <c r="E118"/>
  <c r="K118"/>
  <c r="E117"/>
  <c r="K117"/>
  <c r="E116"/>
  <c r="K116"/>
  <c r="E115"/>
  <c r="K115"/>
  <c r="E114"/>
  <c r="K114"/>
  <c r="E113"/>
  <c r="K113"/>
  <c r="E112"/>
  <c r="K112"/>
  <c r="E111"/>
  <c r="K111"/>
  <c r="E110"/>
  <c r="K110"/>
  <c r="E109"/>
  <c r="K109"/>
  <c r="E108"/>
  <c r="K108"/>
  <c r="E107"/>
  <c r="K107"/>
  <c r="E106"/>
  <c r="K106"/>
  <c r="E105"/>
  <c r="E104"/>
  <c r="K104"/>
  <c r="E103"/>
  <c r="K103"/>
  <c r="D102"/>
  <c r="C102"/>
  <c r="E101"/>
  <c r="K101"/>
  <c r="E100"/>
  <c r="K100"/>
  <c r="D99"/>
  <c r="C99"/>
  <c r="E98"/>
  <c r="K98"/>
  <c r="E97"/>
  <c r="K97"/>
  <c r="E96"/>
  <c r="K96"/>
  <c r="E95"/>
  <c r="K95"/>
  <c r="E94"/>
  <c r="K94"/>
  <c r="E93"/>
  <c r="K93"/>
  <c r="E92"/>
  <c r="K92"/>
  <c r="E86"/>
  <c r="K86"/>
  <c r="E85"/>
  <c r="K85"/>
  <c r="E84"/>
  <c r="K84"/>
  <c r="E83"/>
  <c r="K83"/>
  <c r="E82"/>
  <c r="K82"/>
  <c r="E81"/>
  <c r="K81"/>
  <c r="E80"/>
  <c r="K80"/>
  <c r="D79"/>
  <c r="C79"/>
  <c r="E78"/>
  <c r="K78"/>
  <c r="E77"/>
  <c r="K77"/>
  <c r="E76"/>
  <c r="K76"/>
  <c r="E75"/>
  <c r="K75"/>
  <c r="E74"/>
  <c r="K74"/>
  <c r="E73"/>
  <c r="K73"/>
  <c r="E72"/>
  <c r="K72"/>
  <c r="E71"/>
  <c r="K71"/>
  <c r="E70"/>
  <c r="K70"/>
  <c r="E69"/>
  <c r="K69"/>
  <c r="E68"/>
  <c r="K68"/>
  <c r="D67"/>
  <c r="C67"/>
  <c r="E66"/>
  <c r="K66"/>
  <c r="D64"/>
  <c r="C64"/>
  <c r="E63"/>
  <c r="K63"/>
  <c r="E62"/>
  <c r="K62"/>
  <c r="E61"/>
  <c r="K61"/>
  <c r="E60"/>
  <c r="K60"/>
  <c r="E59"/>
  <c r="K59"/>
  <c r="E58"/>
  <c r="K58"/>
  <c r="E57"/>
  <c r="K57"/>
  <c r="E56"/>
  <c r="K56"/>
  <c r="E55"/>
  <c r="K55"/>
  <c r="E54"/>
  <c r="K54"/>
  <c r="D53"/>
  <c r="C53"/>
  <c r="E52"/>
  <c r="K52"/>
  <c r="E51"/>
  <c r="D50"/>
  <c r="C50"/>
  <c r="E49"/>
  <c r="K49"/>
  <c r="E48"/>
  <c r="K48"/>
  <c r="E47"/>
  <c r="K47"/>
  <c r="E46"/>
  <c r="K46"/>
  <c r="E45"/>
  <c r="K45"/>
  <c r="E44"/>
  <c r="K44"/>
  <c r="E43"/>
  <c r="K43"/>
  <c r="E42"/>
  <c r="K42"/>
  <c r="E41"/>
  <c r="K41"/>
  <c r="E40"/>
  <c r="K40"/>
  <c r="D39"/>
  <c r="C39"/>
  <c r="E38"/>
  <c r="K38"/>
  <c r="E37"/>
  <c r="D36"/>
  <c r="C36"/>
  <c r="E35"/>
  <c r="K35"/>
  <c r="E34"/>
  <c r="K34"/>
  <c r="E33"/>
  <c r="K33"/>
  <c r="E32"/>
  <c r="K32"/>
  <c r="E31"/>
  <c r="K31"/>
  <c r="E30"/>
  <c r="K30"/>
  <c r="E29"/>
  <c r="K29"/>
  <c r="E28"/>
  <c r="K28"/>
  <c r="E27"/>
  <c r="K27"/>
  <c r="D26"/>
  <c r="C26"/>
  <c r="D24"/>
  <c r="E23"/>
  <c r="K23"/>
  <c r="E22"/>
  <c r="K22"/>
  <c r="E21"/>
  <c r="K21"/>
  <c r="D20"/>
  <c r="C20"/>
  <c r="E19"/>
  <c r="K19"/>
  <c r="E18"/>
  <c r="K18"/>
  <c r="E17"/>
  <c r="K17"/>
  <c r="E16"/>
  <c r="K16"/>
  <c r="E15"/>
  <c r="K15"/>
  <c r="E14"/>
  <c r="K14"/>
  <c r="E13"/>
  <c r="K13"/>
  <c r="E12"/>
  <c r="K12"/>
  <c r="E11"/>
  <c r="K11"/>
  <c r="E10"/>
  <c r="K10"/>
  <c r="E9"/>
  <c r="K9"/>
  <c r="E8"/>
  <c r="K8"/>
  <c r="E7"/>
  <c r="K7"/>
  <c r="E6"/>
  <c r="K6"/>
  <c r="E17" i="122"/>
  <c r="AN22" i="125"/>
  <c r="G21"/>
  <c r="AU21"/>
  <c r="K11"/>
  <c r="BT19"/>
  <c r="BT21"/>
  <c r="H21"/>
  <c r="D34" i="119"/>
  <c r="D45"/>
  <c r="BG17" i="125"/>
  <c r="BG22"/>
  <c r="H30"/>
  <c r="F19" i="127"/>
  <c r="E24" i="119"/>
  <c r="K24"/>
  <c r="K12"/>
  <c r="E33"/>
  <c r="K33"/>
  <c r="E34" i="120"/>
  <c r="K34"/>
  <c r="K29"/>
  <c r="X21" i="125"/>
  <c r="CF21"/>
  <c r="J20"/>
  <c r="D28" i="120"/>
  <c r="D37"/>
  <c r="J19" i="125"/>
  <c r="J21"/>
  <c r="K20"/>
  <c r="F12" i="127"/>
  <c r="F20"/>
  <c r="F22"/>
  <c r="E42" i="119"/>
  <c r="K42"/>
  <c r="E16" i="120"/>
  <c r="K16"/>
  <c r="K10"/>
  <c r="AJ19" i="125"/>
  <c r="AJ21"/>
  <c r="AZ22"/>
  <c r="BM22"/>
  <c r="BZ22"/>
  <c r="F21"/>
  <c r="AV21"/>
  <c r="C15" i="127"/>
  <c r="C19"/>
  <c r="J28" i="125"/>
  <c r="K28"/>
  <c r="J35"/>
  <c r="J10" i="123"/>
  <c r="J43"/>
  <c r="G24"/>
  <c r="M29"/>
  <c r="M37"/>
  <c r="C10"/>
  <c r="C43"/>
  <c r="I10"/>
  <c r="I43"/>
  <c r="B10"/>
  <c r="B43"/>
  <c r="M41"/>
  <c r="E18"/>
  <c r="D12"/>
  <c r="D10"/>
  <c r="D43"/>
  <c r="E34"/>
  <c r="M25"/>
  <c r="F38" i="128"/>
  <c r="F16"/>
  <c r="F34"/>
  <c r="F15"/>
  <c r="F30"/>
  <c r="F14"/>
  <c r="F26"/>
  <c r="H26"/>
  <c r="F6"/>
  <c r="G66" i="123"/>
  <c r="M22"/>
  <c r="F17" i="124"/>
  <c r="K15"/>
  <c r="F10" i="123"/>
  <c r="F43"/>
  <c r="M30"/>
  <c r="K18" i="126"/>
  <c r="J16" i="125"/>
  <c r="K16"/>
  <c r="CE17"/>
  <c r="CE22"/>
  <c r="CE31"/>
  <c r="BH15"/>
  <c r="BH17"/>
  <c r="AV17"/>
  <c r="J15"/>
  <c r="BS17"/>
  <c r="BS22"/>
  <c r="BS31"/>
  <c r="J13"/>
  <c r="K13"/>
  <c r="X15"/>
  <c r="G17"/>
  <c r="G22"/>
  <c r="H17"/>
  <c r="H22"/>
  <c r="H31"/>
  <c r="W17"/>
  <c r="W22"/>
  <c r="I17"/>
  <c r="I22"/>
  <c r="X16"/>
  <c r="F17"/>
  <c r="F22"/>
  <c r="E17"/>
  <c r="E22"/>
  <c r="J10"/>
  <c r="K10"/>
  <c r="E30"/>
  <c r="J25"/>
  <c r="K25"/>
  <c r="J27"/>
  <c r="K27"/>
  <c r="X35"/>
  <c r="K35"/>
  <c r="C30"/>
  <c r="F30"/>
  <c r="AV30"/>
  <c r="I30"/>
  <c r="J34"/>
  <c r="G30"/>
  <c r="BH30"/>
  <c r="J26"/>
  <c r="K26"/>
  <c r="J29"/>
  <c r="K29"/>
  <c r="E12" i="127"/>
  <c r="E20"/>
  <c r="E22"/>
  <c r="C8"/>
  <c r="F18" i="126"/>
  <c r="F15" i="124"/>
  <c r="E47" i="122"/>
  <c r="C48"/>
  <c r="E37"/>
  <c r="E26"/>
  <c r="E22"/>
  <c r="C29"/>
  <c r="E9"/>
  <c r="D29"/>
  <c r="D49"/>
  <c r="E33" i="121"/>
  <c r="C36"/>
  <c r="E29"/>
  <c r="E21"/>
  <c r="E17"/>
  <c r="E13"/>
  <c r="C24"/>
  <c r="E10"/>
  <c r="L11" i="123"/>
  <c r="M11" s="1"/>
  <c r="E9" i="120"/>
  <c r="K6"/>
  <c r="K20"/>
  <c r="E19"/>
  <c r="K19"/>
  <c r="K17"/>
  <c r="K126" i="117"/>
  <c r="K244"/>
  <c r="K259"/>
  <c r="K207"/>
  <c r="K258"/>
  <c r="K181"/>
  <c r="C28" i="120"/>
  <c r="C37"/>
  <c r="K26" i="119"/>
  <c r="E11"/>
  <c r="K199" i="117"/>
  <c r="K105"/>
  <c r="E53"/>
  <c r="K51"/>
  <c r="E39"/>
  <c r="K39"/>
  <c r="K37"/>
  <c r="E14" i="118"/>
  <c r="K14"/>
  <c r="E10"/>
  <c r="K10"/>
  <c r="E220"/>
  <c r="E212"/>
  <c r="K212"/>
  <c r="C260"/>
  <c r="C286"/>
  <c r="C125" i="117"/>
  <c r="I130"/>
  <c r="D169" i="118"/>
  <c r="D260"/>
  <c r="C50"/>
  <c r="E142"/>
  <c r="K142"/>
  <c r="E238"/>
  <c r="D225"/>
  <c r="C225"/>
  <c r="E64"/>
  <c r="E28"/>
  <c r="E248"/>
  <c r="D286"/>
  <c r="E53"/>
  <c r="D86"/>
  <c r="D98"/>
  <c r="E99"/>
  <c r="E147"/>
  <c r="K147"/>
  <c r="E17"/>
  <c r="D50"/>
  <c r="C86"/>
  <c r="C98"/>
  <c r="E90"/>
  <c r="K90"/>
  <c r="E152"/>
  <c r="K152"/>
  <c r="E121"/>
  <c r="K121"/>
  <c r="E114"/>
  <c r="K114"/>
  <c r="E39"/>
  <c r="E75"/>
  <c r="K75"/>
  <c r="E87"/>
  <c r="K87"/>
  <c r="C169"/>
  <c r="E264"/>
  <c r="E274"/>
  <c r="K274"/>
  <c r="E133" i="117"/>
  <c r="D65"/>
  <c r="E131"/>
  <c r="C65"/>
  <c r="E24"/>
  <c r="K24"/>
  <c r="E90"/>
  <c r="K90"/>
  <c r="E102"/>
  <c r="E144"/>
  <c r="E233"/>
  <c r="K233"/>
  <c r="C271"/>
  <c r="E20"/>
  <c r="C195"/>
  <c r="D195"/>
  <c r="E183"/>
  <c r="E36"/>
  <c r="D271"/>
  <c r="E260"/>
  <c r="D25"/>
  <c r="E67"/>
  <c r="K67"/>
  <c r="E246"/>
  <c r="E26"/>
  <c r="E50"/>
  <c r="E209"/>
  <c r="K209"/>
  <c r="E211"/>
  <c r="K211"/>
  <c r="E155"/>
  <c r="K155"/>
  <c r="E222"/>
  <c r="E64"/>
  <c r="D125"/>
  <c r="E79"/>
  <c r="K79"/>
  <c r="E99"/>
  <c r="E168"/>
  <c r="E204"/>
  <c r="K204"/>
  <c r="H30" i="127"/>
  <c r="H8"/>
  <c r="H12"/>
  <c r="H20"/>
  <c r="H22"/>
  <c r="D33"/>
  <c r="BQ31" i="125"/>
  <c r="BQ33"/>
  <c r="H23" i="127"/>
  <c r="H24"/>
  <c r="AQ33" i="125"/>
  <c r="AQ31"/>
  <c r="AB31"/>
  <c r="AB33"/>
  <c r="AP31"/>
  <c r="AP33"/>
  <c r="BC31"/>
  <c r="BC33"/>
  <c r="BO31"/>
  <c r="BO33"/>
  <c r="CB31"/>
  <c r="CB33"/>
  <c r="F23" i="127"/>
  <c r="F24"/>
  <c r="E12" i="123"/>
  <c r="G13"/>
  <c r="G12"/>
  <c r="M12"/>
  <c r="AC33" i="125"/>
  <c r="AC31"/>
  <c r="BD31"/>
  <c r="BD33"/>
  <c r="CC33"/>
  <c r="CC31"/>
  <c r="AE31"/>
  <c r="AE33"/>
  <c r="U33"/>
  <c r="U31"/>
  <c r="AO31"/>
  <c r="AO33"/>
  <c r="BB33"/>
  <c r="BB31"/>
  <c r="BN31"/>
  <c r="BN33"/>
  <c r="CA31"/>
  <c r="CA33"/>
  <c r="E23" i="127"/>
  <c r="E24"/>
  <c r="G28" i="123"/>
  <c r="K12" i="125"/>
  <c r="AJ30"/>
  <c r="AD31"/>
  <c r="AD33"/>
  <c r="G23" i="127"/>
  <c r="G24"/>
  <c r="T31" i="125"/>
  <c r="T33"/>
  <c r="AN33"/>
  <c r="AN31"/>
  <c r="BA31"/>
  <c r="BA33"/>
  <c r="BM33"/>
  <c r="BM31"/>
  <c r="BZ31"/>
  <c r="BZ33"/>
  <c r="D23" i="127"/>
  <c r="D24"/>
  <c r="AR31" i="125"/>
  <c r="AR33"/>
  <c r="R33"/>
  <c r="R31"/>
  <c r="AH31"/>
  <c r="AH33"/>
  <c r="AZ31"/>
  <c r="AZ33"/>
  <c r="BL31"/>
  <c r="BL33"/>
  <c r="BY31"/>
  <c r="BY33"/>
  <c r="H47" i="128"/>
  <c r="BT17" i="125"/>
  <c r="BT22"/>
  <c r="BT31"/>
  <c r="X27"/>
  <c r="BE31"/>
  <c r="BE33"/>
  <c r="BP31"/>
  <c r="BP33"/>
  <c r="S31"/>
  <c r="S33"/>
  <c r="P33"/>
  <c r="AG31"/>
  <c r="AG33"/>
  <c r="AT31"/>
  <c r="AT33"/>
  <c r="BX33"/>
  <c r="BX31"/>
  <c r="W30"/>
  <c r="CD31"/>
  <c r="CD33"/>
  <c r="AF33"/>
  <c r="AF31"/>
  <c r="AS31"/>
  <c r="AS33"/>
  <c r="BF31"/>
  <c r="BF33"/>
  <c r="BR33"/>
  <c r="BR31"/>
  <c r="I23" i="127"/>
  <c r="I24"/>
  <c r="M39" i="123"/>
  <c r="K19" i="125"/>
  <c r="K21"/>
  <c r="G20" i="127"/>
  <c r="G22"/>
  <c r="E24" i="123"/>
  <c r="E28"/>
  <c r="G36"/>
  <c r="G34"/>
  <c r="L50"/>
  <c r="M50"/>
  <c r="AJ10" i="125"/>
  <c r="AJ17"/>
  <c r="AJ22"/>
  <c r="CF10"/>
  <c r="CF17"/>
  <c r="CF22"/>
  <c r="CF31"/>
  <c r="X12"/>
  <c r="Q17"/>
  <c r="Q22"/>
  <c r="AU17"/>
  <c r="AU22"/>
  <c r="AI21"/>
  <c r="X26"/>
  <c r="D27"/>
  <c r="D30"/>
  <c r="J14" i="126"/>
  <c r="J16"/>
  <c r="J18"/>
  <c r="C10" i="127"/>
  <c r="C11"/>
  <c r="F42" i="128"/>
  <c r="J14" i="125"/>
  <c r="K14"/>
  <c r="BG30"/>
  <c r="BG31"/>
  <c r="C24" i="117"/>
  <c r="C25"/>
  <c r="D15" i="125"/>
  <c r="D17"/>
  <c r="D22"/>
  <c r="Q30"/>
  <c r="AU30"/>
  <c r="X34"/>
  <c r="K34"/>
  <c r="D11" i="127"/>
  <c r="D12"/>
  <c r="D20"/>
  <c r="D22"/>
  <c r="E234" i="118"/>
  <c r="K234"/>
  <c r="G20" i="123"/>
  <c r="G18"/>
  <c r="M18"/>
  <c r="L35"/>
  <c r="M35"/>
  <c r="X13" i="125"/>
  <c r="C15"/>
  <c r="V17"/>
  <c r="V22"/>
  <c r="BH19"/>
  <c r="BH21"/>
  <c r="X29"/>
  <c r="P30"/>
  <c r="P31"/>
  <c r="AI30"/>
  <c r="AI17"/>
  <c r="AI22"/>
  <c r="F18" i="128"/>
  <c r="H22"/>
  <c r="AV22" i="125"/>
  <c r="AV31"/>
  <c r="F31"/>
  <c r="AJ31"/>
  <c r="M36" i="123"/>
  <c r="E10"/>
  <c r="E43"/>
  <c r="L15" i="124"/>
  <c r="G10" i="123"/>
  <c r="G43"/>
  <c r="K15" i="125"/>
  <c r="K17"/>
  <c r="K22"/>
  <c r="G31"/>
  <c r="I31"/>
  <c r="W31"/>
  <c r="X17"/>
  <c r="X22"/>
  <c r="E31"/>
  <c r="J30"/>
  <c r="K30"/>
  <c r="X30"/>
  <c r="C12" i="127"/>
  <c r="C20"/>
  <c r="F18" i="124"/>
  <c r="K39" i="118"/>
  <c r="K99"/>
  <c r="K28"/>
  <c r="K248"/>
  <c r="K17"/>
  <c r="K53"/>
  <c r="K238"/>
  <c r="K220"/>
  <c r="K264"/>
  <c r="K64"/>
  <c r="E48" i="122"/>
  <c r="C49"/>
  <c r="E29"/>
  <c r="E36" i="121"/>
  <c r="E24"/>
  <c r="K9" i="120"/>
  <c r="E28"/>
  <c r="K99" i="117"/>
  <c r="K260"/>
  <c r="K133"/>
  <c r="K222"/>
  <c r="K246"/>
  <c r="K144"/>
  <c r="E34" i="119"/>
  <c r="K11"/>
  <c r="K183" i="117"/>
  <c r="K168"/>
  <c r="K131"/>
  <c r="K102"/>
  <c r="K64"/>
  <c r="K53"/>
  <c r="K50"/>
  <c r="K36"/>
  <c r="K26"/>
  <c r="K20"/>
  <c r="E25"/>
  <c r="K25"/>
  <c r="D189" i="118"/>
  <c r="D287"/>
  <c r="E225"/>
  <c r="K225"/>
  <c r="E86"/>
  <c r="K86"/>
  <c r="E260"/>
  <c r="K260"/>
  <c r="E286"/>
  <c r="K286"/>
  <c r="C189"/>
  <c r="C287"/>
  <c r="E169"/>
  <c r="E50"/>
  <c r="K50"/>
  <c r="E98"/>
  <c r="K98"/>
  <c r="E125" i="117"/>
  <c r="K125"/>
  <c r="E271"/>
  <c r="K271"/>
  <c r="D272"/>
  <c r="E195"/>
  <c r="K195"/>
  <c r="E65"/>
  <c r="K65"/>
  <c r="C272"/>
  <c r="C22" i="127"/>
  <c r="D31" i="125"/>
  <c r="H18" i="128"/>
  <c r="H10"/>
  <c r="J52"/>
  <c r="N60"/>
  <c r="N61"/>
  <c r="G33" i="125"/>
  <c r="C17"/>
  <c r="C22"/>
  <c r="C31"/>
  <c r="H44" i="128"/>
  <c r="J55"/>
  <c r="AI31" i="125"/>
  <c r="AI33"/>
  <c r="AJ33"/>
  <c r="V31"/>
  <c r="V33"/>
  <c r="I33"/>
  <c r="C23" i="127"/>
  <c r="C24"/>
  <c r="BG33" i="125"/>
  <c r="BH33"/>
  <c r="H33"/>
  <c r="AU31"/>
  <c r="E33"/>
  <c r="BS33"/>
  <c r="BT33"/>
  <c r="C33"/>
  <c r="CE33"/>
  <c r="CF33"/>
  <c r="J17"/>
  <c r="Q31"/>
  <c r="Q33"/>
  <c r="F33"/>
  <c r="BH22"/>
  <c r="BH31"/>
  <c r="AU33"/>
  <c r="AV33"/>
  <c r="P61" i="128"/>
  <c r="Q61"/>
  <c r="X31" i="125"/>
  <c r="K31"/>
  <c r="K169" i="118"/>
  <c r="E49" i="122"/>
  <c r="G28" i="121"/>
  <c r="H28"/>
  <c r="H36"/>
  <c r="E37" i="120"/>
  <c r="K28"/>
  <c r="E45" i="119"/>
  <c r="K34"/>
  <c r="E189" i="118"/>
  <c r="E272" i="117"/>
  <c r="D33" i="125"/>
  <c r="W33"/>
  <c r="J37"/>
  <c r="J22"/>
  <c r="J31"/>
  <c r="H7" i="128"/>
  <c r="E287" i="118"/>
  <c r="K287"/>
  <c r="K189"/>
  <c r="K37" i="120"/>
  <c r="K45" i="119"/>
  <c r="K272" i="117"/>
  <c r="J33" i="125"/>
  <c r="X33"/>
  <c r="K33"/>
  <c r="L33"/>
  <c r="M33"/>
  <c r="E239" i="65"/>
  <c r="W280" i="85"/>
  <c r="W272"/>
  <c r="W264"/>
  <c r="W254"/>
  <c r="W244"/>
  <c r="W232"/>
  <c r="V282"/>
  <c r="V280"/>
  <c r="V277"/>
  <c r="V275"/>
  <c r="V273"/>
  <c r="V272"/>
  <c r="V269"/>
  <c r="V267"/>
  <c r="V265"/>
  <c r="V264"/>
  <c r="V261"/>
  <c r="V259"/>
  <c r="V257"/>
  <c r="V256"/>
  <c r="V255"/>
  <c r="V254"/>
  <c r="V251"/>
  <c r="V249"/>
  <c r="V247"/>
  <c r="V246"/>
  <c r="V245"/>
  <c r="V244"/>
  <c r="V241"/>
  <c r="V239"/>
  <c r="V238"/>
  <c r="V237"/>
  <c r="V235"/>
  <c r="V234"/>
  <c r="V233"/>
  <c r="V232"/>
  <c r="V229"/>
  <c r="V227"/>
  <c r="V226"/>
  <c r="V224"/>
  <c r="V223"/>
  <c r="V222"/>
  <c r="V221"/>
  <c r="V220"/>
  <c r="V219"/>
  <c r="V218"/>
  <c r="V217"/>
  <c r="U282"/>
  <c r="U280"/>
  <c r="T280"/>
  <c r="U272"/>
  <c r="T272"/>
  <c r="U264"/>
  <c r="T264"/>
  <c r="U254"/>
  <c r="T254"/>
  <c r="U244"/>
  <c r="T244"/>
  <c r="U232"/>
  <c r="T232"/>
  <c r="Q282"/>
  <c r="P282"/>
  <c r="N282"/>
  <c r="M282"/>
  <c r="L282"/>
  <c r="K282"/>
  <c r="H282"/>
  <c r="G282"/>
  <c r="E282"/>
  <c r="D282"/>
  <c r="C282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AD325" i="84"/>
  <c r="AD323"/>
  <c r="AD321"/>
  <c r="AD320"/>
  <c r="AD319"/>
  <c r="AD318"/>
  <c r="AD317"/>
  <c r="AD313"/>
  <c r="AD311"/>
  <c r="AD310"/>
  <c r="AD308"/>
  <c r="AD304"/>
  <c r="AD302"/>
  <c r="AD300"/>
  <c r="AD297"/>
  <c r="AD296"/>
  <c r="AD295"/>
  <c r="AD294"/>
  <c r="AD290"/>
  <c r="AD288"/>
  <c r="AD286"/>
  <c r="AD285"/>
  <c r="AD284"/>
  <c r="AD283"/>
  <c r="AD282"/>
  <c r="AD281"/>
  <c r="AD277"/>
  <c r="AD276"/>
  <c r="AD275"/>
  <c r="AD274"/>
  <c r="AD273"/>
  <c r="AD272"/>
  <c r="AD271"/>
  <c r="AD269"/>
  <c r="AD268"/>
  <c r="AD267"/>
  <c r="AD265"/>
  <c r="AD264"/>
  <c r="AD263"/>
  <c r="AD262"/>
  <c r="AD261"/>
  <c r="AD257"/>
  <c r="AD255"/>
  <c r="AD254"/>
  <c r="AD253"/>
  <c r="AD252"/>
  <c r="AD251"/>
  <c r="AD250"/>
  <c r="AD248"/>
  <c r="AD246"/>
  <c r="AD245"/>
  <c r="AD244"/>
  <c r="AD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59"/>
  <c r="AD157"/>
  <c r="AD155"/>
  <c r="AD154"/>
  <c r="AD153"/>
  <c r="AD152"/>
  <c r="AD151"/>
  <c r="AD147"/>
  <c r="AD145"/>
  <c r="AD144"/>
  <c r="AD142"/>
  <c r="AD138"/>
  <c r="AD136"/>
  <c r="AD134"/>
  <c r="AD133"/>
  <c r="AD130"/>
  <c r="AD129"/>
  <c r="AD128"/>
  <c r="AD124"/>
  <c r="AD122"/>
  <c r="AD120"/>
  <c r="AD119"/>
  <c r="AD118"/>
  <c r="AD117"/>
  <c r="AD116"/>
  <c r="AD115"/>
  <c r="AD111"/>
  <c r="AD110"/>
  <c r="AD109"/>
  <c r="AD108"/>
  <c r="AD107"/>
  <c r="AD106"/>
  <c r="AD105"/>
  <c r="AD103"/>
  <c r="AD102"/>
  <c r="AD101"/>
  <c r="AD99"/>
  <c r="AD98"/>
  <c r="AD97"/>
  <c r="AD96"/>
  <c r="AD95"/>
  <c r="AD91"/>
  <c r="AD89"/>
  <c r="AD88"/>
  <c r="AD87"/>
  <c r="AD86"/>
  <c r="AD85"/>
  <c r="AD84"/>
  <c r="AD82"/>
  <c r="AD81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L159"/>
  <c r="AL157"/>
  <c r="AL155"/>
  <c r="AL154"/>
  <c r="AL153"/>
  <c r="AL152"/>
  <c r="AL151"/>
  <c r="AL147"/>
  <c r="AL145"/>
  <c r="AL144"/>
  <c r="AL142"/>
  <c r="AL138"/>
  <c r="AL136"/>
  <c r="AL134"/>
  <c r="AL133"/>
  <c r="AL130"/>
  <c r="AL129"/>
  <c r="AL128"/>
  <c r="AL124"/>
  <c r="AL122"/>
  <c r="AL120"/>
  <c r="AL119"/>
  <c r="AL118"/>
  <c r="AL117"/>
  <c r="AL116"/>
  <c r="AL115"/>
  <c r="AL111"/>
  <c r="AL110"/>
  <c r="AL109"/>
  <c r="AL108"/>
  <c r="AL107"/>
  <c r="AL106"/>
  <c r="AL105"/>
  <c r="AL103"/>
  <c r="AL102"/>
  <c r="AL101"/>
  <c r="AL99"/>
  <c r="AL98"/>
  <c r="AL97"/>
  <c r="AL96"/>
  <c r="AL95"/>
  <c r="AL91"/>
  <c r="AL89"/>
  <c r="AL88"/>
  <c r="AL87"/>
  <c r="AL86"/>
  <c r="AL85"/>
  <c r="AL84"/>
  <c r="AL82"/>
  <c r="AL81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H325"/>
  <c r="AH323"/>
  <c r="AH321"/>
  <c r="AH320"/>
  <c r="AH319"/>
  <c r="AH318"/>
  <c r="AH317"/>
  <c r="AH313"/>
  <c r="AH311"/>
  <c r="AH310"/>
  <c r="AH308"/>
  <c r="AH304"/>
  <c r="AH302"/>
  <c r="AH300"/>
  <c r="AH297"/>
  <c r="AH296"/>
  <c r="AH295"/>
  <c r="AH294"/>
  <c r="AH290"/>
  <c r="AH288"/>
  <c r="AH286"/>
  <c r="AH285"/>
  <c r="AH284"/>
  <c r="AH283"/>
  <c r="AH282"/>
  <c r="AH281"/>
  <c r="AH277"/>
  <c r="AH276"/>
  <c r="AH275"/>
  <c r="AH274"/>
  <c r="AH273"/>
  <c r="AH272"/>
  <c r="AH271"/>
  <c r="AH269"/>
  <c r="AH268"/>
  <c r="AH267"/>
  <c r="AH265"/>
  <c r="AH264"/>
  <c r="AH263"/>
  <c r="AH262"/>
  <c r="AH261"/>
  <c r="AH257"/>
  <c r="AH255"/>
  <c r="AH254"/>
  <c r="AH253"/>
  <c r="AH252"/>
  <c r="AH251"/>
  <c r="AH250"/>
  <c r="AH248"/>
  <c r="AH246"/>
  <c r="AH245"/>
  <c r="AH244"/>
  <c r="AH243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X325"/>
  <c r="AX323"/>
  <c r="AX321"/>
  <c r="AX320"/>
  <c r="AX319"/>
  <c r="AX318"/>
  <c r="AX317"/>
  <c r="AX313"/>
  <c r="AX311"/>
  <c r="AX310"/>
  <c r="AX308"/>
  <c r="AX304"/>
  <c r="AX302"/>
  <c r="AX300"/>
  <c r="AX297"/>
  <c r="AX296"/>
  <c r="AX295"/>
  <c r="AX294"/>
  <c r="AX290"/>
  <c r="AX288"/>
  <c r="AX286"/>
  <c r="AX285"/>
  <c r="AX284"/>
  <c r="AX283"/>
  <c r="AX282"/>
  <c r="AX281"/>
  <c r="AX277"/>
  <c r="AX276"/>
  <c r="AX275"/>
  <c r="AX274"/>
  <c r="AX273"/>
  <c r="AX272"/>
  <c r="AX271"/>
  <c r="AX269"/>
  <c r="AX268"/>
  <c r="AX267"/>
  <c r="AX265"/>
  <c r="AX264"/>
  <c r="AX263"/>
  <c r="AX262"/>
  <c r="AX261"/>
  <c r="AX257"/>
  <c r="AX255"/>
  <c r="AX254"/>
  <c r="AX253"/>
  <c r="AX252"/>
  <c r="AX251"/>
  <c r="AX250"/>
  <c r="AX248"/>
  <c r="AX246"/>
  <c r="AX245"/>
  <c r="AX244"/>
  <c r="AX243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T325"/>
  <c r="AT323"/>
  <c r="AT321"/>
  <c r="AT320"/>
  <c r="AT319"/>
  <c r="AT318"/>
  <c r="AT317"/>
  <c r="AT313"/>
  <c r="AT311"/>
  <c r="AT310"/>
  <c r="AT308"/>
  <c r="AT304"/>
  <c r="AT302"/>
  <c r="AT300"/>
  <c r="AT297"/>
  <c r="AT296"/>
  <c r="AT295"/>
  <c r="AT294"/>
  <c r="AT290"/>
  <c r="AT288"/>
  <c r="AT286"/>
  <c r="AT285"/>
  <c r="AT284"/>
  <c r="AT283"/>
  <c r="AT282"/>
  <c r="AT281"/>
  <c r="AT277"/>
  <c r="AT276"/>
  <c r="AT275"/>
  <c r="AT274"/>
  <c r="AT273"/>
  <c r="AT272"/>
  <c r="AT271"/>
  <c r="AT269"/>
  <c r="AT268"/>
  <c r="AT267"/>
  <c r="AT265"/>
  <c r="AT264"/>
  <c r="AT263"/>
  <c r="AT262"/>
  <c r="AT261"/>
  <c r="AT257"/>
  <c r="AT255"/>
  <c r="AT254"/>
  <c r="AT253"/>
  <c r="AT252"/>
  <c r="AT251"/>
  <c r="AT250"/>
  <c r="AT248"/>
  <c r="AT246"/>
  <c r="AT245"/>
  <c r="AT244"/>
  <c r="AT243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59"/>
  <c r="AT157"/>
  <c r="AT155"/>
  <c r="AT154"/>
  <c r="AT153"/>
  <c r="AT152"/>
  <c r="AT151"/>
  <c r="AT147"/>
  <c r="AT145"/>
  <c r="AT144"/>
  <c r="AT142"/>
  <c r="AT138"/>
  <c r="AT136"/>
  <c r="AT134"/>
  <c r="AT133"/>
  <c r="AT130"/>
  <c r="AT129"/>
  <c r="AT128"/>
  <c r="AT124"/>
  <c r="AT122"/>
  <c r="AT120"/>
  <c r="AT119"/>
  <c r="AT118"/>
  <c r="AT117"/>
  <c r="AT116"/>
  <c r="AT115"/>
  <c r="AT111"/>
  <c r="AT110"/>
  <c r="AT109"/>
  <c r="AT108"/>
  <c r="AT107"/>
  <c r="AT106"/>
  <c r="AT105"/>
  <c r="AT103"/>
  <c r="AT102"/>
  <c r="AT101"/>
  <c r="AT99"/>
  <c r="AT98"/>
  <c r="AT97"/>
  <c r="AT96"/>
  <c r="AT95"/>
  <c r="AT91"/>
  <c r="AT89"/>
  <c r="AT88"/>
  <c r="AT87"/>
  <c r="AT86"/>
  <c r="AT85"/>
  <c r="AT84"/>
  <c r="AT82"/>
  <c r="AT81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P325"/>
  <c r="AP323"/>
  <c r="AP321"/>
  <c r="AP320"/>
  <c r="AP319"/>
  <c r="AP318"/>
  <c r="AP317"/>
  <c r="AP313"/>
  <c r="AP311"/>
  <c r="AP310"/>
  <c r="AP308"/>
  <c r="AP304"/>
  <c r="AP302"/>
  <c r="AP300"/>
  <c r="AP297"/>
  <c r="AP296"/>
  <c r="AP295"/>
  <c r="AP294"/>
  <c r="AP290"/>
  <c r="AP288"/>
  <c r="AP286"/>
  <c r="AP285"/>
  <c r="AP284"/>
  <c r="AP283"/>
  <c r="AP282"/>
  <c r="AP281"/>
  <c r="AP277"/>
  <c r="AP276"/>
  <c r="AP275"/>
  <c r="AP274"/>
  <c r="AP273"/>
  <c r="AP272"/>
  <c r="AP271"/>
  <c r="AP269"/>
  <c r="AP268"/>
  <c r="AP267"/>
  <c r="AP265"/>
  <c r="AP264"/>
  <c r="AP263"/>
  <c r="AP262"/>
  <c r="AP261"/>
  <c r="AP257"/>
  <c r="AP255"/>
  <c r="AP254"/>
  <c r="AP253"/>
  <c r="AP252"/>
  <c r="AP251"/>
  <c r="AP250"/>
  <c r="AP248"/>
  <c r="AP246"/>
  <c r="AP245"/>
  <c r="AP244"/>
  <c r="AP243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59"/>
  <c r="AP157"/>
  <c r="AP155"/>
  <c r="AP154"/>
  <c r="AP153"/>
  <c r="AP152"/>
  <c r="AP151"/>
  <c r="AP147"/>
  <c r="AP145"/>
  <c r="AP144"/>
  <c r="AP142"/>
  <c r="AP138"/>
  <c r="AP136"/>
  <c r="AP134"/>
  <c r="AP133"/>
  <c r="AP130"/>
  <c r="AP129"/>
  <c r="AP128"/>
  <c r="AP124"/>
  <c r="AP122"/>
  <c r="AP120"/>
  <c r="AP119"/>
  <c r="AP118"/>
  <c r="AP117"/>
  <c r="AP116"/>
  <c r="AP115"/>
  <c r="AP111"/>
  <c r="AP110"/>
  <c r="AP109"/>
  <c r="AP108"/>
  <c r="AP107"/>
  <c r="AP106"/>
  <c r="AP105"/>
  <c r="AP103"/>
  <c r="AP102"/>
  <c r="AP101"/>
  <c r="AP99"/>
  <c r="AP98"/>
  <c r="AP97"/>
  <c r="AP96"/>
  <c r="AP95"/>
  <c r="AP91"/>
  <c r="AP89"/>
  <c r="AP88"/>
  <c r="AP87"/>
  <c r="AP86"/>
  <c r="AP85"/>
  <c r="AP84"/>
  <c r="AP82"/>
  <c r="AP81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Z325"/>
  <c r="Z323"/>
  <c r="Z321"/>
  <c r="Z320"/>
  <c r="Z319"/>
  <c r="Z318"/>
  <c r="Z317"/>
  <c r="Z313"/>
  <c r="Z311"/>
  <c r="Z310"/>
  <c r="Z308"/>
  <c r="Z304"/>
  <c r="Z302"/>
  <c r="Z300"/>
  <c r="Z297"/>
  <c r="Z296"/>
  <c r="Z295"/>
  <c r="Z294"/>
  <c r="Z290"/>
  <c r="Z288"/>
  <c r="Z286"/>
  <c r="Z285"/>
  <c r="Z284"/>
  <c r="Z283"/>
  <c r="Z282"/>
  <c r="Z281"/>
  <c r="Z277"/>
  <c r="Z276"/>
  <c r="Z275"/>
  <c r="Z274"/>
  <c r="Z273"/>
  <c r="Z272"/>
  <c r="Z271"/>
  <c r="Z269"/>
  <c r="Z268"/>
  <c r="Z267"/>
  <c r="Z265"/>
  <c r="Z264"/>
  <c r="Z263"/>
  <c r="Z262"/>
  <c r="Z261"/>
  <c r="Z257"/>
  <c r="Z255"/>
  <c r="Z254"/>
  <c r="Z253"/>
  <c r="Z252"/>
  <c r="Z251"/>
  <c r="Z250"/>
  <c r="Z248"/>
  <c r="Z246"/>
  <c r="Z245"/>
  <c r="Z244"/>
  <c r="Z243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59"/>
  <c r="Z157"/>
  <c r="Z155"/>
  <c r="Z154"/>
  <c r="Z153"/>
  <c r="Z152"/>
  <c r="Z151"/>
  <c r="Z147"/>
  <c r="Z145"/>
  <c r="Z144"/>
  <c r="Z142"/>
  <c r="Z138"/>
  <c r="Z136"/>
  <c r="Z134"/>
  <c r="Z133"/>
  <c r="Z130"/>
  <c r="Z129"/>
  <c r="Z128"/>
  <c r="Z124"/>
  <c r="Z122"/>
  <c r="Z120"/>
  <c r="Z119"/>
  <c r="Z118"/>
  <c r="Z117"/>
  <c r="Z116"/>
  <c r="Z115"/>
  <c r="Z111"/>
  <c r="Z110"/>
  <c r="Z109"/>
  <c r="Z108"/>
  <c r="Z107"/>
  <c r="Z106"/>
  <c r="Z105"/>
  <c r="Z103"/>
  <c r="Z102"/>
  <c r="Z101"/>
  <c r="Z99"/>
  <c r="Z98"/>
  <c r="Z97"/>
  <c r="Z96"/>
  <c r="Z95"/>
  <c r="Z91"/>
  <c r="Z89"/>
  <c r="Z88"/>
  <c r="Z87"/>
  <c r="Z86"/>
  <c r="Z85"/>
  <c r="Z84"/>
  <c r="Z82"/>
  <c r="Z81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V325"/>
  <c r="V323"/>
  <c r="V321"/>
  <c r="V320"/>
  <c r="V319"/>
  <c r="V318"/>
  <c r="V317"/>
  <c r="V313"/>
  <c r="V311"/>
  <c r="V310"/>
  <c r="V308"/>
  <c r="V304"/>
  <c r="V302"/>
  <c r="V300"/>
  <c r="V297"/>
  <c r="V296"/>
  <c r="V295"/>
  <c r="V294"/>
  <c r="V290"/>
  <c r="V288"/>
  <c r="V286"/>
  <c r="V285"/>
  <c r="V284"/>
  <c r="V283"/>
  <c r="V282"/>
  <c r="V281"/>
  <c r="V277"/>
  <c r="V276"/>
  <c r="V275"/>
  <c r="V274"/>
  <c r="V273"/>
  <c r="V272"/>
  <c r="V271"/>
  <c r="V269"/>
  <c r="V268"/>
  <c r="V267"/>
  <c r="V265"/>
  <c r="V264"/>
  <c r="V263"/>
  <c r="V262"/>
  <c r="V261"/>
  <c r="V257"/>
  <c r="V255"/>
  <c r="V254"/>
  <c r="V253"/>
  <c r="V252"/>
  <c r="V251"/>
  <c r="V250"/>
  <c r="V248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59"/>
  <c r="V157"/>
  <c r="V155"/>
  <c r="V154"/>
  <c r="V153"/>
  <c r="V152"/>
  <c r="V151"/>
  <c r="V147"/>
  <c r="V145"/>
  <c r="V144"/>
  <c r="V142"/>
  <c r="V138"/>
  <c r="V136"/>
  <c r="V134"/>
  <c r="V133"/>
  <c r="V130"/>
  <c r="V129"/>
  <c r="V128"/>
  <c r="V124"/>
  <c r="V122"/>
  <c r="V120"/>
  <c r="V119"/>
  <c r="V118"/>
  <c r="V117"/>
  <c r="V116"/>
  <c r="V115"/>
  <c r="V111"/>
  <c r="V110"/>
  <c r="V109"/>
  <c r="V108"/>
  <c r="V107"/>
  <c r="V106"/>
  <c r="V105"/>
  <c r="V103"/>
  <c r="V102"/>
  <c r="V101"/>
  <c r="V99"/>
  <c r="V98"/>
  <c r="V97"/>
  <c r="V96"/>
  <c r="V95"/>
  <c r="V91"/>
  <c r="V89"/>
  <c r="V88"/>
  <c r="V87"/>
  <c r="V86"/>
  <c r="V85"/>
  <c r="V84"/>
  <c r="V82"/>
  <c r="V81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R325"/>
  <c r="R323"/>
  <c r="R321"/>
  <c r="R320"/>
  <c r="R319"/>
  <c r="R318"/>
  <c r="R317"/>
  <c r="R313"/>
  <c r="R311"/>
  <c r="R310"/>
  <c r="R308"/>
  <c r="R304"/>
  <c r="R302"/>
  <c r="R300"/>
  <c r="R297"/>
  <c r="R296"/>
  <c r="R295"/>
  <c r="R294"/>
  <c r="R290"/>
  <c r="R288"/>
  <c r="R286"/>
  <c r="R285"/>
  <c r="R284"/>
  <c r="R283"/>
  <c r="R282"/>
  <c r="R281"/>
  <c r="R277"/>
  <c r="R276"/>
  <c r="R275"/>
  <c r="R274"/>
  <c r="R273"/>
  <c r="R272"/>
  <c r="R271"/>
  <c r="R269"/>
  <c r="R268"/>
  <c r="R267"/>
  <c r="R265"/>
  <c r="R264"/>
  <c r="R263"/>
  <c r="R262"/>
  <c r="R261"/>
  <c r="R257"/>
  <c r="R255"/>
  <c r="R254"/>
  <c r="R253"/>
  <c r="R252"/>
  <c r="R251"/>
  <c r="R250"/>
  <c r="R248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59"/>
  <c r="R157"/>
  <c r="R155"/>
  <c r="R154"/>
  <c r="R153"/>
  <c r="R152"/>
  <c r="R151"/>
  <c r="R147"/>
  <c r="R145"/>
  <c r="R144"/>
  <c r="R142"/>
  <c r="R138"/>
  <c r="R136"/>
  <c r="R134"/>
  <c r="R133"/>
  <c r="R130"/>
  <c r="R129"/>
  <c r="R128"/>
  <c r="R124"/>
  <c r="R122"/>
  <c r="R120"/>
  <c r="R119"/>
  <c r="R118"/>
  <c r="R117"/>
  <c r="R116"/>
  <c r="R115"/>
  <c r="R111"/>
  <c r="R110"/>
  <c r="R109"/>
  <c r="R108"/>
  <c r="R107"/>
  <c r="R106"/>
  <c r="R105"/>
  <c r="R103"/>
  <c r="R102"/>
  <c r="R101"/>
  <c r="R99"/>
  <c r="R98"/>
  <c r="R97"/>
  <c r="R96"/>
  <c r="R95"/>
  <c r="R91"/>
  <c r="R89"/>
  <c r="R88"/>
  <c r="R87"/>
  <c r="R86"/>
  <c r="R85"/>
  <c r="R84"/>
  <c r="R82"/>
  <c r="R81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G41" i="79"/>
  <c r="G37"/>
  <c r="G23"/>
  <c r="G24"/>
  <c r="G25"/>
  <c r="G26"/>
  <c r="G28"/>
  <c r="O89" i="78"/>
  <c r="P89"/>
  <c r="O79"/>
  <c r="P79"/>
  <c r="O74"/>
  <c r="P74"/>
  <c r="O73"/>
  <c r="P73"/>
  <c r="O72"/>
  <c r="P72"/>
  <c r="O66"/>
  <c r="P66"/>
  <c r="O47"/>
  <c r="P47"/>
  <c r="O44"/>
  <c r="P44"/>
  <c r="O41"/>
  <c r="P41"/>
  <c r="O39"/>
  <c r="P39"/>
  <c r="O38"/>
  <c r="P38"/>
  <c r="O37"/>
  <c r="P37"/>
  <c r="O36"/>
  <c r="P36"/>
  <c r="O33"/>
  <c r="P33"/>
  <c r="O19"/>
  <c r="P19"/>
  <c r="O18"/>
  <c r="P18"/>
  <c r="O14"/>
  <c r="P14"/>
  <c r="O13"/>
  <c r="P13"/>
  <c r="O12"/>
  <c r="P12"/>
  <c r="O11"/>
  <c r="P11"/>
  <c r="O10"/>
  <c r="P10"/>
  <c r="O9"/>
  <c r="P9"/>
  <c r="J129"/>
  <c r="J130"/>
  <c r="J126"/>
  <c r="J127"/>
  <c r="J123"/>
  <c r="J124"/>
  <c r="J120"/>
  <c r="J121"/>
  <c r="J117"/>
  <c r="J118"/>
  <c r="J114"/>
  <c r="J115"/>
  <c r="J111"/>
  <c r="J112"/>
  <c r="J95"/>
  <c r="J92"/>
  <c r="J89"/>
  <c r="J86"/>
  <c r="J83"/>
  <c r="J74"/>
  <c r="J73"/>
  <c r="J66"/>
  <c r="J67"/>
  <c r="J47"/>
  <c r="J50"/>
  <c r="J41"/>
  <c r="J39"/>
  <c r="J29"/>
  <c r="J31"/>
  <c r="J19"/>
  <c r="J18"/>
  <c r="J14"/>
  <c r="J12"/>
  <c r="J11"/>
  <c r="J10"/>
  <c r="H129"/>
  <c r="H126"/>
  <c r="H123"/>
  <c r="H120"/>
  <c r="H117"/>
  <c r="H114"/>
  <c r="H111"/>
  <c r="H95"/>
  <c r="H92"/>
  <c r="H89"/>
  <c r="H86"/>
  <c r="H83"/>
  <c r="H74"/>
  <c r="H73"/>
  <c r="H72"/>
  <c r="H66"/>
  <c r="H47"/>
  <c r="H44"/>
  <c r="H41"/>
  <c r="H39"/>
  <c r="H38"/>
  <c r="H37"/>
  <c r="H36"/>
  <c r="H33"/>
  <c r="H29"/>
  <c r="H19"/>
  <c r="H18"/>
  <c r="H14"/>
  <c r="H12"/>
  <c r="H11"/>
  <c r="H10"/>
  <c r="G26"/>
  <c r="G73" i="77"/>
  <c r="G74"/>
  <c r="G133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0"/>
  <c r="G99"/>
  <c r="G98"/>
  <c r="G97"/>
  <c r="G95"/>
  <c r="G93"/>
  <c r="G92"/>
  <c r="G91"/>
  <c r="G90"/>
  <c r="G89"/>
  <c r="G88"/>
  <c r="G87"/>
  <c r="G86"/>
  <c r="G84"/>
  <c r="G83"/>
  <c r="G82"/>
  <c r="G81"/>
  <c r="G80"/>
  <c r="G79"/>
  <c r="G78"/>
  <c r="G77"/>
  <c r="G76"/>
  <c r="G75"/>
  <c r="G69"/>
  <c r="G67"/>
  <c r="G66"/>
  <c r="G65"/>
  <c r="G64"/>
  <c r="G63"/>
  <c r="G61"/>
  <c r="G60"/>
  <c r="G59"/>
  <c r="G56"/>
  <c r="G55"/>
  <c r="G53"/>
  <c r="G52"/>
  <c r="G50"/>
  <c r="G49"/>
  <c r="G48"/>
  <c r="G47"/>
  <c r="G46"/>
  <c r="G45"/>
  <c r="G44"/>
  <c r="G43"/>
  <c r="G42"/>
  <c r="G41"/>
  <c r="G40"/>
  <c r="G39"/>
  <c r="G37"/>
  <c r="G36"/>
  <c r="G35"/>
  <c r="G33"/>
  <c r="G31"/>
  <c r="G29"/>
  <c r="G28"/>
  <c r="G23"/>
  <c r="G24"/>
  <c r="G25"/>
  <c r="G22"/>
  <c r="G21"/>
  <c r="G20"/>
  <c r="G19"/>
  <c r="G18"/>
  <c r="G16"/>
  <c r="G15"/>
  <c r="G14"/>
  <c r="G13"/>
  <c r="G12"/>
  <c r="J132" i="78"/>
  <c r="J24" i="7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1"/>
  <c r="I11"/>
  <c r="J10"/>
  <c r="I10"/>
  <c r="J9"/>
  <c r="I9"/>
  <c r="J8"/>
  <c r="I8"/>
  <c r="L43" i="73"/>
  <c r="L39"/>
  <c r="L38"/>
  <c r="L37"/>
  <c r="L36"/>
  <c r="L35"/>
  <c r="L34"/>
  <c r="L33"/>
  <c r="L32"/>
  <c r="L31"/>
  <c r="L30"/>
  <c r="L29"/>
  <c r="L28"/>
  <c r="L27"/>
  <c r="L26"/>
  <c r="L25"/>
  <c r="L24"/>
  <c r="L22"/>
  <c r="L20"/>
  <c r="L19"/>
  <c r="L18"/>
  <c r="L17"/>
  <c r="L16"/>
  <c r="L14"/>
  <c r="L12"/>
  <c r="L10"/>
  <c r="H49"/>
  <c r="H43"/>
  <c r="H39"/>
  <c r="H38"/>
  <c r="H37"/>
  <c r="H36"/>
  <c r="H35"/>
  <c r="H34"/>
  <c r="H33"/>
  <c r="H32"/>
  <c r="H31"/>
  <c r="H30"/>
  <c r="H29"/>
  <c r="H28"/>
  <c r="H27"/>
  <c r="H26"/>
  <c r="H25"/>
  <c r="H24"/>
  <c r="H22"/>
  <c r="H20"/>
  <c r="H19"/>
  <c r="H18"/>
  <c r="H17"/>
  <c r="H16"/>
  <c r="H14"/>
  <c r="H12"/>
  <c r="H10"/>
  <c r="X35" i="72"/>
  <c r="X34"/>
  <c r="X33"/>
  <c r="X32"/>
  <c r="X31"/>
  <c r="X30"/>
  <c r="X29"/>
  <c r="X28"/>
  <c r="X27"/>
  <c r="X25"/>
  <c r="X24"/>
  <c r="X22"/>
  <c r="X21"/>
  <c r="X20"/>
  <c r="X19"/>
  <c r="X18"/>
  <c r="X17"/>
  <c r="F50"/>
  <c r="F49"/>
  <c r="F48"/>
  <c r="F35"/>
  <c r="F34"/>
  <c r="F33"/>
  <c r="F32"/>
  <c r="F31"/>
  <c r="F30"/>
  <c r="F29"/>
  <c r="F28"/>
  <c r="F27"/>
  <c r="F25"/>
  <c r="F24"/>
  <c r="F22"/>
  <c r="F21"/>
  <c r="F20"/>
  <c r="F19"/>
  <c r="F18"/>
  <c r="F17"/>
  <c r="F13"/>
  <c r="F12"/>
  <c r="F11"/>
  <c r="F10"/>
  <c r="F9"/>
  <c r="F8"/>
  <c r="AB347" i="116"/>
  <c r="J358"/>
  <c r="J360"/>
  <c r="J351"/>
  <c r="J350"/>
  <c r="J349"/>
  <c r="J348"/>
  <c r="J347"/>
  <c r="J346"/>
  <c r="J345"/>
  <c r="J344"/>
  <c r="J340"/>
  <c r="J339"/>
  <c r="J338"/>
  <c r="J337"/>
  <c r="J336"/>
  <c r="U351"/>
  <c r="U350"/>
  <c r="U349"/>
  <c r="U348"/>
  <c r="U347"/>
  <c r="U346"/>
  <c r="U345"/>
  <c r="U344"/>
  <c r="U340"/>
  <c r="U339"/>
  <c r="U338"/>
  <c r="U337"/>
  <c r="U336"/>
  <c r="U301"/>
  <c r="U300"/>
  <c r="U299"/>
  <c r="U298"/>
  <c r="U297"/>
  <c r="U296"/>
  <c r="U295"/>
  <c r="U294"/>
  <c r="U290"/>
  <c r="U289"/>
  <c r="U288"/>
  <c r="U287"/>
  <c r="U286"/>
  <c r="J301"/>
  <c r="J300"/>
  <c r="J299"/>
  <c r="J298"/>
  <c r="J297"/>
  <c r="J296"/>
  <c r="J295"/>
  <c r="J294"/>
  <c r="J290"/>
  <c r="J289"/>
  <c r="J288"/>
  <c r="J287"/>
  <c r="J286"/>
  <c r="J276"/>
  <c r="J275"/>
  <c r="J274"/>
  <c r="J273"/>
  <c r="J272"/>
  <c r="J271"/>
  <c r="J270"/>
  <c r="J269"/>
  <c r="J265"/>
  <c r="J264"/>
  <c r="J263"/>
  <c r="J262"/>
  <c r="J261"/>
  <c r="U276"/>
  <c r="U275"/>
  <c r="U274"/>
  <c r="U273"/>
  <c r="U272"/>
  <c r="U271"/>
  <c r="U270"/>
  <c r="U269"/>
  <c r="U265"/>
  <c r="U264"/>
  <c r="U263"/>
  <c r="U262"/>
  <c r="U261"/>
  <c r="U251"/>
  <c r="U250"/>
  <c r="U249"/>
  <c r="U248"/>
  <c r="U247"/>
  <c r="U246"/>
  <c r="U245"/>
  <c r="U244"/>
  <c r="U240"/>
  <c r="U239"/>
  <c r="U238"/>
  <c r="U237"/>
  <c r="U236"/>
  <c r="J251"/>
  <c r="J250"/>
  <c r="J249"/>
  <c r="J247"/>
  <c r="J246"/>
  <c r="J245"/>
  <c r="J244"/>
  <c r="J240"/>
  <c r="J239"/>
  <c r="J238"/>
  <c r="J237"/>
  <c r="J236"/>
  <c r="J226"/>
  <c r="J225"/>
  <c r="J224"/>
  <c r="J223"/>
  <c r="J222"/>
  <c r="J221"/>
  <c r="J220"/>
  <c r="J219"/>
  <c r="J215"/>
  <c r="J214"/>
  <c r="J213"/>
  <c r="J212"/>
  <c r="J211"/>
  <c r="U226"/>
  <c r="U225"/>
  <c r="U224"/>
  <c r="U223"/>
  <c r="U222"/>
  <c r="U221"/>
  <c r="U220"/>
  <c r="U219"/>
  <c r="U215"/>
  <c r="U214"/>
  <c r="U213"/>
  <c r="U212"/>
  <c r="U211"/>
  <c r="J201"/>
  <c r="J200"/>
  <c r="J199"/>
  <c r="J198"/>
  <c r="J197"/>
  <c r="J196"/>
  <c r="J195"/>
  <c r="J194"/>
  <c r="J190"/>
  <c r="J189"/>
  <c r="J188"/>
  <c r="J187"/>
  <c r="J186"/>
  <c r="U201"/>
  <c r="U200"/>
  <c r="U199"/>
  <c r="U198"/>
  <c r="U197"/>
  <c r="U196"/>
  <c r="U195"/>
  <c r="U194"/>
  <c r="U190"/>
  <c r="U189"/>
  <c r="U188"/>
  <c r="U187"/>
  <c r="U186"/>
  <c r="U176"/>
  <c r="U175"/>
  <c r="U174"/>
  <c r="U173"/>
  <c r="U172"/>
  <c r="U171"/>
  <c r="U170"/>
  <c r="U169"/>
  <c r="U165"/>
  <c r="U164"/>
  <c r="U163"/>
  <c r="U162"/>
  <c r="U161"/>
  <c r="J176"/>
  <c r="J175"/>
  <c r="J174"/>
  <c r="J172"/>
  <c r="J171"/>
  <c r="J170"/>
  <c r="J169"/>
  <c r="J165"/>
  <c r="J164"/>
  <c r="J163"/>
  <c r="J162"/>
  <c r="J161"/>
  <c r="J151"/>
  <c r="J150"/>
  <c r="J149"/>
  <c r="J148"/>
  <c r="J147"/>
  <c r="J146"/>
  <c r="J145"/>
  <c r="J144"/>
  <c r="J140"/>
  <c r="J139"/>
  <c r="J138"/>
  <c r="J137"/>
  <c r="J136"/>
  <c r="U151"/>
  <c r="U150"/>
  <c r="U149"/>
  <c r="U148"/>
  <c r="U147"/>
  <c r="U146"/>
  <c r="U145"/>
  <c r="U144"/>
  <c r="U140"/>
  <c r="U139"/>
  <c r="U138"/>
  <c r="U137"/>
  <c r="U136"/>
  <c r="U126"/>
  <c r="U125"/>
  <c r="U124"/>
  <c r="U123"/>
  <c r="U122"/>
  <c r="U121"/>
  <c r="U120"/>
  <c r="U119"/>
  <c r="U115"/>
  <c r="U114"/>
  <c r="U113"/>
  <c r="U112"/>
  <c r="U111"/>
  <c r="J126"/>
  <c r="J125"/>
  <c r="J124"/>
  <c r="J123"/>
  <c r="J122"/>
  <c r="J121"/>
  <c r="J120"/>
  <c r="J119"/>
  <c r="J115"/>
  <c r="J114"/>
  <c r="J113"/>
  <c r="J112"/>
  <c r="J111"/>
  <c r="J101"/>
  <c r="J100"/>
  <c r="J99"/>
  <c r="J98"/>
  <c r="J97"/>
  <c r="J96"/>
  <c r="J95"/>
  <c r="J94"/>
  <c r="J90"/>
  <c r="J89"/>
  <c r="J88"/>
  <c r="J87"/>
  <c r="J86"/>
  <c r="U101"/>
  <c r="U100"/>
  <c r="U99"/>
  <c r="U98"/>
  <c r="U97"/>
  <c r="U96"/>
  <c r="U95"/>
  <c r="U94"/>
  <c r="U90"/>
  <c r="U89"/>
  <c r="U88"/>
  <c r="U87"/>
  <c r="U86"/>
  <c r="U76"/>
  <c r="U75"/>
  <c r="U74"/>
  <c r="U73"/>
  <c r="U72"/>
  <c r="U71"/>
  <c r="U70"/>
  <c r="U69"/>
  <c r="U65"/>
  <c r="U64"/>
  <c r="U63"/>
  <c r="U62"/>
  <c r="U61"/>
  <c r="J76"/>
  <c r="J75"/>
  <c r="J74"/>
  <c r="J73"/>
  <c r="J72"/>
  <c r="J71"/>
  <c r="J70"/>
  <c r="J69"/>
  <c r="J65"/>
  <c r="J64"/>
  <c r="J63"/>
  <c r="J62"/>
  <c r="J61"/>
  <c r="J51"/>
  <c r="J50"/>
  <c r="J49"/>
  <c r="J48"/>
  <c r="J47"/>
  <c r="J46"/>
  <c r="J45"/>
  <c r="J44"/>
  <c r="J40"/>
  <c r="J39"/>
  <c r="J38"/>
  <c r="J37"/>
  <c r="J36"/>
  <c r="U51"/>
  <c r="U50"/>
  <c r="U49"/>
  <c r="U48"/>
  <c r="U47"/>
  <c r="U46"/>
  <c r="U45"/>
  <c r="U44"/>
  <c r="U40"/>
  <c r="U39"/>
  <c r="U38"/>
  <c r="U37"/>
  <c r="U36"/>
  <c r="U26"/>
  <c r="U25"/>
  <c r="U24"/>
  <c r="U23"/>
  <c r="U22"/>
  <c r="U21"/>
  <c r="U20"/>
  <c r="U19"/>
  <c r="U15"/>
  <c r="U14"/>
  <c r="U13"/>
  <c r="U12"/>
  <c r="U11"/>
  <c r="J26"/>
  <c r="J25"/>
  <c r="J24"/>
  <c r="J23"/>
  <c r="J22"/>
  <c r="J21"/>
  <c r="J20"/>
  <c r="J19"/>
  <c r="J15"/>
  <c r="J14"/>
  <c r="J13"/>
  <c r="J12"/>
  <c r="J11"/>
  <c r="E360"/>
  <c r="F359"/>
  <c r="F358"/>
  <c r="E352"/>
  <c r="E335"/>
  <c r="E341"/>
  <c r="F351"/>
  <c r="F350"/>
  <c r="F349"/>
  <c r="F348"/>
  <c r="F347"/>
  <c r="F346"/>
  <c r="F345"/>
  <c r="F344"/>
  <c r="F340"/>
  <c r="F339"/>
  <c r="F338"/>
  <c r="F337"/>
  <c r="F336"/>
  <c r="P352"/>
  <c r="P335"/>
  <c r="P341"/>
  <c r="Q351"/>
  <c r="Q350"/>
  <c r="Q349"/>
  <c r="Q348"/>
  <c r="Q347"/>
  <c r="Q346"/>
  <c r="Q345"/>
  <c r="Q344"/>
  <c r="Q340"/>
  <c r="Q339"/>
  <c r="Q338"/>
  <c r="Q337"/>
  <c r="Q336"/>
  <c r="P302"/>
  <c r="P285"/>
  <c r="P291"/>
  <c r="Q301"/>
  <c r="Q300"/>
  <c r="Q299"/>
  <c r="Q298"/>
  <c r="Q297"/>
  <c r="Q296"/>
  <c r="Q295"/>
  <c r="Q294"/>
  <c r="Q290"/>
  <c r="Q289"/>
  <c r="Q288"/>
  <c r="Q287"/>
  <c r="Q286"/>
  <c r="E302"/>
  <c r="E285"/>
  <c r="E291"/>
  <c r="F301"/>
  <c r="F300"/>
  <c r="F299"/>
  <c r="F298"/>
  <c r="F297"/>
  <c r="F296"/>
  <c r="F295"/>
  <c r="F294"/>
  <c r="F290"/>
  <c r="F289"/>
  <c r="F288"/>
  <c r="F287"/>
  <c r="F286"/>
  <c r="E277"/>
  <c r="E260"/>
  <c r="E266"/>
  <c r="F276"/>
  <c r="F275"/>
  <c r="F274"/>
  <c r="F273"/>
  <c r="F272"/>
  <c r="F271"/>
  <c r="F270"/>
  <c r="F269"/>
  <c r="F265"/>
  <c r="F264"/>
  <c r="F263"/>
  <c r="F262"/>
  <c r="F261"/>
  <c r="P277"/>
  <c r="P260"/>
  <c r="P266"/>
  <c r="Q276"/>
  <c r="Q275"/>
  <c r="Q274"/>
  <c r="Q273"/>
  <c r="Q272"/>
  <c r="Q271"/>
  <c r="Q270"/>
  <c r="Q269"/>
  <c r="Q265"/>
  <c r="Q264"/>
  <c r="Q263"/>
  <c r="Q262"/>
  <c r="Q261"/>
  <c r="P252"/>
  <c r="P235"/>
  <c r="P241"/>
  <c r="Q251"/>
  <c r="Q250"/>
  <c r="Q249"/>
  <c r="Q248"/>
  <c r="Q247"/>
  <c r="Q246"/>
  <c r="Q245"/>
  <c r="Q244"/>
  <c r="Q240"/>
  <c r="Q239"/>
  <c r="Q238"/>
  <c r="Q237"/>
  <c r="Q236"/>
  <c r="E252"/>
  <c r="E235"/>
  <c r="E241"/>
  <c r="F251"/>
  <c r="F250"/>
  <c r="F249"/>
  <c r="F247"/>
  <c r="F246"/>
  <c r="F245"/>
  <c r="F244"/>
  <c r="F240"/>
  <c r="F239"/>
  <c r="F238"/>
  <c r="F237"/>
  <c r="F236"/>
  <c r="E227"/>
  <c r="E210"/>
  <c r="E216"/>
  <c r="F226"/>
  <c r="F225"/>
  <c r="F224"/>
  <c r="F223"/>
  <c r="F222"/>
  <c r="F221"/>
  <c r="F220"/>
  <c r="F219"/>
  <c r="F215"/>
  <c r="F214"/>
  <c r="F213"/>
  <c r="F212"/>
  <c r="F211"/>
  <c r="P227"/>
  <c r="P210"/>
  <c r="P216"/>
  <c r="Q226"/>
  <c r="Q225"/>
  <c r="Q224"/>
  <c r="Q223"/>
  <c r="Q222"/>
  <c r="Q221"/>
  <c r="Q220"/>
  <c r="Q219"/>
  <c r="Q215"/>
  <c r="Q214"/>
  <c r="Q213"/>
  <c r="Q212"/>
  <c r="Q211"/>
  <c r="P202"/>
  <c r="P185"/>
  <c r="P191"/>
  <c r="Q201"/>
  <c r="Q200"/>
  <c r="Q199"/>
  <c r="Q198"/>
  <c r="Q197"/>
  <c r="Q196"/>
  <c r="Q195"/>
  <c r="Q194"/>
  <c r="Q190"/>
  <c r="Q189"/>
  <c r="Q188"/>
  <c r="Q187"/>
  <c r="Q186"/>
  <c r="E202"/>
  <c r="E185"/>
  <c r="E191"/>
  <c r="F201"/>
  <c r="F200"/>
  <c r="F199"/>
  <c r="F198"/>
  <c r="F197"/>
  <c r="F196"/>
  <c r="F195"/>
  <c r="F194"/>
  <c r="F190"/>
  <c r="F189"/>
  <c r="F188"/>
  <c r="F187"/>
  <c r="F186"/>
  <c r="P177"/>
  <c r="P160"/>
  <c r="P166"/>
  <c r="Q176"/>
  <c r="Q175"/>
  <c r="Q174"/>
  <c r="Q173"/>
  <c r="Q172"/>
  <c r="Q171"/>
  <c r="Q170"/>
  <c r="Q169"/>
  <c r="Q165"/>
  <c r="Q164"/>
  <c r="Q163"/>
  <c r="Q162"/>
  <c r="Q161"/>
  <c r="E177"/>
  <c r="E160"/>
  <c r="F176"/>
  <c r="F175"/>
  <c r="F174"/>
  <c r="F172"/>
  <c r="F171"/>
  <c r="F170"/>
  <c r="F169"/>
  <c r="E166"/>
  <c r="F165"/>
  <c r="F164"/>
  <c r="F163"/>
  <c r="F162"/>
  <c r="F161"/>
  <c r="E152"/>
  <c r="E135"/>
  <c r="E141"/>
  <c r="F151"/>
  <c r="F150"/>
  <c r="F149"/>
  <c r="F148"/>
  <c r="F147"/>
  <c r="F146"/>
  <c r="F145"/>
  <c r="F144"/>
  <c r="F140"/>
  <c r="F139"/>
  <c r="F138"/>
  <c r="F137"/>
  <c r="F136"/>
  <c r="P152"/>
  <c r="P135"/>
  <c r="P141"/>
  <c r="Q151"/>
  <c r="Q150"/>
  <c r="Q149"/>
  <c r="Q148"/>
  <c r="Q147"/>
  <c r="Q146"/>
  <c r="Q145"/>
  <c r="Q144"/>
  <c r="Q140"/>
  <c r="Q139"/>
  <c r="Q138"/>
  <c r="Q137"/>
  <c r="Q136"/>
  <c r="P127"/>
  <c r="P110"/>
  <c r="P116"/>
  <c r="Q126"/>
  <c r="Q125"/>
  <c r="Q124"/>
  <c r="Q123"/>
  <c r="Q122"/>
  <c r="Q121"/>
  <c r="Q120"/>
  <c r="Q119"/>
  <c r="Q115"/>
  <c r="Q114"/>
  <c r="Q113"/>
  <c r="Q112"/>
  <c r="Q111"/>
  <c r="E127"/>
  <c r="E110"/>
  <c r="E116"/>
  <c r="F126"/>
  <c r="F125"/>
  <c r="F124"/>
  <c r="F123"/>
  <c r="F122"/>
  <c r="F121"/>
  <c r="F120"/>
  <c r="F119"/>
  <c r="F115"/>
  <c r="F114"/>
  <c r="F113"/>
  <c r="F112"/>
  <c r="F111"/>
  <c r="E102"/>
  <c r="E85"/>
  <c r="E91"/>
  <c r="F101"/>
  <c r="F100"/>
  <c r="F99"/>
  <c r="F98"/>
  <c r="F97"/>
  <c r="F96"/>
  <c r="F95"/>
  <c r="F94"/>
  <c r="F90"/>
  <c r="F89"/>
  <c r="F88"/>
  <c r="F87"/>
  <c r="F86"/>
  <c r="P102"/>
  <c r="P85"/>
  <c r="P91"/>
  <c r="Q101"/>
  <c r="Q100"/>
  <c r="Q99"/>
  <c r="Q98"/>
  <c r="Q97"/>
  <c r="Q96"/>
  <c r="Q95"/>
  <c r="Q94"/>
  <c r="Q90"/>
  <c r="Q89"/>
  <c r="Q88"/>
  <c r="Q87"/>
  <c r="Q86"/>
  <c r="P77"/>
  <c r="P60"/>
  <c r="P66"/>
  <c r="Q76"/>
  <c r="Q75"/>
  <c r="Q74"/>
  <c r="Q73"/>
  <c r="Q72"/>
  <c r="Q71"/>
  <c r="Q70"/>
  <c r="Q69"/>
  <c r="Q65"/>
  <c r="Q64"/>
  <c r="Q63"/>
  <c r="Q62"/>
  <c r="Q61"/>
  <c r="E77"/>
  <c r="E60"/>
  <c r="E66"/>
  <c r="F76"/>
  <c r="F75"/>
  <c r="F74"/>
  <c r="F73"/>
  <c r="F72"/>
  <c r="F71"/>
  <c r="F70"/>
  <c r="F69"/>
  <c r="F65"/>
  <c r="F64"/>
  <c r="F63"/>
  <c r="F62"/>
  <c r="F61"/>
  <c r="E52"/>
  <c r="E35"/>
  <c r="E41"/>
  <c r="F51"/>
  <c r="F50"/>
  <c r="F49"/>
  <c r="F48"/>
  <c r="F47"/>
  <c r="F46"/>
  <c r="F45"/>
  <c r="F44"/>
  <c r="F40"/>
  <c r="F39"/>
  <c r="F38"/>
  <c r="F37"/>
  <c r="F36"/>
  <c r="P52"/>
  <c r="P35"/>
  <c r="P41"/>
  <c r="Q51"/>
  <c r="Q50"/>
  <c r="Q49"/>
  <c r="Q48"/>
  <c r="Q47"/>
  <c r="Q46"/>
  <c r="Q45"/>
  <c r="Q44"/>
  <c r="Q40"/>
  <c r="Q39"/>
  <c r="Q38"/>
  <c r="Q37"/>
  <c r="Q36"/>
  <c r="P27"/>
  <c r="P10"/>
  <c r="P16"/>
  <c r="Q26"/>
  <c r="Q25"/>
  <c r="Q24"/>
  <c r="Q23"/>
  <c r="Q22"/>
  <c r="Q21"/>
  <c r="Q20"/>
  <c r="Q19"/>
  <c r="Q15"/>
  <c r="Q14"/>
  <c r="Q13"/>
  <c r="Q12"/>
  <c r="Q11"/>
  <c r="F26"/>
  <c r="F25"/>
  <c r="F24"/>
  <c r="F23"/>
  <c r="F22"/>
  <c r="F21"/>
  <c r="F20"/>
  <c r="F19"/>
  <c r="F15"/>
  <c r="F14"/>
  <c r="F13"/>
  <c r="F12"/>
  <c r="F11"/>
  <c r="L82" i="70"/>
  <c r="L69"/>
  <c r="L60"/>
  <c r="L52"/>
  <c r="L42"/>
  <c r="L33"/>
  <c r="L21"/>
  <c r="F81"/>
  <c r="F80"/>
  <c r="F79"/>
  <c r="E64"/>
  <c r="E63"/>
  <c r="E57"/>
  <c r="E47"/>
  <c r="E46"/>
  <c r="E45"/>
  <c r="E37"/>
  <c r="E36"/>
  <c r="D30"/>
  <c r="F29"/>
  <c r="F26"/>
  <c r="F25"/>
  <c r="D24"/>
  <c r="D23"/>
  <c r="D10"/>
  <c r="D9"/>
  <c r="I81"/>
  <c r="I80"/>
  <c r="I79"/>
  <c r="I68"/>
  <c r="I66"/>
  <c r="I64"/>
  <c r="I63"/>
  <c r="I59"/>
  <c r="I57"/>
  <c r="I55"/>
  <c r="I51"/>
  <c r="I49"/>
  <c r="I47"/>
  <c r="I46"/>
  <c r="I45"/>
  <c r="I41"/>
  <c r="I39"/>
  <c r="I37"/>
  <c r="I36"/>
  <c r="I32"/>
  <c r="I30"/>
  <c r="I29"/>
  <c r="I26"/>
  <c r="I25"/>
  <c r="I24"/>
  <c r="I23"/>
  <c r="I20"/>
  <c r="I18"/>
  <c r="I10"/>
  <c r="N38" i="69"/>
  <c r="F38"/>
  <c r="E26" i="68"/>
  <c r="M25"/>
  <c r="K241" i="109"/>
  <c r="K240"/>
  <c r="K239"/>
  <c r="K206"/>
  <c r="K205"/>
  <c r="K204"/>
  <c r="K203"/>
  <c r="K202"/>
  <c r="K201"/>
  <c r="K200"/>
  <c r="K199"/>
  <c r="K198"/>
  <c r="K197"/>
  <c r="K196"/>
  <c r="K195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E242"/>
  <c r="F241"/>
  <c r="F240"/>
  <c r="F239"/>
  <c r="E234"/>
  <c r="E233"/>
  <c r="E230"/>
  <c r="E227"/>
  <c r="E226"/>
  <c r="E225"/>
  <c r="E223"/>
  <c r="F206"/>
  <c r="F205"/>
  <c r="F204"/>
  <c r="F203"/>
  <c r="F202"/>
  <c r="F201"/>
  <c r="F200"/>
  <c r="F199"/>
  <c r="F198"/>
  <c r="F197"/>
  <c r="F196"/>
  <c r="F195"/>
  <c r="E194"/>
  <c r="E193"/>
  <c r="F191"/>
  <c r="F190"/>
  <c r="F189"/>
  <c r="F188"/>
  <c r="F187"/>
  <c r="F186"/>
  <c r="F185"/>
  <c r="F184"/>
  <c r="F183"/>
  <c r="F182"/>
  <c r="F181"/>
  <c r="F180"/>
  <c r="E179"/>
  <c r="E178"/>
  <c r="F175"/>
  <c r="F174"/>
  <c r="F173"/>
  <c r="F172"/>
  <c r="F171"/>
  <c r="F170"/>
  <c r="F169"/>
  <c r="F168"/>
  <c r="F167"/>
  <c r="F166"/>
  <c r="E165"/>
  <c r="F164"/>
  <c r="F163"/>
  <c r="F162"/>
  <c r="F161"/>
  <c r="F160"/>
  <c r="E159"/>
  <c r="M96" i="78"/>
  <c r="F158" i="109"/>
  <c r="F157"/>
  <c r="F156"/>
  <c r="F155"/>
  <c r="F154"/>
  <c r="F153"/>
  <c r="F152"/>
  <c r="F151"/>
  <c r="E150"/>
  <c r="F148"/>
  <c r="F147"/>
  <c r="E146"/>
  <c r="F145"/>
  <c r="F144"/>
  <c r="F143"/>
  <c r="F142"/>
  <c r="F141"/>
  <c r="F140"/>
  <c r="F139"/>
  <c r="F138"/>
  <c r="F137"/>
  <c r="F136"/>
  <c r="F135"/>
  <c r="F134"/>
  <c r="F133"/>
  <c r="E132"/>
  <c r="F131"/>
  <c r="F130"/>
  <c r="F129"/>
  <c r="F128"/>
  <c r="F127"/>
  <c r="F126"/>
  <c r="F125"/>
  <c r="F124"/>
  <c r="E123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F63"/>
  <c r="F62"/>
  <c r="F61"/>
  <c r="F60"/>
  <c r="F59"/>
  <c r="E58"/>
  <c r="F57"/>
  <c r="F56"/>
  <c r="F55"/>
  <c r="F54"/>
  <c r="F53"/>
  <c r="F52"/>
  <c r="E51"/>
  <c r="F49"/>
  <c r="F48"/>
  <c r="F47"/>
  <c r="F46"/>
  <c r="F45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E12"/>
  <c r="E11"/>
  <c r="K241" i="97"/>
  <c r="K240"/>
  <c r="K239"/>
  <c r="K206"/>
  <c r="K205"/>
  <c r="K204"/>
  <c r="K203"/>
  <c r="K202"/>
  <c r="K201"/>
  <c r="K200"/>
  <c r="K199"/>
  <c r="K198"/>
  <c r="K197"/>
  <c r="K196"/>
  <c r="K195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7"/>
  <c r="K156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E242"/>
  <c r="F241"/>
  <c r="F240"/>
  <c r="F239"/>
  <c r="E234"/>
  <c r="E233"/>
  <c r="E232"/>
  <c r="E230"/>
  <c r="E227"/>
  <c r="E225"/>
  <c r="E226"/>
  <c r="E223"/>
  <c r="F206"/>
  <c r="F205"/>
  <c r="F204"/>
  <c r="F203"/>
  <c r="F202"/>
  <c r="F201"/>
  <c r="F200"/>
  <c r="F199"/>
  <c r="F198"/>
  <c r="F197"/>
  <c r="F196"/>
  <c r="F195"/>
  <c r="E194"/>
  <c r="E193"/>
  <c r="F191"/>
  <c r="F190"/>
  <c r="F189"/>
  <c r="F188"/>
  <c r="F187"/>
  <c r="F186"/>
  <c r="F185"/>
  <c r="F184"/>
  <c r="F183"/>
  <c r="F182"/>
  <c r="F181"/>
  <c r="F180"/>
  <c r="E179"/>
  <c r="E178"/>
  <c r="F175"/>
  <c r="F174"/>
  <c r="F173"/>
  <c r="F172"/>
  <c r="F171"/>
  <c r="F170"/>
  <c r="F169"/>
  <c r="F168"/>
  <c r="F167"/>
  <c r="F166"/>
  <c r="E165"/>
  <c r="F164"/>
  <c r="F163"/>
  <c r="F162"/>
  <c r="F161"/>
  <c r="F160"/>
  <c r="E159"/>
  <c r="M93" i="78"/>
  <c r="F158" i="97"/>
  <c r="F157"/>
  <c r="F156"/>
  <c r="F155"/>
  <c r="F154"/>
  <c r="F153"/>
  <c r="F152"/>
  <c r="F151"/>
  <c r="E150"/>
  <c r="M45" i="78"/>
  <c r="M46" s="1"/>
  <c r="F148" i="97"/>
  <c r="F147"/>
  <c r="E146"/>
  <c r="E132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E123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E50"/>
  <c r="F63"/>
  <c r="F62"/>
  <c r="F61"/>
  <c r="F60"/>
  <c r="F59"/>
  <c r="E58"/>
  <c r="F57"/>
  <c r="F56"/>
  <c r="F55"/>
  <c r="F54"/>
  <c r="F53"/>
  <c r="F52"/>
  <c r="E51"/>
  <c r="F49"/>
  <c r="F48"/>
  <c r="F47"/>
  <c r="F46"/>
  <c r="F45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E12"/>
  <c r="F12"/>
  <c r="E11"/>
  <c r="K241" i="67"/>
  <c r="K240"/>
  <c r="K239"/>
  <c r="K206"/>
  <c r="K205"/>
  <c r="K204"/>
  <c r="K203"/>
  <c r="K202"/>
  <c r="K201"/>
  <c r="K200"/>
  <c r="K199"/>
  <c r="K198"/>
  <c r="K197"/>
  <c r="K196"/>
  <c r="K195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E242"/>
  <c r="F241"/>
  <c r="F240"/>
  <c r="F239"/>
  <c r="E234"/>
  <c r="E233"/>
  <c r="E230"/>
  <c r="E227"/>
  <c r="E226"/>
  <c r="E223"/>
  <c r="F206"/>
  <c r="F205"/>
  <c r="F204"/>
  <c r="F203"/>
  <c r="F202"/>
  <c r="F201"/>
  <c r="F200"/>
  <c r="F199"/>
  <c r="F198"/>
  <c r="F197"/>
  <c r="F196"/>
  <c r="F195"/>
  <c r="E194"/>
  <c r="E193"/>
  <c r="F191"/>
  <c r="F190"/>
  <c r="F189"/>
  <c r="F188"/>
  <c r="F187"/>
  <c r="F186"/>
  <c r="F185"/>
  <c r="F184"/>
  <c r="F183"/>
  <c r="F182"/>
  <c r="F181"/>
  <c r="F180"/>
  <c r="E179"/>
  <c r="E178"/>
  <c r="E177"/>
  <c r="F175"/>
  <c r="F174"/>
  <c r="F173"/>
  <c r="F172"/>
  <c r="F171"/>
  <c r="F170"/>
  <c r="F169"/>
  <c r="F168"/>
  <c r="F167"/>
  <c r="F166"/>
  <c r="E165"/>
  <c r="F164"/>
  <c r="F163"/>
  <c r="F162"/>
  <c r="F161"/>
  <c r="F160"/>
  <c r="E159"/>
  <c r="F158"/>
  <c r="F157"/>
  <c r="F156"/>
  <c r="F155"/>
  <c r="F154"/>
  <c r="F153"/>
  <c r="F152"/>
  <c r="F151"/>
  <c r="E150"/>
  <c r="M42" i="78"/>
  <c r="F148" i="67"/>
  <c r="F147"/>
  <c r="E146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E123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F63"/>
  <c r="F62"/>
  <c r="F61"/>
  <c r="F60"/>
  <c r="F59"/>
  <c r="E58"/>
  <c r="F57"/>
  <c r="F56"/>
  <c r="F55"/>
  <c r="F54"/>
  <c r="F53"/>
  <c r="F52"/>
  <c r="E51"/>
  <c r="F49"/>
  <c r="F48"/>
  <c r="F47"/>
  <c r="F46"/>
  <c r="F45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E12"/>
  <c r="E11"/>
  <c r="K241" i="66"/>
  <c r="K240"/>
  <c r="K239"/>
  <c r="K206"/>
  <c r="K205"/>
  <c r="K204"/>
  <c r="K203"/>
  <c r="K202"/>
  <c r="K201"/>
  <c r="K200"/>
  <c r="K199"/>
  <c r="K198"/>
  <c r="K197"/>
  <c r="K196"/>
  <c r="K195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E242"/>
  <c r="F241"/>
  <c r="F240"/>
  <c r="F239"/>
  <c r="E234"/>
  <c r="E233"/>
  <c r="E230"/>
  <c r="E227"/>
  <c r="E225"/>
  <c r="E226"/>
  <c r="E223"/>
  <c r="F206"/>
  <c r="F205"/>
  <c r="F204"/>
  <c r="F203"/>
  <c r="F202"/>
  <c r="F201"/>
  <c r="F200"/>
  <c r="F199"/>
  <c r="F198"/>
  <c r="F197"/>
  <c r="F196"/>
  <c r="F195"/>
  <c r="E194"/>
  <c r="E193"/>
  <c r="F191"/>
  <c r="F190"/>
  <c r="F189"/>
  <c r="F188"/>
  <c r="F187"/>
  <c r="F186"/>
  <c r="F185"/>
  <c r="F184"/>
  <c r="F183"/>
  <c r="F182"/>
  <c r="F181"/>
  <c r="F180"/>
  <c r="E179"/>
  <c r="F175"/>
  <c r="F174"/>
  <c r="F173"/>
  <c r="F172"/>
  <c r="F171"/>
  <c r="F170"/>
  <c r="F169"/>
  <c r="F168"/>
  <c r="F167"/>
  <c r="F166"/>
  <c r="E165"/>
  <c r="F164"/>
  <c r="F163"/>
  <c r="F162"/>
  <c r="F161"/>
  <c r="F160"/>
  <c r="E159"/>
  <c r="M87" i="78"/>
  <c r="F158" i="66"/>
  <c r="F157"/>
  <c r="F156"/>
  <c r="F155"/>
  <c r="F154"/>
  <c r="F153"/>
  <c r="F152"/>
  <c r="F151"/>
  <c r="E150"/>
  <c r="F148"/>
  <c r="F147"/>
  <c r="E146"/>
  <c r="F145"/>
  <c r="F144"/>
  <c r="F143"/>
  <c r="F142"/>
  <c r="F141"/>
  <c r="F140"/>
  <c r="F139"/>
  <c r="F138"/>
  <c r="F137"/>
  <c r="F136"/>
  <c r="F135"/>
  <c r="F134"/>
  <c r="F133"/>
  <c r="E132"/>
  <c r="F131"/>
  <c r="F130"/>
  <c r="F129"/>
  <c r="F128"/>
  <c r="F127"/>
  <c r="F126"/>
  <c r="F125"/>
  <c r="F124"/>
  <c r="E123"/>
  <c r="F122"/>
  <c r="F121"/>
  <c r="F120"/>
  <c r="F119"/>
  <c r="F118"/>
  <c r="F117"/>
  <c r="E116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F63"/>
  <c r="F62"/>
  <c r="F61"/>
  <c r="F60"/>
  <c r="F59"/>
  <c r="E58"/>
  <c r="F57"/>
  <c r="F56"/>
  <c r="F55"/>
  <c r="F54"/>
  <c r="F53"/>
  <c r="F52"/>
  <c r="E51"/>
  <c r="E50"/>
  <c r="F49"/>
  <c r="F48"/>
  <c r="F47"/>
  <c r="F46"/>
  <c r="F45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E12"/>
  <c r="E11"/>
  <c r="E10"/>
  <c r="K241" i="65"/>
  <c r="K240"/>
  <c r="K239"/>
  <c r="K206"/>
  <c r="K205"/>
  <c r="K204"/>
  <c r="K203"/>
  <c r="K202"/>
  <c r="K201"/>
  <c r="K200"/>
  <c r="K199"/>
  <c r="K198"/>
  <c r="K197"/>
  <c r="K196"/>
  <c r="K195"/>
  <c r="K191"/>
  <c r="K190"/>
  <c r="K189"/>
  <c r="K188"/>
  <c r="K187"/>
  <c r="K186"/>
  <c r="K185"/>
  <c r="K184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3"/>
  <c r="K92"/>
  <c r="K91"/>
  <c r="K90"/>
  <c r="K89"/>
  <c r="K85"/>
  <c r="K84"/>
  <c r="K83"/>
  <c r="K82"/>
  <c r="K81"/>
  <c r="K80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F241"/>
  <c r="F240"/>
  <c r="F239"/>
  <c r="E234"/>
  <c r="E232"/>
  <c r="E233"/>
  <c r="E230"/>
  <c r="E227"/>
  <c r="E226"/>
  <c r="E223"/>
  <c r="F206"/>
  <c r="F205"/>
  <c r="F204"/>
  <c r="F203"/>
  <c r="F202"/>
  <c r="F201"/>
  <c r="F200"/>
  <c r="F199"/>
  <c r="F198"/>
  <c r="F197"/>
  <c r="F196"/>
  <c r="F195"/>
  <c r="E194"/>
  <c r="E193"/>
  <c r="F191"/>
  <c r="F190"/>
  <c r="F189"/>
  <c r="F188"/>
  <c r="F187"/>
  <c r="F186"/>
  <c r="F185"/>
  <c r="F184"/>
  <c r="F183"/>
  <c r="F182"/>
  <c r="F181"/>
  <c r="F180"/>
  <c r="E179"/>
  <c r="E178"/>
  <c r="F175"/>
  <c r="F174"/>
  <c r="F173"/>
  <c r="F172"/>
  <c r="F171"/>
  <c r="F170"/>
  <c r="F169"/>
  <c r="F168"/>
  <c r="F167"/>
  <c r="F166"/>
  <c r="E165"/>
  <c r="F164"/>
  <c r="F163"/>
  <c r="F162"/>
  <c r="F161"/>
  <c r="F160"/>
  <c r="E159"/>
  <c r="M84" i="78"/>
  <c r="M85" s="1"/>
  <c r="F158" i="65"/>
  <c r="F157"/>
  <c r="F156"/>
  <c r="F155"/>
  <c r="F154"/>
  <c r="F153"/>
  <c r="F152"/>
  <c r="F151"/>
  <c r="E150"/>
  <c r="F148"/>
  <c r="F147"/>
  <c r="E146"/>
  <c r="F145"/>
  <c r="F144"/>
  <c r="F143"/>
  <c r="F142"/>
  <c r="F141"/>
  <c r="F140"/>
  <c r="F139"/>
  <c r="F138"/>
  <c r="F137"/>
  <c r="F136"/>
  <c r="F135"/>
  <c r="F134"/>
  <c r="F133"/>
  <c r="E132"/>
  <c r="F131"/>
  <c r="F130"/>
  <c r="F129"/>
  <c r="F128"/>
  <c r="F127"/>
  <c r="F126"/>
  <c r="F125"/>
  <c r="F124"/>
  <c r="E123"/>
  <c r="F122"/>
  <c r="F121"/>
  <c r="F120"/>
  <c r="F119"/>
  <c r="F118"/>
  <c r="F117"/>
  <c r="F115"/>
  <c r="F114"/>
  <c r="F113"/>
  <c r="F112"/>
  <c r="F111"/>
  <c r="E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F63"/>
  <c r="F62"/>
  <c r="F61"/>
  <c r="F60"/>
  <c r="F59"/>
  <c r="E58"/>
  <c r="F57"/>
  <c r="F56"/>
  <c r="F55"/>
  <c r="F54"/>
  <c r="F53"/>
  <c r="F52"/>
  <c r="E51"/>
  <c r="E50"/>
  <c r="F49"/>
  <c r="F48"/>
  <c r="F47"/>
  <c r="F46"/>
  <c r="F45"/>
  <c r="E44"/>
  <c r="F43"/>
  <c r="F42"/>
  <c r="F41"/>
  <c r="F40"/>
  <c r="F39"/>
  <c r="F38"/>
  <c r="F37"/>
  <c r="F36"/>
  <c r="F35"/>
  <c r="F34"/>
  <c r="F33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E12"/>
  <c r="E11"/>
  <c r="M199" i="61"/>
  <c r="M184"/>
  <c r="M94"/>
  <c r="M79"/>
  <c r="F199"/>
  <c r="F184"/>
  <c r="F94"/>
  <c r="F79"/>
  <c r="K241" i="64"/>
  <c r="K240"/>
  <c r="K239"/>
  <c r="K206"/>
  <c r="K205"/>
  <c r="K204"/>
  <c r="K203"/>
  <c r="K202"/>
  <c r="K201"/>
  <c r="K200"/>
  <c r="K198"/>
  <c r="K197"/>
  <c r="K196"/>
  <c r="K195"/>
  <c r="K191"/>
  <c r="K190"/>
  <c r="K189"/>
  <c r="K188"/>
  <c r="K187"/>
  <c r="K186"/>
  <c r="K185"/>
  <c r="K183"/>
  <c r="K182"/>
  <c r="K181"/>
  <c r="K180"/>
  <c r="K175"/>
  <c r="K174"/>
  <c r="K173"/>
  <c r="K172"/>
  <c r="K171"/>
  <c r="K170"/>
  <c r="K169"/>
  <c r="K168"/>
  <c r="K167"/>
  <c r="K166"/>
  <c r="K164"/>
  <c r="K163"/>
  <c r="K162"/>
  <c r="K161"/>
  <c r="K160"/>
  <c r="K158"/>
  <c r="K157"/>
  <c r="K156"/>
  <c r="K155"/>
  <c r="K154"/>
  <c r="K153"/>
  <c r="K152"/>
  <c r="K151"/>
  <c r="K148"/>
  <c r="K147"/>
  <c r="K145"/>
  <c r="K144"/>
  <c r="K143"/>
  <c r="K142"/>
  <c r="K141"/>
  <c r="K140"/>
  <c r="K139"/>
  <c r="K138"/>
  <c r="K137"/>
  <c r="K136"/>
  <c r="K135"/>
  <c r="K134"/>
  <c r="K133"/>
  <c r="K131"/>
  <c r="K130"/>
  <c r="K129"/>
  <c r="K128"/>
  <c r="K127"/>
  <c r="K126"/>
  <c r="K125"/>
  <c r="K124"/>
  <c r="K122"/>
  <c r="K121"/>
  <c r="K120"/>
  <c r="K119"/>
  <c r="K118"/>
  <c r="K117"/>
  <c r="K115"/>
  <c r="K114"/>
  <c r="K113"/>
  <c r="K112"/>
  <c r="K11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69"/>
  <c r="K68"/>
  <c r="K67"/>
  <c r="K66"/>
  <c r="K65"/>
  <c r="K63"/>
  <c r="K62"/>
  <c r="K61"/>
  <c r="K60"/>
  <c r="K59"/>
  <c r="K57"/>
  <c r="K56"/>
  <c r="K55"/>
  <c r="K54"/>
  <c r="K53"/>
  <c r="K52"/>
  <c r="K49"/>
  <c r="K48"/>
  <c r="K47"/>
  <c r="K46"/>
  <c r="K45"/>
  <c r="K43"/>
  <c r="K42"/>
  <c r="K41"/>
  <c r="K40"/>
  <c r="K39"/>
  <c r="K38"/>
  <c r="K37"/>
  <c r="K36"/>
  <c r="K35"/>
  <c r="K34"/>
  <c r="K33"/>
  <c r="K31"/>
  <c r="K30"/>
  <c r="K29"/>
  <c r="K28"/>
  <c r="K27"/>
  <c r="K26"/>
  <c r="K24"/>
  <c r="K23"/>
  <c r="K22"/>
  <c r="K21"/>
  <c r="K20"/>
  <c r="K19"/>
  <c r="K18"/>
  <c r="K17"/>
  <c r="K16"/>
  <c r="K15"/>
  <c r="K14"/>
  <c r="K13"/>
  <c r="E242"/>
  <c r="F241"/>
  <c r="F240"/>
  <c r="F239"/>
  <c r="E233"/>
  <c r="E231"/>
  <c r="E230"/>
  <c r="E226"/>
  <c r="E224"/>
  <c r="F206"/>
  <c r="F205"/>
  <c r="F204"/>
  <c r="F203"/>
  <c r="F202"/>
  <c r="F201"/>
  <c r="F200"/>
  <c r="F198"/>
  <c r="F197"/>
  <c r="F196"/>
  <c r="F195"/>
  <c r="F191"/>
  <c r="F190"/>
  <c r="F189"/>
  <c r="F188"/>
  <c r="F187"/>
  <c r="F186"/>
  <c r="F185"/>
  <c r="F183"/>
  <c r="F182"/>
  <c r="F181"/>
  <c r="F180"/>
  <c r="F175"/>
  <c r="F174"/>
  <c r="F173"/>
  <c r="F172"/>
  <c r="F171"/>
  <c r="F170"/>
  <c r="F169"/>
  <c r="F168"/>
  <c r="F167"/>
  <c r="F166"/>
  <c r="E165"/>
  <c r="F164"/>
  <c r="F163"/>
  <c r="F162"/>
  <c r="F161"/>
  <c r="F160"/>
  <c r="E159"/>
  <c r="F158"/>
  <c r="F157"/>
  <c r="F156"/>
  <c r="F155"/>
  <c r="F154"/>
  <c r="F153"/>
  <c r="F152"/>
  <c r="F151"/>
  <c r="E150"/>
  <c r="F148"/>
  <c r="F147"/>
  <c r="E146"/>
  <c r="F145"/>
  <c r="F144"/>
  <c r="F143"/>
  <c r="F142"/>
  <c r="F141"/>
  <c r="F140"/>
  <c r="F139"/>
  <c r="F138"/>
  <c r="F137"/>
  <c r="F136"/>
  <c r="F135"/>
  <c r="F134"/>
  <c r="F133"/>
  <c r="E132"/>
  <c r="F131"/>
  <c r="F130"/>
  <c r="F129"/>
  <c r="F128"/>
  <c r="F127"/>
  <c r="F126"/>
  <c r="F125"/>
  <c r="F124"/>
  <c r="E123"/>
  <c r="F122"/>
  <c r="F121"/>
  <c r="F120"/>
  <c r="F119"/>
  <c r="E116"/>
  <c r="F118"/>
  <c r="F117"/>
  <c r="F115"/>
  <c r="F114"/>
  <c r="F113"/>
  <c r="F112"/>
  <c r="F111"/>
  <c r="E110"/>
  <c r="F100"/>
  <c r="F99"/>
  <c r="F98"/>
  <c r="F97"/>
  <c r="F96"/>
  <c r="F95"/>
  <c r="F94"/>
  <c r="F93"/>
  <c r="F92"/>
  <c r="F91"/>
  <c r="F90"/>
  <c r="F89"/>
  <c r="E88"/>
  <c r="E87"/>
  <c r="F85"/>
  <c r="F84"/>
  <c r="F83"/>
  <c r="F82"/>
  <c r="F81"/>
  <c r="F80"/>
  <c r="F79"/>
  <c r="F78"/>
  <c r="F77"/>
  <c r="E73"/>
  <c r="F75"/>
  <c r="F74"/>
  <c r="F69"/>
  <c r="F68"/>
  <c r="F67"/>
  <c r="F66"/>
  <c r="F65"/>
  <c r="E64"/>
  <c r="F63"/>
  <c r="F62"/>
  <c r="F61"/>
  <c r="F60"/>
  <c r="F59"/>
  <c r="E58"/>
  <c r="F57"/>
  <c r="F56"/>
  <c r="F55"/>
  <c r="F54"/>
  <c r="F53"/>
  <c r="F52"/>
  <c r="E51"/>
  <c r="F49"/>
  <c r="F48"/>
  <c r="F47"/>
  <c r="F46"/>
  <c r="F45"/>
  <c r="E44"/>
  <c r="F43"/>
  <c r="F42"/>
  <c r="F41"/>
  <c r="F40"/>
  <c r="F39"/>
  <c r="F38"/>
  <c r="F37"/>
  <c r="F36"/>
  <c r="F35"/>
  <c r="F34"/>
  <c r="F33"/>
  <c r="E32"/>
  <c r="F31"/>
  <c r="F30"/>
  <c r="F29"/>
  <c r="F28"/>
  <c r="F27"/>
  <c r="F26"/>
  <c r="E25"/>
  <c r="F24"/>
  <c r="F23"/>
  <c r="F22"/>
  <c r="F21"/>
  <c r="F20"/>
  <c r="F19"/>
  <c r="F18"/>
  <c r="F17"/>
  <c r="F16"/>
  <c r="F15"/>
  <c r="F14"/>
  <c r="F13"/>
  <c r="E12"/>
  <c r="E11"/>
  <c r="H158" i="97"/>
  <c r="K158"/>
  <c r="H155"/>
  <c r="K155"/>
  <c r="E149" i="109"/>
  <c r="E94"/>
  <c r="E79"/>
  <c r="N80"/>
  <c r="M50" i="78"/>
  <c r="M51" s="1"/>
  <c r="E149" i="66"/>
  <c r="M34" i="78"/>
  <c r="E50" i="67"/>
  <c r="M90" i="78"/>
  <c r="E178" i="66"/>
  <c r="E50" i="109"/>
  <c r="E232" i="67"/>
  <c r="E149" i="65"/>
  <c r="M31" i="78"/>
  <c r="F23" i="70"/>
  <c r="E109" i="97"/>
  <c r="J77" i="116"/>
  <c r="J60"/>
  <c r="J66"/>
  <c r="U277"/>
  <c r="U260"/>
  <c r="U266"/>
  <c r="J102"/>
  <c r="J85"/>
  <c r="J91"/>
  <c r="J202"/>
  <c r="J185"/>
  <c r="J191"/>
  <c r="U302"/>
  <c r="U285"/>
  <c r="U291"/>
  <c r="U52"/>
  <c r="U35"/>
  <c r="U41"/>
  <c r="U152"/>
  <c r="U77"/>
  <c r="U60"/>
  <c r="U66"/>
  <c r="U177"/>
  <c r="U160"/>
  <c r="U166"/>
  <c r="J277"/>
  <c r="J260"/>
  <c r="J266"/>
  <c r="J27"/>
  <c r="J10"/>
  <c r="J16"/>
  <c r="J127"/>
  <c r="J110"/>
  <c r="J116"/>
  <c r="U227"/>
  <c r="U210"/>
  <c r="U216"/>
  <c r="U352"/>
  <c r="U335"/>
  <c r="U341"/>
  <c r="J52"/>
  <c r="J35"/>
  <c r="J41"/>
  <c r="J152"/>
  <c r="J135"/>
  <c r="J141"/>
  <c r="U252"/>
  <c r="U235"/>
  <c r="U241"/>
  <c r="U102"/>
  <c r="U85"/>
  <c r="U91"/>
  <c r="U202"/>
  <c r="U185"/>
  <c r="U191"/>
  <c r="J302"/>
  <c r="J285"/>
  <c r="J291"/>
  <c r="U27"/>
  <c r="U10"/>
  <c r="U16"/>
  <c r="U127"/>
  <c r="U110"/>
  <c r="U116"/>
  <c r="J227"/>
  <c r="J210"/>
  <c r="J216"/>
  <c r="J352"/>
  <c r="J335"/>
  <c r="J341"/>
  <c r="E109" i="109"/>
  <c r="E177"/>
  <c r="E192"/>
  <c r="E10"/>
  <c r="E215"/>
  <c r="E232"/>
  <c r="E192" i="97"/>
  <c r="E177"/>
  <c r="E10"/>
  <c r="E149"/>
  <c r="E192" i="67"/>
  <c r="E10"/>
  <c r="E225"/>
  <c r="E149"/>
  <c r="E132"/>
  <c r="E109" i="66"/>
  <c r="E70"/>
  <c r="E192"/>
  <c r="E215"/>
  <c r="E177"/>
  <c r="E232"/>
  <c r="E192" i="65"/>
  <c r="E215"/>
  <c r="E177"/>
  <c r="E116"/>
  <c r="E225"/>
  <c r="E242"/>
  <c r="E32"/>
  <c r="E149" i="64"/>
  <c r="E50"/>
  <c r="E10"/>
  <c r="E86"/>
  <c r="E72"/>
  <c r="F76"/>
  <c r="E109"/>
  <c r="E229"/>
  <c r="E223"/>
  <c r="G126" i="91"/>
  <c r="H126"/>
  <c r="J126"/>
  <c r="H124"/>
  <c r="J124"/>
  <c r="H122"/>
  <c r="H120"/>
  <c r="H118"/>
  <c r="H114"/>
  <c r="H112"/>
  <c r="H108"/>
  <c r="H106"/>
  <c r="H101"/>
  <c r="H99"/>
  <c r="H97"/>
  <c r="H83"/>
  <c r="H81"/>
  <c r="H78"/>
  <c r="H73"/>
  <c r="H71"/>
  <c r="H70"/>
  <c r="H69"/>
  <c r="H61"/>
  <c r="H57"/>
  <c r="H53"/>
  <c r="H51"/>
  <c r="H48"/>
  <c r="H47"/>
  <c r="H46"/>
  <c r="H45"/>
  <c r="H44"/>
  <c r="H43"/>
  <c r="H35"/>
  <c r="H33"/>
  <c r="H31"/>
  <c r="H28"/>
  <c r="H22"/>
  <c r="H14"/>
  <c r="H12"/>
  <c r="H10"/>
  <c r="F116"/>
  <c r="H116"/>
  <c r="F110"/>
  <c r="F104"/>
  <c r="F96"/>
  <c r="H96"/>
  <c r="F95"/>
  <c r="H95"/>
  <c r="F94"/>
  <c r="F91"/>
  <c r="H91"/>
  <c r="F90"/>
  <c r="F86"/>
  <c r="F68"/>
  <c r="F63"/>
  <c r="F59"/>
  <c r="H59"/>
  <c r="F50"/>
  <c r="F41"/>
  <c r="F38"/>
  <c r="H38"/>
  <c r="F33"/>
  <c r="F30"/>
  <c r="F26"/>
  <c r="H26"/>
  <c r="F24"/>
  <c r="H24"/>
  <c r="F20"/>
  <c r="H20"/>
  <c r="F18"/>
  <c r="H18"/>
  <c r="F16"/>
  <c r="G93"/>
  <c r="G89"/>
  <c r="G68"/>
  <c r="G63"/>
  <c r="G55"/>
  <c r="G50"/>
  <c r="G41"/>
  <c r="G30"/>
  <c r="G7"/>
  <c r="G27" i="79"/>
  <c r="D27"/>
  <c r="B13" i="78"/>
  <c r="B72"/>
  <c r="B44"/>
  <c r="J44"/>
  <c r="F93" i="91"/>
  <c r="F7"/>
  <c r="F55"/>
  <c r="F5"/>
  <c r="E94" i="65"/>
  <c r="E79"/>
  <c r="H110" i="91"/>
  <c r="G104"/>
  <c r="H104"/>
  <c r="J72" i="78"/>
  <c r="B81"/>
  <c r="E94" i="66"/>
  <c r="U135" i="116"/>
  <c r="U141"/>
  <c r="E215" i="64"/>
  <c r="E94" i="67"/>
  <c r="E176" i="109"/>
  <c r="E231"/>
  <c r="E88"/>
  <c r="E207"/>
  <c r="E214"/>
  <c r="E70"/>
  <c r="E94" i="97"/>
  <c r="E207"/>
  <c r="E214"/>
  <c r="E70"/>
  <c r="E176"/>
  <c r="E215"/>
  <c r="E70" i="67"/>
  <c r="E215"/>
  <c r="E109"/>
  <c r="E207"/>
  <c r="E176" i="66"/>
  <c r="E214"/>
  <c r="E207"/>
  <c r="E207" i="65"/>
  <c r="E231"/>
  <c r="E88"/>
  <c r="E109"/>
  <c r="E10"/>
  <c r="E214" i="64"/>
  <c r="E70"/>
  <c r="E222"/>
  <c r="E71"/>
  <c r="E176"/>
  <c r="H16" i="91"/>
  <c r="H94"/>
  <c r="F89"/>
  <c r="F76"/>
  <c r="H90"/>
  <c r="H86"/>
  <c r="K124"/>
  <c r="K126"/>
  <c r="G76"/>
  <c r="G5"/>
  <c r="P79" i="65"/>
  <c r="E79" i="66"/>
  <c r="P79"/>
  <c r="E79" i="97"/>
  <c r="N80"/>
  <c r="E79" i="67"/>
  <c r="N80"/>
  <c r="E213" i="64"/>
  <c r="E213" i="66"/>
  <c r="E208" i="109"/>
  <c r="E213"/>
  <c r="E73"/>
  <c r="E224"/>
  <c r="E229"/>
  <c r="E87"/>
  <c r="E208" i="97"/>
  <c r="E231"/>
  <c r="E88"/>
  <c r="E213"/>
  <c r="E214" i="67"/>
  <c r="E231"/>
  <c r="E88"/>
  <c r="E176"/>
  <c r="E208" i="66"/>
  <c r="E231"/>
  <c r="E199" i="64"/>
  <c r="E88" i="66"/>
  <c r="E176" i="65"/>
  <c r="E214"/>
  <c r="E70"/>
  <c r="E229"/>
  <c r="E87"/>
  <c r="E101" i="64"/>
  <c r="O9" i="127"/>
  <c r="E86" i="109"/>
  <c r="E72"/>
  <c r="E222"/>
  <c r="E228"/>
  <c r="E229" i="97"/>
  <c r="E87"/>
  <c r="E73"/>
  <c r="E224"/>
  <c r="E213" i="67"/>
  <c r="E208"/>
  <c r="E73"/>
  <c r="E224"/>
  <c r="E229"/>
  <c r="E87"/>
  <c r="E73" i="66"/>
  <c r="E224"/>
  <c r="E184" i="64"/>
  <c r="E229" i="66"/>
  <c r="E234" i="64"/>
  <c r="E194"/>
  <c r="E193" s="1"/>
  <c r="E192" s="1"/>
  <c r="E87" i="66"/>
  <c r="E73" i="65"/>
  <c r="E224"/>
  <c r="E228"/>
  <c r="E86"/>
  <c r="E208"/>
  <c r="E213"/>
  <c r="E102" i="64"/>
  <c r="U147" i="85"/>
  <c r="U77"/>
  <c r="U7"/>
  <c r="R147"/>
  <c r="R77"/>
  <c r="R7"/>
  <c r="Q147"/>
  <c r="I147"/>
  <c r="I217" s="1"/>
  <c r="Q77"/>
  <c r="I77"/>
  <c r="Q7"/>
  <c r="I7"/>
  <c r="I15" s="1"/>
  <c r="I21" s="1"/>
  <c r="P147"/>
  <c r="H147"/>
  <c r="P77"/>
  <c r="H77"/>
  <c r="P7"/>
  <c r="H7"/>
  <c r="G147"/>
  <c r="G77"/>
  <c r="G7"/>
  <c r="O147"/>
  <c r="O77"/>
  <c r="O7"/>
  <c r="N147"/>
  <c r="F147"/>
  <c r="N77"/>
  <c r="F77"/>
  <c r="N7"/>
  <c r="F7"/>
  <c r="M147"/>
  <c r="E147"/>
  <c r="M77"/>
  <c r="E77"/>
  <c r="M7"/>
  <c r="E7"/>
  <c r="K147"/>
  <c r="K77"/>
  <c r="K7"/>
  <c r="L147"/>
  <c r="D147"/>
  <c r="D78"/>
  <c r="D77"/>
  <c r="L77"/>
  <c r="L7"/>
  <c r="D8"/>
  <c r="D7"/>
  <c r="C148"/>
  <c r="C147"/>
  <c r="C77"/>
  <c r="C7"/>
  <c r="V68"/>
  <c r="V66"/>
  <c r="V64"/>
  <c r="V60"/>
  <c r="V58"/>
  <c r="V56"/>
  <c r="V52"/>
  <c r="V50"/>
  <c r="V48"/>
  <c r="V42"/>
  <c r="V40"/>
  <c r="V38"/>
  <c r="V32"/>
  <c r="V30"/>
  <c r="AI23"/>
  <c r="V23"/>
  <c r="V26"/>
  <c r="V33"/>
  <c r="V20"/>
  <c r="V18"/>
  <c r="AI14"/>
  <c r="AE14"/>
  <c r="V14"/>
  <c r="V15"/>
  <c r="A8"/>
  <c r="L8"/>
  <c r="V138"/>
  <c r="V278"/>
  <c r="V136"/>
  <c r="V276"/>
  <c r="V134"/>
  <c r="V130"/>
  <c r="V270"/>
  <c r="V128"/>
  <c r="V268"/>
  <c r="V126"/>
  <c r="V122"/>
  <c r="V262"/>
  <c r="V120"/>
  <c r="V260"/>
  <c r="V118"/>
  <c r="V123"/>
  <c r="V112"/>
  <c r="V252"/>
  <c r="V110"/>
  <c r="V250"/>
  <c r="V108"/>
  <c r="V102"/>
  <c r="V242"/>
  <c r="V100"/>
  <c r="V240"/>
  <c r="V96"/>
  <c r="V90"/>
  <c r="V230"/>
  <c r="V88"/>
  <c r="V228"/>
  <c r="V85"/>
  <c r="V91"/>
  <c r="A78"/>
  <c r="A148"/>
  <c r="K148"/>
  <c r="Q326" i="84"/>
  <c r="Q324"/>
  <c r="Q322"/>
  <c r="Q314"/>
  <c r="Q312"/>
  <c r="Q309"/>
  <c r="Q305"/>
  <c r="Q303"/>
  <c r="Q301"/>
  <c r="Q291"/>
  <c r="Q289"/>
  <c r="Q287"/>
  <c r="Q278"/>
  <c r="Q270"/>
  <c r="Q266"/>
  <c r="Q258"/>
  <c r="Q256"/>
  <c r="Q249"/>
  <c r="U326"/>
  <c r="U324"/>
  <c r="U322"/>
  <c r="U314"/>
  <c r="U312"/>
  <c r="U309"/>
  <c r="U305"/>
  <c r="U303"/>
  <c r="U301"/>
  <c r="U291"/>
  <c r="U289"/>
  <c r="U287"/>
  <c r="U278"/>
  <c r="U270"/>
  <c r="U266"/>
  <c r="U258"/>
  <c r="U256"/>
  <c r="U249"/>
  <c r="Y326"/>
  <c r="Y324"/>
  <c r="Y322"/>
  <c r="Y314"/>
  <c r="Y315"/>
  <c r="Y312"/>
  <c r="Y309"/>
  <c r="Y305"/>
  <c r="Y303"/>
  <c r="Y301"/>
  <c r="Y291"/>
  <c r="Y289"/>
  <c r="Y287"/>
  <c r="Y278"/>
  <c r="Y270"/>
  <c r="Y266"/>
  <c r="Y258"/>
  <c r="Y256"/>
  <c r="Y249"/>
  <c r="AC326"/>
  <c r="AC324"/>
  <c r="AC322"/>
  <c r="AC314"/>
  <c r="AC312"/>
  <c r="AC309"/>
  <c r="AC305"/>
  <c r="AC303"/>
  <c r="AC301"/>
  <c r="AC291"/>
  <c r="AC289"/>
  <c r="AC287"/>
  <c r="AC278"/>
  <c r="AC270"/>
  <c r="AC266"/>
  <c r="AC258"/>
  <c r="AC256"/>
  <c r="AC249"/>
  <c r="AC259"/>
  <c r="AG326"/>
  <c r="AG324"/>
  <c r="AG322"/>
  <c r="AG327"/>
  <c r="AG314"/>
  <c r="AG312"/>
  <c r="AG309"/>
  <c r="AG305"/>
  <c r="AG303"/>
  <c r="AG301"/>
  <c r="AG291"/>
  <c r="AG289"/>
  <c r="AG287"/>
  <c r="AG278"/>
  <c r="AG270"/>
  <c r="AG266"/>
  <c r="AG258"/>
  <c r="AG256"/>
  <c r="AG249"/>
  <c r="AO326"/>
  <c r="AO324"/>
  <c r="AO322"/>
  <c r="AO314"/>
  <c r="AO312"/>
  <c r="AO309"/>
  <c r="AO305"/>
  <c r="AO303"/>
  <c r="AO301"/>
  <c r="AO291"/>
  <c r="AO289"/>
  <c r="AO287"/>
  <c r="AO278"/>
  <c r="AO270"/>
  <c r="AO266"/>
  <c r="AO258"/>
  <c r="AO256"/>
  <c r="AO249"/>
  <c r="AS326"/>
  <c r="AS324"/>
  <c r="AS322"/>
  <c r="AS314"/>
  <c r="AS312"/>
  <c r="AS309"/>
  <c r="AS305"/>
  <c r="AS303"/>
  <c r="AS301"/>
  <c r="AS291"/>
  <c r="AS289"/>
  <c r="AS287"/>
  <c r="AS278"/>
  <c r="AS270"/>
  <c r="AS266"/>
  <c r="AS258"/>
  <c r="AS256"/>
  <c r="AS249"/>
  <c r="AW326"/>
  <c r="AW324"/>
  <c r="AW322"/>
  <c r="AW314"/>
  <c r="AW312"/>
  <c r="AW309"/>
  <c r="AW305"/>
  <c r="AW303"/>
  <c r="AW301"/>
  <c r="AW291"/>
  <c r="AW289"/>
  <c r="AW287"/>
  <c r="AW278"/>
  <c r="AW270"/>
  <c r="AW266"/>
  <c r="AW258"/>
  <c r="AW256"/>
  <c r="AW249"/>
  <c r="AS160"/>
  <c r="AS158"/>
  <c r="AS156"/>
  <c r="AS148"/>
  <c r="AS146"/>
  <c r="AS143"/>
  <c r="AS139"/>
  <c r="AS137"/>
  <c r="AS135"/>
  <c r="AS125"/>
  <c r="AS123"/>
  <c r="AS121"/>
  <c r="AS112"/>
  <c r="AS104"/>
  <c r="AS100"/>
  <c r="AS92"/>
  <c r="AS90"/>
  <c r="AS83"/>
  <c r="AO160"/>
  <c r="AO158"/>
  <c r="AO156"/>
  <c r="AO148"/>
  <c r="AO146"/>
  <c r="AO143"/>
  <c r="AO139"/>
  <c r="AO137"/>
  <c r="AO135"/>
  <c r="AO125"/>
  <c r="AO123"/>
  <c r="AO121"/>
  <c r="AO112"/>
  <c r="AO104"/>
  <c r="AO100"/>
  <c r="AO92"/>
  <c r="AO90"/>
  <c r="AO83"/>
  <c r="AK160"/>
  <c r="AK158"/>
  <c r="AK156"/>
  <c r="AK148"/>
  <c r="AK146"/>
  <c r="AK143"/>
  <c r="AK139"/>
  <c r="AK137"/>
  <c r="AK135"/>
  <c r="AK125"/>
  <c r="AK123"/>
  <c r="AK121"/>
  <c r="AK112"/>
  <c r="AK104"/>
  <c r="AK100"/>
  <c r="AK92"/>
  <c r="AK90"/>
  <c r="AK83"/>
  <c r="AC160"/>
  <c r="AC158"/>
  <c r="AC156"/>
  <c r="AC148"/>
  <c r="AC146"/>
  <c r="AC143"/>
  <c r="AC139"/>
  <c r="AC137"/>
  <c r="AC135"/>
  <c r="AC125"/>
  <c r="AC123"/>
  <c r="AC121"/>
  <c r="AC112"/>
  <c r="AC104"/>
  <c r="AC100"/>
  <c r="AC92"/>
  <c r="AC90"/>
  <c r="AC83"/>
  <c r="Y160"/>
  <c r="Y158"/>
  <c r="Y156"/>
  <c r="Y148"/>
  <c r="Y146"/>
  <c r="Y143"/>
  <c r="Y139"/>
  <c r="Y137"/>
  <c r="Y135"/>
  <c r="Y125"/>
  <c r="Y123"/>
  <c r="Y121"/>
  <c r="Y112"/>
  <c r="Y104"/>
  <c r="Y100"/>
  <c r="Y92"/>
  <c r="Y90"/>
  <c r="Y83"/>
  <c r="U160"/>
  <c r="U158"/>
  <c r="U156"/>
  <c r="U148"/>
  <c r="U146"/>
  <c r="U149"/>
  <c r="U143"/>
  <c r="U139"/>
  <c r="U137"/>
  <c r="U135"/>
  <c r="U125"/>
  <c r="U123"/>
  <c r="U121"/>
  <c r="U112"/>
  <c r="U104"/>
  <c r="U100"/>
  <c r="U92"/>
  <c r="U90"/>
  <c r="U83"/>
  <c r="K325"/>
  <c r="K323"/>
  <c r="K324"/>
  <c r="K321"/>
  <c r="K320"/>
  <c r="K319"/>
  <c r="K318"/>
  <c r="K317"/>
  <c r="K313"/>
  <c r="K314"/>
  <c r="K311"/>
  <c r="K310"/>
  <c r="K308"/>
  <c r="K304"/>
  <c r="K305"/>
  <c r="K302"/>
  <c r="K303"/>
  <c r="K300"/>
  <c r="G300"/>
  <c r="K297"/>
  <c r="K296"/>
  <c r="K295"/>
  <c r="K294"/>
  <c r="K291"/>
  <c r="K290"/>
  <c r="K288"/>
  <c r="K289"/>
  <c r="K286"/>
  <c r="K285"/>
  <c r="K284"/>
  <c r="K283"/>
  <c r="K282"/>
  <c r="K281"/>
  <c r="K277"/>
  <c r="K278"/>
  <c r="K276"/>
  <c r="K275"/>
  <c r="K274"/>
  <c r="K273"/>
  <c r="K272"/>
  <c r="K271"/>
  <c r="K269"/>
  <c r="K268"/>
  <c r="K267"/>
  <c r="K265"/>
  <c r="K264"/>
  <c r="K263"/>
  <c r="K262"/>
  <c r="K261"/>
  <c r="K257"/>
  <c r="K258"/>
  <c r="K255"/>
  <c r="K254"/>
  <c r="K253"/>
  <c r="K252"/>
  <c r="K251"/>
  <c r="K250"/>
  <c r="K248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0"/>
  <c r="G210"/>
  <c r="K209"/>
  <c r="K208"/>
  <c r="K207"/>
  <c r="K206"/>
  <c r="K205"/>
  <c r="K204"/>
  <c r="K203"/>
  <c r="K202"/>
  <c r="G202"/>
  <c r="K201"/>
  <c r="K200"/>
  <c r="K199"/>
  <c r="K198"/>
  <c r="K197"/>
  <c r="K196"/>
  <c r="K195"/>
  <c r="K194"/>
  <c r="G194"/>
  <c r="K193"/>
  <c r="K192"/>
  <c r="K191"/>
  <c r="K190"/>
  <c r="K189"/>
  <c r="K188"/>
  <c r="K187"/>
  <c r="K186"/>
  <c r="G186"/>
  <c r="K185"/>
  <c r="K184"/>
  <c r="K183"/>
  <c r="K182"/>
  <c r="K181"/>
  <c r="K180"/>
  <c r="K179"/>
  <c r="K178"/>
  <c r="G178"/>
  <c r="K177"/>
  <c r="K176"/>
  <c r="K175"/>
  <c r="K174"/>
  <c r="K159"/>
  <c r="K160"/>
  <c r="K157"/>
  <c r="K158"/>
  <c r="K155"/>
  <c r="K154"/>
  <c r="K153"/>
  <c r="K152"/>
  <c r="K151"/>
  <c r="K147"/>
  <c r="K148"/>
  <c r="K145"/>
  <c r="K144"/>
  <c r="K142"/>
  <c r="K143"/>
  <c r="K138"/>
  <c r="K139"/>
  <c r="K136"/>
  <c r="K137"/>
  <c r="K134"/>
  <c r="K133"/>
  <c r="K130"/>
  <c r="K129"/>
  <c r="K128"/>
  <c r="K124"/>
  <c r="K122"/>
  <c r="K123"/>
  <c r="K120"/>
  <c r="K119"/>
  <c r="K118"/>
  <c r="K117"/>
  <c r="K116"/>
  <c r="K115"/>
  <c r="K111"/>
  <c r="K110"/>
  <c r="G110"/>
  <c r="K109"/>
  <c r="K108"/>
  <c r="K107"/>
  <c r="K106"/>
  <c r="K105"/>
  <c r="K103"/>
  <c r="K102"/>
  <c r="K101"/>
  <c r="G101"/>
  <c r="K99"/>
  <c r="K98"/>
  <c r="K97"/>
  <c r="K96"/>
  <c r="K95"/>
  <c r="K91"/>
  <c r="K92"/>
  <c r="K89"/>
  <c r="K88"/>
  <c r="K87"/>
  <c r="K86"/>
  <c r="K85"/>
  <c r="K84"/>
  <c r="K82"/>
  <c r="K81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L325"/>
  <c r="L323"/>
  <c r="L324"/>
  <c r="L321"/>
  <c r="L320"/>
  <c r="L319"/>
  <c r="L318"/>
  <c r="L317"/>
  <c r="L313"/>
  <c r="L314"/>
  <c r="L311"/>
  <c r="L310"/>
  <c r="L308"/>
  <c r="L309"/>
  <c r="L304"/>
  <c r="L305"/>
  <c r="L302"/>
  <c r="L303"/>
  <c r="L300"/>
  <c r="L297"/>
  <c r="L296"/>
  <c r="L295"/>
  <c r="L294"/>
  <c r="L290"/>
  <c r="L288"/>
  <c r="L289"/>
  <c r="L286"/>
  <c r="L285"/>
  <c r="L284"/>
  <c r="L283"/>
  <c r="L282"/>
  <c r="L281"/>
  <c r="L277"/>
  <c r="L278"/>
  <c r="L276"/>
  <c r="L275"/>
  <c r="L274"/>
  <c r="L273"/>
  <c r="L272"/>
  <c r="L271"/>
  <c r="L269"/>
  <c r="L268"/>
  <c r="L267"/>
  <c r="L265"/>
  <c r="L264"/>
  <c r="L263"/>
  <c r="L262"/>
  <c r="L261"/>
  <c r="L257"/>
  <c r="L258"/>
  <c r="L255"/>
  <c r="L254"/>
  <c r="L253"/>
  <c r="L252"/>
  <c r="L251"/>
  <c r="L250"/>
  <c r="L248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59"/>
  <c r="L160"/>
  <c r="L157"/>
  <c r="L158"/>
  <c r="L155"/>
  <c r="L154"/>
  <c r="L153"/>
  <c r="L152"/>
  <c r="L151"/>
  <c r="L147"/>
  <c r="L148"/>
  <c r="L145"/>
  <c r="L144"/>
  <c r="L142"/>
  <c r="L143"/>
  <c r="L138"/>
  <c r="L139"/>
  <c r="L136"/>
  <c r="L137"/>
  <c r="L134"/>
  <c r="L133"/>
  <c r="L130"/>
  <c r="L129"/>
  <c r="L128"/>
  <c r="L124"/>
  <c r="L125"/>
  <c r="L122"/>
  <c r="L123"/>
  <c r="L120"/>
  <c r="L119"/>
  <c r="L118"/>
  <c r="L117"/>
  <c r="L116"/>
  <c r="L115"/>
  <c r="L111"/>
  <c r="L110"/>
  <c r="L109"/>
  <c r="L108"/>
  <c r="L107"/>
  <c r="L106"/>
  <c r="L105"/>
  <c r="L103"/>
  <c r="L102"/>
  <c r="L101"/>
  <c r="L99"/>
  <c r="L98"/>
  <c r="L97"/>
  <c r="L96"/>
  <c r="L95"/>
  <c r="L91"/>
  <c r="L92"/>
  <c r="L89"/>
  <c r="L88"/>
  <c r="L87"/>
  <c r="L86"/>
  <c r="L85"/>
  <c r="L84"/>
  <c r="L82"/>
  <c r="L81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M325"/>
  <c r="M323"/>
  <c r="M321"/>
  <c r="M320"/>
  <c r="N320"/>
  <c r="M319"/>
  <c r="N319"/>
  <c r="M318"/>
  <c r="N318"/>
  <c r="M317"/>
  <c r="M313"/>
  <c r="M311"/>
  <c r="M310"/>
  <c r="M308"/>
  <c r="M304"/>
  <c r="M302"/>
  <c r="M300"/>
  <c r="N300"/>
  <c r="M297"/>
  <c r="M296"/>
  <c r="M295"/>
  <c r="M294"/>
  <c r="M290"/>
  <c r="M288"/>
  <c r="M286"/>
  <c r="N286"/>
  <c r="M285"/>
  <c r="M284"/>
  <c r="M283"/>
  <c r="M282"/>
  <c r="M281"/>
  <c r="M277"/>
  <c r="M276"/>
  <c r="N276"/>
  <c r="M275"/>
  <c r="N275"/>
  <c r="M274"/>
  <c r="N274"/>
  <c r="M273"/>
  <c r="M272"/>
  <c r="M271"/>
  <c r="M269"/>
  <c r="M268"/>
  <c r="M267"/>
  <c r="N267"/>
  <c r="M265"/>
  <c r="M264"/>
  <c r="N264"/>
  <c r="M263"/>
  <c r="M262"/>
  <c r="M261"/>
  <c r="M257"/>
  <c r="M255"/>
  <c r="M254"/>
  <c r="M253"/>
  <c r="N253"/>
  <c r="M252"/>
  <c r="N252"/>
  <c r="M251"/>
  <c r="M250"/>
  <c r="M248"/>
  <c r="M246"/>
  <c r="M245"/>
  <c r="M244"/>
  <c r="N244"/>
  <c r="M243"/>
  <c r="N243"/>
  <c r="M242"/>
  <c r="N242"/>
  <c r="M241"/>
  <c r="M240"/>
  <c r="M239"/>
  <c r="M238"/>
  <c r="M237"/>
  <c r="M236"/>
  <c r="N236"/>
  <c r="M235"/>
  <c r="N235"/>
  <c r="M234"/>
  <c r="N234"/>
  <c r="M233"/>
  <c r="M232"/>
  <c r="M231"/>
  <c r="M230"/>
  <c r="M229"/>
  <c r="M228"/>
  <c r="N228"/>
  <c r="M227"/>
  <c r="N227"/>
  <c r="M226"/>
  <c r="N226"/>
  <c r="M225"/>
  <c r="M224"/>
  <c r="M223"/>
  <c r="M222"/>
  <c r="M221"/>
  <c r="M220"/>
  <c r="N220"/>
  <c r="M219"/>
  <c r="N219"/>
  <c r="M218"/>
  <c r="N218"/>
  <c r="M217"/>
  <c r="M216"/>
  <c r="M215"/>
  <c r="M214"/>
  <c r="M213"/>
  <c r="M212"/>
  <c r="N212"/>
  <c r="M210"/>
  <c r="M209"/>
  <c r="N209"/>
  <c r="M208"/>
  <c r="M207"/>
  <c r="M206"/>
  <c r="M205"/>
  <c r="M204"/>
  <c r="M203"/>
  <c r="N203"/>
  <c r="M202"/>
  <c r="N202"/>
  <c r="M201"/>
  <c r="N201"/>
  <c r="M200"/>
  <c r="M199"/>
  <c r="M198"/>
  <c r="M197"/>
  <c r="M196"/>
  <c r="M195"/>
  <c r="N195"/>
  <c r="M194"/>
  <c r="N194"/>
  <c r="M193"/>
  <c r="N193"/>
  <c r="M192"/>
  <c r="M191"/>
  <c r="M190"/>
  <c r="M189"/>
  <c r="M188"/>
  <c r="M187"/>
  <c r="N187"/>
  <c r="M186"/>
  <c r="N186"/>
  <c r="M185"/>
  <c r="N185"/>
  <c r="M184"/>
  <c r="M183"/>
  <c r="M182"/>
  <c r="M181"/>
  <c r="M180"/>
  <c r="M179"/>
  <c r="N179"/>
  <c r="M178"/>
  <c r="N178"/>
  <c r="M177"/>
  <c r="N177"/>
  <c r="M176"/>
  <c r="M175"/>
  <c r="M174"/>
  <c r="M159"/>
  <c r="M157"/>
  <c r="M155"/>
  <c r="N155"/>
  <c r="M154"/>
  <c r="N154"/>
  <c r="M153"/>
  <c r="M152"/>
  <c r="M151"/>
  <c r="M147"/>
  <c r="M145"/>
  <c r="M144"/>
  <c r="M142"/>
  <c r="M138"/>
  <c r="M136"/>
  <c r="M134"/>
  <c r="M133"/>
  <c r="M130"/>
  <c r="M129"/>
  <c r="M128"/>
  <c r="M124"/>
  <c r="M122"/>
  <c r="M120"/>
  <c r="N120"/>
  <c r="M119"/>
  <c r="M118"/>
  <c r="M117"/>
  <c r="M116"/>
  <c r="M115"/>
  <c r="M111"/>
  <c r="N111"/>
  <c r="M110"/>
  <c r="N110"/>
  <c r="M109"/>
  <c r="N109"/>
  <c r="M108"/>
  <c r="M107"/>
  <c r="M106"/>
  <c r="M105"/>
  <c r="M103"/>
  <c r="M102"/>
  <c r="N102"/>
  <c r="M101"/>
  <c r="M99"/>
  <c r="N99"/>
  <c r="M98"/>
  <c r="M97"/>
  <c r="M96"/>
  <c r="M95"/>
  <c r="M91"/>
  <c r="M89"/>
  <c r="N89"/>
  <c r="M88"/>
  <c r="N88"/>
  <c r="M87"/>
  <c r="N87"/>
  <c r="M86"/>
  <c r="M85"/>
  <c r="M84"/>
  <c r="M82"/>
  <c r="M81"/>
  <c r="M79"/>
  <c r="N79"/>
  <c r="M78"/>
  <c r="N78"/>
  <c r="M77"/>
  <c r="N77"/>
  <c r="M76"/>
  <c r="M75"/>
  <c r="M74"/>
  <c r="M73"/>
  <c r="M72"/>
  <c r="M71"/>
  <c r="N71"/>
  <c r="M70"/>
  <c r="N70"/>
  <c r="M69"/>
  <c r="N69"/>
  <c r="M68"/>
  <c r="M67"/>
  <c r="M66"/>
  <c r="M65"/>
  <c r="M64"/>
  <c r="M63"/>
  <c r="N63"/>
  <c r="M62"/>
  <c r="N62"/>
  <c r="M61"/>
  <c r="N61"/>
  <c r="M60"/>
  <c r="M59"/>
  <c r="M58"/>
  <c r="M57"/>
  <c r="M56"/>
  <c r="M55"/>
  <c r="M54"/>
  <c r="N54"/>
  <c r="M53"/>
  <c r="N53"/>
  <c r="M52"/>
  <c r="M51"/>
  <c r="M50"/>
  <c r="M49"/>
  <c r="M48"/>
  <c r="M47"/>
  <c r="N47"/>
  <c r="M46"/>
  <c r="N46"/>
  <c r="M44"/>
  <c r="N44"/>
  <c r="M43"/>
  <c r="M42"/>
  <c r="M41"/>
  <c r="M40"/>
  <c r="M39"/>
  <c r="M38"/>
  <c r="N38"/>
  <c r="M37"/>
  <c r="N37"/>
  <c r="M36"/>
  <c r="N36"/>
  <c r="M35"/>
  <c r="M34"/>
  <c r="M33"/>
  <c r="M32"/>
  <c r="M31"/>
  <c r="M30"/>
  <c r="N30"/>
  <c r="M29"/>
  <c r="N29"/>
  <c r="M28"/>
  <c r="N28"/>
  <c r="M27"/>
  <c r="M26"/>
  <c r="M25"/>
  <c r="M24"/>
  <c r="M23"/>
  <c r="M22"/>
  <c r="N22"/>
  <c r="M21"/>
  <c r="N21"/>
  <c r="M20"/>
  <c r="N20"/>
  <c r="M19"/>
  <c r="M18"/>
  <c r="M17"/>
  <c r="M16"/>
  <c r="M15"/>
  <c r="M14"/>
  <c r="N14"/>
  <c r="M13"/>
  <c r="N13"/>
  <c r="M12"/>
  <c r="N12"/>
  <c r="M11"/>
  <c r="M10"/>
  <c r="M9"/>
  <c r="M8"/>
  <c r="O326"/>
  <c r="O324"/>
  <c r="O322"/>
  <c r="O327"/>
  <c r="O314"/>
  <c r="O312"/>
  <c r="O309"/>
  <c r="O305"/>
  <c r="O303"/>
  <c r="O301"/>
  <c r="O291"/>
  <c r="O289"/>
  <c r="O287"/>
  <c r="O278"/>
  <c r="O270"/>
  <c r="O266"/>
  <c r="O258"/>
  <c r="O256"/>
  <c r="O249"/>
  <c r="O160"/>
  <c r="O158"/>
  <c r="O156"/>
  <c r="O148"/>
  <c r="O146"/>
  <c r="O143"/>
  <c r="O139"/>
  <c r="O137"/>
  <c r="O135"/>
  <c r="O125"/>
  <c r="O123"/>
  <c r="O121"/>
  <c r="O112"/>
  <c r="O104"/>
  <c r="O100"/>
  <c r="O92"/>
  <c r="O90"/>
  <c r="O83"/>
  <c r="P326"/>
  <c r="P324"/>
  <c r="P322"/>
  <c r="P314"/>
  <c r="P312"/>
  <c r="P309"/>
  <c r="P305"/>
  <c r="P303"/>
  <c r="P301"/>
  <c r="P291"/>
  <c r="P289"/>
  <c r="P287"/>
  <c r="P278"/>
  <c r="P270"/>
  <c r="P266"/>
  <c r="P258"/>
  <c r="P256"/>
  <c r="P249"/>
  <c r="P160"/>
  <c r="P158"/>
  <c r="P156"/>
  <c r="P148"/>
  <c r="P146"/>
  <c r="R146"/>
  <c r="P143"/>
  <c r="P139"/>
  <c r="P137"/>
  <c r="P135"/>
  <c r="P125"/>
  <c r="P123"/>
  <c r="P121"/>
  <c r="P112"/>
  <c r="P104"/>
  <c r="P100"/>
  <c r="P92"/>
  <c r="P90"/>
  <c r="P83"/>
  <c r="Q160"/>
  <c r="Q158"/>
  <c r="R158"/>
  <c r="Q156"/>
  <c r="R156"/>
  <c r="Q148"/>
  <c r="Q146"/>
  <c r="Q143"/>
  <c r="Q139"/>
  <c r="Q137"/>
  <c r="Q135"/>
  <c r="Q125"/>
  <c r="R125"/>
  <c r="Q123"/>
  <c r="R123"/>
  <c r="Q121"/>
  <c r="Q112"/>
  <c r="Q104"/>
  <c r="Q100"/>
  <c r="Q92"/>
  <c r="Q90"/>
  <c r="Q83"/>
  <c r="S326"/>
  <c r="S324"/>
  <c r="S322"/>
  <c r="S314"/>
  <c r="S312"/>
  <c r="S309"/>
  <c r="S305"/>
  <c r="S303"/>
  <c r="S301"/>
  <c r="S291"/>
  <c r="S289"/>
  <c r="S287"/>
  <c r="S278"/>
  <c r="S270"/>
  <c r="S266"/>
  <c r="S258"/>
  <c r="S256"/>
  <c r="S249"/>
  <c r="S160"/>
  <c r="S158"/>
  <c r="S156"/>
  <c r="S148"/>
  <c r="S146"/>
  <c r="S143"/>
  <c r="S139"/>
  <c r="S137"/>
  <c r="S135"/>
  <c r="S125"/>
  <c r="S123"/>
  <c r="S121"/>
  <c r="S112"/>
  <c r="S104"/>
  <c r="S100"/>
  <c r="S113"/>
  <c r="S92"/>
  <c r="S90"/>
  <c r="S83"/>
  <c r="T326"/>
  <c r="T324"/>
  <c r="T322"/>
  <c r="T314"/>
  <c r="T312"/>
  <c r="T309"/>
  <c r="T305"/>
  <c r="T303"/>
  <c r="T301"/>
  <c r="T291"/>
  <c r="T289"/>
  <c r="T287"/>
  <c r="T278"/>
  <c r="T270"/>
  <c r="T266"/>
  <c r="T258"/>
  <c r="T256"/>
  <c r="T249"/>
  <c r="T160"/>
  <c r="T158"/>
  <c r="T156"/>
  <c r="T161"/>
  <c r="T148"/>
  <c r="T146"/>
  <c r="V146"/>
  <c r="T143"/>
  <c r="T139"/>
  <c r="T137"/>
  <c r="T135"/>
  <c r="T125"/>
  <c r="T123"/>
  <c r="T121"/>
  <c r="T112"/>
  <c r="T104"/>
  <c r="T100"/>
  <c r="T92"/>
  <c r="T90"/>
  <c r="T83"/>
  <c r="W326"/>
  <c r="W324"/>
  <c r="W322"/>
  <c r="W314"/>
  <c r="W312"/>
  <c r="W309"/>
  <c r="W305"/>
  <c r="W303"/>
  <c r="W301"/>
  <c r="W291"/>
  <c r="W289"/>
  <c r="W287"/>
  <c r="W278"/>
  <c r="W270"/>
  <c r="W266"/>
  <c r="W258"/>
  <c r="W256"/>
  <c r="W249"/>
  <c r="W160"/>
  <c r="W158"/>
  <c r="W156"/>
  <c r="W161"/>
  <c r="W148"/>
  <c r="W146"/>
  <c r="W149"/>
  <c r="W143"/>
  <c r="W139"/>
  <c r="W137"/>
  <c r="W135"/>
  <c r="W125"/>
  <c r="W123"/>
  <c r="W121"/>
  <c r="W112"/>
  <c r="W104"/>
  <c r="W100"/>
  <c r="W92"/>
  <c r="W90"/>
  <c r="W83"/>
  <c r="X326"/>
  <c r="X324"/>
  <c r="X322"/>
  <c r="X314"/>
  <c r="X312"/>
  <c r="Z312"/>
  <c r="X309"/>
  <c r="X305"/>
  <c r="X303"/>
  <c r="X301"/>
  <c r="X306"/>
  <c r="X291"/>
  <c r="X289"/>
  <c r="X287"/>
  <c r="X278"/>
  <c r="X270"/>
  <c r="X266"/>
  <c r="X258"/>
  <c r="X256"/>
  <c r="X249"/>
  <c r="X160"/>
  <c r="X158"/>
  <c r="X156"/>
  <c r="X148"/>
  <c r="X146"/>
  <c r="X143"/>
  <c r="X139"/>
  <c r="X137"/>
  <c r="X135"/>
  <c r="X125"/>
  <c r="X123"/>
  <c r="X121"/>
  <c r="X112"/>
  <c r="X104"/>
  <c r="X100"/>
  <c r="X92"/>
  <c r="X90"/>
  <c r="X83"/>
  <c r="AA326"/>
  <c r="AA324"/>
  <c r="AA322"/>
  <c r="AA314"/>
  <c r="AA312"/>
  <c r="AA309"/>
  <c r="AA305"/>
  <c r="AA303"/>
  <c r="AA301"/>
  <c r="AA291"/>
  <c r="AA289"/>
  <c r="AA287"/>
  <c r="AA278"/>
  <c r="AA270"/>
  <c r="AA266"/>
  <c r="AA258"/>
  <c r="AA256"/>
  <c r="AA249"/>
  <c r="AA160"/>
  <c r="AA158"/>
  <c r="AA156"/>
  <c r="AA161"/>
  <c r="AA148"/>
  <c r="AA146"/>
  <c r="AA143"/>
  <c r="AA139"/>
  <c r="AA137"/>
  <c r="AA135"/>
  <c r="AA125"/>
  <c r="AA123"/>
  <c r="AA121"/>
  <c r="AA112"/>
  <c r="AA104"/>
  <c r="AA100"/>
  <c r="AA92"/>
  <c r="AA90"/>
  <c r="AA83"/>
  <c r="AB326"/>
  <c r="AB324"/>
  <c r="AB322"/>
  <c r="AB314"/>
  <c r="AB312"/>
  <c r="AB309"/>
  <c r="AB305"/>
  <c r="AB303"/>
  <c r="AB301"/>
  <c r="AB306"/>
  <c r="AB291"/>
  <c r="AB289"/>
  <c r="AB287"/>
  <c r="AB278"/>
  <c r="AB270"/>
  <c r="AB266"/>
  <c r="AB258"/>
  <c r="AB256"/>
  <c r="AB249"/>
  <c r="AB160"/>
  <c r="AB158"/>
  <c r="AB156"/>
  <c r="AB148"/>
  <c r="AB146"/>
  <c r="AB143"/>
  <c r="AB149"/>
  <c r="AB139"/>
  <c r="AB137"/>
  <c r="AB135"/>
  <c r="AB125"/>
  <c r="AB123"/>
  <c r="AB121"/>
  <c r="AB112"/>
  <c r="AB104"/>
  <c r="AB100"/>
  <c r="AB113"/>
  <c r="AB92"/>
  <c r="AB90"/>
  <c r="AB83"/>
  <c r="AE326"/>
  <c r="AE324"/>
  <c r="AE322"/>
  <c r="AE314"/>
  <c r="AE312"/>
  <c r="AE309"/>
  <c r="AE305"/>
  <c r="AE303"/>
  <c r="AE301"/>
  <c r="AE291"/>
  <c r="AE289"/>
  <c r="AE287"/>
  <c r="AE278"/>
  <c r="AE270"/>
  <c r="AE266"/>
  <c r="AE258"/>
  <c r="AE256"/>
  <c r="AE249"/>
  <c r="AE159"/>
  <c r="AE160"/>
  <c r="AE157"/>
  <c r="AE158"/>
  <c r="AE155"/>
  <c r="AE154"/>
  <c r="AE153"/>
  <c r="AE152"/>
  <c r="AE151"/>
  <c r="AE147"/>
  <c r="AE148"/>
  <c r="AE145"/>
  <c r="AE144"/>
  <c r="AE146"/>
  <c r="AE142"/>
  <c r="AE143"/>
  <c r="AE138"/>
  <c r="AE139"/>
  <c r="AE137"/>
  <c r="AE136"/>
  <c r="G136"/>
  <c r="G137"/>
  <c r="AE134"/>
  <c r="AE133"/>
  <c r="AE130"/>
  <c r="AE129"/>
  <c r="AE128"/>
  <c r="AE124"/>
  <c r="AE125"/>
  <c r="AE122"/>
  <c r="AE123"/>
  <c r="AE120"/>
  <c r="AE119"/>
  <c r="AE118"/>
  <c r="AE117"/>
  <c r="AE116"/>
  <c r="AE115"/>
  <c r="AE111"/>
  <c r="AE110"/>
  <c r="AE109"/>
  <c r="AE108"/>
  <c r="AE107"/>
  <c r="AE106"/>
  <c r="AE105"/>
  <c r="AE103"/>
  <c r="AE102"/>
  <c r="AE101"/>
  <c r="AE99"/>
  <c r="AE98"/>
  <c r="AE97"/>
  <c r="AE96"/>
  <c r="AE95"/>
  <c r="AE91"/>
  <c r="AE92"/>
  <c r="AE89"/>
  <c r="AE88"/>
  <c r="AE87"/>
  <c r="AE86"/>
  <c r="AE85"/>
  <c r="AE84"/>
  <c r="AE82"/>
  <c r="AE81"/>
  <c r="AE79"/>
  <c r="AE78"/>
  <c r="AE77"/>
  <c r="AE76"/>
  <c r="AE75"/>
  <c r="AE74"/>
  <c r="AE73"/>
  <c r="AE72"/>
  <c r="G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G23"/>
  <c r="AE22"/>
  <c r="AE21"/>
  <c r="AE20"/>
  <c r="AE19"/>
  <c r="AE18"/>
  <c r="AE17"/>
  <c r="AE16"/>
  <c r="AE15"/>
  <c r="G15"/>
  <c r="AE14"/>
  <c r="AE13"/>
  <c r="AE12"/>
  <c r="AE11"/>
  <c r="AE10"/>
  <c r="AE9"/>
  <c r="AE8"/>
  <c r="AF326"/>
  <c r="AF324"/>
  <c r="AF322"/>
  <c r="AH322"/>
  <c r="AF314"/>
  <c r="AF312"/>
  <c r="AF309"/>
  <c r="AF305"/>
  <c r="AF303"/>
  <c r="AF301"/>
  <c r="AF306"/>
  <c r="AF291"/>
  <c r="AF289"/>
  <c r="AF287"/>
  <c r="AF278"/>
  <c r="AF270"/>
  <c r="AF266"/>
  <c r="AF258"/>
  <c r="AF256"/>
  <c r="AF249"/>
  <c r="AF159"/>
  <c r="AF160"/>
  <c r="AF157"/>
  <c r="AF158"/>
  <c r="AF155"/>
  <c r="AF154"/>
  <c r="AF153"/>
  <c r="AF152"/>
  <c r="AF151"/>
  <c r="AF147"/>
  <c r="AF148"/>
  <c r="AF145"/>
  <c r="AF144"/>
  <c r="AF142"/>
  <c r="AF143"/>
  <c r="AF138"/>
  <c r="AF139"/>
  <c r="AF136"/>
  <c r="AF137"/>
  <c r="AF134"/>
  <c r="AF133"/>
  <c r="AF130"/>
  <c r="AF129"/>
  <c r="AF128"/>
  <c r="AF124"/>
  <c r="AF125"/>
  <c r="AF122"/>
  <c r="AF123"/>
  <c r="AF120"/>
  <c r="AF119"/>
  <c r="AF118"/>
  <c r="AF117"/>
  <c r="AF116"/>
  <c r="AF115"/>
  <c r="AF111"/>
  <c r="AF110"/>
  <c r="AF109"/>
  <c r="AF108"/>
  <c r="AF107"/>
  <c r="AF106"/>
  <c r="AF105"/>
  <c r="AF103"/>
  <c r="AF102"/>
  <c r="AF101"/>
  <c r="AF99"/>
  <c r="AF98"/>
  <c r="AF97"/>
  <c r="AF96"/>
  <c r="AF95"/>
  <c r="AF91"/>
  <c r="AF92"/>
  <c r="AF89"/>
  <c r="AF88"/>
  <c r="AF87"/>
  <c r="H87"/>
  <c r="AF86"/>
  <c r="AF85"/>
  <c r="AF84"/>
  <c r="AF82"/>
  <c r="AF81"/>
  <c r="AF79"/>
  <c r="AF78"/>
  <c r="AF77"/>
  <c r="H77"/>
  <c r="AF76"/>
  <c r="AF75"/>
  <c r="AF74"/>
  <c r="AF73"/>
  <c r="AF72"/>
  <c r="AF71"/>
  <c r="AF70"/>
  <c r="AF69"/>
  <c r="H69"/>
  <c r="AF68"/>
  <c r="AF67"/>
  <c r="AF66"/>
  <c r="AF65"/>
  <c r="AF64"/>
  <c r="AF63"/>
  <c r="AF62"/>
  <c r="AF61"/>
  <c r="H61"/>
  <c r="AF60"/>
  <c r="AF59"/>
  <c r="AF58"/>
  <c r="AF57"/>
  <c r="AF56"/>
  <c r="AF55"/>
  <c r="AF54"/>
  <c r="AF53"/>
  <c r="H53"/>
  <c r="AF52"/>
  <c r="AF51"/>
  <c r="AF50"/>
  <c r="AF49"/>
  <c r="AF48"/>
  <c r="AF47"/>
  <c r="AF46"/>
  <c r="AF44"/>
  <c r="H44"/>
  <c r="AF43"/>
  <c r="AF42"/>
  <c r="AF41"/>
  <c r="AF40"/>
  <c r="AF39"/>
  <c r="AF38"/>
  <c r="AF37"/>
  <c r="AF36"/>
  <c r="H36"/>
  <c r="AF35"/>
  <c r="AF34"/>
  <c r="AF33"/>
  <c r="AF32"/>
  <c r="AF31"/>
  <c r="AF30"/>
  <c r="AF29"/>
  <c r="AF28"/>
  <c r="H28"/>
  <c r="AF27"/>
  <c r="AF26"/>
  <c r="AF25"/>
  <c r="AF24"/>
  <c r="AF23"/>
  <c r="AF22"/>
  <c r="AF21"/>
  <c r="AF20"/>
  <c r="H20"/>
  <c r="AF19"/>
  <c r="AF18"/>
  <c r="AF17"/>
  <c r="AF16"/>
  <c r="AF15"/>
  <c r="AF14"/>
  <c r="AF13"/>
  <c r="AF12"/>
  <c r="H12"/>
  <c r="AF11"/>
  <c r="AF10"/>
  <c r="AF9"/>
  <c r="AF8"/>
  <c r="AG159"/>
  <c r="AG157"/>
  <c r="AG155"/>
  <c r="AG154"/>
  <c r="AH154"/>
  <c r="AG153"/>
  <c r="AH153"/>
  <c r="AG152"/>
  <c r="AG151"/>
  <c r="AG147"/>
  <c r="AG145"/>
  <c r="AG144"/>
  <c r="AG142"/>
  <c r="AG138"/>
  <c r="AG136"/>
  <c r="AG134"/>
  <c r="AG133"/>
  <c r="AG130"/>
  <c r="AG129"/>
  <c r="AG128"/>
  <c r="AG124"/>
  <c r="AG122"/>
  <c r="AG120"/>
  <c r="AH120"/>
  <c r="AG119"/>
  <c r="AG118"/>
  <c r="AG117"/>
  <c r="AG116"/>
  <c r="AG115"/>
  <c r="AG111"/>
  <c r="AG110"/>
  <c r="AH110"/>
  <c r="AG109"/>
  <c r="AH109"/>
  <c r="AG108"/>
  <c r="AG107"/>
  <c r="AG106"/>
  <c r="AG105"/>
  <c r="AG103"/>
  <c r="AG102"/>
  <c r="AG101"/>
  <c r="AH101"/>
  <c r="AG99"/>
  <c r="AH99"/>
  <c r="AG98"/>
  <c r="AG97"/>
  <c r="AG96"/>
  <c r="AG95"/>
  <c r="AG91"/>
  <c r="AH91"/>
  <c r="AG89"/>
  <c r="AG88"/>
  <c r="AH88"/>
  <c r="AG87"/>
  <c r="AG86"/>
  <c r="AG85"/>
  <c r="AG84"/>
  <c r="AG82"/>
  <c r="AG81"/>
  <c r="AG79"/>
  <c r="AG78"/>
  <c r="AH78"/>
  <c r="AG77"/>
  <c r="AG76"/>
  <c r="AG75"/>
  <c r="AG74"/>
  <c r="AG73"/>
  <c r="AG72"/>
  <c r="AH72"/>
  <c r="AG71"/>
  <c r="AG70"/>
  <c r="AH70"/>
  <c r="AG69"/>
  <c r="AG68"/>
  <c r="AG67"/>
  <c r="AG66"/>
  <c r="AG65"/>
  <c r="AG64"/>
  <c r="AH64"/>
  <c r="AG63"/>
  <c r="AG62"/>
  <c r="AH62"/>
  <c r="AG61"/>
  <c r="AG60"/>
  <c r="AG59"/>
  <c r="AG58"/>
  <c r="AG57"/>
  <c r="AG56"/>
  <c r="AH56"/>
  <c r="AG55"/>
  <c r="AG54"/>
  <c r="AH54"/>
  <c r="AG53"/>
  <c r="AG52"/>
  <c r="AG51"/>
  <c r="AG50"/>
  <c r="AG49"/>
  <c r="AG48"/>
  <c r="AH48"/>
  <c r="AG47"/>
  <c r="AG46"/>
  <c r="AH46"/>
  <c r="AG44"/>
  <c r="AG43"/>
  <c r="AG42"/>
  <c r="AG41"/>
  <c r="AG40"/>
  <c r="AG39"/>
  <c r="AH39"/>
  <c r="AG38"/>
  <c r="AG37"/>
  <c r="AH37"/>
  <c r="AG36"/>
  <c r="AG35"/>
  <c r="AG34"/>
  <c r="AG33"/>
  <c r="AG32"/>
  <c r="AG31"/>
  <c r="AH31"/>
  <c r="AG30"/>
  <c r="AG29"/>
  <c r="AH29"/>
  <c r="AG28"/>
  <c r="AG27"/>
  <c r="AG26"/>
  <c r="AG25"/>
  <c r="AG24"/>
  <c r="AG23"/>
  <c r="AH23"/>
  <c r="AG22"/>
  <c r="AG21"/>
  <c r="AH21"/>
  <c r="AG20"/>
  <c r="AG19"/>
  <c r="AG18"/>
  <c r="AG17"/>
  <c r="AG16"/>
  <c r="AG15"/>
  <c r="AH15"/>
  <c r="AG14"/>
  <c r="AG13"/>
  <c r="AH13"/>
  <c r="AG12"/>
  <c r="AG11"/>
  <c r="AG10"/>
  <c r="AG9"/>
  <c r="AG8"/>
  <c r="AI325"/>
  <c r="AI326"/>
  <c r="AI323"/>
  <c r="AI324"/>
  <c r="AI321"/>
  <c r="AI320"/>
  <c r="AI319"/>
  <c r="AI318"/>
  <c r="AI317"/>
  <c r="AI313"/>
  <c r="AI314"/>
  <c r="AI311"/>
  <c r="AI310"/>
  <c r="AI308"/>
  <c r="AI309"/>
  <c r="AI304"/>
  <c r="AI305"/>
  <c r="AI302"/>
  <c r="AI303"/>
  <c r="AI300"/>
  <c r="AI297"/>
  <c r="AI296"/>
  <c r="AI295"/>
  <c r="AI294"/>
  <c r="AI291"/>
  <c r="AI290"/>
  <c r="AI288"/>
  <c r="AI289"/>
  <c r="AI286"/>
  <c r="AI285"/>
  <c r="AI284"/>
  <c r="AI283"/>
  <c r="AI282"/>
  <c r="AI281"/>
  <c r="AI277"/>
  <c r="AI278"/>
  <c r="AI276"/>
  <c r="AI275"/>
  <c r="AI274"/>
  <c r="AI273"/>
  <c r="AI272"/>
  <c r="AI271"/>
  <c r="AI269"/>
  <c r="AI268"/>
  <c r="AI267"/>
  <c r="AI265"/>
  <c r="AI264"/>
  <c r="AI263"/>
  <c r="AI262"/>
  <c r="AI261"/>
  <c r="AI257"/>
  <c r="AI258"/>
  <c r="AI255"/>
  <c r="AI254"/>
  <c r="AI253"/>
  <c r="AI252"/>
  <c r="AI251"/>
  <c r="AI250"/>
  <c r="AI248"/>
  <c r="AI246"/>
  <c r="AI245"/>
  <c r="AI244"/>
  <c r="AI243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60"/>
  <c r="AI158"/>
  <c r="AI156"/>
  <c r="AI148"/>
  <c r="AI146"/>
  <c r="AI143"/>
  <c r="AI149"/>
  <c r="AI139"/>
  <c r="AI137"/>
  <c r="AI135"/>
  <c r="AI125"/>
  <c r="AI123"/>
  <c r="AI121"/>
  <c r="AI112"/>
  <c r="AI104"/>
  <c r="AI100"/>
  <c r="AI92"/>
  <c r="AI90"/>
  <c r="AI83"/>
  <c r="AJ325"/>
  <c r="AJ326"/>
  <c r="AJ323"/>
  <c r="AJ324"/>
  <c r="AJ321"/>
  <c r="AJ320"/>
  <c r="AJ319"/>
  <c r="AJ318"/>
  <c r="AJ317"/>
  <c r="AJ313"/>
  <c r="AJ314"/>
  <c r="AJ311"/>
  <c r="AJ310"/>
  <c r="AJ308"/>
  <c r="AJ309"/>
  <c r="AJ304"/>
  <c r="AJ305"/>
  <c r="AJ302"/>
  <c r="AJ303"/>
  <c r="AJ300"/>
  <c r="AJ297"/>
  <c r="AJ296"/>
  <c r="AJ295"/>
  <c r="AJ294"/>
  <c r="AJ290"/>
  <c r="AJ291"/>
  <c r="AJ288"/>
  <c r="AJ289"/>
  <c r="AJ286"/>
  <c r="AJ285"/>
  <c r="AJ284"/>
  <c r="AJ283"/>
  <c r="AJ282"/>
  <c r="AJ281"/>
  <c r="AJ277"/>
  <c r="AJ278"/>
  <c r="AJ276"/>
  <c r="AJ275"/>
  <c r="AJ274"/>
  <c r="AJ273"/>
  <c r="AJ272"/>
  <c r="AJ271"/>
  <c r="AJ269"/>
  <c r="AJ268"/>
  <c r="AJ267"/>
  <c r="AJ265"/>
  <c r="AJ264"/>
  <c r="AJ263"/>
  <c r="AJ262"/>
  <c r="AJ261"/>
  <c r="AJ257"/>
  <c r="AJ258"/>
  <c r="AJ255"/>
  <c r="AJ254"/>
  <c r="AJ253"/>
  <c r="AJ252"/>
  <c r="AJ251"/>
  <c r="AJ250"/>
  <c r="AJ248"/>
  <c r="AJ246"/>
  <c r="AJ245"/>
  <c r="AJ244"/>
  <c r="AJ243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60"/>
  <c r="AJ158"/>
  <c r="AJ156"/>
  <c r="AJ148"/>
  <c r="AJ146"/>
  <c r="AJ143"/>
  <c r="AJ139"/>
  <c r="AJ137"/>
  <c r="AJ135"/>
  <c r="AJ125"/>
  <c r="AJ123"/>
  <c r="AJ121"/>
  <c r="AJ112"/>
  <c r="AJ104"/>
  <c r="AJ100"/>
  <c r="AJ92"/>
  <c r="AJ90"/>
  <c r="AJ83"/>
  <c r="AJ93"/>
  <c r="AK325"/>
  <c r="AK323"/>
  <c r="AK321"/>
  <c r="AK320"/>
  <c r="AK319"/>
  <c r="AK318"/>
  <c r="AK317"/>
  <c r="AK313"/>
  <c r="AK311"/>
  <c r="AK310"/>
  <c r="AK308"/>
  <c r="AK304"/>
  <c r="AK302"/>
  <c r="AK300"/>
  <c r="AK297"/>
  <c r="AK296"/>
  <c r="AL296"/>
  <c r="AK295"/>
  <c r="AL295"/>
  <c r="AK294"/>
  <c r="AK290"/>
  <c r="AK288"/>
  <c r="AK286"/>
  <c r="AK285"/>
  <c r="AK284"/>
  <c r="AL284"/>
  <c r="AK283"/>
  <c r="AL283"/>
  <c r="AK282"/>
  <c r="AL282"/>
  <c r="AK281"/>
  <c r="AK277"/>
  <c r="AK276"/>
  <c r="AK275"/>
  <c r="AK274"/>
  <c r="AK273"/>
  <c r="AL273"/>
  <c r="AK272"/>
  <c r="AL272"/>
  <c r="AK271"/>
  <c r="AL271"/>
  <c r="AK269"/>
  <c r="AK268"/>
  <c r="AK267"/>
  <c r="AK265"/>
  <c r="AK264"/>
  <c r="AK263"/>
  <c r="AL263"/>
  <c r="AK262"/>
  <c r="AL262"/>
  <c r="AK261"/>
  <c r="AL261"/>
  <c r="AK257"/>
  <c r="AK255"/>
  <c r="AK254"/>
  <c r="AK253"/>
  <c r="AK252"/>
  <c r="AK251"/>
  <c r="AL251"/>
  <c r="AK250"/>
  <c r="AL250"/>
  <c r="AK248"/>
  <c r="AL248"/>
  <c r="AK246"/>
  <c r="AK245"/>
  <c r="AK244"/>
  <c r="AK243"/>
  <c r="AK242"/>
  <c r="AK241"/>
  <c r="AK240"/>
  <c r="AL240"/>
  <c r="AK239"/>
  <c r="AL239"/>
  <c r="AK238"/>
  <c r="AK237"/>
  <c r="AK236"/>
  <c r="AK235"/>
  <c r="AK234"/>
  <c r="AK233"/>
  <c r="AL233"/>
  <c r="AK232"/>
  <c r="AL232"/>
  <c r="AK231"/>
  <c r="AL231"/>
  <c r="AK230"/>
  <c r="AK229"/>
  <c r="AK228"/>
  <c r="AK227"/>
  <c r="AK226"/>
  <c r="AK225"/>
  <c r="AL225"/>
  <c r="AK224"/>
  <c r="AL224"/>
  <c r="AK223"/>
  <c r="AL223"/>
  <c r="AK222"/>
  <c r="AK221"/>
  <c r="AK220"/>
  <c r="AK219"/>
  <c r="AK218"/>
  <c r="AK217"/>
  <c r="AL217"/>
  <c r="AK216"/>
  <c r="AL216"/>
  <c r="AK215"/>
  <c r="AL215"/>
  <c r="AK214"/>
  <c r="AK213"/>
  <c r="AK212"/>
  <c r="AK210"/>
  <c r="AK209"/>
  <c r="AK208"/>
  <c r="AL208"/>
  <c r="AK207"/>
  <c r="AL207"/>
  <c r="AK206"/>
  <c r="AL206"/>
  <c r="AK205"/>
  <c r="AK204"/>
  <c r="AK203"/>
  <c r="AK202"/>
  <c r="AK201"/>
  <c r="AK200"/>
  <c r="AK199"/>
  <c r="AL199"/>
  <c r="AK198"/>
  <c r="AL198"/>
  <c r="AK197"/>
  <c r="AK196"/>
  <c r="AK195"/>
  <c r="AK194"/>
  <c r="AK193"/>
  <c r="AK192"/>
  <c r="AL192"/>
  <c r="AK191"/>
  <c r="AL191"/>
  <c r="AK190"/>
  <c r="AL190"/>
  <c r="AK189"/>
  <c r="AK188"/>
  <c r="AK187"/>
  <c r="AK186"/>
  <c r="AK185"/>
  <c r="AK184"/>
  <c r="AL184"/>
  <c r="AK183"/>
  <c r="AL183"/>
  <c r="AK182"/>
  <c r="AL182"/>
  <c r="AK181"/>
  <c r="AK180"/>
  <c r="AK179"/>
  <c r="AK178"/>
  <c r="AK177"/>
  <c r="AK176"/>
  <c r="AL176"/>
  <c r="AK175"/>
  <c r="AL175"/>
  <c r="AK174"/>
  <c r="AL174"/>
  <c r="AM326"/>
  <c r="AM324"/>
  <c r="AM322"/>
  <c r="AM314"/>
  <c r="AM312"/>
  <c r="AM309"/>
  <c r="AM305"/>
  <c r="AM303"/>
  <c r="AM301"/>
  <c r="AM291"/>
  <c r="AM289"/>
  <c r="AM287"/>
  <c r="AM278"/>
  <c r="AM270"/>
  <c r="AM266"/>
  <c r="AM279"/>
  <c r="AM258"/>
  <c r="AM256"/>
  <c r="AM249"/>
  <c r="AM160"/>
  <c r="AM158"/>
  <c r="AM156"/>
  <c r="AM148"/>
  <c r="AM146"/>
  <c r="AM143"/>
  <c r="AM139"/>
  <c r="AM137"/>
  <c r="AM135"/>
  <c r="AM125"/>
  <c r="AM123"/>
  <c r="AM121"/>
  <c r="AM126"/>
  <c r="AM112"/>
  <c r="AM104"/>
  <c r="AM100"/>
  <c r="AM92"/>
  <c r="AM90"/>
  <c r="AM83"/>
  <c r="AN326"/>
  <c r="AN324"/>
  <c r="AN322"/>
  <c r="AP322"/>
  <c r="AN314"/>
  <c r="AN312"/>
  <c r="AN309"/>
  <c r="AN305"/>
  <c r="AN303"/>
  <c r="AN301"/>
  <c r="AN291"/>
  <c r="AN289"/>
  <c r="AN287"/>
  <c r="AN278"/>
  <c r="AN270"/>
  <c r="AN266"/>
  <c r="AN258"/>
  <c r="AN256"/>
  <c r="AN249"/>
  <c r="AN160"/>
  <c r="AN158"/>
  <c r="AN156"/>
  <c r="AN148"/>
  <c r="AN146"/>
  <c r="AN143"/>
  <c r="AN139"/>
  <c r="AN137"/>
  <c r="AN135"/>
  <c r="AN140"/>
  <c r="AN125"/>
  <c r="AN123"/>
  <c r="AN121"/>
  <c r="AN112"/>
  <c r="AN104"/>
  <c r="AN100"/>
  <c r="AN92"/>
  <c r="AN90"/>
  <c r="AN83"/>
  <c r="AQ326"/>
  <c r="AQ324"/>
  <c r="AQ322"/>
  <c r="AQ314"/>
  <c r="AQ312"/>
  <c r="AQ309"/>
  <c r="AQ305"/>
  <c r="AQ303"/>
  <c r="AQ301"/>
  <c r="AQ291"/>
  <c r="AQ289"/>
  <c r="AQ287"/>
  <c r="AQ278"/>
  <c r="AQ270"/>
  <c r="AQ266"/>
  <c r="AQ258"/>
  <c r="AQ256"/>
  <c r="AQ249"/>
  <c r="AQ160"/>
  <c r="AQ158"/>
  <c r="AQ156"/>
  <c r="AQ148"/>
  <c r="AQ146"/>
  <c r="AQ143"/>
  <c r="AQ139"/>
  <c r="AQ137"/>
  <c r="AQ135"/>
  <c r="AQ125"/>
  <c r="AQ123"/>
  <c r="AQ121"/>
  <c r="AQ112"/>
  <c r="AQ104"/>
  <c r="AQ100"/>
  <c r="AQ92"/>
  <c r="AQ90"/>
  <c r="AQ83"/>
  <c r="AR326"/>
  <c r="AR324"/>
  <c r="AR322"/>
  <c r="AR314"/>
  <c r="AR312"/>
  <c r="AR309"/>
  <c r="AR305"/>
  <c r="AR303"/>
  <c r="AR301"/>
  <c r="AR291"/>
  <c r="AR289"/>
  <c r="AR287"/>
  <c r="AR278"/>
  <c r="AR270"/>
  <c r="AR266"/>
  <c r="AR258"/>
  <c r="AR256"/>
  <c r="AR249"/>
  <c r="AR160"/>
  <c r="AR158"/>
  <c r="AR156"/>
  <c r="AR148"/>
  <c r="AR146"/>
  <c r="AR143"/>
  <c r="AR139"/>
  <c r="AR137"/>
  <c r="AR135"/>
  <c r="AR125"/>
  <c r="AR123"/>
  <c r="AR121"/>
  <c r="AR112"/>
  <c r="AR104"/>
  <c r="AR100"/>
  <c r="AR92"/>
  <c r="AR90"/>
  <c r="AR83"/>
  <c r="AU326"/>
  <c r="AU324"/>
  <c r="AU322"/>
  <c r="AU314"/>
  <c r="AU312"/>
  <c r="AU309"/>
  <c r="AU305"/>
  <c r="AU303"/>
  <c r="AU301"/>
  <c r="AU291"/>
  <c r="AU289"/>
  <c r="AU287"/>
  <c r="AU278"/>
  <c r="AU270"/>
  <c r="AU266"/>
  <c r="AU258"/>
  <c r="AU256"/>
  <c r="AU249"/>
  <c r="AV326"/>
  <c r="AV324"/>
  <c r="AV322"/>
  <c r="AV314"/>
  <c r="AV312"/>
  <c r="AV309"/>
  <c r="AV305"/>
  <c r="AV303"/>
  <c r="AV301"/>
  <c r="AV291"/>
  <c r="AV289"/>
  <c r="AV287"/>
  <c r="AV278"/>
  <c r="AV270"/>
  <c r="AV266"/>
  <c r="AV279"/>
  <c r="AV258"/>
  <c r="AV256"/>
  <c r="AV249"/>
  <c r="D42" i="79"/>
  <c r="D38"/>
  <c r="D22"/>
  <c r="D21"/>
  <c r="D20"/>
  <c r="D19"/>
  <c r="D18"/>
  <c r="D17"/>
  <c r="D8"/>
  <c r="E42"/>
  <c r="E38"/>
  <c r="G22"/>
  <c r="G21"/>
  <c r="G20"/>
  <c r="G19"/>
  <c r="G18"/>
  <c r="G17"/>
  <c r="G13"/>
  <c r="G8"/>
  <c r="F42"/>
  <c r="G42"/>
  <c r="F38"/>
  <c r="G38"/>
  <c r="F34"/>
  <c r="F14"/>
  <c r="E96" i="78"/>
  <c r="E93"/>
  <c r="E90"/>
  <c r="E87"/>
  <c r="E84"/>
  <c r="E108"/>
  <c r="E45"/>
  <c r="E44"/>
  <c r="E39"/>
  <c r="E38"/>
  <c r="E37"/>
  <c r="E36"/>
  <c r="E42"/>
  <c r="E33"/>
  <c r="E34"/>
  <c r="E13"/>
  <c r="E9"/>
  <c r="E26"/>
  <c r="E69"/>
  <c r="F96"/>
  <c r="F93"/>
  <c r="F90"/>
  <c r="F87"/>
  <c r="F84"/>
  <c r="H79"/>
  <c r="H50"/>
  <c r="F34"/>
  <c r="H9"/>
  <c r="H130"/>
  <c r="H127"/>
  <c r="H124"/>
  <c r="H121"/>
  <c r="H118"/>
  <c r="H115"/>
  <c r="H106"/>
  <c r="G96"/>
  <c r="G93"/>
  <c r="G90"/>
  <c r="G87"/>
  <c r="G84"/>
  <c r="G108"/>
  <c r="G45"/>
  <c r="M43"/>
  <c r="G34"/>
  <c r="M32"/>
  <c r="D134" i="77"/>
  <c r="D101"/>
  <c r="D96"/>
  <c r="D88"/>
  <c r="D81"/>
  <c r="D68"/>
  <c r="D58"/>
  <c r="D57"/>
  <c r="D54"/>
  <c r="D51"/>
  <c r="D38"/>
  <c r="D34"/>
  <c r="D30"/>
  <c r="D27"/>
  <c r="D17"/>
  <c r="D11"/>
  <c r="D10"/>
  <c r="D9"/>
  <c r="D26"/>
  <c r="G34"/>
  <c r="G30"/>
  <c r="G27"/>
  <c r="G11"/>
  <c r="G10"/>
  <c r="F134"/>
  <c r="G134"/>
  <c r="F101"/>
  <c r="G101"/>
  <c r="F96"/>
  <c r="G96"/>
  <c r="F85"/>
  <c r="F68"/>
  <c r="G68"/>
  <c r="F58"/>
  <c r="G58"/>
  <c r="F54"/>
  <c r="F51"/>
  <c r="F38"/>
  <c r="F34"/>
  <c r="F32"/>
  <c r="F17"/>
  <c r="F9"/>
  <c r="E199" i="76"/>
  <c r="E184"/>
  <c r="E94"/>
  <c r="E79"/>
  <c r="F199"/>
  <c r="F184"/>
  <c r="F94"/>
  <c r="F79"/>
  <c r="G199"/>
  <c r="G184"/>
  <c r="G94"/>
  <c r="H94"/>
  <c r="G79"/>
  <c r="E241" i="61"/>
  <c r="L84" i="70" s="1"/>
  <c r="D241" i="61"/>
  <c r="C241"/>
  <c r="E241" i="76" s="1"/>
  <c r="E240" i="61"/>
  <c r="D240"/>
  <c r="F240" i="76" s="1"/>
  <c r="C240" i="61"/>
  <c r="E240" i="76"/>
  <c r="E239" i="61"/>
  <c r="L71" i="70" s="1"/>
  <c r="M71" s="1"/>
  <c r="D239" i="61"/>
  <c r="C239"/>
  <c r="E206"/>
  <c r="D206"/>
  <c r="F206" i="76" s="1"/>
  <c r="H206" s="1"/>
  <c r="C206" i="61"/>
  <c r="E206" i="76" s="1"/>
  <c r="E205" i="61"/>
  <c r="D205"/>
  <c r="F205" i="76"/>
  <c r="C205" i="61"/>
  <c r="E205" i="76" s="1"/>
  <c r="E204" i="61"/>
  <c r="D204"/>
  <c r="C204"/>
  <c r="E204" i="76"/>
  <c r="E203" i="61"/>
  <c r="D203"/>
  <c r="F203" i="76" s="1"/>
  <c r="C203" i="61"/>
  <c r="E203" i="76"/>
  <c r="E202" i="61"/>
  <c r="D202"/>
  <c r="F202" i="76" s="1"/>
  <c r="C202" i="61"/>
  <c r="E201"/>
  <c r="D201"/>
  <c r="F201" i="76"/>
  <c r="C201" i="61"/>
  <c r="E201" i="76"/>
  <c r="E200" i="61"/>
  <c r="D200"/>
  <c r="C200"/>
  <c r="E200" i="76"/>
  <c r="E233" s="1"/>
  <c r="E198" i="61"/>
  <c r="D198"/>
  <c r="F198" i="76"/>
  <c r="C198" i="61"/>
  <c r="E198" i="76"/>
  <c r="E197" i="61"/>
  <c r="D197"/>
  <c r="C197"/>
  <c r="E197" i="76"/>
  <c r="E196" i="61"/>
  <c r="D196"/>
  <c r="F196" i="76" s="1"/>
  <c r="C196" i="61"/>
  <c r="E196" i="76"/>
  <c r="E195" i="61"/>
  <c r="G195" i="76" s="1"/>
  <c r="D195" i="61"/>
  <c r="F195" i="76"/>
  <c r="C195" i="61"/>
  <c r="E195" i="76" s="1"/>
  <c r="E191" i="61"/>
  <c r="D191"/>
  <c r="C191"/>
  <c r="E191" i="76"/>
  <c r="E190" i="61"/>
  <c r="D190"/>
  <c r="F190" i="76"/>
  <c r="C190" i="61"/>
  <c r="E190" i="76"/>
  <c r="E189" i="61"/>
  <c r="D189"/>
  <c r="F189" i="76" s="1"/>
  <c r="H189" s="1"/>
  <c r="C189" i="61"/>
  <c r="E189" i="76" s="1"/>
  <c r="E188" i="61"/>
  <c r="D188"/>
  <c r="F188" i="76"/>
  <c r="C188" i="61"/>
  <c r="E188" i="76"/>
  <c r="E187" i="61"/>
  <c r="D187"/>
  <c r="C187"/>
  <c r="E187" i="76" s="1"/>
  <c r="E186" i="61"/>
  <c r="D186"/>
  <c r="F186" i="76" s="1"/>
  <c r="C186" i="61"/>
  <c r="E186" i="76"/>
  <c r="E185" i="61"/>
  <c r="D185"/>
  <c r="F185" i="76" s="1"/>
  <c r="F226" s="1"/>
  <c r="C185" i="61"/>
  <c r="E185" i="76" s="1"/>
  <c r="E226" s="1"/>
  <c r="E183" i="61"/>
  <c r="D183"/>
  <c r="F183" i="76" s="1"/>
  <c r="C183" i="61"/>
  <c r="E183" i="76"/>
  <c r="E182" i="61"/>
  <c r="D182"/>
  <c r="F182" i="76" s="1"/>
  <c r="H182" s="1"/>
  <c r="C182" i="61"/>
  <c r="E182" i="76" s="1"/>
  <c r="E181" i="61"/>
  <c r="D181"/>
  <c r="F181" i="76"/>
  <c r="H181" s="1"/>
  <c r="C181" i="61"/>
  <c r="E181" i="76"/>
  <c r="E180" i="61"/>
  <c r="D180"/>
  <c r="C180"/>
  <c r="E180" i="76"/>
  <c r="E175" i="61"/>
  <c r="D175"/>
  <c r="C175"/>
  <c r="E175" i="76" s="1"/>
  <c r="E174" i="61"/>
  <c r="D174"/>
  <c r="F174" i="76"/>
  <c r="C174" i="61"/>
  <c r="E174" i="76" s="1"/>
  <c r="E173" i="61"/>
  <c r="G258" i="117"/>
  <c r="H258" s="1"/>
  <c r="D173" i="61"/>
  <c r="F173" i="76" s="1"/>
  <c r="C173" i="61"/>
  <c r="E173" i="76" s="1"/>
  <c r="E172" i="61"/>
  <c r="G246" i="117" s="1"/>
  <c r="H246"/>
  <c r="D172" i="61"/>
  <c r="F172" i="76"/>
  <c r="C172" i="61"/>
  <c r="E172" i="76"/>
  <c r="E171" i="61"/>
  <c r="G244" i="117" s="1"/>
  <c r="H244" s="1"/>
  <c r="D171" i="61"/>
  <c r="C171"/>
  <c r="E171" i="76" s="1"/>
  <c r="E170" i="61"/>
  <c r="D170"/>
  <c r="C170"/>
  <c r="E170" i="76" s="1"/>
  <c r="E169" i="61"/>
  <c r="D169"/>
  <c r="C169"/>
  <c r="E169" i="76" s="1"/>
  <c r="E168" i="61"/>
  <c r="D168"/>
  <c r="F168" i="76"/>
  <c r="C168" i="61"/>
  <c r="E168" i="76" s="1"/>
  <c r="E167" i="61"/>
  <c r="G211" i="117"/>
  <c r="H211" s="1"/>
  <c r="D167" i="61"/>
  <c r="F167" i="76" s="1"/>
  <c r="C167" i="61"/>
  <c r="E166"/>
  <c r="G210" i="117" s="1"/>
  <c r="H210" s="1"/>
  <c r="D166" i="61"/>
  <c r="F166" i="76" s="1"/>
  <c r="C166" i="61"/>
  <c r="E166" i="76"/>
  <c r="E164" i="61"/>
  <c r="G208" i="117" s="1"/>
  <c r="H208" s="1"/>
  <c r="D164" i="61"/>
  <c r="C164"/>
  <c r="E164" i="76" s="1"/>
  <c r="E163" i="61"/>
  <c r="D163"/>
  <c r="F163" i="76"/>
  <c r="C163" i="61"/>
  <c r="E163" i="76" s="1"/>
  <c r="E162" i="61"/>
  <c r="G206" i="117"/>
  <c r="H206" s="1"/>
  <c r="D162" i="61"/>
  <c r="F162" i="76" s="1"/>
  <c r="C162" i="61"/>
  <c r="E161"/>
  <c r="G205" i="117" s="1"/>
  <c r="H205" s="1"/>
  <c r="D161" i="61"/>
  <c r="C161"/>
  <c r="E161" i="76" s="1"/>
  <c r="E160" i="61"/>
  <c r="D160"/>
  <c r="C160"/>
  <c r="E160" i="76" s="1"/>
  <c r="E158" i="61"/>
  <c r="D158"/>
  <c r="F158" i="76"/>
  <c r="C158" i="61"/>
  <c r="E158" i="76" s="1"/>
  <c r="E157" i="61"/>
  <c r="G202" i="117"/>
  <c r="H202" s="1"/>
  <c r="D157" i="61"/>
  <c r="F157" i="76"/>
  <c r="C157" i="61"/>
  <c r="E157" i="76" s="1"/>
  <c r="E156" i="61"/>
  <c r="G201" i="117" s="1"/>
  <c r="H201" s="1"/>
  <c r="D156" i="61"/>
  <c r="F156" i="76" s="1"/>
  <c r="C156" i="61"/>
  <c r="E156" i="76"/>
  <c r="E155" i="61"/>
  <c r="G200" i="117" s="1"/>
  <c r="H200" s="1"/>
  <c r="D155" i="61"/>
  <c r="C155"/>
  <c r="E155" i="76" s="1"/>
  <c r="E154" i="61"/>
  <c r="D154"/>
  <c r="F154" i="76"/>
  <c r="C154" i="61"/>
  <c r="E154" i="76" s="1"/>
  <c r="E153" i="61"/>
  <c r="G197" i="117"/>
  <c r="H197" s="1"/>
  <c r="D153" i="61"/>
  <c r="F153" i="76"/>
  <c r="C153" i="61"/>
  <c r="E152"/>
  <c r="G196" i="117" s="1"/>
  <c r="H196" s="1"/>
  <c r="D152" i="61"/>
  <c r="C152"/>
  <c r="E151"/>
  <c r="D151"/>
  <c r="C151"/>
  <c r="E151" i="76" s="1"/>
  <c r="E148" i="61"/>
  <c r="D148"/>
  <c r="C148"/>
  <c r="E148" i="76"/>
  <c r="E147" i="61"/>
  <c r="D147"/>
  <c r="F147" i="76" s="1"/>
  <c r="C147" i="61"/>
  <c r="C146"/>
  <c r="E145"/>
  <c r="D145"/>
  <c r="C145"/>
  <c r="E145" i="76"/>
  <c r="E144" i="61"/>
  <c r="G182" i="117" s="1"/>
  <c r="H182" s="1"/>
  <c r="D144" i="61"/>
  <c r="F144" i="76" s="1"/>
  <c r="C144" i="61"/>
  <c r="E144" i="76" s="1"/>
  <c r="E143" i="61"/>
  <c r="D143"/>
  <c r="F143" i="76"/>
  <c r="C143" i="61"/>
  <c r="E143" i="76" s="1"/>
  <c r="E142" i="61"/>
  <c r="G180" i="117"/>
  <c r="H180" s="1"/>
  <c r="D142" i="61"/>
  <c r="F142" i="76"/>
  <c r="C142" i="61"/>
  <c r="E142" i="76" s="1"/>
  <c r="E141" i="61"/>
  <c r="G168" i="117" s="1"/>
  <c r="H168" s="1"/>
  <c r="D141" i="61"/>
  <c r="F141" i="76" s="1"/>
  <c r="C141" i="61"/>
  <c r="E141" i="76"/>
  <c r="E140" i="61"/>
  <c r="G166" i="117" s="1"/>
  <c r="H166" s="1"/>
  <c r="D140" i="61"/>
  <c r="C140"/>
  <c r="E140" i="76" s="1"/>
  <c r="E139" i="61"/>
  <c r="D139"/>
  <c r="C139"/>
  <c r="E139" i="76" s="1"/>
  <c r="E138" i="61"/>
  <c r="D138"/>
  <c r="C138"/>
  <c r="E138" i="76" s="1"/>
  <c r="E137" i="61"/>
  <c r="D137"/>
  <c r="F137" i="76"/>
  <c r="C137" i="61"/>
  <c r="E137" i="76" s="1"/>
  <c r="E136" i="61"/>
  <c r="G133" i="117"/>
  <c r="H133" s="1"/>
  <c r="D136" i="61"/>
  <c r="F136" i="76"/>
  <c r="C136" i="61"/>
  <c r="E135"/>
  <c r="G132" i="117" s="1"/>
  <c r="H132"/>
  <c r="D135" i="61"/>
  <c r="F135" i="76" s="1"/>
  <c r="C135" i="61"/>
  <c r="E135" i="76"/>
  <c r="E134" i="61"/>
  <c r="G131" i="117" s="1"/>
  <c r="H131" s="1"/>
  <c r="D134" i="61"/>
  <c r="C134"/>
  <c r="E134" i="76" s="1"/>
  <c r="E133" i="61"/>
  <c r="D133"/>
  <c r="F133" i="76"/>
  <c r="C133" i="61"/>
  <c r="E131"/>
  <c r="G105" i="117" s="1"/>
  <c r="H105"/>
  <c r="D131" i="61"/>
  <c r="F131" i="76"/>
  <c r="C131" i="61"/>
  <c r="E131" i="76"/>
  <c r="E130" i="61"/>
  <c r="G102" i="117" s="1"/>
  <c r="H102" s="1"/>
  <c r="D130" i="61"/>
  <c r="C130"/>
  <c r="E130" i="76" s="1"/>
  <c r="E129" i="61"/>
  <c r="D129"/>
  <c r="F129" i="76" s="1"/>
  <c r="C129" i="61"/>
  <c r="E129" i="76"/>
  <c r="E128" i="61"/>
  <c r="G90" i="117" s="1"/>
  <c r="H90" s="1"/>
  <c r="D128" i="61"/>
  <c r="C128"/>
  <c r="E128" i="76" s="1"/>
  <c r="E127" i="61"/>
  <c r="D127"/>
  <c r="F127" i="76"/>
  <c r="C127" i="61"/>
  <c r="E127" i="76" s="1"/>
  <c r="E126" i="61"/>
  <c r="G78" i="117"/>
  <c r="H78" s="1"/>
  <c r="D126" i="61"/>
  <c r="F126" i="76"/>
  <c r="C126" i="61"/>
  <c r="E125"/>
  <c r="G67" i="117" s="1"/>
  <c r="H67" s="1"/>
  <c r="D125" i="61"/>
  <c r="F125" i="76"/>
  <c r="C125" i="61"/>
  <c r="E125" i="76"/>
  <c r="E124" i="61"/>
  <c r="G66" i="117" s="1"/>
  <c r="H66" s="1"/>
  <c r="D124" i="61"/>
  <c r="C124"/>
  <c r="E124" i="76" s="1"/>
  <c r="E122" i="61"/>
  <c r="D122"/>
  <c r="F122" i="76"/>
  <c r="C122" i="61"/>
  <c r="E122" i="76" s="1"/>
  <c r="E121" i="61"/>
  <c r="G53" i="117"/>
  <c r="H53" s="1"/>
  <c r="D121" i="61"/>
  <c r="F121" i="76" s="1"/>
  <c r="C121" i="61"/>
  <c r="E120"/>
  <c r="G50" i="117" s="1"/>
  <c r="H50" s="1"/>
  <c r="D120" i="61"/>
  <c r="F120" i="76"/>
  <c r="C120" i="61"/>
  <c r="E120" i="76"/>
  <c r="E119" i="61"/>
  <c r="G39" i="117" s="1"/>
  <c r="H39" s="1"/>
  <c r="D119" i="61"/>
  <c r="C119"/>
  <c r="E118"/>
  <c r="G36" i="117"/>
  <c r="H36" s="1"/>
  <c r="D118" i="61"/>
  <c r="F118" i="76" s="1"/>
  <c r="C118" i="61"/>
  <c r="E118" i="76" s="1"/>
  <c r="E117" i="61"/>
  <c r="D117"/>
  <c r="C117"/>
  <c r="E115"/>
  <c r="D115"/>
  <c r="C115"/>
  <c r="E115" i="76" s="1"/>
  <c r="E114" i="61"/>
  <c r="G26" i="117" s="1"/>
  <c r="H26" s="1"/>
  <c r="D114" i="61"/>
  <c r="C114"/>
  <c r="E113"/>
  <c r="G24" i="117"/>
  <c r="H24" s="1"/>
  <c r="D113" i="61"/>
  <c r="F113" i="76" s="1"/>
  <c r="C113" i="61"/>
  <c r="E112"/>
  <c r="G20" i="117" s="1"/>
  <c r="H20" s="1"/>
  <c r="D112" i="61"/>
  <c r="F112" i="76"/>
  <c r="C112" i="61"/>
  <c r="E112" i="76"/>
  <c r="E111" i="61"/>
  <c r="D111"/>
  <c r="C111"/>
  <c r="E111" i="76"/>
  <c r="E100" i="61"/>
  <c r="D100"/>
  <c r="F100" i="76" s="1"/>
  <c r="H100" s="1"/>
  <c r="C100" i="61"/>
  <c r="E100" i="76" s="1"/>
  <c r="E99" i="61"/>
  <c r="D99"/>
  <c r="F99" i="76"/>
  <c r="C99" i="61"/>
  <c r="E99" i="76"/>
  <c r="E98" i="61"/>
  <c r="D98"/>
  <c r="F98" i="76" s="1"/>
  <c r="H98" s="1"/>
  <c r="C98" i="61"/>
  <c r="E98" i="76" s="1"/>
  <c r="E97" i="61"/>
  <c r="D97"/>
  <c r="F97" i="76" s="1"/>
  <c r="C97" i="61"/>
  <c r="E97" i="76"/>
  <c r="E96" i="61"/>
  <c r="D96"/>
  <c r="F96" i="76" s="1"/>
  <c r="H96" s="1"/>
  <c r="C96" i="61"/>
  <c r="E96" i="76" s="1"/>
  <c r="E95" i="61"/>
  <c r="D95"/>
  <c r="F95" i="76"/>
  <c r="F230" s="1"/>
  <c r="C95" i="61"/>
  <c r="E95" i="76" s="1"/>
  <c r="E93" i="61"/>
  <c r="D93"/>
  <c r="C93"/>
  <c r="E93" i="76"/>
  <c r="E92" i="61"/>
  <c r="D92"/>
  <c r="F92" i="76" s="1"/>
  <c r="C92" i="61"/>
  <c r="E92" i="76"/>
  <c r="E91" i="61"/>
  <c r="D91"/>
  <c r="F91" i="76"/>
  <c r="C91" i="61"/>
  <c r="E90"/>
  <c r="D90"/>
  <c r="F90" i="76"/>
  <c r="C90" i="61"/>
  <c r="E90" i="76"/>
  <c r="E89" i="61"/>
  <c r="D89"/>
  <c r="C89"/>
  <c r="E85"/>
  <c r="D85"/>
  <c r="F85" i="76"/>
  <c r="C85" i="61"/>
  <c r="E85" i="76"/>
  <c r="E84" i="61"/>
  <c r="D84"/>
  <c r="C84"/>
  <c r="E84" i="76"/>
  <c r="E83" i="61"/>
  <c r="D83"/>
  <c r="F83" i="76"/>
  <c r="C83" i="61"/>
  <c r="E83" i="76"/>
  <c r="E82" i="61"/>
  <c r="E29" i="68" s="1"/>
  <c r="D82" i="61"/>
  <c r="F82" i="76"/>
  <c r="H82" s="1"/>
  <c r="C82" i="61"/>
  <c r="E82" i="76" s="1"/>
  <c r="E81" i="61"/>
  <c r="E28" i="68"/>
  <c r="D81" i="61"/>
  <c r="F81" i="76" s="1"/>
  <c r="C81" i="61"/>
  <c r="E81" i="76"/>
  <c r="E80" i="61"/>
  <c r="E27" i="68" s="1"/>
  <c r="D80" i="61"/>
  <c r="F80" i="76"/>
  <c r="C80" i="61"/>
  <c r="E80" i="76" s="1"/>
  <c r="E223" s="1"/>
  <c r="E78" i="61"/>
  <c r="E25" i="68"/>
  <c r="F25" s="1"/>
  <c r="D78" i="61"/>
  <c r="F78" i="76" s="1"/>
  <c r="C78" i="61"/>
  <c r="E78" i="76"/>
  <c r="E77" i="61"/>
  <c r="E24" i="68" s="1"/>
  <c r="F24" s="1"/>
  <c r="D77" i="61"/>
  <c r="F77" i="76"/>
  <c r="C77" i="61"/>
  <c r="E77" i="76" s="1"/>
  <c r="E76" i="61"/>
  <c r="D76"/>
  <c r="C76"/>
  <c r="E76" i="76"/>
  <c r="E75" i="61"/>
  <c r="D75"/>
  <c r="F75" i="76"/>
  <c r="C75" i="61"/>
  <c r="E75" i="76" s="1"/>
  <c r="E74" i="61"/>
  <c r="E21" i="68"/>
  <c r="D74" i="61"/>
  <c r="C74"/>
  <c r="E74" i="76" s="1"/>
  <c r="E69" i="61"/>
  <c r="G274" i="118"/>
  <c r="H274" s="1"/>
  <c r="D69" i="61"/>
  <c r="F69" i="76"/>
  <c r="C69" i="61"/>
  <c r="E68"/>
  <c r="G264" i="118" s="1"/>
  <c r="H264" s="1"/>
  <c r="D68" i="61"/>
  <c r="F68" i="76" s="1"/>
  <c r="C68" i="61"/>
  <c r="E68" i="76"/>
  <c r="E67" i="61"/>
  <c r="G263" i="118" s="1"/>
  <c r="H263" s="1"/>
  <c r="D67" i="61"/>
  <c r="C67"/>
  <c r="E67" i="76" s="1"/>
  <c r="E66" i="61"/>
  <c r="D66"/>
  <c r="F66" i="76"/>
  <c r="C66" i="61"/>
  <c r="E66" i="76" s="1"/>
  <c r="E65" i="61"/>
  <c r="G261" i="118"/>
  <c r="H261" s="1"/>
  <c r="D65" i="61"/>
  <c r="C65"/>
  <c r="E63"/>
  <c r="D63"/>
  <c r="F63" i="76"/>
  <c r="C63" i="61"/>
  <c r="E63" i="76" s="1"/>
  <c r="E62" i="61"/>
  <c r="G231" i="118"/>
  <c r="H231" s="1"/>
  <c r="D62" i="61"/>
  <c r="F62" i="76"/>
  <c r="C62" i="61"/>
  <c r="E62" i="76" s="1"/>
  <c r="E61" i="61"/>
  <c r="G230" i="118" s="1"/>
  <c r="H230"/>
  <c r="D61" i="61"/>
  <c r="F61" i="76"/>
  <c r="C61" i="61"/>
  <c r="E61" i="76"/>
  <c r="E60" i="61"/>
  <c r="G228" i="118" s="1"/>
  <c r="H228" s="1"/>
  <c r="D60" i="61"/>
  <c r="C60"/>
  <c r="E60" i="76" s="1"/>
  <c r="E59" i="61"/>
  <c r="D59"/>
  <c r="C59"/>
  <c r="E57"/>
  <c r="D57"/>
  <c r="F57" i="76"/>
  <c r="H57" s="1"/>
  <c r="C57" i="61"/>
  <c r="E57" i="76"/>
  <c r="E56" i="61"/>
  <c r="G75" i="118"/>
  <c r="H75" s="1"/>
  <c r="D56" i="61"/>
  <c r="F56" i="76" s="1"/>
  <c r="C56" i="61"/>
  <c r="E56" i="76" s="1"/>
  <c r="E55" i="61"/>
  <c r="G64" i="118" s="1"/>
  <c r="H64"/>
  <c r="D55" i="61"/>
  <c r="F55" i="76"/>
  <c r="C55" i="61"/>
  <c r="E55" i="76"/>
  <c r="E54" i="61"/>
  <c r="G53" i="118" s="1"/>
  <c r="H53" s="1"/>
  <c r="D54" i="61"/>
  <c r="F54" i="76" s="1"/>
  <c r="H54" s="1"/>
  <c r="C54" i="61"/>
  <c r="E54" i="76" s="1"/>
  <c r="E53" i="61"/>
  <c r="D53"/>
  <c r="F53" i="76"/>
  <c r="C53" i="61"/>
  <c r="E52"/>
  <c r="D52"/>
  <c r="F52" i="76"/>
  <c r="C52" i="61"/>
  <c r="E52" i="76" s="1"/>
  <c r="E49" i="61"/>
  <c r="G248" i="118"/>
  <c r="H248" s="1"/>
  <c r="D49" i="61"/>
  <c r="F49" i="76"/>
  <c r="C49" i="61"/>
  <c r="E48"/>
  <c r="G238" i="118" s="1"/>
  <c r="H238" s="1"/>
  <c r="D48" i="61"/>
  <c r="F48" i="76"/>
  <c r="C48" i="61"/>
  <c r="E48" i="76"/>
  <c r="E47" i="61"/>
  <c r="G237" i="118" s="1"/>
  <c r="H237" s="1"/>
  <c r="D47" i="61"/>
  <c r="C47"/>
  <c r="E47" i="76" s="1"/>
  <c r="E46" i="61"/>
  <c r="D46"/>
  <c r="F46" i="76"/>
  <c r="C46" i="61"/>
  <c r="E46" i="76" s="1"/>
  <c r="E45" i="61"/>
  <c r="G235" i="118"/>
  <c r="H235" s="1"/>
  <c r="D45" i="61"/>
  <c r="F45" i="76"/>
  <c r="C45" i="61"/>
  <c r="E45" i="76" s="1"/>
  <c r="E43" i="61"/>
  <c r="G222" i="118" s="1"/>
  <c r="H222"/>
  <c r="D43" i="61"/>
  <c r="F43" i="76"/>
  <c r="C43" i="61"/>
  <c r="E43" i="76"/>
  <c r="E42" i="61"/>
  <c r="G221" i="118" s="1"/>
  <c r="H221" s="1"/>
  <c r="D42" i="61"/>
  <c r="F42" i="76" s="1"/>
  <c r="C42" i="61"/>
  <c r="E42" i="76" s="1"/>
  <c r="E41" i="61"/>
  <c r="D41"/>
  <c r="F41" i="76"/>
  <c r="C41" i="61"/>
  <c r="E41" i="76" s="1"/>
  <c r="E40" i="61"/>
  <c r="G212" i="118"/>
  <c r="H212" s="1"/>
  <c r="D40" i="61"/>
  <c r="F40" i="76"/>
  <c r="C40" i="61"/>
  <c r="E40" i="76" s="1"/>
  <c r="E39" i="61"/>
  <c r="G205" i="118" s="1"/>
  <c r="H205" s="1"/>
  <c r="D39" i="61"/>
  <c r="F39" i="76"/>
  <c r="C39" i="61"/>
  <c r="E39" i="76"/>
  <c r="E38" i="61"/>
  <c r="G204" i="118" s="1"/>
  <c r="H204" s="1"/>
  <c r="D38" i="61"/>
  <c r="C38"/>
  <c r="E38" i="76" s="1"/>
  <c r="E37" i="61"/>
  <c r="D37"/>
  <c r="F37" i="76"/>
  <c r="C37" i="61"/>
  <c r="E37" i="76" s="1"/>
  <c r="E36" i="61"/>
  <c r="G196" i="118"/>
  <c r="H196" s="1"/>
  <c r="D36" i="61"/>
  <c r="F36" i="76"/>
  <c r="C36" i="61"/>
  <c r="E36" i="76" s="1"/>
  <c r="E35" i="61"/>
  <c r="G194" i="118" s="1"/>
  <c r="H194"/>
  <c r="D35" i="61"/>
  <c r="F35" i="76"/>
  <c r="C35" i="61"/>
  <c r="E35" i="76"/>
  <c r="E34" i="61"/>
  <c r="G191" i="118" s="1"/>
  <c r="H191" s="1"/>
  <c r="D34" i="61"/>
  <c r="C34"/>
  <c r="E34" i="76" s="1"/>
  <c r="E33" i="61"/>
  <c r="D33"/>
  <c r="C33"/>
  <c r="E31"/>
  <c r="G170" i="118" s="1"/>
  <c r="H170" s="1"/>
  <c r="D31" i="61"/>
  <c r="C31"/>
  <c r="E31" i="76" s="1"/>
  <c r="E30" i="61"/>
  <c r="D30"/>
  <c r="F30" i="76"/>
  <c r="C30" i="61"/>
  <c r="E30" i="76" s="1"/>
  <c r="E29" i="61"/>
  <c r="G114" i="118"/>
  <c r="H114" s="1"/>
  <c r="D29" i="61"/>
  <c r="F29" i="76" s="1"/>
  <c r="H29" s="1"/>
  <c r="C29" i="61"/>
  <c r="E28"/>
  <c r="G109" i="118" s="1"/>
  <c r="H109"/>
  <c r="D28" i="61"/>
  <c r="F28" i="76" s="1"/>
  <c r="C28" i="61"/>
  <c r="E28" i="76"/>
  <c r="E27" i="61"/>
  <c r="G99" i="118" s="1"/>
  <c r="H99" s="1"/>
  <c r="D27" i="61"/>
  <c r="C27"/>
  <c r="E27" i="76" s="1"/>
  <c r="E26" i="61"/>
  <c r="D26"/>
  <c r="F26" i="76"/>
  <c r="C26" i="61"/>
  <c r="E24"/>
  <c r="D24"/>
  <c r="C24"/>
  <c r="E23"/>
  <c r="G39" i="118" s="1"/>
  <c r="H39" s="1"/>
  <c r="D23" i="61"/>
  <c r="F23" i="76"/>
  <c r="C23" i="61"/>
  <c r="E23" i="76"/>
  <c r="E22" i="61"/>
  <c r="G28" i="118" s="1"/>
  <c r="H28" s="1"/>
  <c r="D22" i="61"/>
  <c r="C22"/>
  <c r="E22" i="76" s="1"/>
  <c r="E21" i="61"/>
  <c r="D21"/>
  <c r="F21" i="76"/>
  <c r="C21" i="61"/>
  <c r="E21" i="76" s="1"/>
  <c r="E20" i="61"/>
  <c r="G16" i="118"/>
  <c r="H16" s="1"/>
  <c r="D20" i="61"/>
  <c r="F20" i="76"/>
  <c r="C20" i="61"/>
  <c r="E20" i="76" s="1"/>
  <c r="E19" i="61"/>
  <c r="G15" i="118" s="1"/>
  <c r="H15"/>
  <c r="D19" i="61"/>
  <c r="F19" i="76"/>
  <c r="C19" i="61"/>
  <c r="E19" i="76"/>
  <c r="E18" i="61"/>
  <c r="G13" i="118" s="1"/>
  <c r="H13" s="1"/>
  <c r="D18" i="61"/>
  <c r="C18"/>
  <c r="E18" i="76" s="1"/>
  <c r="E17" i="61"/>
  <c r="I94" i="77" s="1"/>
  <c r="J94" s="1"/>
  <c r="D17" i="61"/>
  <c r="C17"/>
  <c r="E16"/>
  <c r="D16"/>
  <c r="C16"/>
  <c r="E16" i="76" s="1"/>
  <c r="E15" i="61"/>
  <c r="D15"/>
  <c r="F15" i="76" s="1"/>
  <c r="C15" i="61"/>
  <c r="E15" i="76"/>
  <c r="E14" i="61"/>
  <c r="D14"/>
  <c r="F14" i="76" s="1"/>
  <c r="C14" i="61"/>
  <c r="E14" i="76" s="1"/>
  <c r="E13" i="61"/>
  <c r="D13"/>
  <c r="C13"/>
  <c r="C25" i="74"/>
  <c r="D12"/>
  <c r="D25"/>
  <c r="C12"/>
  <c r="F12"/>
  <c r="F25"/>
  <c r="E12"/>
  <c r="E25"/>
  <c r="H12"/>
  <c r="G12"/>
  <c r="I12"/>
  <c r="E48" i="73"/>
  <c r="E47"/>
  <c r="E46"/>
  <c r="E45"/>
  <c r="E15"/>
  <c r="E13"/>
  <c r="E11"/>
  <c r="E9"/>
  <c r="F48"/>
  <c r="H48"/>
  <c r="F47"/>
  <c r="H47"/>
  <c r="F46"/>
  <c r="H46"/>
  <c r="F45"/>
  <c r="L45"/>
  <c r="F15"/>
  <c r="F13"/>
  <c r="F11"/>
  <c r="F9"/>
  <c r="G44"/>
  <c r="G15"/>
  <c r="G13"/>
  <c r="G11"/>
  <c r="G9"/>
  <c r="AL311" i="84"/>
  <c r="AI113"/>
  <c r="AI266"/>
  <c r="AI312"/>
  <c r="AH14"/>
  <c r="AH22"/>
  <c r="AH30"/>
  <c r="AH38"/>
  <c r="AH47"/>
  <c r="AH55"/>
  <c r="AH63"/>
  <c r="AH71"/>
  <c r="AH79"/>
  <c r="AH89"/>
  <c r="AH102"/>
  <c r="AH111"/>
  <c r="AH155"/>
  <c r="AF104"/>
  <c r="G31"/>
  <c r="G39"/>
  <c r="G48"/>
  <c r="G56"/>
  <c r="G64"/>
  <c r="G81"/>
  <c r="F108" i="78"/>
  <c r="W292" i="84"/>
  <c r="H151"/>
  <c r="H183"/>
  <c r="H191"/>
  <c r="H207"/>
  <c r="H216"/>
  <c r="H224"/>
  <c r="H240"/>
  <c r="H262"/>
  <c r="H272"/>
  <c r="H283"/>
  <c r="G8"/>
  <c r="G16"/>
  <c r="G24"/>
  <c r="G32"/>
  <c r="G40"/>
  <c r="G49"/>
  <c r="G57"/>
  <c r="G65"/>
  <c r="G73"/>
  <c r="G82"/>
  <c r="G95"/>
  <c r="G116"/>
  <c r="G129"/>
  <c r="G145"/>
  <c r="G181"/>
  <c r="G189"/>
  <c r="G197"/>
  <c r="G205"/>
  <c r="M35" i="78"/>
  <c r="G69"/>
  <c r="AL317" i="84"/>
  <c r="AJ287"/>
  <c r="O292"/>
  <c r="H134"/>
  <c r="H152"/>
  <c r="H176"/>
  <c r="H184"/>
  <c r="H217"/>
  <c r="H225"/>
  <c r="H233"/>
  <c r="H251"/>
  <c r="H263"/>
  <c r="H273"/>
  <c r="L322"/>
  <c r="G17"/>
  <c r="G25"/>
  <c r="G33"/>
  <c r="G41"/>
  <c r="G50"/>
  <c r="G58"/>
  <c r="G66"/>
  <c r="G74"/>
  <c r="G84"/>
  <c r="G96"/>
  <c r="G106"/>
  <c r="K121"/>
  <c r="G130"/>
  <c r="G174"/>
  <c r="G182"/>
  <c r="G190"/>
  <c r="G198"/>
  <c r="G206"/>
  <c r="AP112"/>
  <c r="AX326"/>
  <c r="AH305"/>
  <c r="H148" i="85"/>
  <c r="H218" s="1"/>
  <c r="U148"/>
  <c r="U218" s="1"/>
  <c r="Q148"/>
  <c r="G148"/>
  <c r="R148"/>
  <c r="I148"/>
  <c r="P148"/>
  <c r="N148"/>
  <c r="N218" s="1"/>
  <c r="O148"/>
  <c r="F148"/>
  <c r="M148"/>
  <c r="M218" s="1"/>
  <c r="E148"/>
  <c r="L148"/>
  <c r="D148"/>
  <c r="V113"/>
  <c r="V69"/>
  <c r="AV259" i="84"/>
  <c r="AV327"/>
  <c r="AQ161"/>
  <c r="AN113"/>
  <c r="AN306"/>
  <c r="AM161"/>
  <c r="AL177"/>
  <c r="AL185"/>
  <c r="AL193"/>
  <c r="AL201"/>
  <c r="AL209"/>
  <c r="AL218"/>
  <c r="AL226"/>
  <c r="AL234"/>
  <c r="AL242"/>
  <c r="AL252"/>
  <c r="AL264"/>
  <c r="AL274"/>
  <c r="AL285"/>
  <c r="AL300"/>
  <c r="T93"/>
  <c r="O259"/>
  <c r="H99"/>
  <c r="H109"/>
  <c r="H120"/>
  <c r="H153"/>
  <c r="H177"/>
  <c r="H185"/>
  <c r="H193"/>
  <c r="H201"/>
  <c r="H209"/>
  <c r="H218"/>
  <c r="H226"/>
  <c r="H234"/>
  <c r="H264"/>
  <c r="H274"/>
  <c r="H285"/>
  <c r="H300"/>
  <c r="H318"/>
  <c r="G10"/>
  <c r="G18"/>
  <c r="G26"/>
  <c r="G34"/>
  <c r="G42"/>
  <c r="G51"/>
  <c r="G59"/>
  <c r="G67"/>
  <c r="G75"/>
  <c r="G97"/>
  <c r="G100"/>
  <c r="G107"/>
  <c r="G118"/>
  <c r="G133"/>
  <c r="K156"/>
  <c r="AU292"/>
  <c r="AR149"/>
  <c r="AQ93"/>
  <c r="AB327"/>
  <c r="AA279"/>
  <c r="X327"/>
  <c r="W279"/>
  <c r="T140"/>
  <c r="T327"/>
  <c r="R160"/>
  <c r="O113"/>
  <c r="O306"/>
  <c r="N15"/>
  <c r="N23"/>
  <c r="N31"/>
  <c r="N39"/>
  <c r="N48"/>
  <c r="N56"/>
  <c r="N64"/>
  <c r="N72"/>
  <c r="N103"/>
  <c r="N115"/>
  <c r="N128"/>
  <c r="N180"/>
  <c r="N188"/>
  <c r="N196"/>
  <c r="N204"/>
  <c r="N213"/>
  <c r="N229"/>
  <c r="N237"/>
  <c r="N245"/>
  <c r="N255"/>
  <c r="Z112"/>
  <c r="Z146"/>
  <c r="AP123"/>
  <c r="AT112"/>
  <c r="AT146"/>
  <c r="AX305"/>
  <c r="AH278"/>
  <c r="AH312"/>
  <c r="AD305"/>
  <c r="Z324"/>
  <c r="V314"/>
  <c r="R270"/>
  <c r="AV306"/>
  <c r="AH152"/>
  <c r="AE279"/>
  <c r="AE315"/>
  <c r="AA126"/>
  <c r="W315"/>
  <c r="G219"/>
  <c r="G227"/>
  <c r="G235"/>
  <c r="G243"/>
  <c r="G253"/>
  <c r="G265"/>
  <c r="G275"/>
  <c r="G286"/>
  <c r="AX303"/>
  <c r="AD303"/>
  <c r="I78" i="85"/>
  <c r="I218" s="1"/>
  <c r="P78"/>
  <c r="H78"/>
  <c r="G78"/>
  <c r="G218"/>
  <c r="U78"/>
  <c r="R78"/>
  <c r="Q78"/>
  <c r="E78"/>
  <c r="E218" s="1"/>
  <c r="K78"/>
  <c r="N78"/>
  <c r="F78"/>
  <c r="F218" s="1"/>
  <c r="O78"/>
  <c r="O218" s="1"/>
  <c r="V139"/>
  <c r="V90" i="84"/>
  <c r="Z148"/>
  <c r="AD104"/>
  <c r="AL92"/>
  <c r="AL137"/>
  <c r="AP125"/>
  <c r="AP158"/>
  <c r="AT148"/>
  <c r="AX270"/>
  <c r="AT258"/>
  <c r="AT303"/>
  <c r="AP291"/>
  <c r="AP324"/>
  <c r="AH314"/>
  <c r="AD270"/>
  <c r="AD309"/>
  <c r="Z258"/>
  <c r="Z303"/>
  <c r="Z326"/>
  <c r="V289"/>
  <c r="R278"/>
  <c r="C8" i="85"/>
  <c r="J8" s="1"/>
  <c r="G214" i="84"/>
  <c r="G222"/>
  <c r="G230"/>
  <c r="G238"/>
  <c r="G246"/>
  <c r="G269"/>
  <c r="G290"/>
  <c r="G291"/>
  <c r="V92"/>
  <c r="V137"/>
  <c r="Z123"/>
  <c r="AD112"/>
  <c r="AD146"/>
  <c r="AL139"/>
  <c r="AT123"/>
  <c r="AX278"/>
  <c r="AT305"/>
  <c r="AP326"/>
  <c r="V291"/>
  <c r="V324"/>
  <c r="R314"/>
  <c r="R8" i="85"/>
  <c r="H8"/>
  <c r="U8"/>
  <c r="Q8"/>
  <c r="I8"/>
  <c r="G8"/>
  <c r="N8"/>
  <c r="F8"/>
  <c r="P8"/>
  <c r="M8"/>
  <c r="K8"/>
  <c r="S8" s="1"/>
  <c r="T8" s="1"/>
  <c r="E8"/>
  <c r="V61"/>
  <c r="G215" i="84"/>
  <c r="G223"/>
  <c r="G231"/>
  <c r="G239"/>
  <c r="G248"/>
  <c r="G261"/>
  <c r="G271"/>
  <c r="G282"/>
  <c r="G308"/>
  <c r="G309"/>
  <c r="V139"/>
  <c r="AP258"/>
  <c r="AP303"/>
  <c r="V103" i="85"/>
  <c r="V21"/>
  <c r="C78"/>
  <c r="L78"/>
  <c r="L218"/>
  <c r="M78"/>
  <c r="K312" i="84"/>
  <c r="V131" i="85"/>
  <c r="V271"/>
  <c r="V266"/>
  <c r="V43"/>
  <c r="O8"/>
  <c r="H112" i="78"/>
  <c r="H25" i="74"/>
  <c r="J25"/>
  <c r="J12"/>
  <c r="G25"/>
  <c r="F139" i="76"/>
  <c r="X348" i="116"/>
  <c r="Y348"/>
  <c r="M27" i="68"/>
  <c r="N27" s="1"/>
  <c r="I68" i="77"/>
  <c r="J68"/>
  <c r="G11" i="118"/>
  <c r="H11"/>
  <c r="E10" i="68"/>
  <c r="AA337" i="116"/>
  <c r="AB337"/>
  <c r="E31" i="68"/>
  <c r="G35" i="120"/>
  <c r="H35"/>
  <c r="M23" i="68"/>
  <c r="G25" i="119"/>
  <c r="H25"/>
  <c r="M32" i="68"/>
  <c r="G44" i="119"/>
  <c r="H44" s="1"/>
  <c r="G24" i="120"/>
  <c r="H24"/>
  <c r="I26" i="77"/>
  <c r="J26" s="1"/>
  <c r="G6" i="118"/>
  <c r="H6"/>
  <c r="F24" i="76"/>
  <c r="X337" i="116"/>
  <c r="Y337" s="1"/>
  <c r="F170" i="76"/>
  <c r="X351" i="116"/>
  <c r="Y351"/>
  <c r="K42" i="79"/>
  <c r="L42" s="1"/>
  <c r="M29" i="68"/>
  <c r="F111" i="76"/>
  <c r="X344" i="116"/>
  <c r="Y344"/>
  <c r="F138" i="76"/>
  <c r="I14" i="79"/>
  <c r="F175" i="76"/>
  <c r="I42" i="79"/>
  <c r="J42" s="1"/>
  <c r="M26" i="68"/>
  <c r="G28" i="119"/>
  <c r="H28"/>
  <c r="G9" i="120"/>
  <c r="H9"/>
  <c r="G10" i="118"/>
  <c r="H10" s="1"/>
  <c r="I134" i="77"/>
  <c r="G51" i="118"/>
  <c r="H51"/>
  <c r="F117" i="76"/>
  <c r="X346" i="116"/>
  <c r="Y346"/>
  <c r="M22" i="68"/>
  <c r="G24" i="119"/>
  <c r="H24" s="1"/>
  <c r="G23" i="120"/>
  <c r="F160" i="76"/>
  <c r="X350" i="116"/>
  <c r="Y350"/>
  <c r="L106" i="78"/>
  <c r="F169" i="76"/>
  <c r="I38" i="79"/>
  <c r="J38"/>
  <c r="M28" i="68"/>
  <c r="G30" i="119"/>
  <c r="H30"/>
  <c r="E32" i="68"/>
  <c r="G36" i="120"/>
  <c r="H36" s="1"/>
  <c r="F145" i="76"/>
  <c r="I34" i="79"/>
  <c r="M24" i="68"/>
  <c r="I32" i="77"/>
  <c r="J32"/>
  <c r="G7" i="118"/>
  <c r="H7"/>
  <c r="F115" i="76"/>
  <c r="X345" i="116"/>
  <c r="Y345"/>
  <c r="M21" i="68"/>
  <c r="G11" i="119"/>
  <c r="H11"/>
  <c r="M30" i="68"/>
  <c r="G42" i="119"/>
  <c r="H42" s="1"/>
  <c r="G21" i="120"/>
  <c r="V141" i="85"/>
  <c r="V143"/>
  <c r="AB259" i="84"/>
  <c r="AD259"/>
  <c r="Z256"/>
  <c r="N254"/>
  <c r="X259"/>
  <c r="H252"/>
  <c r="AP256"/>
  <c r="H232"/>
  <c r="AL200"/>
  <c r="H200"/>
  <c r="H199"/>
  <c r="H192"/>
  <c r="N221"/>
  <c r="AF259"/>
  <c r="H242"/>
  <c r="AL241"/>
  <c r="H241"/>
  <c r="H208"/>
  <c r="N210"/>
  <c r="N55"/>
  <c r="AH81"/>
  <c r="R90"/>
  <c r="N81"/>
  <c r="R83"/>
  <c r="N265"/>
  <c r="N268"/>
  <c r="P279"/>
  <c r="Z104"/>
  <c r="H284"/>
  <c r="N285"/>
  <c r="AL297"/>
  <c r="H297"/>
  <c r="H296"/>
  <c r="Q315"/>
  <c r="R309"/>
  <c r="U161"/>
  <c r="V161"/>
  <c r="V156"/>
  <c r="AC113"/>
  <c r="AD113"/>
  <c r="AD100"/>
  <c r="AO161"/>
  <c r="AP156"/>
  <c r="AW279"/>
  <c r="AX279"/>
  <c r="AX266"/>
  <c r="AS306"/>
  <c r="AT301"/>
  <c r="V158"/>
  <c r="AQ279"/>
  <c r="AH36"/>
  <c r="AH69"/>
  <c r="AH134"/>
  <c r="X93"/>
  <c r="H34"/>
  <c r="H75"/>
  <c r="L249"/>
  <c r="K322"/>
  <c r="V125"/>
  <c r="AD139"/>
  <c r="AL90"/>
  <c r="AL160"/>
  <c r="AT256"/>
  <c r="AT326"/>
  <c r="AP289"/>
  <c r="AO327"/>
  <c r="Z291"/>
  <c r="V278"/>
  <c r="U315"/>
  <c r="R305"/>
  <c r="Y126"/>
  <c r="Z121"/>
  <c r="AW315"/>
  <c r="AX309"/>
  <c r="AK258"/>
  <c r="AL258"/>
  <c r="AL257"/>
  <c r="Y149"/>
  <c r="Z143"/>
  <c r="AK93"/>
  <c r="AL93"/>
  <c r="AL83"/>
  <c r="AO126"/>
  <c r="AP121"/>
  <c r="AS149"/>
  <c r="AT149"/>
  <c r="AT143"/>
  <c r="AO292"/>
  <c r="AP287"/>
  <c r="AC306"/>
  <c r="AD306"/>
  <c r="AD301"/>
  <c r="AH12"/>
  <c r="AH53"/>
  <c r="AH87"/>
  <c r="X161"/>
  <c r="H42"/>
  <c r="H107"/>
  <c r="L256"/>
  <c r="AN315"/>
  <c r="AL181"/>
  <c r="AL222"/>
  <c r="AH11"/>
  <c r="AH19"/>
  <c r="AH27"/>
  <c r="AH35"/>
  <c r="AH43"/>
  <c r="AH52"/>
  <c r="AH60"/>
  <c r="AH68"/>
  <c r="AH76"/>
  <c r="AH86"/>
  <c r="AH97"/>
  <c r="AH107"/>
  <c r="AH118"/>
  <c r="AH133"/>
  <c r="AH151"/>
  <c r="AF146"/>
  <c r="AF149"/>
  <c r="AF292"/>
  <c r="AE306"/>
  <c r="AA306"/>
  <c r="W306"/>
  <c r="T126"/>
  <c r="T279"/>
  <c r="S140"/>
  <c r="S292"/>
  <c r="S327"/>
  <c r="R112"/>
  <c r="P306"/>
  <c r="O161"/>
  <c r="O315"/>
  <c r="N11"/>
  <c r="N19"/>
  <c r="N27"/>
  <c r="N35"/>
  <c r="N43"/>
  <c r="N52"/>
  <c r="N60"/>
  <c r="N68"/>
  <c r="N76"/>
  <c r="N86"/>
  <c r="N98"/>
  <c r="N108"/>
  <c r="N119"/>
  <c r="N134"/>
  <c r="N152"/>
  <c r="N176"/>
  <c r="N184"/>
  <c r="N192"/>
  <c r="N200"/>
  <c r="N208"/>
  <c r="N217"/>
  <c r="N225"/>
  <c r="N233"/>
  <c r="N241"/>
  <c r="N251"/>
  <c r="N263"/>
  <c r="N273"/>
  <c r="N284"/>
  <c r="N297"/>
  <c r="N317"/>
  <c r="H9"/>
  <c r="H17"/>
  <c r="H25"/>
  <c r="H33"/>
  <c r="H41"/>
  <c r="H50"/>
  <c r="H58"/>
  <c r="H66"/>
  <c r="H74"/>
  <c r="L90"/>
  <c r="H96"/>
  <c r="H106"/>
  <c r="H117"/>
  <c r="H174"/>
  <c r="H182"/>
  <c r="H190"/>
  <c r="H198"/>
  <c r="H206"/>
  <c r="H215"/>
  <c r="H223"/>
  <c r="H231"/>
  <c r="H239"/>
  <c r="H248"/>
  <c r="H261"/>
  <c r="H271"/>
  <c r="H282"/>
  <c r="H295"/>
  <c r="H325"/>
  <c r="H326"/>
  <c r="G103"/>
  <c r="G115"/>
  <c r="G180"/>
  <c r="G188"/>
  <c r="G196"/>
  <c r="G204"/>
  <c r="G213"/>
  <c r="G221"/>
  <c r="G229"/>
  <c r="G237"/>
  <c r="G245"/>
  <c r="G255"/>
  <c r="G268"/>
  <c r="G319"/>
  <c r="G151"/>
  <c r="V123"/>
  <c r="AD92"/>
  <c r="AD137"/>
  <c r="AL125"/>
  <c r="AL158"/>
  <c r="AP148"/>
  <c r="AT104"/>
  <c r="AX258"/>
  <c r="AT291"/>
  <c r="AT324"/>
  <c r="AP314"/>
  <c r="AH270"/>
  <c r="AH309"/>
  <c r="AD258"/>
  <c r="AD326"/>
  <c r="Z289"/>
  <c r="V270"/>
  <c r="V309"/>
  <c r="R258"/>
  <c r="R303"/>
  <c r="M104"/>
  <c r="N101"/>
  <c r="M139"/>
  <c r="N139"/>
  <c r="N138"/>
  <c r="M303"/>
  <c r="N303"/>
  <c r="N302"/>
  <c r="AK278"/>
  <c r="AL278"/>
  <c r="AL277"/>
  <c r="AK291"/>
  <c r="AL291"/>
  <c r="AL290"/>
  <c r="AK309"/>
  <c r="AL309"/>
  <c r="AL308"/>
  <c r="AG148"/>
  <c r="AH148"/>
  <c r="AH147"/>
  <c r="Q113"/>
  <c r="R104"/>
  <c r="U126"/>
  <c r="V126"/>
  <c r="V121"/>
  <c r="Y113"/>
  <c r="Z100"/>
  <c r="AK161"/>
  <c r="AL156"/>
  <c r="AS113"/>
  <c r="AT100"/>
  <c r="AW306"/>
  <c r="AX306"/>
  <c r="AX301"/>
  <c r="AS327"/>
  <c r="AT322"/>
  <c r="AG279"/>
  <c r="AH266"/>
  <c r="Y292"/>
  <c r="Z287"/>
  <c r="H11"/>
  <c r="H27"/>
  <c r="H43"/>
  <c r="H60"/>
  <c r="H76"/>
  <c r="H119"/>
  <c r="G321"/>
  <c r="AH20"/>
  <c r="AH98"/>
  <c r="O93"/>
  <c r="H26"/>
  <c r="H51"/>
  <c r="H97"/>
  <c r="H118"/>
  <c r="AN161"/>
  <c r="AL189"/>
  <c r="AL238"/>
  <c r="AM259"/>
  <c r="AL188"/>
  <c r="AL204"/>
  <c r="AL221"/>
  <c r="AL229"/>
  <c r="AL237"/>
  <c r="AL245"/>
  <c r="AL255"/>
  <c r="AL268"/>
  <c r="AL321"/>
  <c r="AI93"/>
  <c r="AH10"/>
  <c r="AH18"/>
  <c r="AH26"/>
  <c r="AH34"/>
  <c r="AH42"/>
  <c r="AH51"/>
  <c r="AH59"/>
  <c r="AH67"/>
  <c r="AH75"/>
  <c r="AH85"/>
  <c r="AH96"/>
  <c r="AH106"/>
  <c r="AH117"/>
  <c r="AH130"/>
  <c r="AB161"/>
  <c r="AB315"/>
  <c r="AA259"/>
  <c r="W259"/>
  <c r="W329"/>
  <c r="W327"/>
  <c r="R143"/>
  <c r="N10"/>
  <c r="N18"/>
  <c r="N26"/>
  <c r="N34"/>
  <c r="N42"/>
  <c r="N51"/>
  <c r="N59"/>
  <c r="N67"/>
  <c r="N75"/>
  <c r="N85"/>
  <c r="N97"/>
  <c r="N107"/>
  <c r="N118"/>
  <c r="N151"/>
  <c r="N175"/>
  <c r="N183"/>
  <c r="N191"/>
  <c r="N199"/>
  <c r="N207"/>
  <c r="N216"/>
  <c r="N224"/>
  <c r="N232"/>
  <c r="N240"/>
  <c r="N250"/>
  <c r="N262"/>
  <c r="N272"/>
  <c r="N283"/>
  <c r="N296"/>
  <c r="N313"/>
  <c r="L83"/>
  <c r="H16"/>
  <c r="H24"/>
  <c r="H32"/>
  <c r="H40"/>
  <c r="H49"/>
  <c r="H57"/>
  <c r="H65"/>
  <c r="H73"/>
  <c r="H82"/>
  <c r="L100"/>
  <c r="L112"/>
  <c r="H116"/>
  <c r="H145"/>
  <c r="H181"/>
  <c r="H189"/>
  <c r="H197"/>
  <c r="H205"/>
  <c r="H214"/>
  <c r="H222"/>
  <c r="H230"/>
  <c r="H238"/>
  <c r="H246"/>
  <c r="H269"/>
  <c r="L301"/>
  <c r="L306"/>
  <c r="G14"/>
  <c r="G22"/>
  <c r="G30"/>
  <c r="G38"/>
  <c r="G47"/>
  <c r="G55"/>
  <c r="G63"/>
  <c r="G71"/>
  <c r="G79"/>
  <c r="G89"/>
  <c r="K104"/>
  <c r="G111"/>
  <c r="G124"/>
  <c r="G125"/>
  <c r="G155"/>
  <c r="G179"/>
  <c r="G187"/>
  <c r="G195"/>
  <c r="G203"/>
  <c r="G212"/>
  <c r="G220"/>
  <c r="G228"/>
  <c r="G236"/>
  <c r="G244"/>
  <c r="G254"/>
  <c r="G276"/>
  <c r="G288"/>
  <c r="G289"/>
  <c r="G318"/>
  <c r="V148"/>
  <c r="Z139"/>
  <c r="AD90"/>
  <c r="AC140"/>
  <c r="AD160"/>
  <c r="AL123"/>
  <c r="AP146"/>
  <c r="AT139"/>
  <c r="AX256"/>
  <c r="AT289"/>
  <c r="AP278"/>
  <c r="AD256"/>
  <c r="AD291"/>
  <c r="AD324"/>
  <c r="Z314"/>
  <c r="V305"/>
  <c r="R256"/>
  <c r="R326"/>
  <c r="M123"/>
  <c r="N123"/>
  <c r="N122"/>
  <c r="AG292"/>
  <c r="AH292"/>
  <c r="AH287"/>
  <c r="AK326"/>
  <c r="AL326"/>
  <c r="AL325"/>
  <c r="M137"/>
  <c r="N137"/>
  <c r="N136"/>
  <c r="AK324"/>
  <c r="AL324"/>
  <c r="AL323"/>
  <c r="AK289"/>
  <c r="AL289"/>
  <c r="AL288"/>
  <c r="AK305"/>
  <c r="AL305"/>
  <c r="AL304"/>
  <c r="AG160"/>
  <c r="AH160"/>
  <c r="AH159"/>
  <c r="M148"/>
  <c r="N148"/>
  <c r="N147"/>
  <c r="AK126"/>
  <c r="AL121"/>
  <c r="AO149"/>
  <c r="AP143"/>
  <c r="AW259"/>
  <c r="AX249"/>
  <c r="AS292"/>
  <c r="AT287"/>
  <c r="AC327"/>
  <c r="AD327"/>
  <c r="AD322"/>
  <c r="H108"/>
  <c r="AU279"/>
  <c r="AR292"/>
  <c r="AH44"/>
  <c r="AH77"/>
  <c r="AH108"/>
  <c r="R121"/>
  <c r="H18"/>
  <c r="H67"/>
  <c r="AM113"/>
  <c r="AL197"/>
  <c r="AL214"/>
  <c r="AL230"/>
  <c r="AL246"/>
  <c r="AL281"/>
  <c r="AL294"/>
  <c r="AR315"/>
  <c r="AQ306"/>
  <c r="AL180"/>
  <c r="AL213"/>
  <c r="AU259"/>
  <c r="AQ259"/>
  <c r="AN279"/>
  <c r="AN329"/>
  <c r="AM327"/>
  <c r="AL187"/>
  <c r="AL203"/>
  <c r="AL228"/>
  <c r="AL244"/>
  <c r="AL267"/>
  <c r="AH9"/>
  <c r="AH25"/>
  <c r="AH41"/>
  <c r="AH58"/>
  <c r="AH84"/>
  <c r="AH105"/>
  <c r="AH129"/>
  <c r="AE259"/>
  <c r="AA327"/>
  <c r="T306"/>
  <c r="S161"/>
  <c r="R100"/>
  <c r="P327"/>
  <c r="O279"/>
  <c r="O329"/>
  <c r="N17"/>
  <c r="N33"/>
  <c r="N50"/>
  <c r="N58"/>
  <c r="N74"/>
  <c r="N96"/>
  <c r="N117"/>
  <c r="N182"/>
  <c r="N198"/>
  <c r="N215"/>
  <c r="N223"/>
  <c r="N239"/>
  <c r="N261"/>
  <c r="N282"/>
  <c r="H23"/>
  <c r="H39"/>
  <c r="H56"/>
  <c r="H64"/>
  <c r="H81"/>
  <c r="H103"/>
  <c r="H188"/>
  <c r="H204"/>
  <c r="H221"/>
  <c r="H237"/>
  <c r="H255"/>
  <c r="G13"/>
  <c r="G21"/>
  <c r="G37"/>
  <c r="G46"/>
  <c r="G54"/>
  <c r="G62"/>
  <c r="G70"/>
  <c r="G78"/>
  <c r="G88"/>
  <c r="G297"/>
  <c r="G317"/>
  <c r="G122"/>
  <c r="G123"/>
  <c r="V112"/>
  <c r="Z92"/>
  <c r="Z137"/>
  <c r="AD125"/>
  <c r="AD158"/>
  <c r="AL148"/>
  <c r="AP104"/>
  <c r="AT92"/>
  <c r="AT137"/>
  <c r="AX291"/>
  <c r="AX324"/>
  <c r="AT314"/>
  <c r="AP270"/>
  <c r="AP309"/>
  <c r="AH258"/>
  <c r="AH303"/>
  <c r="AD249"/>
  <c r="AD289"/>
  <c r="Z278"/>
  <c r="V258"/>
  <c r="V303"/>
  <c r="R291"/>
  <c r="R324"/>
  <c r="AK314"/>
  <c r="AL314"/>
  <c r="AL313"/>
  <c r="AO93"/>
  <c r="AP83"/>
  <c r="M326"/>
  <c r="N325"/>
  <c r="AK303"/>
  <c r="AL303"/>
  <c r="AL302"/>
  <c r="AG146"/>
  <c r="AH144"/>
  <c r="AG158"/>
  <c r="AH158"/>
  <c r="AH157"/>
  <c r="M160"/>
  <c r="N160"/>
  <c r="N159"/>
  <c r="M258"/>
  <c r="N258"/>
  <c r="N257"/>
  <c r="M324"/>
  <c r="N324"/>
  <c r="N323"/>
  <c r="AC161"/>
  <c r="AD161"/>
  <c r="AD156"/>
  <c r="AO113"/>
  <c r="AP113"/>
  <c r="AP100"/>
  <c r="AW327"/>
  <c r="AX327"/>
  <c r="AX322"/>
  <c r="AS315"/>
  <c r="AT312"/>
  <c r="AO279"/>
  <c r="AP266"/>
  <c r="AG306"/>
  <c r="AH306"/>
  <c r="AH301"/>
  <c r="AC292"/>
  <c r="AD287"/>
  <c r="AC315"/>
  <c r="AD315"/>
  <c r="AD314"/>
  <c r="H19"/>
  <c r="H35"/>
  <c r="H52"/>
  <c r="H68"/>
  <c r="H86"/>
  <c r="H85"/>
  <c r="AR93"/>
  <c r="AL205"/>
  <c r="AL269"/>
  <c r="AR161"/>
  <c r="AQ113"/>
  <c r="AL196"/>
  <c r="AM292"/>
  <c r="AL179"/>
  <c r="AL195"/>
  <c r="AL212"/>
  <c r="AL220"/>
  <c r="AL236"/>
  <c r="AL254"/>
  <c r="AL276"/>
  <c r="AL320"/>
  <c r="AJ149"/>
  <c r="AI270"/>
  <c r="AI322"/>
  <c r="AI327"/>
  <c r="AH17"/>
  <c r="AH33"/>
  <c r="AH50"/>
  <c r="AH66"/>
  <c r="AH74"/>
  <c r="AH95"/>
  <c r="AH116"/>
  <c r="AH145"/>
  <c r="AA140"/>
  <c r="W140"/>
  <c r="S315"/>
  <c r="R139"/>
  <c r="N9"/>
  <c r="N25"/>
  <c r="N41"/>
  <c r="N66"/>
  <c r="N84"/>
  <c r="N106"/>
  <c r="N174"/>
  <c r="N190"/>
  <c r="N206"/>
  <c r="N231"/>
  <c r="N248"/>
  <c r="N271"/>
  <c r="N295"/>
  <c r="H15"/>
  <c r="H31"/>
  <c r="H48"/>
  <c r="H72"/>
  <c r="N144"/>
  <c r="H180"/>
  <c r="H196"/>
  <c r="H213"/>
  <c r="H229"/>
  <c r="H245"/>
  <c r="H268"/>
  <c r="H290"/>
  <c r="H291"/>
  <c r="G29"/>
  <c r="G154"/>
  <c r="AR279"/>
  <c r="AQ140"/>
  <c r="AN149"/>
  <c r="AM93"/>
  <c r="AL178"/>
  <c r="AL186"/>
  <c r="AL194"/>
  <c r="AL202"/>
  <c r="AL210"/>
  <c r="AL219"/>
  <c r="AL227"/>
  <c r="AL235"/>
  <c r="AL243"/>
  <c r="AL253"/>
  <c r="AL265"/>
  <c r="AL275"/>
  <c r="AL286"/>
  <c r="AJ113"/>
  <c r="AJ266"/>
  <c r="AI126"/>
  <c r="AH8"/>
  <c r="AH16"/>
  <c r="AH24"/>
  <c r="AH32"/>
  <c r="AH40"/>
  <c r="AH49"/>
  <c r="AH57"/>
  <c r="AH65"/>
  <c r="AH73"/>
  <c r="AH82"/>
  <c r="AG92"/>
  <c r="AH92"/>
  <c r="AH103"/>
  <c r="AH115"/>
  <c r="AH128"/>
  <c r="AB279"/>
  <c r="AA93"/>
  <c r="AA292"/>
  <c r="X149"/>
  <c r="W93"/>
  <c r="W163"/>
  <c r="T113"/>
  <c r="S149"/>
  <c r="R92"/>
  <c r="R137"/>
  <c r="P292"/>
  <c r="O149"/>
  <c r="N8"/>
  <c r="N16"/>
  <c r="N24"/>
  <c r="N32"/>
  <c r="N40"/>
  <c r="N49"/>
  <c r="N57"/>
  <c r="N65"/>
  <c r="N73"/>
  <c r="N82"/>
  <c r="N95"/>
  <c r="N105"/>
  <c r="N116"/>
  <c r="N145"/>
  <c r="N181"/>
  <c r="N189"/>
  <c r="N197"/>
  <c r="N205"/>
  <c r="N214"/>
  <c r="N222"/>
  <c r="N230"/>
  <c r="N238"/>
  <c r="N246"/>
  <c r="N269"/>
  <c r="N281"/>
  <c r="N294"/>
  <c r="H14"/>
  <c r="H22"/>
  <c r="H30"/>
  <c r="H38"/>
  <c r="H47"/>
  <c r="H55"/>
  <c r="H63"/>
  <c r="H71"/>
  <c r="H79"/>
  <c r="H89"/>
  <c r="H111"/>
  <c r="H155"/>
  <c r="H179"/>
  <c r="H187"/>
  <c r="H195"/>
  <c r="H203"/>
  <c r="H212"/>
  <c r="H220"/>
  <c r="H228"/>
  <c r="H236"/>
  <c r="H244"/>
  <c r="H254"/>
  <c r="H267"/>
  <c r="H276"/>
  <c r="H320"/>
  <c r="G12"/>
  <c r="G20"/>
  <c r="G28"/>
  <c r="G36"/>
  <c r="G44"/>
  <c r="G53"/>
  <c r="G61"/>
  <c r="G69"/>
  <c r="G77"/>
  <c r="G87"/>
  <c r="G99"/>
  <c r="G109"/>
  <c r="G120"/>
  <c r="G153"/>
  <c r="G177"/>
  <c r="G185"/>
  <c r="G193"/>
  <c r="G201"/>
  <c r="G209"/>
  <c r="G218"/>
  <c r="G226"/>
  <c r="G234"/>
  <c r="G242"/>
  <c r="G252"/>
  <c r="G264"/>
  <c r="G274"/>
  <c r="G285"/>
  <c r="G296"/>
  <c r="V104"/>
  <c r="V143"/>
  <c r="Z90"/>
  <c r="Y140"/>
  <c r="Z160"/>
  <c r="AD123"/>
  <c r="AL112"/>
  <c r="AL146"/>
  <c r="AP139"/>
  <c r="AT90"/>
  <c r="AT160"/>
  <c r="AX289"/>
  <c r="AT278"/>
  <c r="AP305"/>
  <c r="AH256"/>
  <c r="AH326"/>
  <c r="Z270"/>
  <c r="Z309"/>
  <c r="V256"/>
  <c r="V326"/>
  <c r="R289"/>
  <c r="AG137"/>
  <c r="AH137"/>
  <c r="AH136"/>
  <c r="AC149"/>
  <c r="AD149"/>
  <c r="AD143"/>
  <c r="AS126"/>
  <c r="AT121"/>
  <c r="AC279"/>
  <c r="AD266"/>
  <c r="AG125"/>
  <c r="AH125"/>
  <c r="AH124"/>
  <c r="AG143"/>
  <c r="AH143"/>
  <c r="AH142"/>
  <c r="M92"/>
  <c r="N92"/>
  <c r="N91"/>
  <c r="M158"/>
  <c r="N158"/>
  <c r="N157"/>
  <c r="M278"/>
  <c r="N278"/>
  <c r="N277"/>
  <c r="M291"/>
  <c r="N290"/>
  <c r="M309"/>
  <c r="N309"/>
  <c r="N308"/>
  <c r="U113"/>
  <c r="V113"/>
  <c r="V100"/>
  <c r="Y93"/>
  <c r="Z83"/>
  <c r="AC126"/>
  <c r="AD121"/>
  <c r="AK149"/>
  <c r="AL143"/>
  <c r="AS93"/>
  <c r="AT93"/>
  <c r="AT83"/>
  <c r="AW292"/>
  <c r="AX287"/>
  <c r="Y279"/>
  <c r="Z266"/>
  <c r="H98"/>
  <c r="AJ270"/>
  <c r="AI301"/>
  <c r="AH28"/>
  <c r="AH61"/>
  <c r="AH119"/>
  <c r="R148"/>
  <c r="H10"/>
  <c r="H59"/>
  <c r="AR306"/>
  <c r="AM315"/>
  <c r="AL318"/>
  <c r="AA315"/>
  <c r="W126"/>
  <c r="R312"/>
  <c r="H13"/>
  <c r="H21"/>
  <c r="H29"/>
  <c r="H37"/>
  <c r="H46"/>
  <c r="H54"/>
  <c r="H62"/>
  <c r="H70"/>
  <c r="H78"/>
  <c r="H88"/>
  <c r="H101"/>
  <c r="H110"/>
  <c r="H154"/>
  <c r="H178"/>
  <c r="H186"/>
  <c r="H194"/>
  <c r="H202"/>
  <c r="H210"/>
  <c r="H219"/>
  <c r="H227"/>
  <c r="H235"/>
  <c r="H243"/>
  <c r="H253"/>
  <c r="H265"/>
  <c r="H275"/>
  <c r="H286"/>
  <c r="G11"/>
  <c r="G19"/>
  <c r="G27"/>
  <c r="G35"/>
  <c r="G43"/>
  <c r="G52"/>
  <c r="G60"/>
  <c r="G68"/>
  <c r="G76"/>
  <c r="G86"/>
  <c r="G98"/>
  <c r="G108"/>
  <c r="G119"/>
  <c r="G134"/>
  <c r="G152"/>
  <c r="G176"/>
  <c r="G184"/>
  <c r="G192"/>
  <c r="G200"/>
  <c r="G208"/>
  <c r="G217"/>
  <c r="G225"/>
  <c r="G233"/>
  <c r="G241"/>
  <c r="G263"/>
  <c r="G273"/>
  <c r="G284"/>
  <c r="G295"/>
  <c r="G311"/>
  <c r="G325"/>
  <c r="G326"/>
  <c r="Z125"/>
  <c r="Z158"/>
  <c r="AD148"/>
  <c r="AL104"/>
  <c r="AP92"/>
  <c r="AP137"/>
  <c r="AT125"/>
  <c r="AT158"/>
  <c r="AX314"/>
  <c r="AT270"/>
  <c r="AT309"/>
  <c r="AH291"/>
  <c r="AH324"/>
  <c r="AD278"/>
  <c r="AD312"/>
  <c r="Z305"/>
  <c r="AG123"/>
  <c r="AH123"/>
  <c r="AH122"/>
  <c r="AG139"/>
  <c r="AH139"/>
  <c r="AH138"/>
  <c r="M125"/>
  <c r="N125"/>
  <c r="N124"/>
  <c r="M143"/>
  <c r="N143"/>
  <c r="N142"/>
  <c r="M289"/>
  <c r="N289"/>
  <c r="N288"/>
  <c r="M305"/>
  <c r="N305"/>
  <c r="N304"/>
  <c r="AK113"/>
  <c r="AL113"/>
  <c r="AL100"/>
  <c r="AS161"/>
  <c r="AT161"/>
  <c r="AT156"/>
  <c r="AS279"/>
  <c r="AT266"/>
  <c r="AO306"/>
  <c r="AP306"/>
  <c r="AP301"/>
  <c r="K90"/>
  <c r="K249"/>
  <c r="G183"/>
  <c r="G191"/>
  <c r="G199"/>
  <c r="G207"/>
  <c r="G216"/>
  <c r="G224"/>
  <c r="G232"/>
  <c r="G240"/>
  <c r="G250"/>
  <c r="G262"/>
  <c r="G272"/>
  <c r="G283"/>
  <c r="G91"/>
  <c r="G92"/>
  <c r="V160"/>
  <c r="AP90"/>
  <c r="AP160"/>
  <c r="AX312"/>
  <c r="AH289"/>
  <c r="U140"/>
  <c r="V140"/>
  <c r="V135"/>
  <c r="Q218" i="85"/>
  <c r="AK140" i="84"/>
  <c r="AL135"/>
  <c r="Q217" i="85"/>
  <c r="R218"/>
  <c r="AS140" i="84"/>
  <c r="AT135"/>
  <c r="AO140"/>
  <c r="AP140"/>
  <c r="AP135"/>
  <c r="AB140"/>
  <c r="AD135"/>
  <c r="Z135"/>
  <c r="H130"/>
  <c r="N130"/>
  <c r="R135"/>
  <c r="H133"/>
  <c r="N133"/>
  <c r="H129"/>
  <c r="N129"/>
  <c r="AJ322"/>
  <c r="AL319"/>
  <c r="AN327"/>
  <c r="AP327"/>
  <c r="H319"/>
  <c r="H321"/>
  <c r="N321"/>
  <c r="M217" i="85"/>
  <c r="Y327" i="84"/>
  <c r="Z327"/>
  <c r="Z322"/>
  <c r="N153"/>
  <c r="L156"/>
  <c r="L161"/>
  <c r="Y161"/>
  <c r="Z161"/>
  <c r="Z156"/>
  <c r="AF315"/>
  <c r="N311"/>
  <c r="T315"/>
  <c r="V312"/>
  <c r="L312"/>
  <c r="L315"/>
  <c r="H310"/>
  <c r="N310"/>
  <c r="H84" i="78"/>
  <c r="H13"/>
  <c r="J13"/>
  <c r="M97"/>
  <c r="H96"/>
  <c r="M94"/>
  <c r="H93"/>
  <c r="M91"/>
  <c r="H90"/>
  <c r="M88"/>
  <c r="H87"/>
  <c r="H31"/>
  <c r="H34"/>
  <c r="H81"/>
  <c r="H67"/>
  <c r="U217" i="85"/>
  <c r="E49" i="73"/>
  <c r="H13"/>
  <c r="E44"/>
  <c r="H15"/>
  <c r="K34" i="79"/>
  <c r="L34" s="1"/>
  <c r="G183" i="117"/>
  <c r="H183"/>
  <c r="G22" i="120"/>
  <c r="I22" s="1"/>
  <c r="E23" i="68"/>
  <c r="G19" i="120"/>
  <c r="H19"/>
  <c r="C217" i="85"/>
  <c r="O217"/>
  <c r="C19" i="75"/>
  <c r="P218" i="85"/>
  <c r="F17" i="76"/>
  <c r="H184"/>
  <c r="D19" i="75"/>
  <c r="D218" i="85"/>
  <c r="D217"/>
  <c r="K217"/>
  <c r="N217"/>
  <c r="P217"/>
  <c r="E17" i="76"/>
  <c r="H199"/>
  <c r="S334" i="84"/>
  <c r="D159" i="61"/>
  <c r="D24" i="75" s="1"/>
  <c r="F239" i="76"/>
  <c r="L130" i="78"/>
  <c r="M130" s="1"/>
  <c r="D51" i="61"/>
  <c r="T334" i="84"/>
  <c r="D150" i="61"/>
  <c r="F65" i="76"/>
  <c r="C51" i="61"/>
  <c r="H79" i="76"/>
  <c r="D88" i="61"/>
  <c r="D87" s="1"/>
  <c r="C242"/>
  <c r="F114" i="76"/>
  <c r="M67" i="78"/>
  <c r="AA349" i="116"/>
  <c r="AB349"/>
  <c r="M14" i="68"/>
  <c r="AA346" i="116"/>
  <c r="AB346" s="1"/>
  <c r="AA345"/>
  <c r="AB345" s="1"/>
  <c r="M12" i="68"/>
  <c r="AA344" i="116"/>
  <c r="AB344"/>
  <c r="M10" i="68"/>
  <c r="E19" i="75"/>
  <c r="M11" i="68"/>
  <c r="V279" i="85"/>
  <c r="V274"/>
  <c r="V263"/>
  <c r="V258"/>
  <c r="V253"/>
  <c r="V248"/>
  <c r="V243"/>
  <c r="V236"/>
  <c r="V231"/>
  <c r="V225"/>
  <c r="AC93" i="84"/>
  <c r="AD83"/>
  <c r="AS259"/>
  <c r="AT249"/>
  <c r="AO259"/>
  <c r="AP249"/>
  <c r="AK312"/>
  <c r="AL310"/>
  <c r="AO315"/>
  <c r="AP315"/>
  <c r="AP312"/>
  <c r="AG259"/>
  <c r="AH249"/>
  <c r="Y306"/>
  <c r="Z306"/>
  <c r="Z301"/>
  <c r="Y259"/>
  <c r="Z249"/>
  <c r="U259"/>
  <c r="V249"/>
  <c r="U279"/>
  <c r="V266"/>
  <c r="U292"/>
  <c r="V287"/>
  <c r="U306"/>
  <c r="V301"/>
  <c r="U327"/>
  <c r="V322"/>
  <c r="Q327"/>
  <c r="R322"/>
  <c r="Q306"/>
  <c r="R306"/>
  <c r="R301"/>
  <c r="Q292"/>
  <c r="R292"/>
  <c r="R287"/>
  <c r="Q279"/>
  <c r="R266"/>
  <c r="Q259"/>
  <c r="R249"/>
  <c r="U93"/>
  <c r="V83"/>
  <c r="F45" i="78"/>
  <c r="H45"/>
  <c r="F26"/>
  <c r="F94" i="77"/>
  <c r="D62"/>
  <c r="G54"/>
  <c r="G51"/>
  <c r="G38"/>
  <c r="D32"/>
  <c r="D132"/>
  <c r="F132"/>
  <c r="G17"/>
  <c r="F57"/>
  <c r="G57"/>
  <c r="D85"/>
  <c r="D94"/>
  <c r="F26"/>
  <c r="G85"/>
  <c r="F44" i="73"/>
  <c r="H45"/>
  <c r="H11"/>
  <c r="H9"/>
  <c r="E71" i="109"/>
  <c r="E221"/>
  <c r="E228" i="97"/>
  <c r="E86"/>
  <c r="E72"/>
  <c r="E222"/>
  <c r="E72" i="67"/>
  <c r="E222"/>
  <c r="E228"/>
  <c r="E86"/>
  <c r="E232" i="64"/>
  <c r="E72" i="66"/>
  <c r="E86"/>
  <c r="E222"/>
  <c r="E227" i="64"/>
  <c r="E228" i="66"/>
  <c r="E72" i="65"/>
  <c r="E222"/>
  <c r="G18" i="76"/>
  <c r="G27"/>
  <c r="G36"/>
  <c r="H36"/>
  <c r="F36" i="61"/>
  <c r="G45" i="76"/>
  <c r="H45"/>
  <c r="F45" i="61"/>
  <c r="F52"/>
  <c r="G61" i="76"/>
  <c r="H61" s="1"/>
  <c r="F61" i="61"/>
  <c r="F74"/>
  <c r="G95" i="76"/>
  <c r="H95" s="1"/>
  <c r="F95" i="61"/>
  <c r="G113" i="76"/>
  <c r="H113"/>
  <c r="F113" i="61"/>
  <c r="F122"/>
  <c r="G131" i="76"/>
  <c r="H131" s="1"/>
  <c r="F131" i="61"/>
  <c r="G140" i="76"/>
  <c r="G151"/>
  <c r="G171"/>
  <c r="F171" i="61"/>
  <c r="G189" i="76"/>
  <c r="F189" i="61"/>
  <c r="G201" i="76"/>
  <c r="H201" s="1"/>
  <c r="F201" i="61"/>
  <c r="G241" i="76"/>
  <c r="G23"/>
  <c r="H23"/>
  <c r="F23" i="61"/>
  <c r="G57" i="76"/>
  <c r="F57" i="61"/>
  <c r="G67" i="76"/>
  <c r="G80"/>
  <c r="H80" s="1"/>
  <c r="F80" i="61"/>
  <c r="G91" i="76"/>
  <c r="F91" i="61"/>
  <c r="G100" i="76"/>
  <c r="F100" i="61"/>
  <c r="G119" i="76"/>
  <c r="G128"/>
  <c r="F137" i="61"/>
  <c r="G145" i="76"/>
  <c r="H145"/>
  <c r="F145" i="61"/>
  <c r="G156" i="76"/>
  <c r="H156" s="1"/>
  <c r="F156" i="61"/>
  <c r="G162" i="76"/>
  <c r="H162"/>
  <c r="F162" i="61"/>
  <c r="F168"/>
  <c r="G206" i="76"/>
  <c r="F206" i="61"/>
  <c r="G197" i="76"/>
  <c r="G20"/>
  <c r="H20"/>
  <c r="F20" i="61"/>
  <c r="G29" i="76"/>
  <c r="F29" i="61"/>
  <c r="G38" i="76"/>
  <c r="G47"/>
  <c r="G54"/>
  <c r="F54" i="61"/>
  <c r="G76" i="76"/>
  <c r="G85"/>
  <c r="H85"/>
  <c r="F85" i="61"/>
  <c r="F97"/>
  <c r="G115" i="76"/>
  <c r="H115" s="1"/>
  <c r="F115" i="61"/>
  <c r="G125" i="76"/>
  <c r="H125" s="1"/>
  <c r="F125" i="61"/>
  <c r="G134" i="76"/>
  <c r="G142"/>
  <c r="H142" s="1"/>
  <c r="F142" i="61"/>
  <c r="G153" i="76"/>
  <c r="H153"/>
  <c r="F153" i="61"/>
  <c r="G173" i="76"/>
  <c r="F173" i="61"/>
  <c r="G182" i="76"/>
  <c r="F182" i="61"/>
  <c r="G191" i="76"/>
  <c r="F26" i="61"/>
  <c r="G35" i="76"/>
  <c r="H35"/>
  <c r="F35" i="61"/>
  <c r="G43" i="76"/>
  <c r="H43" s="1"/>
  <c r="F43" i="61"/>
  <c r="G60" i="76"/>
  <c r="G69"/>
  <c r="H69" s="1"/>
  <c r="F69" i="61"/>
  <c r="G82" i="76"/>
  <c r="F82" i="61"/>
  <c r="G93" i="76"/>
  <c r="G112"/>
  <c r="H112"/>
  <c r="F112" i="61"/>
  <c r="G121" i="76"/>
  <c r="H121" s="1"/>
  <c r="F121" i="61"/>
  <c r="F139"/>
  <c r="F158"/>
  <c r="G164" i="76"/>
  <c r="G170"/>
  <c r="H170" s="1"/>
  <c r="G188"/>
  <c r="H188"/>
  <c r="F188" i="61"/>
  <c r="G200" i="76"/>
  <c r="G14"/>
  <c r="H14"/>
  <c r="F14" i="61"/>
  <c r="G22" i="76"/>
  <c r="G31"/>
  <c r="G40"/>
  <c r="H40" s="1"/>
  <c r="F40" i="61"/>
  <c r="G49" i="76"/>
  <c r="H49"/>
  <c r="F49" i="61"/>
  <c r="G56" i="76"/>
  <c r="H56" s="1"/>
  <c r="F56" i="61"/>
  <c r="G78" i="76"/>
  <c r="H78" s="1"/>
  <c r="F78" i="61"/>
  <c r="G90" i="76"/>
  <c r="H90"/>
  <c r="F90" i="61"/>
  <c r="G99" i="76"/>
  <c r="H99" s="1"/>
  <c r="F99" i="61"/>
  <c r="G118" i="76"/>
  <c r="F118" i="61"/>
  <c r="G127" i="76"/>
  <c r="H127" s="1"/>
  <c r="G136"/>
  <c r="H136"/>
  <c r="F136" i="61"/>
  <c r="G144" i="76"/>
  <c r="H144" s="1"/>
  <c r="F144" i="61"/>
  <c r="G167" i="76"/>
  <c r="H167"/>
  <c r="F167" i="61"/>
  <c r="G185" i="76"/>
  <c r="F185" i="61"/>
  <c r="F196"/>
  <c r="G205" i="76"/>
  <c r="F205" i="61"/>
  <c r="G130" i="76"/>
  <c r="G19"/>
  <c r="H19"/>
  <c r="F19" i="61"/>
  <c r="G28" i="76"/>
  <c r="F28" i="61"/>
  <c r="G37" i="76"/>
  <c r="G62"/>
  <c r="H62" s="1"/>
  <c r="F62" i="61"/>
  <c r="G75" i="76"/>
  <c r="G84"/>
  <c r="G96"/>
  <c r="F96" i="61"/>
  <c r="U334" i="84"/>
  <c r="F114" i="61"/>
  <c r="V334" i="84"/>
  <c r="F124" i="61"/>
  <c r="F141"/>
  <c r="G152" i="76"/>
  <c r="F152" i="61"/>
  <c r="G172" i="76"/>
  <c r="H172"/>
  <c r="F172" i="61"/>
  <c r="G181" i="76"/>
  <c r="F181" i="61"/>
  <c r="G202" i="76"/>
  <c r="H202" s="1"/>
  <c r="F202" i="61"/>
  <c r="G24" i="76"/>
  <c r="H24" s="1"/>
  <c r="F24" i="61"/>
  <c r="G34" i="76"/>
  <c r="G42"/>
  <c r="H42" s="1"/>
  <c r="F42" i="61"/>
  <c r="G68" i="76"/>
  <c r="H68" s="1"/>
  <c r="F68" i="61"/>
  <c r="G81" i="76"/>
  <c r="F81" i="61"/>
  <c r="G111" i="76"/>
  <c r="H111"/>
  <c r="F111" i="61"/>
  <c r="F120"/>
  <c r="G138" i="76"/>
  <c r="G157"/>
  <c r="H157" s="1"/>
  <c r="F157" i="61"/>
  <c r="G169" i="76"/>
  <c r="H169" s="1"/>
  <c r="G187"/>
  <c r="G198"/>
  <c r="F198" i="61"/>
  <c r="G239" i="76"/>
  <c r="F239" i="61"/>
  <c r="G13" i="76"/>
  <c r="F13" i="61"/>
  <c r="G30" i="76"/>
  <c r="G39"/>
  <c r="H39"/>
  <c r="F39" i="61"/>
  <c r="G48" i="76"/>
  <c r="H48" s="1"/>
  <c r="F48" i="61"/>
  <c r="G55" i="76"/>
  <c r="H55" s="1"/>
  <c r="F55" i="61"/>
  <c r="G65" i="76"/>
  <c r="F65" i="61"/>
  <c r="G77" i="76"/>
  <c r="H77" s="1"/>
  <c r="F77" i="61"/>
  <c r="G98" i="76"/>
  <c r="F98" i="61"/>
  <c r="G117" i="76"/>
  <c r="H117" s="1"/>
  <c r="F117" i="61"/>
  <c r="G126" i="76"/>
  <c r="H126" s="1"/>
  <c r="F126" i="61"/>
  <c r="G135" i="76"/>
  <c r="H135"/>
  <c r="F135" i="61"/>
  <c r="F143"/>
  <c r="G166" i="76"/>
  <c r="F166" i="61"/>
  <c r="G183" i="76"/>
  <c r="F195" i="61"/>
  <c r="G204" i="76"/>
  <c r="G180"/>
  <c r="G114"/>
  <c r="H114"/>
  <c r="F13"/>
  <c r="F59"/>
  <c r="C73" i="61"/>
  <c r="C72" s="1"/>
  <c r="D110"/>
  <c r="C179"/>
  <c r="C178" s="1"/>
  <c r="E89" i="76"/>
  <c r="E152"/>
  <c r="G52"/>
  <c r="H52" s="1"/>
  <c r="G74"/>
  <c r="G124"/>
  <c r="F152"/>
  <c r="E65"/>
  <c r="E114"/>
  <c r="E133"/>
  <c r="E239"/>
  <c r="E242" s="1"/>
  <c r="E25" i="61"/>
  <c r="E147" i="76"/>
  <c r="E146" s="1"/>
  <c r="E53"/>
  <c r="E51"/>
  <c r="E242" i="61"/>
  <c r="L86" i="70" s="1"/>
  <c r="E26" i="76"/>
  <c r="E224"/>
  <c r="G89"/>
  <c r="F33"/>
  <c r="E119"/>
  <c r="AG315" i="84"/>
  <c r="AH315"/>
  <c r="M312"/>
  <c r="G148" i="76"/>
  <c r="G161"/>
  <c r="G155"/>
  <c r="G120"/>
  <c r="H120" s="1"/>
  <c r="E110" i="61"/>
  <c r="G141" i="76"/>
  <c r="H141"/>
  <c r="G16"/>
  <c r="V53" i="85"/>
  <c r="V71"/>
  <c r="V73"/>
  <c r="A9"/>
  <c r="A79"/>
  <c r="A149"/>
  <c r="AC329" i="84"/>
  <c r="M249"/>
  <c r="M287"/>
  <c r="M301"/>
  <c r="M256"/>
  <c r="M266"/>
  <c r="I179"/>
  <c r="I187"/>
  <c r="J187"/>
  <c r="I195"/>
  <c r="J195"/>
  <c r="I203"/>
  <c r="I212"/>
  <c r="I220"/>
  <c r="I228"/>
  <c r="I236"/>
  <c r="I244"/>
  <c r="I254"/>
  <c r="J254"/>
  <c r="I265"/>
  <c r="I275"/>
  <c r="J275"/>
  <c r="I286"/>
  <c r="J286"/>
  <c r="I302"/>
  <c r="AK270"/>
  <c r="I178"/>
  <c r="I186"/>
  <c r="I194"/>
  <c r="J194"/>
  <c r="I202"/>
  <c r="I210"/>
  <c r="J210"/>
  <c r="I219"/>
  <c r="I227"/>
  <c r="J227"/>
  <c r="I235"/>
  <c r="I243"/>
  <c r="I253"/>
  <c r="I264"/>
  <c r="J264"/>
  <c r="I274"/>
  <c r="J274"/>
  <c r="I285"/>
  <c r="J285"/>
  <c r="I300"/>
  <c r="J300"/>
  <c r="I313"/>
  <c r="I177"/>
  <c r="J177"/>
  <c r="I185"/>
  <c r="J185"/>
  <c r="I193"/>
  <c r="J193"/>
  <c r="I201"/>
  <c r="J201"/>
  <c r="I209"/>
  <c r="J209"/>
  <c r="I218"/>
  <c r="J218"/>
  <c r="I226"/>
  <c r="I234"/>
  <c r="J234"/>
  <c r="I242"/>
  <c r="I252"/>
  <c r="I263"/>
  <c r="J263"/>
  <c r="I273"/>
  <c r="I284"/>
  <c r="J284"/>
  <c r="I297"/>
  <c r="I311"/>
  <c r="AK322"/>
  <c r="I176"/>
  <c r="J176"/>
  <c r="I184"/>
  <c r="J184"/>
  <c r="I192"/>
  <c r="I200"/>
  <c r="J200"/>
  <c r="I208"/>
  <c r="J208"/>
  <c r="I217"/>
  <c r="J217"/>
  <c r="I225"/>
  <c r="J225"/>
  <c r="I233"/>
  <c r="J233"/>
  <c r="I241"/>
  <c r="I251"/>
  <c r="J251"/>
  <c r="I262"/>
  <c r="J262"/>
  <c r="I272"/>
  <c r="J272"/>
  <c r="I283"/>
  <c r="J283"/>
  <c r="I296"/>
  <c r="I175"/>
  <c r="I183"/>
  <c r="J183"/>
  <c r="I191"/>
  <c r="J191"/>
  <c r="I199"/>
  <c r="I207"/>
  <c r="I216"/>
  <c r="J216"/>
  <c r="I224"/>
  <c r="J224"/>
  <c r="I232"/>
  <c r="I240"/>
  <c r="J240"/>
  <c r="I271"/>
  <c r="I282"/>
  <c r="J282"/>
  <c r="I295"/>
  <c r="J295"/>
  <c r="I321"/>
  <c r="AK256"/>
  <c r="I182"/>
  <c r="I190"/>
  <c r="I198"/>
  <c r="I206"/>
  <c r="I215"/>
  <c r="J215"/>
  <c r="I223"/>
  <c r="J223"/>
  <c r="I231"/>
  <c r="I239"/>
  <c r="I248"/>
  <c r="I269"/>
  <c r="J269"/>
  <c r="I320"/>
  <c r="J320"/>
  <c r="AK249"/>
  <c r="AK266"/>
  <c r="AK301"/>
  <c r="I181"/>
  <c r="J181"/>
  <c r="I189"/>
  <c r="J189"/>
  <c r="I197"/>
  <c r="J197"/>
  <c r="I205"/>
  <c r="J205"/>
  <c r="I214"/>
  <c r="I222"/>
  <c r="I230"/>
  <c r="I238"/>
  <c r="I246"/>
  <c r="I257"/>
  <c r="I268"/>
  <c r="I304"/>
  <c r="I319"/>
  <c r="J319"/>
  <c r="AK287"/>
  <c r="I180"/>
  <c r="J180"/>
  <c r="I188"/>
  <c r="J188"/>
  <c r="I196"/>
  <c r="I204"/>
  <c r="J204"/>
  <c r="I213"/>
  <c r="J213"/>
  <c r="I221"/>
  <c r="I229"/>
  <c r="I237"/>
  <c r="I245"/>
  <c r="I255"/>
  <c r="I267"/>
  <c r="J267"/>
  <c r="I276"/>
  <c r="I318"/>
  <c r="J318"/>
  <c r="AG90"/>
  <c r="AG100"/>
  <c r="AG112"/>
  <c r="AG135"/>
  <c r="AG104"/>
  <c r="AH104"/>
  <c r="I11"/>
  <c r="I19"/>
  <c r="I27"/>
  <c r="I35"/>
  <c r="I43"/>
  <c r="I52"/>
  <c r="I60"/>
  <c r="J60"/>
  <c r="I68"/>
  <c r="J68"/>
  <c r="I76"/>
  <c r="J76"/>
  <c r="I86"/>
  <c r="J86"/>
  <c r="I98"/>
  <c r="J98"/>
  <c r="I108"/>
  <c r="I119"/>
  <c r="I134"/>
  <c r="J134"/>
  <c r="I152"/>
  <c r="I10"/>
  <c r="J10"/>
  <c r="I18"/>
  <c r="J18"/>
  <c r="I26"/>
  <c r="I34"/>
  <c r="I42"/>
  <c r="I51"/>
  <c r="J51"/>
  <c r="I59"/>
  <c r="J59"/>
  <c r="I67"/>
  <c r="J67"/>
  <c r="I75"/>
  <c r="J75"/>
  <c r="I85"/>
  <c r="I97"/>
  <c r="J97"/>
  <c r="I107"/>
  <c r="I118"/>
  <c r="I133"/>
  <c r="I9"/>
  <c r="I17"/>
  <c r="J17"/>
  <c r="I25"/>
  <c r="J25"/>
  <c r="I33"/>
  <c r="J33"/>
  <c r="I41"/>
  <c r="I50"/>
  <c r="J50"/>
  <c r="I58"/>
  <c r="I66"/>
  <c r="I74"/>
  <c r="I84"/>
  <c r="I96"/>
  <c r="J96"/>
  <c r="I106"/>
  <c r="J106"/>
  <c r="I117"/>
  <c r="I130"/>
  <c r="I16"/>
  <c r="J16"/>
  <c r="I24"/>
  <c r="I32"/>
  <c r="I40"/>
  <c r="J40"/>
  <c r="I49"/>
  <c r="J49"/>
  <c r="I57"/>
  <c r="J57"/>
  <c r="I65"/>
  <c r="J65"/>
  <c r="I73"/>
  <c r="J73"/>
  <c r="I82"/>
  <c r="J82"/>
  <c r="I95"/>
  <c r="I129"/>
  <c r="I145"/>
  <c r="J145"/>
  <c r="I15"/>
  <c r="I23"/>
  <c r="I31"/>
  <c r="J31"/>
  <c r="I39"/>
  <c r="I48"/>
  <c r="I56"/>
  <c r="I64"/>
  <c r="J64"/>
  <c r="I72"/>
  <c r="J72"/>
  <c r="I81"/>
  <c r="J81"/>
  <c r="I103"/>
  <c r="I115"/>
  <c r="I128"/>
  <c r="I14"/>
  <c r="J14"/>
  <c r="I22"/>
  <c r="I30"/>
  <c r="I38"/>
  <c r="J38"/>
  <c r="I47"/>
  <c r="J47"/>
  <c r="I55"/>
  <c r="J55"/>
  <c r="I63"/>
  <c r="J63"/>
  <c r="I71"/>
  <c r="J71"/>
  <c r="I79"/>
  <c r="J79"/>
  <c r="I89"/>
  <c r="I102"/>
  <c r="I111"/>
  <c r="J111"/>
  <c r="I155"/>
  <c r="J155"/>
  <c r="I13"/>
  <c r="I21"/>
  <c r="J21"/>
  <c r="I29"/>
  <c r="J29"/>
  <c r="I37"/>
  <c r="J37"/>
  <c r="I46"/>
  <c r="I54"/>
  <c r="I62"/>
  <c r="J62"/>
  <c r="I70"/>
  <c r="J70"/>
  <c r="I78"/>
  <c r="J78"/>
  <c r="I88"/>
  <c r="J88"/>
  <c r="I110"/>
  <c r="J110"/>
  <c r="I154"/>
  <c r="I12"/>
  <c r="J12"/>
  <c r="I20"/>
  <c r="J20"/>
  <c r="I28"/>
  <c r="J28"/>
  <c r="I36"/>
  <c r="J36"/>
  <c r="I44"/>
  <c r="J44"/>
  <c r="I53"/>
  <c r="J53"/>
  <c r="I61"/>
  <c r="J61"/>
  <c r="I69"/>
  <c r="J69"/>
  <c r="I77"/>
  <c r="J77"/>
  <c r="I87"/>
  <c r="J87"/>
  <c r="I99"/>
  <c r="J99"/>
  <c r="I109"/>
  <c r="J109"/>
  <c r="I120"/>
  <c r="I153"/>
  <c r="J153"/>
  <c r="M156"/>
  <c r="I142"/>
  <c r="I124"/>
  <c r="Q126"/>
  <c r="I91"/>
  <c r="AV292"/>
  <c r="AQ292"/>
  <c r="AJ301"/>
  <c r="AJ306"/>
  <c r="AJ312"/>
  <c r="AJ315"/>
  <c r="AI249"/>
  <c r="AI259"/>
  <c r="AI256"/>
  <c r="AF279"/>
  <c r="AE292"/>
  <c r="S306"/>
  <c r="L326"/>
  <c r="L327"/>
  <c r="K270"/>
  <c r="I250"/>
  <c r="I281"/>
  <c r="I308"/>
  <c r="H257"/>
  <c r="H258"/>
  <c r="H277"/>
  <c r="H278"/>
  <c r="H288"/>
  <c r="H289"/>
  <c r="H317"/>
  <c r="G257"/>
  <c r="G258"/>
  <c r="G277"/>
  <c r="G278"/>
  <c r="AV315"/>
  <c r="AU306"/>
  <c r="AQ315"/>
  <c r="AN259"/>
  <c r="AM306"/>
  <c r="AJ256"/>
  <c r="T259"/>
  <c r="S259"/>
  <c r="P315"/>
  <c r="K266"/>
  <c r="K326"/>
  <c r="I174"/>
  <c r="J174"/>
  <c r="I261"/>
  <c r="I290"/>
  <c r="H313"/>
  <c r="H314"/>
  <c r="G267"/>
  <c r="G270"/>
  <c r="G313"/>
  <c r="G314"/>
  <c r="AN292"/>
  <c r="T292"/>
  <c r="I277"/>
  <c r="I288"/>
  <c r="H311"/>
  <c r="AU327"/>
  <c r="AJ279"/>
  <c r="AB292"/>
  <c r="L287"/>
  <c r="L291"/>
  <c r="H323"/>
  <c r="H324"/>
  <c r="G310"/>
  <c r="G323"/>
  <c r="G324"/>
  <c r="AQ327"/>
  <c r="AF327"/>
  <c r="AH327"/>
  <c r="X292"/>
  <c r="M270"/>
  <c r="M322"/>
  <c r="K256"/>
  <c r="K301"/>
  <c r="K306"/>
  <c r="K309"/>
  <c r="K315"/>
  <c r="I317"/>
  <c r="H294"/>
  <c r="AJ249"/>
  <c r="AI287"/>
  <c r="P259"/>
  <c r="M314"/>
  <c r="N314"/>
  <c r="L270"/>
  <c r="I325"/>
  <c r="H308"/>
  <c r="H309"/>
  <c r="G294"/>
  <c r="G320"/>
  <c r="AU315"/>
  <c r="AR259"/>
  <c r="AR327"/>
  <c r="AI306"/>
  <c r="AE327"/>
  <c r="X315"/>
  <c r="Z315"/>
  <c r="S279"/>
  <c r="L266"/>
  <c r="K287"/>
  <c r="K292"/>
  <c r="H175"/>
  <c r="H250"/>
  <c r="H281"/>
  <c r="H287"/>
  <c r="H292"/>
  <c r="H304"/>
  <c r="H305"/>
  <c r="G251"/>
  <c r="G304"/>
  <c r="G305"/>
  <c r="X279"/>
  <c r="I294"/>
  <c r="I310"/>
  <c r="I323"/>
  <c r="H302"/>
  <c r="H303"/>
  <c r="G175"/>
  <c r="G281"/>
  <c r="G302"/>
  <c r="G303"/>
  <c r="AE149"/>
  <c r="G156"/>
  <c r="AR126"/>
  <c r="AQ126"/>
  <c r="AN93"/>
  <c r="AM149"/>
  <c r="AM163"/>
  <c r="AG83"/>
  <c r="AG121"/>
  <c r="AF156"/>
  <c r="AF161"/>
  <c r="AE90"/>
  <c r="AE100"/>
  <c r="AE112"/>
  <c r="AE135"/>
  <c r="AE140"/>
  <c r="AB93"/>
  <c r="AA149"/>
  <c r="X140"/>
  <c r="Z140"/>
  <c r="P93"/>
  <c r="P161"/>
  <c r="M146"/>
  <c r="M149"/>
  <c r="L121"/>
  <c r="L126"/>
  <c r="L135"/>
  <c r="L140"/>
  <c r="L146"/>
  <c r="L149"/>
  <c r="K83"/>
  <c r="K112"/>
  <c r="K135"/>
  <c r="K140"/>
  <c r="K146"/>
  <c r="K149"/>
  <c r="I138"/>
  <c r="H147"/>
  <c r="H148"/>
  <c r="H159"/>
  <c r="H160"/>
  <c r="G147"/>
  <c r="G148"/>
  <c r="G159"/>
  <c r="G160"/>
  <c r="AG113"/>
  <c r="AQ149"/>
  <c r="AN126"/>
  <c r="AJ140"/>
  <c r="AF100"/>
  <c r="AF113"/>
  <c r="AF135"/>
  <c r="AF140"/>
  <c r="AE83"/>
  <c r="AE121"/>
  <c r="AE126"/>
  <c r="AB126"/>
  <c r="AA113"/>
  <c r="W113"/>
  <c r="Q149"/>
  <c r="P126"/>
  <c r="O140"/>
  <c r="M112"/>
  <c r="M121"/>
  <c r="L104"/>
  <c r="K125"/>
  <c r="K126"/>
  <c r="I101"/>
  <c r="I122"/>
  <c r="I136"/>
  <c r="H157"/>
  <c r="H158"/>
  <c r="G157"/>
  <c r="G158"/>
  <c r="G161"/>
  <c r="AF83"/>
  <c r="AF90"/>
  <c r="AF112"/>
  <c r="I151"/>
  <c r="J151"/>
  <c r="I159"/>
  <c r="H84"/>
  <c r="H144"/>
  <c r="AR113"/>
  <c r="AJ161"/>
  <c r="AI140"/>
  <c r="AF121"/>
  <c r="AF126"/>
  <c r="AE104"/>
  <c r="P149"/>
  <c r="I147"/>
  <c r="H8"/>
  <c r="H95"/>
  <c r="H100"/>
  <c r="H105"/>
  <c r="H128"/>
  <c r="G117"/>
  <c r="G121"/>
  <c r="G126"/>
  <c r="G144"/>
  <c r="G146"/>
  <c r="AM140"/>
  <c r="AJ126"/>
  <c r="AI161"/>
  <c r="AE156"/>
  <c r="AE161"/>
  <c r="X126"/>
  <c r="Q140"/>
  <c r="P113"/>
  <c r="O126"/>
  <c r="M83"/>
  <c r="K100"/>
  <c r="I157"/>
  <c r="H91"/>
  <c r="H92"/>
  <c r="H115"/>
  <c r="H124"/>
  <c r="H125"/>
  <c r="H142"/>
  <c r="H143"/>
  <c r="G85"/>
  <c r="G105"/>
  <c r="G128"/>
  <c r="G142"/>
  <c r="G143"/>
  <c r="AR140"/>
  <c r="AG156"/>
  <c r="T149"/>
  <c r="S93"/>
  <c r="Q93"/>
  <c r="M90"/>
  <c r="M135"/>
  <c r="I144"/>
  <c r="H102"/>
  <c r="H138"/>
  <c r="H139"/>
  <c r="G9"/>
  <c r="G138"/>
  <c r="G139"/>
  <c r="AG149"/>
  <c r="X113"/>
  <c r="S126"/>
  <c r="Q161"/>
  <c r="P140"/>
  <c r="M100"/>
  <c r="I8"/>
  <c r="I105"/>
  <c r="I116"/>
  <c r="H122"/>
  <c r="H123"/>
  <c r="H136"/>
  <c r="H137"/>
  <c r="G102"/>
  <c r="K279"/>
  <c r="K161"/>
  <c r="AI279"/>
  <c r="AI292"/>
  <c r="AI315"/>
  <c r="AJ292"/>
  <c r="D14" i="79"/>
  <c r="E14"/>
  <c r="E34"/>
  <c r="D34"/>
  <c r="F110" i="76"/>
  <c r="G49" i="73"/>
  <c r="C51" i="72"/>
  <c r="C26"/>
  <c r="C23"/>
  <c r="C16"/>
  <c r="C36"/>
  <c r="C14"/>
  <c r="C15"/>
  <c r="D51"/>
  <c r="D26"/>
  <c r="D23"/>
  <c r="D16"/>
  <c r="D14"/>
  <c r="D15"/>
  <c r="E51"/>
  <c r="E26"/>
  <c r="E16"/>
  <c r="E14"/>
  <c r="N352" i="116"/>
  <c r="N335"/>
  <c r="N341"/>
  <c r="N302"/>
  <c r="N285"/>
  <c r="N291"/>
  <c r="N277"/>
  <c r="N260"/>
  <c r="N266"/>
  <c r="N252"/>
  <c r="N235"/>
  <c r="N241"/>
  <c r="N227"/>
  <c r="N210"/>
  <c r="N216"/>
  <c r="N202"/>
  <c r="N185"/>
  <c r="N191"/>
  <c r="N177"/>
  <c r="N160"/>
  <c r="N166"/>
  <c r="N152"/>
  <c r="N135"/>
  <c r="N141"/>
  <c r="N127"/>
  <c r="N110"/>
  <c r="N116"/>
  <c r="N102"/>
  <c r="N85"/>
  <c r="N91"/>
  <c r="N77"/>
  <c r="N60"/>
  <c r="N66"/>
  <c r="N52"/>
  <c r="N35"/>
  <c r="N41"/>
  <c r="N27"/>
  <c r="N10"/>
  <c r="N16"/>
  <c r="O352"/>
  <c r="O302"/>
  <c r="O277"/>
  <c r="O252"/>
  <c r="O227"/>
  <c r="O202"/>
  <c r="O177"/>
  <c r="O152"/>
  <c r="O127"/>
  <c r="O102"/>
  <c r="O77"/>
  <c r="O52"/>
  <c r="O27"/>
  <c r="C360"/>
  <c r="C352"/>
  <c r="C335"/>
  <c r="C341"/>
  <c r="C302"/>
  <c r="C285"/>
  <c r="C291"/>
  <c r="C277"/>
  <c r="C260"/>
  <c r="C266"/>
  <c r="C248"/>
  <c r="C252"/>
  <c r="C235"/>
  <c r="C241"/>
  <c r="C227"/>
  <c r="C210"/>
  <c r="C216"/>
  <c r="C202"/>
  <c r="C185"/>
  <c r="C191"/>
  <c r="C173"/>
  <c r="C177"/>
  <c r="C160"/>
  <c r="C166"/>
  <c r="C152"/>
  <c r="C135"/>
  <c r="C141"/>
  <c r="C127"/>
  <c r="C110"/>
  <c r="C116"/>
  <c r="C102"/>
  <c r="C85"/>
  <c r="C91"/>
  <c r="C77"/>
  <c r="C60"/>
  <c r="C66"/>
  <c r="C52"/>
  <c r="C35"/>
  <c r="C41"/>
  <c r="C27"/>
  <c r="C10"/>
  <c r="C16"/>
  <c r="D360"/>
  <c r="F360"/>
  <c r="D352"/>
  <c r="D302"/>
  <c r="D277"/>
  <c r="D227"/>
  <c r="D202"/>
  <c r="D152"/>
  <c r="D127"/>
  <c r="D102"/>
  <c r="D77"/>
  <c r="D52"/>
  <c r="D27"/>
  <c r="E27"/>
  <c r="B78" i="70"/>
  <c r="B82"/>
  <c r="B84"/>
  <c r="B67"/>
  <c r="B65"/>
  <c r="B62"/>
  <c r="B58"/>
  <c r="B56"/>
  <c r="B54"/>
  <c r="B50"/>
  <c r="B48"/>
  <c r="B44"/>
  <c r="B40"/>
  <c r="B38"/>
  <c r="B35"/>
  <c r="B31"/>
  <c r="B28"/>
  <c r="B33"/>
  <c r="B19"/>
  <c r="B17"/>
  <c r="C78"/>
  <c r="C82"/>
  <c r="C84"/>
  <c r="C67"/>
  <c r="C65"/>
  <c r="C62"/>
  <c r="C58"/>
  <c r="C56"/>
  <c r="C54"/>
  <c r="C60"/>
  <c r="C50"/>
  <c r="C48"/>
  <c r="C44"/>
  <c r="C40"/>
  <c r="C38"/>
  <c r="C35"/>
  <c r="C42"/>
  <c r="C31"/>
  <c r="C28"/>
  <c r="C33"/>
  <c r="C19"/>
  <c r="C21"/>
  <c r="C17"/>
  <c r="H78"/>
  <c r="H67"/>
  <c r="H65"/>
  <c r="I65"/>
  <c r="H62"/>
  <c r="H58"/>
  <c r="I58"/>
  <c r="H56"/>
  <c r="I56"/>
  <c r="H54"/>
  <c r="I54"/>
  <c r="H50"/>
  <c r="H48"/>
  <c r="H44"/>
  <c r="I44"/>
  <c r="H40"/>
  <c r="I40"/>
  <c r="H38"/>
  <c r="I38"/>
  <c r="H35"/>
  <c r="H31"/>
  <c r="I31"/>
  <c r="H28"/>
  <c r="I28"/>
  <c r="H19"/>
  <c r="H17"/>
  <c r="I17"/>
  <c r="M32" i="69"/>
  <c r="L32"/>
  <c r="K32"/>
  <c r="M31"/>
  <c r="L31"/>
  <c r="K31"/>
  <c r="M30"/>
  <c r="N30" s="1"/>
  <c r="L30"/>
  <c r="K30"/>
  <c r="M29"/>
  <c r="L29"/>
  <c r="N29" s="1"/>
  <c r="K29"/>
  <c r="M28"/>
  <c r="L28"/>
  <c r="M27"/>
  <c r="L27"/>
  <c r="K27"/>
  <c r="M26"/>
  <c r="N26" s="1"/>
  <c r="L26"/>
  <c r="K26"/>
  <c r="M25"/>
  <c r="L25"/>
  <c r="N25" s="1"/>
  <c r="K25"/>
  <c r="M24"/>
  <c r="L24"/>
  <c r="K24"/>
  <c r="M23"/>
  <c r="K23"/>
  <c r="M22"/>
  <c r="L22"/>
  <c r="K22"/>
  <c r="M21"/>
  <c r="L21"/>
  <c r="K21"/>
  <c r="M14"/>
  <c r="L14"/>
  <c r="K14"/>
  <c r="L12"/>
  <c r="K12"/>
  <c r="L11"/>
  <c r="M10"/>
  <c r="L10"/>
  <c r="K10"/>
  <c r="L9"/>
  <c r="E32"/>
  <c r="D32"/>
  <c r="C32"/>
  <c r="E31"/>
  <c r="D31"/>
  <c r="C31"/>
  <c r="E30"/>
  <c r="D30"/>
  <c r="C30"/>
  <c r="E29"/>
  <c r="D29"/>
  <c r="F29" s="1"/>
  <c r="C29"/>
  <c r="E28"/>
  <c r="D28"/>
  <c r="C28"/>
  <c r="E27"/>
  <c r="D27"/>
  <c r="C27"/>
  <c r="E26"/>
  <c r="F26" s="1"/>
  <c r="D26"/>
  <c r="C26"/>
  <c r="E25"/>
  <c r="D25"/>
  <c r="F25" s="1"/>
  <c r="C25"/>
  <c r="D24"/>
  <c r="C24"/>
  <c r="E23"/>
  <c r="D23"/>
  <c r="C23"/>
  <c r="E22"/>
  <c r="D22"/>
  <c r="C22"/>
  <c r="E21"/>
  <c r="D21"/>
  <c r="C21"/>
  <c r="D9"/>
  <c r="K32" i="68"/>
  <c r="L31"/>
  <c r="K31"/>
  <c r="L30"/>
  <c r="N30" s="1"/>
  <c r="K30"/>
  <c r="L29"/>
  <c r="N29" s="1"/>
  <c r="K29"/>
  <c r="L28"/>
  <c r="N28" s="1"/>
  <c r="K28"/>
  <c r="L27"/>
  <c r="K27"/>
  <c r="L26"/>
  <c r="N26" s="1"/>
  <c r="K26"/>
  <c r="L25"/>
  <c r="N25" s="1"/>
  <c r="K25"/>
  <c r="L24"/>
  <c r="N24" s="1"/>
  <c r="K24"/>
  <c r="L23"/>
  <c r="K23"/>
  <c r="L22"/>
  <c r="N22" s="1"/>
  <c r="K22"/>
  <c r="L21"/>
  <c r="K21"/>
  <c r="L17"/>
  <c r="K17"/>
  <c r="L14"/>
  <c r="L12"/>
  <c r="K12"/>
  <c r="L11"/>
  <c r="K11"/>
  <c r="L10"/>
  <c r="K10"/>
  <c r="D32"/>
  <c r="F32" s="1"/>
  <c r="C32"/>
  <c r="D31"/>
  <c r="F31" s="1"/>
  <c r="C31"/>
  <c r="D30"/>
  <c r="C30"/>
  <c r="D29"/>
  <c r="F29" s="1"/>
  <c r="C29"/>
  <c r="D28"/>
  <c r="F28" s="1"/>
  <c r="C28"/>
  <c r="D27"/>
  <c r="F27" s="1"/>
  <c r="C27"/>
  <c r="D26"/>
  <c r="F26"/>
  <c r="C26"/>
  <c r="D25"/>
  <c r="C25"/>
  <c r="D24"/>
  <c r="C24"/>
  <c r="D23"/>
  <c r="F23" s="1"/>
  <c r="C23"/>
  <c r="D22"/>
  <c r="C22"/>
  <c r="D21"/>
  <c r="C21"/>
  <c r="D10"/>
  <c r="F10"/>
  <c r="C71" i="61"/>
  <c r="C14" i="75"/>
  <c r="H44" i="73"/>
  <c r="F49"/>
  <c r="D36" i="72"/>
  <c r="U9" i="85"/>
  <c r="G9"/>
  <c r="R9"/>
  <c r="R15" s="1"/>
  <c r="H9"/>
  <c r="P9"/>
  <c r="I9"/>
  <c r="M9"/>
  <c r="Q9"/>
  <c r="N9"/>
  <c r="K9"/>
  <c r="L9"/>
  <c r="C9"/>
  <c r="F9"/>
  <c r="E9"/>
  <c r="O9"/>
  <c r="D9"/>
  <c r="B52" i="70"/>
  <c r="B71"/>
  <c r="B86"/>
  <c r="G104" i="84"/>
  <c r="G256"/>
  <c r="J317"/>
  <c r="J117"/>
  <c r="J41"/>
  <c r="J276"/>
  <c r="J273"/>
  <c r="U149" i="85"/>
  <c r="U219" s="1"/>
  <c r="R149"/>
  <c r="P149"/>
  <c r="G149"/>
  <c r="G219" s="1"/>
  <c r="N149"/>
  <c r="H149"/>
  <c r="Q149"/>
  <c r="O149"/>
  <c r="S149" s="1"/>
  <c r="F149"/>
  <c r="I149"/>
  <c r="L149"/>
  <c r="E149"/>
  <c r="E219" s="1"/>
  <c r="D149"/>
  <c r="K149"/>
  <c r="M149"/>
  <c r="C149"/>
  <c r="AL149" i="84"/>
  <c r="J103"/>
  <c r="J231"/>
  <c r="J207"/>
  <c r="H270"/>
  <c r="J120"/>
  <c r="J85"/>
  <c r="AE113"/>
  <c r="AD126"/>
  <c r="N291"/>
  <c r="AA163"/>
  <c r="N326"/>
  <c r="H104"/>
  <c r="N23" i="68"/>
  <c r="I67" i="70"/>
  <c r="J84" i="84"/>
  <c r="J152"/>
  <c r="AL270"/>
  <c r="U79" i="85"/>
  <c r="H79"/>
  <c r="P79"/>
  <c r="R79"/>
  <c r="Q79"/>
  <c r="N79"/>
  <c r="F79"/>
  <c r="G79"/>
  <c r="I79"/>
  <c r="O79"/>
  <c r="M79"/>
  <c r="L79"/>
  <c r="C79"/>
  <c r="E79"/>
  <c r="J79" s="1"/>
  <c r="D79"/>
  <c r="K79"/>
  <c r="H65" i="76"/>
  <c r="AX259" i="84"/>
  <c r="I25" i="74"/>
  <c r="M25"/>
  <c r="F26" i="72"/>
  <c r="I48" i="70"/>
  <c r="C69"/>
  <c r="C71"/>
  <c r="C86"/>
  <c r="J105" i="84"/>
  <c r="K327"/>
  <c r="V327"/>
  <c r="J130"/>
  <c r="K259"/>
  <c r="AX292"/>
  <c r="AP279"/>
  <c r="AO163"/>
  <c r="AP292"/>
  <c r="Z149"/>
  <c r="I19" i="70"/>
  <c r="I50"/>
  <c r="C52"/>
  <c r="B60"/>
  <c r="G83" i="84"/>
  <c r="G93"/>
  <c r="G163"/>
  <c r="J119"/>
  <c r="J226"/>
  <c r="J219"/>
  <c r="F69" i="78"/>
  <c r="J321" i="84"/>
  <c r="AL322"/>
  <c r="H156"/>
  <c r="H161"/>
  <c r="G266"/>
  <c r="G279"/>
  <c r="AP149"/>
  <c r="F23" i="72"/>
  <c r="AV329" i="84"/>
  <c r="J118"/>
  <c r="AH146"/>
  <c r="M68" i="78"/>
  <c r="M26"/>
  <c r="M27" s="1"/>
  <c r="L107"/>
  <c r="F51" i="72"/>
  <c r="N28" i="69"/>
  <c r="E222" i="76"/>
  <c r="AR334" i="84"/>
  <c r="L108" i="78"/>
  <c r="L109"/>
  <c r="N27" i="69"/>
  <c r="AB329" i="84"/>
  <c r="AD329"/>
  <c r="J250"/>
  <c r="J252"/>
  <c r="AL256"/>
  <c r="AJ259"/>
  <c r="J232"/>
  <c r="J199"/>
  <c r="J192"/>
  <c r="L259"/>
  <c r="AH259"/>
  <c r="J175"/>
  <c r="J202"/>
  <c r="J246"/>
  <c r="J242"/>
  <c r="J241"/>
  <c r="J239"/>
  <c r="J212"/>
  <c r="J203"/>
  <c r="J8"/>
  <c r="Z93"/>
  <c r="J13"/>
  <c r="J15"/>
  <c r="D10" i="116"/>
  <c r="D16"/>
  <c r="J48" i="84"/>
  <c r="J26"/>
  <c r="L93"/>
  <c r="N90"/>
  <c r="N83"/>
  <c r="AP259"/>
  <c r="AQ329"/>
  <c r="AA329"/>
  <c r="N249"/>
  <c r="AE329"/>
  <c r="AI163"/>
  <c r="R93"/>
  <c r="AP93"/>
  <c r="AS163"/>
  <c r="J265"/>
  <c r="H266"/>
  <c r="H279"/>
  <c r="V279"/>
  <c r="N270"/>
  <c r="J268"/>
  <c r="L279"/>
  <c r="R279"/>
  <c r="L113"/>
  <c r="N104"/>
  <c r="J101"/>
  <c r="V292"/>
  <c r="J281"/>
  <c r="J116"/>
  <c r="J115"/>
  <c r="J297"/>
  <c r="J296"/>
  <c r="H301"/>
  <c r="H306"/>
  <c r="V306"/>
  <c r="AR329"/>
  <c r="S329"/>
  <c r="S335"/>
  <c r="AU329"/>
  <c r="AM329"/>
  <c r="AT306"/>
  <c r="S163"/>
  <c r="AR163"/>
  <c r="AD140"/>
  <c r="X163"/>
  <c r="O163"/>
  <c r="AQ163"/>
  <c r="K329"/>
  <c r="I139"/>
  <c r="J139"/>
  <c r="J138"/>
  <c r="I160"/>
  <c r="J160"/>
  <c r="J159"/>
  <c r="AH149"/>
  <c r="Z279"/>
  <c r="AT327"/>
  <c r="Z113"/>
  <c r="Z126"/>
  <c r="I123"/>
  <c r="J123"/>
  <c r="J122"/>
  <c r="I309"/>
  <c r="J309"/>
  <c r="J308"/>
  <c r="I305"/>
  <c r="J305"/>
  <c r="J304"/>
  <c r="I148"/>
  <c r="J148"/>
  <c r="J147"/>
  <c r="I278"/>
  <c r="J278"/>
  <c r="J277"/>
  <c r="AK292"/>
  <c r="AL292"/>
  <c r="AL287"/>
  <c r="I314"/>
  <c r="J314"/>
  <c r="J313"/>
  <c r="AI329"/>
  <c r="AK306"/>
  <c r="AL306"/>
  <c r="X329"/>
  <c r="V315"/>
  <c r="N149"/>
  <c r="G112"/>
  <c r="R149"/>
  <c r="G322"/>
  <c r="G327"/>
  <c r="AH90"/>
  <c r="J229"/>
  <c r="J198"/>
  <c r="J220"/>
  <c r="M140"/>
  <c r="G135"/>
  <c r="G140"/>
  <c r="K113"/>
  <c r="AJ163"/>
  <c r="H90"/>
  <c r="N146"/>
  <c r="P329"/>
  <c r="J128"/>
  <c r="J39"/>
  <c r="J107"/>
  <c r="J34"/>
  <c r="J27"/>
  <c r="AH100"/>
  <c r="J237"/>
  <c r="J222"/>
  <c r="J206"/>
  <c r="J271"/>
  <c r="AK327"/>
  <c r="AW329"/>
  <c r="AX329"/>
  <c r="J228"/>
  <c r="N256"/>
  <c r="V259"/>
  <c r="AT279"/>
  <c r="AT292"/>
  <c r="I326"/>
  <c r="J326"/>
  <c r="J325"/>
  <c r="I92"/>
  <c r="J92"/>
  <c r="J91"/>
  <c r="I137"/>
  <c r="J137"/>
  <c r="J136"/>
  <c r="I158"/>
  <c r="J158"/>
  <c r="J157"/>
  <c r="AG93"/>
  <c r="AH83"/>
  <c r="I289"/>
  <c r="J289"/>
  <c r="J288"/>
  <c r="I143"/>
  <c r="J143"/>
  <c r="J142"/>
  <c r="AK279"/>
  <c r="AL279"/>
  <c r="AL266"/>
  <c r="J182"/>
  <c r="G90"/>
  <c r="G301"/>
  <c r="G306"/>
  <c r="J23"/>
  <c r="J221"/>
  <c r="J190"/>
  <c r="R161"/>
  <c r="G149"/>
  <c r="H83"/>
  <c r="N112"/>
  <c r="J294"/>
  <c r="H249"/>
  <c r="J261"/>
  <c r="J154"/>
  <c r="J58"/>
  <c r="J42"/>
  <c r="J108"/>
  <c r="J35"/>
  <c r="AH112"/>
  <c r="J245"/>
  <c r="J230"/>
  <c r="J235"/>
  <c r="J236"/>
  <c r="N266"/>
  <c r="AT126"/>
  <c r="AD292"/>
  <c r="AH279"/>
  <c r="AL161"/>
  <c r="AP126"/>
  <c r="AX315"/>
  <c r="I258"/>
  <c r="J258"/>
  <c r="J257"/>
  <c r="I303"/>
  <c r="J303"/>
  <c r="J302"/>
  <c r="M126"/>
  <c r="N126"/>
  <c r="N121"/>
  <c r="AG126"/>
  <c r="AH126"/>
  <c r="AH121"/>
  <c r="I291"/>
  <c r="J291"/>
  <c r="J290"/>
  <c r="I125"/>
  <c r="J125"/>
  <c r="J124"/>
  <c r="G249"/>
  <c r="G259"/>
  <c r="AK163"/>
  <c r="J248"/>
  <c r="J11"/>
  <c r="J19"/>
  <c r="G113"/>
  <c r="K93"/>
  <c r="K163"/>
  <c r="H256"/>
  <c r="G312"/>
  <c r="G315"/>
  <c r="J46"/>
  <c r="J89"/>
  <c r="J22"/>
  <c r="J56"/>
  <c r="J95"/>
  <c r="J24"/>
  <c r="J66"/>
  <c r="J43"/>
  <c r="J255"/>
  <c r="J238"/>
  <c r="AL301"/>
  <c r="J243"/>
  <c r="J178"/>
  <c r="J244"/>
  <c r="J179"/>
  <c r="R259"/>
  <c r="R327"/>
  <c r="AL126"/>
  <c r="AP161"/>
  <c r="AG161"/>
  <c r="AH161"/>
  <c r="AH156"/>
  <c r="I324"/>
  <c r="J324"/>
  <c r="J323"/>
  <c r="R315"/>
  <c r="G287"/>
  <c r="G292"/>
  <c r="J214"/>
  <c r="N100"/>
  <c r="H121"/>
  <c r="H126"/>
  <c r="H112"/>
  <c r="H113"/>
  <c r="AF93"/>
  <c r="AF163"/>
  <c r="AH113"/>
  <c r="R126"/>
  <c r="J54"/>
  <c r="J102"/>
  <c r="J30"/>
  <c r="J32"/>
  <c r="J74"/>
  <c r="J9"/>
  <c r="J52"/>
  <c r="J196"/>
  <c r="J253"/>
  <c r="J186"/>
  <c r="N312"/>
  <c r="Y163"/>
  <c r="AD279"/>
  <c r="AT315"/>
  <c r="Z292"/>
  <c r="AT113"/>
  <c r="R113"/>
  <c r="AT140"/>
  <c r="AG140"/>
  <c r="AH140"/>
  <c r="AH135"/>
  <c r="AL140"/>
  <c r="AB163"/>
  <c r="J133"/>
  <c r="J129"/>
  <c r="R140"/>
  <c r="N140"/>
  <c r="N135"/>
  <c r="H135"/>
  <c r="AJ327"/>
  <c r="AL327"/>
  <c r="H322"/>
  <c r="H327"/>
  <c r="M161"/>
  <c r="N161"/>
  <c r="N156"/>
  <c r="AG329"/>
  <c r="AF329"/>
  <c r="J311"/>
  <c r="T329"/>
  <c r="T335"/>
  <c r="H312"/>
  <c r="H315"/>
  <c r="J310"/>
  <c r="T163"/>
  <c r="V149"/>
  <c r="H146"/>
  <c r="J144"/>
  <c r="P163"/>
  <c r="H132" i="78"/>
  <c r="H26"/>
  <c r="H42"/>
  <c r="H108"/>
  <c r="G34" i="79"/>
  <c r="J34"/>
  <c r="G14"/>
  <c r="J14"/>
  <c r="G132" i="77"/>
  <c r="J134"/>
  <c r="E36" i="72"/>
  <c r="F36"/>
  <c r="F16"/>
  <c r="E15"/>
  <c r="F15"/>
  <c r="F14"/>
  <c r="E10" i="116"/>
  <c r="E16"/>
  <c r="Z352"/>
  <c r="H91" i="76"/>
  <c r="H69" i="70"/>
  <c r="I62"/>
  <c r="H42"/>
  <c r="I35"/>
  <c r="H33"/>
  <c r="M33"/>
  <c r="H82"/>
  <c r="I78"/>
  <c r="D15" i="75"/>
  <c r="C26"/>
  <c r="AI331" i="84"/>
  <c r="AI332" s="1"/>
  <c r="F23" i="69"/>
  <c r="F31"/>
  <c r="E231" i="76"/>
  <c r="D11" i="75"/>
  <c r="AJ331" i="84"/>
  <c r="D86" i="61"/>
  <c r="P334" i="84"/>
  <c r="N21" i="69"/>
  <c r="C9"/>
  <c r="F27"/>
  <c r="N31"/>
  <c r="G226" i="76"/>
  <c r="F30" i="69"/>
  <c r="N11" i="68"/>
  <c r="G233" i="76"/>
  <c r="F32" i="69"/>
  <c r="H152" i="76"/>
  <c r="H166"/>
  <c r="F28" i="69"/>
  <c r="N24"/>
  <c r="N32"/>
  <c r="N10" i="68"/>
  <c r="H239" i="76"/>
  <c r="E8" i="75"/>
  <c r="E11" i="68"/>
  <c r="E221" i="65"/>
  <c r="E18" i="75"/>
  <c r="M9" i="68"/>
  <c r="V281" i="85"/>
  <c r="AC163" i="84"/>
  <c r="AD93"/>
  <c r="AS329"/>
  <c r="AT259"/>
  <c r="AO329"/>
  <c r="AP329"/>
  <c r="AK259"/>
  <c r="AL259"/>
  <c r="AL249"/>
  <c r="AK315"/>
  <c r="AL315"/>
  <c r="AL312"/>
  <c r="Y329"/>
  <c r="Z259"/>
  <c r="U329"/>
  <c r="M327"/>
  <c r="N327"/>
  <c r="N322"/>
  <c r="M306"/>
  <c r="N306"/>
  <c r="N301"/>
  <c r="M292"/>
  <c r="N287"/>
  <c r="Q329"/>
  <c r="U163"/>
  <c r="V93"/>
  <c r="F135" i="77"/>
  <c r="D135"/>
  <c r="G32"/>
  <c r="D70"/>
  <c r="G26"/>
  <c r="F62"/>
  <c r="G9"/>
  <c r="D252" i="116"/>
  <c r="D235"/>
  <c r="J248"/>
  <c r="J252"/>
  <c r="J235"/>
  <c r="J241"/>
  <c r="F248"/>
  <c r="F27"/>
  <c r="D177"/>
  <c r="F177"/>
  <c r="J173"/>
  <c r="J177"/>
  <c r="J160"/>
  <c r="J166"/>
  <c r="F173"/>
  <c r="D35"/>
  <c r="F52"/>
  <c r="O60"/>
  <c r="Q77"/>
  <c r="O260"/>
  <c r="Q277"/>
  <c r="O35"/>
  <c r="Q52"/>
  <c r="O235"/>
  <c r="Q252"/>
  <c r="O10"/>
  <c r="Q27"/>
  <c r="O210"/>
  <c r="Q227"/>
  <c r="D335"/>
  <c r="F352"/>
  <c r="O185"/>
  <c r="Q202"/>
  <c r="D135"/>
  <c r="F152"/>
  <c r="D110"/>
  <c r="F127"/>
  <c r="D85"/>
  <c r="F102"/>
  <c r="D285"/>
  <c r="F302"/>
  <c r="O160"/>
  <c r="Q177"/>
  <c r="D60"/>
  <c r="F77"/>
  <c r="D260"/>
  <c r="F277"/>
  <c r="O135"/>
  <c r="Q152"/>
  <c r="O110"/>
  <c r="Q127"/>
  <c r="O335"/>
  <c r="Q352"/>
  <c r="O85"/>
  <c r="Q102"/>
  <c r="O285"/>
  <c r="Q302"/>
  <c r="D210"/>
  <c r="F227"/>
  <c r="D185"/>
  <c r="F202"/>
  <c r="H52" i="70"/>
  <c r="H21"/>
  <c r="B21"/>
  <c r="B42"/>
  <c r="B69"/>
  <c r="E101" i="109"/>
  <c r="E220"/>
  <c r="G110" i="76"/>
  <c r="H110"/>
  <c r="E71" i="97"/>
  <c r="E221"/>
  <c r="E71" i="67"/>
  <c r="G223" i="76"/>
  <c r="E221" i="67"/>
  <c r="E221" i="66"/>
  <c r="E228" i="64"/>
  <c r="E225"/>
  <c r="E71" i="66"/>
  <c r="G230" i="76"/>
  <c r="H230" s="1"/>
  <c r="E71" i="65"/>
  <c r="F110" i="61"/>
  <c r="R334" i="84" s="1"/>
  <c r="R335" s="1"/>
  <c r="U331"/>
  <c r="L9" i="68"/>
  <c r="F72" i="85"/>
  <c r="D18" i="75"/>
  <c r="C177" i="61"/>
  <c r="M315" i="84"/>
  <c r="N315"/>
  <c r="Q334"/>
  <c r="A10" i="85"/>
  <c r="A80"/>
  <c r="S78"/>
  <c r="J78"/>
  <c r="A150"/>
  <c r="M279" i="84"/>
  <c r="M259"/>
  <c r="I312"/>
  <c r="I322"/>
  <c r="I301"/>
  <c r="I270"/>
  <c r="J270"/>
  <c r="I249"/>
  <c r="I266"/>
  <c r="I256"/>
  <c r="I287"/>
  <c r="I90"/>
  <c r="I135"/>
  <c r="I140"/>
  <c r="I112"/>
  <c r="J112"/>
  <c r="I100"/>
  <c r="J100"/>
  <c r="I121"/>
  <c r="I104"/>
  <c r="J104"/>
  <c r="I146"/>
  <c r="I156"/>
  <c r="I83"/>
  <c r="M113"/>
  <c r="Q163"/>
  <c r="L292"/>
  <c r="AN163"/>
  <c r="AP163"/>
  <c r="M93"/>
  <c r="AE93"/>
  <c r="AE163"/>
  <c r="C37" i="72"/>
  <c r="D37"/>
  <c r="H60" i="70"/>
  <c r="U10" i="85"/>
  <c r="Q10"/>
  <c r="I10"/>
  <c r="P10"/>
  <c r="R10"/>
  <c r="H10"/>
  <c r="M10"/>
  <c r="K10"/>
  <c r="N10"/>
  <c r="S10" s="1"/>
  <c r="E10"/>
  <c r="O10"/>
  <c r="L10"/>
  <c r="C10"/>
  <c r="F10"/>
  <c r="D10"/>
  <c r="G10"/>
  <c r="J10"/>
  <c r="M219"/>
  <c r="Q219"/>
  <c r="AG163" i="84"/>
  <c r="K219" i="85"/>
  <c r="H219"/>
  <c r="D219"/>
  <c r="F219"/>
  <c r="P80"/>
  <c r="H80"/>
  <c r="G80"/>
  <c r="U80"/>
  <c r="R80"/>
  <c r="Q80"/>
  <c r="I80"/>
  <c r="O80"/>
  <c r="N80"/>
  <c r="F80"/>
  <c r="M80"/>
  <c r="E80"/>
  <c r="D80"/>
  <c r="K80"/>
  <c r="C80"/>
  <c r="J80" s="1"/>
  <c r="J220" s="1"/>
  <c r="L80"/>
  <c r="J156" i="84"/>
  <c r="L219" i="85"/>
  <c r="P219"/>
  <c r="U150"/>
  <c r="U220" s="1"/>
  <c r="Q150"/>
  <c r="Q220" s="1"/>
  <c r="G150"/>
  <c r="G220" s="1"/>
  <c r="R150"/>
  <c r="R220" s="1"/>
  <c r="I150"/>
  <c r="I220" s="1"/>
  <c r="P150"/>
  <c r="P220" s="1"/>
  <c r="H150"/>
  <c r="H220" s="1"/>
  <c r="O150"/>
  <c r="O220" s="1"/>
  <c r="F150"/>
  <c r="F220"/>
  <c r="M150"/>
  <c r="M220"/>
  <c r="N150"/>
  <c r="N220"/>
  <c r="E150"/>
  <c r="E220"/>
  <c r="L150"/>
  <c r="D150"/>
  <c r="D220" s="1"/>
  <c r="K150"/>
  <c r="C150"/>
  <c r="C220" s="1"/>
  <c r="I219"/>
  <c r="R219"/>
  <c r="AR335" i="84"/>
  <c r="N259"/>
  <c r="H259"/>
  <c r="H329"/>
  <c r="AT163"/>
  <c r="W352" i="116"/>
  <c r="L163" i="84"/>
  <c r="N93"/>
  <c r="H93"/>
  <c r="J266"/>
  <c r="N279"/>
  <c r="L329"/>
  <c r="N113"/>
  <c r="Z163"/>
  <c r="J121"/>
  <c r="I126"/>
  <c r="J126"/>
  <c r="Z329"/>
  <c r="R329"/>
  <c r="P335"/>
  <c r="AT329"/>
  <c r="G329"/>
  <c r="AJ332"/>
  <c r="AL163"/>
  <c r="N292"/>
  <c r="I149"/>
  <c r="AH93"/>
  <c r="J249"/>
  <c r="J256"/>
  <c r="J90"/>
  <c r="AH163"/>
  <c r="AD163"/>
  <c r="H140"/>
  <c r="J135"/>
  <c r="AJ329"/>
  <c r="AH329"/>
  <c r="I161"/>
  <c r="J161"/>
  <c r="V329"/>
  <c r="V335"/>
  <c r="V163"/>
  <c r="R163"/>
  <c r="J146"/>
  <c r="H149"/>
  <c r="H69" i="78"/>
  <c r="G94" i="77"/>
  <c r="G135"/>
  <c r="G62"/>
  <c r="E37" i="72"/>
  <c r="F37"/>
  <c r="F252" i="116"/>
  <c r="F10"/>
  <c r="F16"/>
  <c r="I69" i="70"/>
  <c r="M69"/>
  <c r="I60"/>
  <c r="M60"/>
  <c r="I52"/>
  <c r="M52"/>
  <c r="I42"/>
  <c r="M42"/>
  <c r="H71"/>
  <c r="I33"/>
  <c r="H84"/>
  <c r="I82"/>
  <c r="M82"/>
  <c r="I21"/>
  <c r="M21"/>
  <c r="I142" i="85"/>
  <c r="V8" i="75"/>
  <c r="E220" i="65"/>
  <c r="E101"/>
  <c r="V18" i="75"/>
  <c r="F18"/>
  <c r="N9" i="68"/>
  <c r="V283" i="85"/>
  <c r="AK329" i="84"/>
  <c r="I315"/>
  <c r="J315"/>
  <c r="J312"/>
  <c r="U335"/>
  <c r="Q335"/>
  <c r="I327"/>
  <c r="J327"/>
  <c r="J322"/>
  <c r="I306"/>
  <c r="J306"/>
  <c r="J301"/>
  <c r="I292"/>
  <c r="J292"/>
  <c r="J287"/>
  <c r="U332"/>
  <c r="I93"/>
  <c r="J83"/>
  <c r="D137" i="77"/>
  <c r="F70"/>
  <c r="G70"/>
  <c r="D160" i="116"/>
  <c r="F160"/>
  <c r="D191"/>
  <c r="F191"/>
  <c r="F185"/>
  <c r="O341"/>
  <c r="Q341"/>
  <c r="Q335"/>
  <c r="D266"/>
  <c r="F266"/>
  <c r="F260"/>
  <c r="D91"/>
  <c r="F91"/>
  <c r="F85"/>
  <c r="D341"/>
  <c r="F341"/>
  <c r="F335"/>
  <c r="O41"/>
  <c r="Q41"/>
  <c r="Q35"/>
  <c r="D41"/>
  <c r="F41"/>
  <c r="F35"/>
  <c r="O91"/>
  <c r="Q91"/>
  <c r="Q85"/>
  <c r="O141"/>
  <c r="Q141"/>
  <c r="Q135"/>
  <c r="D291"/>
  <c r="F291"/>
  <c r="F285"/>
  <c r="O191"/>
  <c r="Q191"/>
  <c r="Q185"/>
  <c r="O241"/>
  <c r="Q241"/>
  <c r="Q235"/>
  <c r="O66"/>
  <c r="Q66"/>
  <c r="Q60"/>
  <c r="O291"/>
  <c r="Q291"/>
  <c r="Q285"/>
  <c r="D241"/>
  <c r="F241"/>
  <c r="F235"/>
  <c r="O166"/>
  <c r="Q166"/>
  <c r="Q160"/>
  <c r="D141"/>
  <c r="F141"/>
  <c r="F135"/>
  <c r="O16"/>
  <c r="Q16"/>
  <c r="Q10"/>
  <c r="O266"/>
  <c r="Q266"/>
  <c r="Q260"/>
  <c r="D216"/>
  <c r="F216"/>
  <c r="F210"/>
  <c r="O116"/>
  <c r="Q116"/>
  <c r="Q110"/>
  <c r="D66"/>
  <c r="F66"/>
  <c r="F60"/>
  <c r="D116"/>
  <c r="F116"/>
  <c r="F110"/>
  <c r="O216"/>
  <c r="Q216"/>
  <c r="Q210"/>
  <c r="E102" i="109"/>
  <c r="E220" i="97"/>
  <c r="E101"/>
  <c r="E101" i="67"/>
  <c r="E220"/>
  <c r="E101" i="66"/>
  <c r="E220"/>
  <c r="E221" i="64"/>
  <c r="O72" i="85"/>
  <c r="M329" i="84"/>
  <c r="W8" i="85"/>
  <c r="A11"/>
  <c r="J9"/>
  <c r="T78"/>
  <c r="A81"/>
  <c r="A151"/>
  <c r="I279" i="84"/>
  <c r="J279"/>
  <c r="I259"/>
  <c r="I113"/>
  <c r="M163"/>
  <c r="R11" i="85"/>
  <c r="H11"/>
  <c r="P11"/>
  <c r="I11"/>
  <c r="U11"/>
  <c r="Q11"/>
  <c r="N11"/>
  <c r="E11"/>
  <c r="G11"/>
  <c r="F11"/>
  <c r="L11"/>
  <c r="C11"/>
  <c r="D11"/>
  <c r="M11"/>
  <c r="O11"/>
  <c r="K11"/>
  <c r="U81"/>
  <c r="P81"/>
  <c r="O81"/>
  <c r="O221" s="1"/>
  <c r="N81"/>
  <c r="R81"/>
  <c r="Q81"/>
  <c r="I81"/>
  <c r="G81"/>
  <c r="F81"/>
  <c r="H81"/>
  <c r="E81"/>
  <c r="J81" s="1"/>
  <c r="J221" s="1"/>
  <c r="D81"/>
  <c r="K81"/>
  <c r="C81"/>
  <c r="L81"/>
  <c r="S81" s="1"/>
  <c r="M81"/>
  <c r="J140" i="84"/>
  <c r="J149"/>
  <c r="U151" i="85"/>
  <c r="U221"/>
  <c r="R151"/>
  <c r="R221"/>
  <c r="H151"/>
  <c r="H221"/>
  <c r="O151"/>
  <c r="F151"/>
  <c r="F221" s="1"/>
  <c r="Q151"/>
  <c r="Q221"/>
  <c r="I151"/>
  <c r="P151"/>
  <c r="P221"/>
  <c r="E151"/>
  <c r="G151"/>
  <c r="M151"/>
  <c r="L151"/>
  <c r="L221" s="1"/>
  <c r="D151"/>
  <c r="D221"/>
  <c r="K151"/>
  <c r="K221" s="1"/>
  <c r="C151"/>
  <c r="C221"/>
  <c r="N151"/>
  <c r="N221" s="1"/>
  <c r="L220"/>
  <c r="J259" i="84"/>
  <c r="N163"/>
  <c r="J93"/>
  <c r="N329"/>
  <c r="I163"/>
  <c r="J113"/>
  <c r="AL329"/>
  <c r="H163"/>
  <c r="I71" i="70"/>
  <c r="H86"/>
  <c r="M86"/>
  <c r="I84"/>
  <c r="M84"/>
  <c r="E102" i="65"/>
  <c r="F137" i="77"/>
  <c r="D166" i="116"/>
  <c r="F166"/>
  <c r="E102" i="97"/>
  <c r="E102" i="67"/>
  <c r="E102" i="66"/>
  <c r="E220" i="64"/>
  <c r="A12" i="85"/>
  <c r="S80"/>
  <c r="T80" s="1"/>
  <c r="W80" s="1"/>
  <c r="A82"/>
  <c r="W78"/>
  <c r="A152"/>
  <c r="J150"/>
  <c r="I329" i="84"/>
  <c r="J329"/>
  <c r="R152" i="85"/>
  <c r="I152"/>
  <c r="J152" s="1"/>
  <c r="J222" s="1"/>
  <c r="P152"/>
  <c r="H152"/>
  <c r="U152"/>
  <c r="Q152"/>
  <c r="Q222" s="1"/>
  <c r="F152"/>
  <c r="E152"/>
  <c r="E222"/>
  <c r="L152"/>
  <c r="G152"/>
  <c r="M152"/>
  <c r="O152"/>
  <c r="O222" s="1"/>
  <c r="K152"/>
  <c r="D152"/>
  <c r="C152"/>
  <c r="N152"/>
  <c r="N222" s="1"/>
  <c r="I12"/>
  <c r="P12"/>
  <c r="R12"/>
  <c r="H12"/>
  <c r="U12"/>
  <c r="Q12"/>
  <c r="O12"/>
  <c r="N12"/>
  <c r="E12"/>
  <c r="G12"/>
  <c r="D12"/>
  <c r="F12"/>
  <c r="M12"/>
  <c r="C12"/>
  <c r="K12"/>
  <c r="S12" s="1"/>
  <c r="L12"/>
  <c r="H82"/>
  <c r="G82"/>
  <c r="G222" s="1"/>
  <c r="U82"/>
  <c r="R82"/>
  <c r="Q82"/>
  <c r="I82"/>
  <c r="P82"/>
  <c r="O82"/>
  <c r="N82"/>
  <c r="F82"/>
  <c r="J82" s="1"/>
  <c r="M82"/>
  <c r="E82"/>
  <c r="D82"/>
  <c r="K82"/>
  <c r="L82"/>
  <c r="C82"/>
  <c r="G221"/>
  <c r="J163" i="84"/>
  <c r="I86" i="70"/>
  <c r="G137" i="77"/>
  <c r="A13" i="85"/>
  <c r="J11"/>
  <c r="A83"/>
  <c r="A153"/>
  <c r="J151"/>
  <c r="C233" i="109"/>
  <c r="C194"/>
  <c r="C193"/>
  <c r="C192"/>
  <c r="C234"/>
  <c r="C226"/>
  <c r="C227"/>
  <c r="C225"/>
  <c r="C165"/>
  <c r="C159"/>
  <c r="C150"/>
  <c r="C146"/>
  <c r="C132"/>
  <c r="C123"/>
  <c r="C116"/>
  <c r="C110"/>
  <c r="D242"/>
  <c r="F242"/>
  <c r="D233"/>
  <c r="F233"/>
  <c r="D234"/>
  <c r="F234"/>
  <c r="D226"/>
  <c r="F226"/>
  <c r="D227"/>
  <c r="D165"/>
  <c r="F165"/>
  <c r="D159"/>
  <c r="D150"/>
  <c r="D146"/>
  <c r="F146"/>
  <c r="D123"/>
  <c r="F123"/>
  <c r="D116"/>
  <c r="F116"/>
  <c r="D110"/>
  <c r="F110"/>
  <c r="C230" i="97"/>
  <c r="C233"/>
  <c r="C234"/>
  <c r="C226"/>
  <c r="C227"/>
  <c r="C225"/>
  <c r="C159"/>
  <c r="C146"/>
  <c r="C132"/>
  <c r="C123"/>
  <c r="C223"/>
  <c r="C64"/>
  <c r="C58"/>
  <c r="C51"/>
  <c r="C44"/>
  <c r="C11"/>
  <c r="D242"/>
  <c r="F242"/>
  <c r="D223"/>
  <c r="F223"/>
  <c r="D233"/>
  <c r="D234"/>
  <c r="F234"/>
  <c r="D226"/>
  <c r="F226"/>
  <c r="D227"/>
  <c r="D159"/>
  <c r="D146"/>
  <c r="D123"/>
  <c r="F123"/>
  <c r="C116"/>
  <c r="D110"/>
  <c r="F110"/>
  <c r="D230"/>
  <c r="F230"/>
  <c r="D64"/>
  <c r="F64"/>
  <c r="D58"/>
  <c r="F58"/>
  <c r="D51"/>
  <c r="F51"/>
  <c r="D44"/>
  <c r="F44"/>
  <c r="D11"/>
  <c r="F11"/>
  <c r="C226" i="67"/>
  <c r="C233"/>
  <c r="C165"/>
  <c r="C159"/>
  <c r="C132"/>
  <c r="C123"/>
  <c r="C223"/>
  <c r="C64"/>
  <c r="C58"/>
  <c r="C51"/>
  <c r="C44"/>
  <c r="C25"/>
  <c r="C12"/>
  <c r="C11"/>
  <c r="D242"/>
  <c r="F242"/>
  <c r="D223"/>
  <c r="F223"/>
  <c r="D226"/>
  <c r="F226"/>
  <c r="D165"/>
  <c r="F165"/>
  <c r="D159"/>
  <c r="D150"/>
  <c r="D123"/>
  <c r="F123"/>
  <c r="C116"/>
  <c r="D110"/>
  <c r="F110"/>
  <c r="D64"/>
  <c r="F64"/>
  <c r="D58"/>
  <c r="F58"/>
  <c r="D51"/>
  <c r="F51"/>
  <c r="D44"/>
  <c r="F44"/>
  <c r="D32"/>
  <c r="F32"/>
  <c r="D25"/>
  <c r="F25"/>
  <c r="D12"/>
  <c r="C230" i="66"/>
  <c r="C233"/>
  <c r="C234"/>
  <c r="C226"/>
  <c r="C227"/>
  <c r="C225"/>
  <c r="C165"/>
  <c r="C159"/>
  <c r="C146"/>
  <c r="C123"/>
  <c r="C223"/>
  <c r="C64"/>
  <c r="C58"/>
  <c r="C51"/>
  <c r="C44"/>
  <c r="C25"/>
  <c r="C12"/>
  <c r="C11"/>
  <c r="D242"/>
  <c r="F242"/>
  <c r="D223"/>
  <c r="F223"/>
  <c r="D233"/>
  <c r="D234"/>
  <c r="F234"/>
  <c r="D226"/>
  <c r="F226"/>
  <c r="D227"/>
  <c r="D165"/>
  <c r="F165"/>
  <c r="D159"/>
  <c r="D150"/>
  <c r="D146"/>
  <c r="F146"/>
  <c r="D123"/>
  <c r="F123"/>
  <c r="D110"/>
  <c r="F110"/>
  <c r="D230"/>
  <c r="F230"/>
  <c r="D64"/>
  <c r="F64"/>
  <c r="D58"/>
  <c r="F58"/>
  <c r="D51"/>
  <c r="F51"/>
  <c r="D44"/>
  <c r="F44"/>
  <c r="D32"/>
  <c r="F32"/>
  <c r="D25"/>
  <c r="F25"/>
  <c r="D12"/>
  <c r="C233" i="64"/>
  <c r="D233"/>
  <c r="F233"/>
  <c r="D226"/>
  <c r="F226"/>
  <c r="D165"/>
  <c r="F165"/>
  <c r="D159"/>
  <c r="D116"/>
  <c r="F116"/>
  <c r="D110"/>
  <c r="F110"/>
  <c r="D230"/>
  <c r="F230"/>
  <c r="D231"/>
  <c r="F231"/>
  <c r="C223"/>
  <c r="C64"/>
  <c r="D58"/>
  <c r="F58"/>
  <c r="C44"/>
  <c r="D25"/>
  <c r="F25"/>
  <c r="D12"/>
  <c r="F12"/>
  <c r="D11" i="67"/>
  <c r="F11"/>
  <c r="F12"/>
  <c r="D225" i="97"/>
  <c r="F225"/>
  <c r="F227"/>
  <c r="U153" i="85"/>
  <c r="Q153"/>
  <c r="I153"/>
  <c r="P153"/>
  <c r="H153"/>
  <c r="F153"/>
  <c r="E153"/>
  <c r="G153"/>
  <c r="M153"/>
  <c r="O153"/>
  <c r="R153"/>
  <c r="N153"/>
  <c r="N223" s="1"/>
  <c r="D153"/>
  <c r="K153"/>
  <c r="C153"/>
  <c r="L153"/>
  <c r="D222"/>
  <c r="F159" i="64"/>
  <c r="L81" i="78"/>
  <c r="L82" s="1"/>
  <c r="F150" i="109"/>
  <c r="L50" i="78"/>
  <c r="L51" s="1"/>
  <c r="U222" i="85"/>
  <c r="D225" i="66"/>
  <c r="F225"/>
  <c r="F227"/>
  <c r="F150" i="67"/>
  <c r="L42" i="78"/>
  <c r="L43" s="1"/>
  <c r="L96"/>
  <c r="L97"/>
  <c r="F159" i="109"/>
  <c r="H222" i="85"/>
  <c r="L87" i="78"/>
  <c r="L88"/>
  <c r="F159" i="66"/>
  <c r="L90" i="78"/>
  <c r="L91"/>
  <c r="F159" i="67"/>
  <c r="D232" i="97"/>
  <c r="F232"/>
  <c r="F233"/>
  <c r="M222" i="85"/>
  <c r="P222"/>
  <c r="D132" i="97"/>
  <c r="F132"/>
  <c r="F146"/>
  <c r="F150" i="66"/>
  <c r="L34" i="78"/>
  <c r="L35"/>
  <c r="L93"/>
  <c r="L94" s="1"/>
  <c r="F159" i="97"/>
  <c r="C222" i="85"/>
  <c r="D11" i="66"/>
  <c r="F11"/>
  <c r="F12"/>
  <c r="D225" i="109"/>
  <c r="F225"/>
  <c r="F227"/>
  <c r="U83" i="85"/>
  <c r="R83"/>
  <c r="R223" s="1"/>
  <c r="P83"/>
  <c r="P223" s="1"/>
  <c r="O83"/>
  <c r="N83"/>
  <c r="Q83"/>
  <c r="I83"/>
  <c r="G83"/>
  <c r="H83"/>
  <c r="M83"/>
  <c r="D83"/>
  <c r="K83"/>
  <c r="C83"/>
  <c r="F83"/>
  <c r="E83"/>
  <c r="L83"/>
  <c r="U13"/>
  <c r="R13"/>
  <c r="H13"/>
  <c r="H15" s="1"/>
  <c r="O13"/>
  <c r="P13"/>
  <c r="Q13"/>
  <c r="G13"/>
  <c r="I13"/>
  <c r="N13"/>
  <c r="F13"/>
  <c r="D13"/>
  <c r="D15" s="1"/>
  <c r="M13"/>
  <c r="E13"/>
  <c r="K13"/>
  <c r="L13"/>
  <c r="C13"/>
  <c r="D232" i="66"/>
  <c r="F232"/>
  <c r="F233"/>
  <c r="L222" i="85"/>
  <c r="R222"/>
  <c r="J12"/>
  <c r="T12"/>
  <c r="W12"/>
  <c r="A14"/>
  <c r="T81"/>
  <c r="W81" s="1"/>
  <c r="A84"/>
  <c r="A154"/>
  <c r="D149" i="109"/>
  <c r="F149"/>
  <c r="D232"/>
  <c r="F232"/>
  <c r="C242"/>
  <c r="C232"/>
  <c r="C149"/>
  <c r="C109"/>
  <c r="C179"/>
  <c r="C178"/>
  <c r="C177"/>
  <c r="C207"/>
  <c r="D132"/>
  <c r="F132"/>
  <c r="D179"/>
  <c r="D194"/>
  <c r="D25" i="97"/>
  <c r="F25"/>
  <c r="C25"/>
  <c r="C50"/>
  <c r="C110"/>
  <c r="C109"/>
  <c r="D116"/>
  <c r="C150"/>
  <c r="D150"/>
  <c r="C242"/>
  <c r="C232"/>
  <c r="C179"/>
  <c r="C178"/>
  <c r="C177"/>
  <c r="C194"/>
  <c r="C193"/>
  <c r="C192"/>
  <c r="D50"/>
  <c r="F50"/>
  <c r="D179"/>
  <c r="D194"/>
  <c r="C242" i="67"/>
  <c r="D227"/>
  <c r="D179"/>
  <c r="D234"/>
  <c r="F234"/>
  <c r="D233"/>
  <c r="F233"/>
  <c r="D149"/>
  <c r="F149"/>
  <c r="C150"/>
  <c r="C149"/>
  <c r="D116"/>
  <c r="C110"/>
  <c r="C109"/>
  <c r="D50"/>
  <c r="F50"/>
  <c r="C32"/>
  <c r="C10"/>
  <c r="C50"/>
  <c r="D10"/>
  <c r="F10"/>
  <c r="D132"/>
  <c r="F132"/>
  <c r="D194"/>
  <c r="C242" i="66"/>
  <c r="C232"/>
  <c r="D149"/>
  <c r="F149"/>
  <c r="C150"/>
  <c r="C149"/>
  <c r="C116"/>
  <c r="C110"/>
  <c r="D50"/>
  <c r="F50"/>
  <c r="C32"/>
  <c r="C10"/>
  <c r="D10"/>
  <c r="F10"/>
  <c r="C50"/>
  <c r="C132"/>
  <c r="C179"/>
  <c r="C178"/>
  <c r="C177"/>
  <c r="C194"/>
  <c r="C193"/>
  <c r="C192"/>
  <c r="D132"/>
  <c r="F132"/>
  <c r="D179"/>
  <c r="D194"/>
  <c r="C179" i="65"/>
  <c r="D179"/>
  <c r="F179"/>
  <c r="C242" i="64"/>
  <c r="D242"/>
  <c r="F242"/>
  <c r="C226"/>
  <c r="C165"/>
  <c r="C159"/>
  <c r="D150"/>
  <c r="C150"/>
  <c r="D146"/>
  <c r="C146"/>
  <c r="D123"/>
  <c r="F123"/>
  <c r="C123"/>
  <c r="C116"/>
  <c r="C110"/>
  <c r="D229"/>
  <c r="F229"/>
  <c r="C230"/>
  <c r="C231"/>
  <c r="D73"/>
  <c r="D223"/>
  <c r="F223"/>
  <c r="C73"/>
  <c r="C72"/>
  <c r="C71"/>
  <c r="D64"/>
  <c r="F64"/>
  <c r="C58"/>
  <c r="C51"/>
  <c r="D51"/>
  <c r="F51"/>
  <c r="D44"/>
  <c r="F44"/>
  <c r="D32"/>
  <c r="F32"/>
  <c r="C32"/>
  <c r="C25"/>
  <c r="D11"/>
  <c r="F11"/>
  <c r="C12"/>
  <c r="C11"/>
  <c r="C132"/>
  <c r="C88"/>
  <c r="C87"/>
  <c r="C86"/>
  <c r="C224"/>
  <c r="C222"/>
  <c r="D88"/>
  <c r="D224"/>
  <c r="F224"/>
  <c r="O223" i="85"/>
  <c r="Q223"/>
  <c r="C207" i="66"/>
  <c r="D178" i="67"/>
  <c r="F179"/>
  <c r="U84" i="85"/>
  <c r="U85"/>
  <c r="R84"/>
  <c r="R85" s="1"/>
  <c r="R91" s="1"/>
  <c r="Q84"/>
  <c r="I84"/>
  <c r="P84"/>
  <c r="F84"/>
  <c r="G84"/>
  <c r="N84"/>
  <c r="N85" s="1"/>
  <c r="M84"/>
  <c r="M85" s="1"/>
  <c r="O84"/>
  <c r="O85"/>
  <c r="E84"/>
  <c r="K84"/>
  <c r="D84"/>
  <c r="L84"/>
  <c r="S84" s="1"/>
  <c r="C84"/>
  <c r="H84"/>
  <c r="U223"/>
  <c r="D178" i="66"/>
  <c r="F179"/>
  <c r="D225" i="67"/>
  <c r="F225"/>
  <c r="F227"/>
  <c r="D193" i="109"/>
  <c r="F194"/>
  <c r="L223" i="85"/>
  <c r="G223"/>
  <c r="F150" i="97"/>
  <c r="L45" i="78"/>
  <c r="L46"/>
  <c r="D178" i="109"/>
  <c r="F179"/>
  <c r="C223" i="85"/>
  <c r="E223"/>
  <c r="C101" i="64"/>
  <c r="D193" i="97"/>
  <c r="F194"/>
  <c r="P154" i="85"/>
  <c r="H154"/>
  <c r="H224"/>
  <c r="Q154"/>
  <c r="Q224" s="1"/>
  <c r="G154"/>
  <c r="G224"/>
  <c r="R154"/>
  <c r="R224" s="1"/>
  <c r="I154"/>
  <c r="N154"/>
  <c r="N155" s="1"/>
  <c r="N224"/>
  <c r="M154"/>
  <c r="O154"/>
  <c r="K154"/>
  <c r="K224"/>
  <c r="D154"/>
  <c r="D224" s="1"/>
  <c r="C154"/>
  <c r="J154" s="1"/>
  <c r="C224"/>
  <c r="E154"/>
  <c r="E224" s="1"/>
  <c r="L154"/>
  <c r="F154"/>
  <c r="F224" s="1"/>
  <c r="U154"/>
  <c r="U224" s="1"/>
  <c r="K223"/>
  <c r="F223"/>
  <c r="D193" i="66"/>
  <c r="F194"/>
  <c r="D193" i="67"/>
  <c r="F194"/>
  <c r="D178" i="97"/>
  <c r="F179"/>
  <c r="P14" i="85"/>
  <c r="R14"/>
  <c r="H14"/>
  <c r="Q14"/>
  <c r="I14"/>
  <c r="O14"/>
  <c r="G14"/>
  <c r="G15"/>
  <c r="N14"/>
  <c r="F14"/>
  <c r="M14"/>
  <c r="E14"/>
  <c r="K14"/>
  <c r="L14"/>
  <c r="C14"/>
  <c r="J14" s="1"/>
  <c r="D14"/>
  <c r="U14"/>
  <c r="D223"/>
  <c r="D109" i="109"/>
  <c r="D176"/>
  <c r="D109" i="97"/>
  <c r="F109"/>
  <c r="F116"/>
  <c r="D215" i="67"/>
  <c r="F215"/>
  <c r="D109"/>
  <c r="F109"/>
  <c r="F116"/>
  <c r="D149" i="64"/>
  <c r="F149"/>
  <c r="F150"/>
  <c r="D132"/>
  <c r="F132"/>
  <c r="F146"/>
  <c r="D72"/>
  <c r="F73"/>
  <c r="D87"/>
  <c r="F88"/>
  <c r="N15" i="85"/>
  <c r="U15"/>
  <c r="F15"/>
  <c r="P15"/>
  <c r="Q15"/>
  <c r="A16"/>
  <c r="D85"/>
  <c r="E85"/>
  <c r="A86"/>
  <c r="P85"/>
  <c r="Q85"/>
  <c r="I85"/>
  <c r="J83"/>
  <c r="D155"/>
  <c r="U155"/>
  <c r="A156"/>
  <c r="O155"/>
  <c r="G155"/>
  <c r="Q155"/>
  <c r="C176" i="109"/>
  <c r="C208"/>
  <c r="C207" i="97"/>
  <c r="D232" i="67"/>
  <c r="F232"/>
  <c r="C227"/>
  <c r="C225"/>
  <c r="C179"/>
  <c r="C178"/>
  <c r="C177"/>
  <c r="C194"/>
  <c r="C193"/>
  <c r="C192"/>
  <c r="C94"/>
  <c r="C234"/>
  <c r="C232"/>
  <c r="C215"/>
  <c r="C214"/>
  <c r="C70"/>
  <c r="C176"/>
  <c r="D70"/>
  <c r="F70"/>
  <c r="C94" i="66"/>
  <c r="D215"/>
  <c r="F215"/>
  <c r="C215"/>
  <c r="C231"/>
  <c r="C229"/>
  <c r="C228"/>
  <c r="C88"/>
  <c r="C87"/>
  <c r="C86"/>
  <c r="D116"/>
  <c r="C109"/>
  <c r="C79"/>
  <c r="D70"/>
  <c r="F70"/>
  <c r="C70"/>
  <c r="C229" i="64"/>
  <c r="D222"/>
  <c r="F222"/>
  <c r="D10"/>
  <c r="F10"/>
  <c r="C149"/>
  <c r="C109"/>
  <c r="D50"/>
  <c r="C50"/>
  <c r="C10"/>
  <c r="M224" i="85"/>
  <c r="D177" i="66"/>
  <c r="F178"/>
  <c r="U156" i="85"/>
  <c r="R156"/>
  <c r="Q156"/>
  <c r="I156"/>
  <c r="N156"/>
  <c r="G156"/>
  <c r="O156"/>
  <c r="H156"/>
  <c r="C156"/>
  <c r="E156"/>
  <c r="E226" s="1"/>
  <c r="K156"/>
  <c r="P156"/>
  <c r="P226" s="1"/>
  <c r="F156"/>
  <c r="L156"/>
  <c r="D156"/>
  <c r="M156"/>
  <c r="M226" s="1"/>
  <c r="F155"/>
  <c r="D192" i="67"/>
  <c r="F193"/>
  <c r="R16" i="85"/>
  <c r="R18" s="1"/>
  <c r="U16"/>
  <c r="O16"/>
  <c r="P16"/>
  <c r="G16"/>
  <c r="G18" s="1"/>
  <c r="Q16"/>
  <c r="I16"/>
  <c r="H16"/>
  <c r="F16"/>
  <c r="M16"/>
  <c r="E16"/>
  <c r="K16"/>
  <c r="L16"/>
  <c r="L18" s="1"/>
  <c r="C16"/>
  <c r="D16"/>
  <c r="N16"/>
  <c r="N18" s="1"/>
  <c r="I155"/>
  <c r="D192" i="109"/>
  <c r="F192"/>
  <c r="F193"/>
  <c r="D177" i="67"/>
  <c r="F178"/>
  <c r="C79"/>
  <c r="C224"/>
  <c r="C222"/>
  <c r="C221"/>
  <c r="D192" i="66"/>
  <c r="F193"/>
  <c r="D192" i="97"/>
  <c r="F192"/>
  <c r="F193"/>
  <c r="U86" i="85"/>
  <c r="Q86"/>
  <c r="G86"/>
  <c r="R86"/>
  <c r="R226" s="1"/>
  <c r="I86"/>
  <c r="H86"/>
  <c r="N86"/>
  <c r="M86"/>
  <c r="O86"/>
  <c r="O88" s="1"/>
  <c r="O228" s="1"/>
  <c r="E86"/>
  <c r="D86"/>
  <c r="K86"/>
  <c r="L86"/>
  <c r="C86"/>
  <c r="P86"/>
  <c r="F86"/>
  <c r="F88" s="1"/>
  <c r="D177" i="109"/>
  <c r="F178"/>
  <c r="D177" i="97"/>
  <c r="F178"/>
  <c r="O224" i="85"/>
  <c r="O225"/>
  <c r="D225"/>
  <c r="F109" i="109"/>
  <c r="F176"/>
  <c r="D214" i="67"/>
  <c r="F214"/>
  <c r="D176"/>
  <c r="F176"/>
  <c r="D79"/>
  <c r="D109" i="66"/>
  <c r="F109"/>
  <c r="F116"/>
  <c r="D109" i="64"/>
  <c r="F109"/>
  <c r="D71"/>
  <c r="F71"/>
  <c r="F72"/>
  <c r="D86"/>
  <c r="F87"/>
  <c r="D215"/>
  <c r="F215"/>
  <c r="F50"/>
  <c r="A17" i="85"/>
  <c r="S14"/>
  <c r="K15"/>
  <c r="A87"/>
  <c r="K85"/>
  <c r="C85"/>
  <c r="A157"/>
  <c r="C207" i="67"/>
  <c r="C208"/>
  <c r="C213"/>
  <c r="C176" i="66"/>
  <c r="C208"/>
  <c r="C214"/>
  <c r="C213"/>
  <c r="C73"/>
  <c r="C72"/>
  <c r="C71"/>
  <c r="C101"/>
  <c r="C102"/>
  <c r="C224"/>
  <c r="C222"/>
  <c r="C221"/>
  <c r="C220"/>
  <c r="C176" i="64"/>
  <c r="C215"/>
  <c r="C70"/>
  <c r="C102"/>
  <c r="D70"/>
  <c r="C214"/>
  <c r="F79" i="67"/>
  <c r="F192" i="66"/>
  <c r="D94"/>
  <c r="K226" i="85"/>
  <c r="C73" i="67"/>
  <c r="C72"/>
  <c r="C71"/>
  <c r="C226" i="85"/>
  <c r="F177" i="97"/>
  <c r="D207"/>
  <c r="F207"/>
  <c r="U87" i="85"/>
  <c r="I87"/>
  <c r="P87"/>
  <c r="P88"/>
  <c r="H87"/>
  <c r="G87"/>
  <c r="R87"/>
  <c r="Q87"/>
  <c r="O87"/>
  <c r="E87"/>
  <c r="K87"/>
  <c r="K88"/>
  <c r="K91" s="1"/>
  <c r="D87"/>
  <c r="D88" s="1"/>
  <c r="F87"/>
  <c r="J87" s="1"/>
  <c r="L87"/>
  <c r="L227" s="1"/>
  <c r="C87"/>
  <c r="N87"/>
  <c r="M87"/>
  <c r="D207" i="109"/>
  <c r="F177"/>
  <c r="H226" i="85"/>
  <c r="F192" i="67"/>
  <c r="D94"/>
  <c r="F94"/>
  <c r="D226" i="85"/>
  <c r="F177" i="66"/>
  <c r="D207"/>
  <c r="F207"/>
  <c r="H157" i="85"/>
  <c r="H227" s="1"/>
  <c r="Q157"/>
  <c r="G157"/>
  <c r="G227" s="1"/>
  <c r="U157"/>
  <c r="U227"/>
  <c r="R157"/>
  <c r="I157"/>
  <c r="P157"/>
  <c r="P227" s="1"/>
  <c r="N157"/>
  <c r="N227" s="1"/>
  <c r="O157"/>
  <c r="O227"/>
  <c r="F157"/>
  <c r="E157"/>
  <c r="E227"/>
  <c r="K157"/>
  <c r="L157"/>
  <c r="M157"/>
  <c r="M227"/>
  <c r="D157"/>
  <c r="C157"/>
  <c r="C227"/>
  <c r="L226"/>
  <c r="R17"/>
  <c r="H17"/>
  <c r="Q17"/>
  <c r="I17"/>
  <c r="I18"/>
  <c r="P17"/>
  <c r="G17"/>
  <c r="N17"/>
  <c r="F17"/>
  <c r="U17"/>
  <c r="O17"/>
  <c r="M17"/>
  <c r="M18" s="1"/>
  <c r="K17"/>
  <c r="E17"/>
  <c r="E18"/>
  <c r="L17"/>
  <c r="C17"/>
  <c r="D17"/>
  <c r="F177" i="67"/>
  <c r="D207"/>
  <c r="F207"/>
  <c r="N226" i="85"/>
  <c r="D213" i="67"/>
  <c r="F213"/>
  <c r="D224"/>
  <c r="F224"/>
  <c r="D73"/>
  <c r="F73"/>
  <c r="D214" i="66"/>
  <c r="F214"/>
  <c r="D79"/>
  <c r="D176"/>
  <c r="D214" i="64"/>
  <c r="F214"/>
  <c r="D176"/>
  <c r="F176"/>
  <c r="F86"/>
  <c r="D101"/>
  <c r="F101"/>
  <c r="F70"/>
  <c r="A19" i="85"/>
  <c r="U18"/>
  <c r="O18"/>
  <c r="Q18"/>
  <c r="D18"/>
  <c r="R88"/>
  <c r="C88"/>
  <c r="C228" s="1"/>
  <c r="A89"/>
  <c r="M88"/>
  <c r="E88"/>
  <c r="G88"/>
  <c r="H88"/>
  <c r="N88"/>
  <c r="A159"/>
  <c r="L158"/>
  <c r="U158"/>
  <c r="M158"/>
  <c r="M228" s="1"/>
  <c r="E158"/>
  <c r="O158"/>
  <c r="H158"/>
  <c r="H228" s="1"/>
  <c r="I158"/>
  <c r="J156"/>
  <c r="C213" i="64"/>
  <c r="U89" i="85"/>
  <c r="Q89"/>
  <c r="Q90" s="1"/>
  <c r="G89"/>
  <c r="R89"/>
  <c r="I89"/>
  <c r="I90"/>
  <c r="H89"/>
  <c r="O89"/>
  <c r="L89"/>
  <c r="L90"/>
  <c r="L230" s="1"/>
  <c r="C89"/>
  <c r="K89"/>
  <c r="P89"/>
  <c r="N89"/>
  <c r="F89"/>
  <c r="F90"/>
  <c r="M89"/>
  <c r="D89"/>
  <c r="E89"/>
  <c r="E90"/>
  <c r="E230" s="1"/>
  <c r="U19"/>
  <c r="P19"/>
  <c r="G19"/>
  <c r="G20" s="1"/>
  <c r="Q19"/>
  <c r="I19"/>
  <c r="I20"/>
  <c r="H19"/>
  <c r="F19"/>
  <c r="O19"/>
  <c r="O20"/>
  <c r="M19"/>
  <c r="R19"/>
  <c r="R20" s="1"/>
  <c r="E19"/>
  <c r="K19"/>
  <c r="L19"/>
  <c r="L20"/>
  <c r="C19"/>
  <c r="D19"/>
  <c r="N19"/>
  <c r="N20"/>
  <c r="I227"/>
  <c r="P158"/>
  <c r="D231" i="66"/>
  <c r="F94"/>
  <c r="D88"/>
  <c r="D227" i="85"/>
  <c r="F207" i="109"/>
  <c r="D208"/>
  <c r="F208"/>
  <c r="U159" i="85"/>
  <c r="I159"/>
  <c r="N159"/>
  <c r="N229"/>
  <c r="O159"/>
  <c r="O229"/>
  <c r="F159"/>
  <c r="G159"/>
  <c r="P159"/>
  <c r="Q159"/>
  <c r="R159"/>
  <c r="R160" s="1"/>
  <c r="R230" s="1"/>
  <c r="R229"/>
  <c r="M159"/>
  <c r="E159"/>
  <c r="L159"/>
  <c r="L229"/>
  <c r="D159"/>
  <c r="D229"/>
  <c r="H159"/>
  <c r="H160" s="1"/>
  <c r="H229"/>
  <c r="C159"/>
  <c r="C229"/>
  <c r="K159"/>
  <c r="K160" s="1"/>
  <c r="K229"/>
  <c r="C158"/>
  <c r="D208" i="66"/>
  <c r="F208"/>
  <c r="D208" i="67"/>
  <c r="F208"/>
  <c r="D158" i="85"/>
  <c r="D228"/>
  <c r="F79" i="66"/>
  <c r="N79"/>
  <c r="M80" i="67"/>
  <c r="N158" i="85"/>
  <c r="D72" i="67"/>
  <c r="F72"/>
  <c r="D222"/>
  <c r="F222"/>
  <c r="F176" i="66"/>
  <c r="D224"/>
  <c r="F224"/>
  <c r="D213"/>
  <c r="F213"/>
  <c r="D73"/>
  <c r="F73"/>
  <c r="D213" i="64"/>
  <c r="F213"/>
  <c r="D102"/>
  <c r="F102"/>
  <c r="E228" i="85"/>
  <c r="P20"/>
  <c r="H20"/>
  <c r="Q20"/>
  <c r="D20"/>
  <c r="F20"/>
  <c r="U20"/>
  <c r="M20"/>
  <c r="E20"/>
  <c r="A23"/>
  <c r="G21"/>
  <c r="H90"/>
  <c r="O90"/>
  <c r="O91"/>
  <c r="R90"/>
  <c r="A93"/>
  <c r="D90"/>
  <c r="U90"/>
  <c r="M90"/>
  <c r="N90"/>
  <c r="I160"/>
  <c r="I230" s="1"/>
  <c r="A163"/>
  <c r="D160"/>
  <c r="D230" s="1"/>
  <c r="E160"/>
  <c r="N160"/>
  <c r="N230" s="1"/>
  <c r="F160"/>
  <c r="F230" s="1"/>
  <c r="D242" i="76"/>
  <c r="F229" i="85"/>
  <c r="F88" i="66"/>
  <c r="D87"/>
  <c r="P160" i="85"/>
  <c r="Q23"/>
  <c r="I23"/>
  <c r="I26" s="1"/>
  <c r="P23"/>
  <c r="R23"/>
  <c r="O23"/>
  <c r="M23"/>
  <c r="K23"/>
  <c r="G23"/>
  <c r="E23"/>
  <c r="N23"/>
  <c r="F23"/>
  <c r="L23"/>
  <c r="C23"/>
  <c r="D23"/>
  <c r="H23"/>
  <c r="U23"/>
  <c r="E229"/>
  <c r="D229" i="66"/>
  <c r="F231"/>
  <c r="I229" i="85"/>
  <c r="L160"/>
  <c r="P93"/>
  <c r="H93"/>
  <c r="G93"/>
  <c r="R93"/>
  <c r="Q93"/>
  <c r="I93"/>
  <c r="O93"/>
  <c r="N93"/>
  <c r="N233" s="1"/>
  <c r="F93"/>
  <c r="M93"/>
  <c r="K93"/>
  <c r="E93"/>
  <c r="C93"/>
  <c r="L93"/>
  <c r="D93"/>
  <c r="U93"/>
  <c r="O160"/>
  <c r="O230" s="1"/>
  <c r="Q163"/>
  <c r="G163"/>
  <c r="G233"/>
  <c r="U163"/>
  <c r="R163"/>
  <c r="R233" s="1"/>
  <c r="I163"/>
  <c r="I233"/>
  <c r="P163"/>
  <c r="H163"/>
  <c r="H233"/>
  <c r="O163"/>
  <c r="S163" s="1"/>
  <c r="O233"/>
  <c r="F163"/>
  <c r="M163"/>
  <c r="M233"/>
  <c r="E163"/>
  <c r="L163"/>
  <c r="L233"/>
  <c r="D163"/>
  <c r="N163"/>
  <c r="C163"/>
  <c r="K163"/>
  <c r="K233"/>
  <c r="D221" i="67"/>
  <c r="F221"/>
  <c r="D71"/>
  <c r="F71"/>
  <c r="D222" i="66"/>
  <c r="D221"/>
  <c r="D72"/>
  <c r="D71"/>
  <c r="D161" i="85"/>
  <c r="H230"/>
  <c r="S19"/>
  <c r="S20" s="1"/>
  <c r="K20"/>
  <c r="A24"/>
  <c r="C20"/>
  <c r="K90"/>
  <c r="C90"/>
  <c r="A94"/>
  <c r="S159"/>
  <c r="A164"/>
  <c r="C160"/>
  <c r="D228" i="66"/>
  <c r="F228"/>
  <c r="F229"/>
  <c r="U164" i="85"/>
  <c r="R164"/>
  <c r="O164"/>
  <c r="O234" s="1"/>
  <c r="F164"/>
  <c r="F234" s="1"/>
  <c r="G164"/>
  <c r="P164"/>
  <c r="H164"/>
  <c r="Q164"/>
  <c r="E164"/>
  <c r="N164"/>
  <c r="I164"/>
  <c r="L164"/>
  <c r="D164"/>
  <c r="D234" s="1"/>
  <c r="M164"/>
  <c r="K164"/>
  <c r="C164"/>
  <c r="U94"/>
  <c r="R94"/>
  <c r="I94"/>
  <c r="H94"/>
  <c r="O94"/>
  <c r="N94"/>
  <c r="G94"/>
  <c r="F94"/>
  <c r="Q94"/>
  <c r="P94"/>
  <c r="P234" s="1"/>
  <c r="M94"/>
  <c r="E94"/>
  <c r="D94"/>
  <c r="J94" s="1"/>
  <c r="L94"/>
  <c r="K94"/>
  <c r="C94"/>
  <c r="U24"/>
  <c r="Q24"/>
  <c r="I24"/>
  <c r="H24"/>
  <c r="H26" s="1"/>
  <c r="P24"/>
  <c r="P26" s="1"/>
  <c r="O24"/>
  <c r="G24"/>
  <c r="E24"/>
  <c r="R24"/>
  <c r="F24"/>
  <c r="L24"/>
  <c r="C24"/>
  <c r="J24" s="1"/>
  <c r="K24"/>
  <c r="K26" s="1"/>
  <c r="D24"/>
  <c r="N24"/>
  <c r="M24"/>
  <c r="F87" i="66"/>
  <c r="D86"/>
  <c r="F86"/>
  <c r="U233" i="85"/>
  <c r="F222" i="66"/>
  <c r="F72"/>
  <c r="D220"/>
  <c r="F220"/>
  <c r="F221"/>
  <c r="D101"/>
  <c r="F71"/>
  <c r="K230" i="85"/>
  <c r="C230"/>
  <c r="A25"/>
  <c r="A95"/>
  <c r="A165"/>
  <c r="D134" i="76"/>
  <c r="AC4" i="75"/>
  <c r="Z4"/>
  <c r="E234" i="85"/>
  <c r="C234"/>
  <c r="K234"/>
  <c r="H234"/>
  <c r="U165"/>
  <c r="R165"/>
  <c r="I165"/>
  <c r="P165"/>
  <c r="H165"/>
  <c r="Q165"/>
  <c r="G165"/>
  <c r="O165"/>
  <c r="O166" s="1"/>
  <c r="E165"/>
  <c r="L165"/>
  <c r="N165"/>
  <c r="M165"/>
  <c r="S165" s="1"/>
  <c r="K165"/>
  <c r="D165"/>
  <c r="F165"/>
  <c r="F235" s="1"/>
  <c r="C165"/>
  <c r="G234"/>
  <c r="H95"/>
  <c r="H96"/>
  <c r="G95"/>
  <c r="R95"/>
  <c r="Q95"/>
  <c r="U95"/>
  <c r="I95"/>
  <c r="P95"/>
  <c r="P235" s="1"/>
  <c r="O95"/>
  <c r="O96" s="1"/>
  <c r="N95"/>
  <c r="F95"/>
  <c r="M95"/>
  <c r="M96" s="1"/>
  <c r="E95"/>
  <c r="E96"/>
  <c r="D95"/>
  <c r="D235" s="1"/>
  <c r="L95"/>
  <c r="C95"/>
  <c r="C235" s="1"/>
  <c r="K95"/>
  <c r="K235" s="1"/>
  <c r="U25"/>
  <c r="U26"/>
  <c r="I25"/>
  <c r="P25"/>
  <c r="R25"/>
  <c r="H25"/>
  <c r="Q25"/>
  <c r="O25"/>
  <c r="O26" s="1"/>
  <c r="G25"/>
  <c r="E25"/>
  <c r="E26"/>
  <c r="N25"/>
  <c r="F25"/>
  <c r="F26"/>
  <c r="K25"/>
  <c r="S25" s="1"/>
  <c r="D25"/>
  <c r="C25"/>
  <c r="M25"/>
  <c r="L25"/>
  <c r="L26"/>
  <c r="D102" i="66"/>
  <c r="F102"/>
  <c r="F101"/>
  <c r="C26" i="85"/>
  <c r="A27"/>
  <c r="G26"/>
  <c r="N26"/>
  <c r="K96"/>
  <c r="A97"/>
  <c r="U96"/>
  <c r="G96"/>
  <c r="I96"/>
  <c r="J164"/>
  <c r="A167"/>
  <c r="L166"/>
  <c r="N166"/>
  <c r="G166"/>
  <c r="G236"/>
  <c r="P166"/>
  <c r="R166"/>
  <c r="J38" i="78"/>
  <c r="J37"/>
  <c r="Q27" i="85"/>
  <c r="I27"/>
  <c r="O27"/>
  <c r="H27"/>
  <c r="U27"/>
  <c r="R27"/>
  <c r="R30" s="1"/>
  <c r="G27"/>
  <c r="N27"/>
  <c r="D27"/>
  <c r="P27"/>
  <c r="P30" s="1"/>
  <c r="M27"/>
  <c r="F27"/>
  <c r="K27"/>
  <c r="L27"/>
  <c r="C27"/>
  <c r="E27"/>
  <c r="E235"/>
  <c r="U235"/>
  <c r="U167"/>
  <c r="G167"/>
  <c r="P167"/>
  <c r="P237" s="1"/>
  <c r="H167"/>
  <c r="R167"/>
  <c r="Q167"/>
  <c r="E167"/>
  <c r="N167"/>
  <c r="M167"/>
  <c r="I167"/>
  <c r="O167"/>
  <c r="L167"/>
  <c r="D167"/>
  <c r="C167"/>
  <c r="F167"/>
  <c r="F170" s="1"/>
  <c r="K167"/>
  <c r="R97"/>
  <c r="O97"/>
  <c r="N97"/>
  <c r="H97"/>
  <c r="P97"/>
  <c r="G97"/>
  <c r="F97"/>
  <c r="F100" s="1"/>
  <c r="M97"/>
  <c r="I97"/>
  <c r="Q97"/>
  <c r="E97"/>
  <c r="E100" s="1"/>
  <c r="D97"/>
  <c r="K97"/>
  <c r="L97"/>
  <c r="C97"/>
  <c r="J97" s="1"/>
  <c r="U97"/>
  <c r="G235"/>
  <c r="C166"/>
  <c r="Q235"/>
  <c r="M235"/>
  <c r="N235"/>
  <c r="I235"/>
  <c r="R235"/>
  <c r="J234"/>
  <c r="A28"/>
  <c r="J25"/>
  <c r="A98"/>
  <c r="K166"/>
  <c r="K236"/>
  <c r="A168"/>
  <c r="J33" i="78"/>
  <c r="J79"/>
  <c r="J81"/>
  <c r="J36"/>
  <c r="J42"/>
  <c r="P28" i="85"/>
  <c r="R28"/>
  <c r="H28"/>
  <c r="Q28"/>
  <c r="U28"/>
  <c r="U30" s="1"/>
  <c r="I28"/>
  <c r="O28"/>
  <c r="G28"/>
  <c r="N28"/>
  <c r="F28"/>
  <c r="M28"/>
  <c r="L28"/>
  <c r="C28"/>
  <c r="K28"/>
  <c r="D28"/>
  <c r="E28"/>
  <c r="O237"/>
  <c r="I237"/>
  <c r="G237"/>
  <c r="M237"/>
  <c r="U237"/>
  <c r="P168"/>
  <c r="H168"/>
  <c r="Q168"/>
  <c r="G168"/>
  <c r="U168"/>
  <c r="R168"/>
  <c r="I168"/>
  <c r="N168"/>
  <c r="M168"/>
  <c r="K168"/>
  <c r="D168"/>
  <c r="F168"/>
  <c r="O168"/>
  <c r="L168"/>
  <c r="C168"/>
  <c r="E168"/>
  <c r="K237"/>
  <c r="F237"/>
  <c r="Q237"/>
  <c r="R98"/>
  <c r="R238" s="1"/>
  <c r="Q98"/>
  <c r="U98"/>
  <c r="I98"/>
  <c r="P98"/>
  <c r="P238" s="1"/>
  <c r="H98"/>
  <c r="F98"/>
  <c r="G98"/>
  <c r="G100" s="1"/>
  <c r="G103" s="1"/>
  <c r="M98"/>
  <c r="E98"/>
  <c r="K98"/>
  <c r="D98"/>
  <c r="N98"/>
  <c r="N238" s="1"/>
  <c r="L98"/>
  <c r="C98"/>
  <c r="O98"/>
  <c r="O238" s="1"/>
  <c r="D237"/>
  <c r="R237"/>
  <c r="A29"/>
  <c r="S97"/>
  <c r="A99"/>
  <c r="A169"/>
  <c r="E238"/>
  <c r="U99"/>
  <c r="U100" s="1"/>
  <c r="U103" s="1"/>
  <c r="R99"/>
  <c r="R239" s="1"/>
  <c r="P99"/>
  <c r="G99"/>
  <c r="F99"/>
  <c r="M99"/>
  <c r="I99"/>
  <c r="E99"/>
  <c r="Q99"/>
  <c r="Q100" s="1"/>
  <c r="D99"/>
  <c r="L99"/>
  <c r="C99"/>
  <c r="J99" s="1"/>
  <c r="J239" s="1"/>
  <c r="N99"/>
  <c r="K99"/>
  <c r="K100"/>
  <c r="H99"/>
  <c r="H100" s="1"/>
  <c r="O99"/>
  <c r="L238"/>
  <c r="U238"/>
  <c r="F238"/>
  <c r="G238"/>
  <c r="K238"/>
  <c r="H238"/>
  <c r="R29"/>
  <c r="U29"/>
  <c r="I29"/>
  <c r="O29"/>
  <c r="H29"/>
  <c r="G29"/>
  <c r="G30" s="1"/>
  <c r="Q29"/>
  <c r="S29" s="1"/>
  <c r="T29" s="1"/>
  <c r="W29" s="1"/>
  <c r="N29"/>
  <c r="F29"/>
  <c r="P29"/>
  <c r="M29"/>
  <c r="E29"/>
  <c r="K29"/>
  <c r="D29"/>
  <c r="D30" s="1"/>
  <c r="C29"/>
  <c r="L29"/>
  <c r="U169"/>
  <c r="U170" s="1"/>
  <c r="U239"/>
  <c r="R169"/>
  <c r="P169"/>
  <c r="P239"/>
  <c r="H169"/>
  <c r="H239" s="1"/>
  <c r="N169"/>
  <c r="N239"/>
  <c r="Q169"/>
  <c r="I169"/>
  <c r="I239"/>
  <c r="O169"/>
  <c r="O239" s="1"/>
  <c r="G169"/>
  <c r="G170" s="1"/>
  <c r="G239"/>
  <c r="M169"/>
  <c r="M239" s="1"/>
  <c r="F169"/>
  <c r="F239"/>
  <c r="C169"/>
  <c r="C239" s="1"/>
  <c r="D169"/>
  <c r="D239"/>
  <c r="K169"/>
  <c r="E169"/>
  <c r="E239"/>
  <c r="L169"/>
  <c r="L239" s="1"/>
  <c r="Q30"/>
  <c r="M30"/>
  <c r="F30"/>
  <c r="F33" s="1"/>
  <c r="O30"/>
  <c r="H30"/>
  <c r="E30"/>
  <c r="E33" s="1"/>
  <c r="A31"/>
  <c r="S98"/>
  <c r="T98" s="1"/>
  <c r="W98" s="1"/>
  <c r="P100"/>
  <c r="P240" s="1"/>
  <c r="I100"/>
  <c r="I103" s="1"/>
  <c r="R100"/>
  <c r="R240" s="1"/>
  <c r="A101"/>
  <c r="L100"/>
  <c r="D100"/>
  <c r="J98"/>
  <c r="K170"/>
  <c r="O170"/>
  <c r="P170"/>
  <c r="A171"/>
  <c r="E170"/>
  <c r="J116" i="91"/>
  <c r="J122"/>
  <c r="J120"/>
  <c r="J95"/>
  <c r="K95"/>
  <c r="J78"/>
  <c r="K78"/>
  <c r="J26"/>
  <c r="K26"/>
  <c r="J14"/>
  <c r="K14"/>
  <c r="R170" i="85"/>
  <c r="K239"/>
  <c r="U101"/>
  <c r="I101"/>
  <c r="P101"/>
  <c r="P102" s="1"/>
  <c r="H101"/>
  <c r="G101"/>
  <c r="R101"/>
  <c r="Q101"/>
  <c r="Q102" s="1"/>
  <c r="E101"/>
  <c r="K101"/>
  <c r="D101"/>
  <c r="N101"/>
  <c r="O101"/>
  <c r="L101"/>
  <c r="C101"/>
  <c r="C102" s="1"/>
  <c r="F101"/>
  <c r="F102" s="1"/>
  <c r="F242" s="1"/>
  <c r="M101"/>
  <c r="M170"/>
  <c r="H171"/>
  <c r="H172" s="1"/>
  <c r="H241"/>
  <c r="Q171"/>
  <c r="Q241" s="1"/>
  <c r="G171"/>
  <c r="G241"/>
  <c r="U171"/>
  <c r="U241" s="1"/>
  <c r="R171"/>
  <c r="R241"/>
  <c r="I171"/>
  <c r="I241" s="1"/>
  <c r="P171"/>
  <c r="P241"/>
  <c r="N171"/>
  <c r="N241" s="1"/>
  <c r="O171"/>
  <c r="O172" s="1"/>
  <c r="O242" s="1"/>
  <c r="O241"/>
  <c r="F171"/>
  <c r="F241" s="1"/>
  <c r="E171"/>
  <c r="E241"/>
  <c r="D171"/>
  <c r="D241" s="1"/>
  <c r="K171"/>
  <c r="K172" s="1"/>
  <c r="K242" s="1"/>
  <c r="K241"/>
  <c r="M171"/>
  <c r="M241" s="1"/>
  <c r="C171"/>
  <c r="C241"/>
  <c r="L171"/>
  <c r="L241" s="1"/>
  <c r="R31"/>
  <c r="R32" s="1"/>
  <c r="H31"/>
  <c r="Q31"/>
  <c r="Q32" s="1"/>
  <c r="U31"/>
  <c r="U32" s="1"/>
  <c r="I31"/>
  <c r="G31"/>
  <c r="G32"/>
  <c r="G33"/>
  <c r="N31"/>
  <c r="F31"/>
  <c r="P31"/>
  <c r="M31"/>
  <c r="K31"/>
  <c r="E31"/>
  <c r="L31"/>
  <c r="L32" s="1"/>
  <c r="C31"/>
  <c r="J31" s="1"/>
  <c r="J32" s="1"/>
  <c r="O31"/>
  <c r="O32" s="1"/>
  <c r="D31"/>
  <c r="D32" s="1"/>
  <c r="J29"/>
  <c r="E32"/>
  <c r="N32"/>
  <c r="F32"/>
  <c r="I32"/>
  <c r="A35"/>
  <c r="P32"/>
  <c r="H32"/>
  <c r="K30"/>
  <c r="U102"/>
  <c r="M102"/>
  <c r="E102"/>
  <c r="D102"/>
  <c r="O102"/>
  <c r="G102"/>
  <c r="H102"/>
  <c r="H103"/>
  <c r="L102"/>
  <c r="I102"/>
  <c r="R102"/>
  <c r="A105"/>
  <c r="C100"/>
  <c r="U172"/>
  <c r="E172"/>
  <c r="N172"/>
  <c r="F172"/>
  <c r="G172"/>
  <c r="G242" s="1"/>
  <c r="P172"/>
  <c r="P242" s="1"/>
  <c r="I172"/>
  <c r="I242" s="1"/>
  <c r="R172"/>
  <c r="R242" s="1"/>
  <c r="A175"/>
  <c r="D172"/>
  <c r="J169"/>
  <c r="S169"/>
  <c r="G35"/>
  <c r="H35"/>
  <c r="R35"/>
  <c r="P35"/>
  <c r="P38" s="1"/>
  <c r="Q35"/>
  <c r="N35"/>
  <c r="F35"/>
  <c r="M35"/>
  <c r="S35" s="1"/>
  <c r="T35" s="1"/>
  <c r="I35"/>
  <c r="L35"/>
  <c r="C35"/>
  <c r="O35"/>
  <c r="E35"/>
  <c r="K35"/>
  <c r="D35"/>
  <c r="U35"/>
  <c r="P175"/>
  <c r="N175"/>
  <c r="H175"/>
  <c r="Q175"/>
  <c r="Q245" s="1"/>
  <c r="O175"/>
  <c r="F175"/>
  <c r="R175"/>
  <c r="I175"/>
  <c r="K175"/>
  <c r="M175"/>
  <c r="E175"/>
  <c r="L175"/>
  <c r="G175"/>
  <c r="G245" s="1"/>
  <c r="D175"/>
  <c r="C175"/>
  <c r="C245" s="1"/>
  <c r="U175"/>
  <c r="U178" s="1"/>
  <c r="P105"/>
  <c r="G105"/>
  <c r="Q105"/>
  <c r="Q108" s="1"/>
  <c r="Q113" s="1"/>
  <c r="R105"/>
  <c r="I105"/>
  <c r="N105"/>
  <c r="H105"/>
  <c r="L105"/>
  <c r="C105"/>
  <c r="D105"/>
  <c r="F105"/>
  <c r="F108" s="1"/>
  <c r="F248" s="1"/>
  <c r="M105"/>
  <c r="E105"/>
  <c r="K105"/>
  <c r="O105"/>
  <c r="U105"/>
  <c r="D242"/>
  <c r="G173"/>
  <c r="H242"/>
  <c r="U242"/>
  <c r="E242"/>
  <c r="T169"/>
  <c r="A36"/>
  <c r="K32"/>
  <c r="A106"/>
  <c r="K102"/>
  <c r="K103"/>
  <c r="J101"/>
  <c r="S171"/>
  <c r="C172"/>
  <c r="C242" s="1"/>
  <c r="J171"/>
  <c r="A176"/>
  <c r="D245"/>
  <c r="O245"/>
  <c r="Q176"/>
  <c r="Q246" s="1"/>
  <c r="G176"/>
  <c r="R176"/>
  <c r="I176"/>
  <c r="P176"/>
  <c r="P178" s="1"/>
  <c r="P248" s="1"/>
  <c r="H176"/>
  <c r="O176"/>
  <c r="F176"/>
  <c r="F246"/>
  <c r="M176"/>
  <c r="N176"/>
  <c r="E176"/>
  <c r="L176"/>
  <c r="K176"/>
  <c r="C176"/>
  <c r="D176"/>
  <c r="D178" s="1"/>
  <c r="U176"/>
  <c r="Q36"/>
  <c r="I36"/>
  <c r="P36"/>
  <c r="G36"/>
  <c r="G38" s="1"/>
  <c r="R36"/>
  <c r="H36"/>
  <c r="F36"/>
  <c r="F38" s="1"/>
  <c r="M36"/>
  <c r="K36"/>
  <c r="E36"/>
  <c r="O36"/>
  <c r="L36"/>
  <c r="L38" s="1"/>
  <c r="C36"/>
  <c r="D36"/>
  <c r="N36"/>
  <c r="U36"/>
  <c r="P106"/>
  <c r="H106"/>
  <c r="G106"/>
  <c r="R106"/>
  <c r="Q106"/>
  <c r="I106"/>
  <c r="O106"/>
  <c r="N106"/>
  <c r="F106"/>
  <c r="M106"/>
  <c r="M246" s="1"/>
  <c r="D106"/>
  <c r="E106"/>
  <c r="K106"/>
  <c r="U106"/>
  <c r="C106"/>
  <c r="L106"/>
  <c r="E245"/>
  <c r="H245"/>
  <c r="N245"/>
  <c r="K245"/>
  <c r="P245"/>
  <c r="J172"/>
  <c r="J35"/>
  <c r="A37"/>
  <c r="A107"/>
  <c r="J105"/>
  <c r="A177"/>
  <c r="S172"/>
  <c r="T171"/>
  <c r="J9" i="78"/>
  <c r="D246" i="85"/>
  <c r="O246"/>
  <c r="C246"/>
  <c r="P107"/>
  <c r="G107"/>
  <c r="O107"/>
  <c r="N107"/>
  <c r="Q107"/>
  <c r="I107"/>
  <c r="H107"/>
  <c r="E107"/>
  <c r="F107"/>
  <c r="M107"/>
  <c r="K107"/>
  <c r="R107"/>
  <c r="U107"/>
  <c r="D107"/>
  <c r="L107"/>
  <c r="C107"/>
  <c r="K246"/>
  <c r="P246"/>
  <c r="E246"/>
  <c r="R246"/>
  <c r="R177"/>
  <c r="R247"/>
  <c r="H177"/>
  <c r="H247" s="1"/>
  <c r="O177"/>
  <c r="O247"/>
  <c r="F177"/>
  <c r="F247" s="1"/>
  <c r="Q177"/>
  <c r="Q247"/>
  <c r="I177"/>
  <c r="I247" s="1"/>
  <c r="E177"/>
  <c r="E247"/>
  <c r="M177"/>
  <c r="P177"/>
  <c r="P247"/>
  <c r="N177"/>
  <c r="L177"/>
  <c r="L247"/>
  <c r="D177"/>
  <c r="D247" s="1"/>
  <c r="K177"/>
  <c r="K247"/>
  <c r="C177"/>
  <c r="G177"/>
  <c r="U177"/>
  <c r="U247" s="1"/>
  <c r="N246"/>
  <c r="G246"/>
  <c r="R37"/>
  <c r="R38" s="1"/>
  <c r="R43" s="1"/>
  <c r="P37"/>
  <c r="G37"/>
  <c r="F37"/>
  <c r="E37"/>
  <c r="E38" s="1"/>
  <c r="E43" s="1"/>
  <c r="L37"/>
  <c r="C37"/>
  <c r="I37"/>
  <c r="D37"/>
  <c r="D38" s="1"/>
  <c r="H37"/>
  <c r="H38"/>
  <c r="O37"/>
  <c r="N37"/>
  <c r="M37"/>
  <c r="M38"/>
  <c r="K37"/>
  <c r="Q37"/>
  <c r="Q38"/>
  <c r="U37"/>
  <c r="S36"/>
  <c r="A39"/>
  <c r="N38"/>
  <c r="I38"/>
  <c r="K38"/>
  <c r="A109"/>
  <c r="L108"/>
  <c r="E108"/>
  <c r="E248" s="1"/>
  <c r="N108"/>
  <c r="O108"/>
  <c r="P108"/>
  <c r="R178"/>
  <c r="A179"/>
  <c r="E178"/>
  <c r="F178"/>
  <c r="O178"/>
  <c r="G178"/>
  <c r="H178"/>
  <c r="Q178"/>
  <c r="J176"/>
  <c r="U109"/>
  <c r="H109"/>
  <c r="G109"/>
  <c r="R109"/>
  <c r="R110" s="1"/>
  <c r="Q109"/>
  <c r="I109"/>
  <c r="P109"/>
  <c r="O109"/>
  <c r="O110" s="1"/>
  <c r="O113" s="1"/>
  <c r="N109"/>
  <c r="N110" s="1"/>
  <c r="F109"/>
  <c r="M109"/>
  <c r="E109"/>
  <c r="E110" s="1"/>
  <c r="K109"/>
  <c r="L109"/>
  <c r="C109"/>
  <c r="D109"/>
  <c r="D110" s="1"/>
  <c r="I39"/>
  <c r="P39"/>
  <c r="G39"/>
  <c r="R39"/>
  <c r="H39"/>
  <c r="H40" s="1"/>
  <c r="Q39"/>
  <c r="Q40" s="1"/>
  <c r="Q43" s="1"/>
  <c r="U39"/>
  <c r="O39"/>
  <c r="O40" s="1"/>
  <c r="E39"/>
  <c r="N39"/>
  <c r="D39"/>
  <c r="M39"/>
  <c r="M40" s="1"/>
  <c r="K39"/>
  <c r="K40" s="1"/>
  <c r="F39"/>
  <c r="C39"/>
  <c r="L39"/>
  <c r="L40" s="1"/>
  <c r="R179"/>
  <c r="I179"/>
  <c r="I249"/>
  <c r="U179"/>
  <c r="U249" s="1"/>
  <c r="P179"/>
  <c r="P249"/>
  <c r="H179"/>
  <c r="H249" s="1"/>
  <c r="Q179"/>
  <c r="Q249"/>
  <c r="E179"/>
  <c r="G179"/>
  <c r="G249"/>
  <c r="F179"/>
  <c r="F249" s="1"/>
  <c r="L179"/>
  <c r="L249"/>
  <c r="K179"/>
  <c r="K249" s="1"/>
  <c r="D179"/>
  <c r="D249"/>
  <c r="O179"/>
  <c r="O249" s="1"/>
  <c r="M179"/>
  <c r="M249"/>
  <c r="N179"/>
  <c r="C179"/>
  <c r="C249"/>
  <c r="O248"/>
  <c r="J37"/>
  <c r="C38"/>
  <c r="P40"/>
  <c r="P43" s="1"/>
  <c r="I40"/>
  <c r="R40"/>
  <c r="A41"/>
  <c r="D40"/>
  <c r="D43" s="1"/>
  <c r="N40"/>
  <c r="U40"/>
  <c r="E40"/>
  <c r="F40"/>
  <c r="F43" s="1"/>
  <c r="G40"/>
  <c r="S107"/>
  <c r="C108"/>
  <c r="C113" s="1"/>
  <c r="P110"/>
  <c r="H110"/>
  <c r="G110"/>
  <c r="G250" s="1"/>
  <c r="Q110"/>
  <c r="I110"/>
  <c r="A111"/>
  <c r="L110"/>
  <c r="L250" s="1"/>
  <c r="U110"/>
  <c r="M110"/>
  <c r="F110"/>
  <c r="K178"/>
  <c r="P180"/>
  <c r="H180"/>
  <c r="H250" s="1"/>
  <c r="Q180"/>
  <c r="I180"/>
  <c r="R180"/>
  <c r="A181"/>
  <c r="L180"/>
  <c r="D180"/>
  <c r="M180"/>
  <c r="M250" s="1"/>
  <c r="F180"/>
  <c r="O180"/>
  <c r="O250" s="1"/>
  <c r="G180"/>
  <c r="K46" i="73"/>
  <c r="D46"/>
  <c r="L46"/>
  <c r="D47"/>
  <c r="L47"/>
  <c r="D48"/>
  <c r="L48"/>
  <c r="U181" i="85"/>
  <c r="Q181"/>
  <c r="Q251" s="1"/>
  <c r="I181"/>
  <c r="I182" s="1"/>
  <c r="R181"/>
  <c r="G181"/>
  <c r="F181"/>
  <c r="E181"/>
  <c r="M181"/>
  <c r="O181"/>
  <c r="P181"/>
  <c r="H181"/>
  <c r="H182" s="1"/>
  <c r="N181"/>
  <c r="C181"/>
  <c r="L181"/>
  <c r="D181"/>
  <c r="D182" s="1"/>
  <c r="K181"/>
  <c r="R111"/>
  <c r="U111"/>
  <c r="P111"/>
  <c r="P112" s="1"/>
  <c r="O111"/>
  <c r="O112" s="1"/>
  <c r="N111"/>
  <c r="G111"/>
  <c r="G112" s="1"/>
  <c r="G252" s="1"/>
  <c r="Q111"/>
  <c r="Q112" s="1"/>
  <c r="F111"/>
  <c r="F112" s="1"/>
  <c r="I111"/>
  <c r="H111"/>
  <c r="H112" s="1"/>
  <c r="M111"/>
  <c r="L111"/>
  <c r="D111"/>
  <c r="K111"/>
  <c r="S111" s="1"/>
  <c r="E111"/>
  <c r="E112" s="1"/>
  <c r="C111"/>
  <c r="C251" s="1"/>
  <c r="U41"/>
  <c r="R41"/>
  <c r="R42" s="1"/>
  <c r="P41"/>
  <c r="P42" s="1"/>
  <c r="O41"/>
  <c r="O42" s="1"/>
  <c r="Q41"/>
  <c r="I41"/>
  <c r="I42" s="1"/>
  <c r="H41"/>
  <c r="H42" s="1"/>
  <c r="D41"/>
  <c r="D42" s="1"/>
  <c r="M41"/>
  <c r="K41"/>
  <c r="N41"/>
  <c r="E41"/>
  <c r="E42" s="1"/>
  <c r="G41"/>
  <c r="G42" s="1"/>
  <c r="F41"/>
  <c r="F42" s="1"/>
  <c r="C41"/>
  <c r="L41"/>
  <c r="L42" s="1"/>
  <c r="L43"/>
  <c r="Q250"/>
  <c r="I250"/>
  <c r="D250"/>
  <c r="P250"/>
  <c r="R250"/>
  <c r="F250"/>
  <c r="J39"/>
  <c r="J40" s="1"/>
  <c r="C40"/>
  <c r="N42"/>
  <c r="N43" s="1"/>
  <c r="H43"/>
  <c r="A45"/>
  <c r="M42"/>
  <c r="M43"/>
  <c r="U42"/>
  <c r="Q42"/>
  <c r="S39"/>
  <c r="N112"/>
  <c r="N113" s="1"/>
  <c r="M112"/>
  <c r="P113"/>
  <c r="I112"/>
  <c r="E113"/>
  <c r="R112"/>
  <c r="A115"/>
  <c r="U112"/>
  <c r="L112"/>
  <c r="D112"/>
  <c r="C110"/>
  <c r="K110"/>
  <c r="J179"/>
  <c r="C180"/>
  <c r="N182"/>
  <c r="N252" s="1"/>
  <c r="O182"/>
  <c r="O183" s="1"/>
  <c r="O253" s="1"/>
  <c r="G182"/>
  <c r="Q182"/>
  <c r="Q252" s="1"/>
  <c r="R182"/>
  <c r="A185"/>
  <c r="U182"/>
  <c r="M182"/>
  <c r="E182"/>
  <c r="E252" s="1"/>
  <c r="S179"/>
  <c r="K180"/>
  <c r="D17" i="89"/>
  <c r="D19"/>
  <c r="D14"/>
  <c r="D10"/>
  <c r="D9"/>
  <c r="L21"/>
  <c r="M21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M8"/>
  <c r="L8"/>
  <c r="D8"/>
  <c r="C242" i="76"/>
  <c r="P45" i="85"/>
  <c r="G45"/>
  <c r="U45"/>
  <c r="R45"/>
  <c r="R48" s="1"/>
  <c r="R53" s="1"/>
  <c r="H45"/>
  <c r="Q45"/>
  <c r="I45"/>
  <c r="O45"/>
  <c r="O48" s="1"/>
  <c r="O53" s="1"/>
  <c r="N45"/>
  <c r="F45"/>
  <c r="M45"/>
  <c r="K45"/>
  <c r="K48" s="1"/>
  <c r="K53" s="1"/>
  <c r="E45"/>
  <c r="L45"/>
  <c r="C45"/>
  <c r="D45"/>
  <c r="M251"/>
  <c r="E251"/>
  <c r="R115"/>
  <c r="Q115"/>
  <c r="Q118" s="1"/>
  <c r="I115"/>
  <c r="P115"/>
  <c r="U115"/>
  <c r="G115"/>
  <c r="G118" s="1"/>
  <c r="F115"/>
  <c r="H115"/>
  <c r="N115"/>
  <c r="M115"/>
  <c r="M118" s="1"/>
  <c r="O115"/>
  <c r="E115"/>
  <c r="K115"/>
  <c r="D115"/>
  <c r="D118" s="1"/>
  <c r="L115"/>
  <c r="C115"/>
  <c r="N251"/>
  <c r="R251"/>
  <c r="I251"/>
  <c r="U185"/>
  <c r="U255" s="1"/>
  <c r="P185"/>
  <c r="P255"/>
  <c r="H185"/>
  <c r="H255" s="1"/>
  <c r="Q185"/>
  <c r="Q255"/>
  <c r="G185"/>
  <c r="R185"/>
  <c r="R255"/>
  <c r="I185"/>
  <c r="I255" s="1"/>
  <c r="N185"/>
  <c r="N255"/>
  <c r="E185"/>
  <c r="E255" s="1"/>
  <c r="K185"/>
  <c r="K255"/>
  <c r="D185"/>
  <c r="M185"/>
  <c r="O185"/>
  <c r="O255" s="1"/>
  <c r="C185"/>
  <c r="C255"/>
  <c r="L185"/>
  <c r="L255" s="1"/>
  <c r="F185"/>
  <c r="F255"/>
  <c r="O251"/>
  <c r="U251"/>
  <c r="C250"/>
  <c r="D183"/>
  <c r="D252"/>
  <c r="G183"/>
  <c r="M252"/>
  <c r="I252"/>
  <c r="R183"/>
  <c r="R252"/>
  <c r="K250"/>
  <c r="A46"/>
  <c r="C42"/>
  <c r="C43" s="1"/>
  <c r="C112"/>
  <c r="A116"/>
  <c r="C182"/>
  <c r="A186"/>
  <c r="K182"/>
  <c r="G23" i="72"/>
  <c r="X23"/>
  <c r="U116" i="85"/>
  <c r="U118" s="1"/>
  <c r="Q116"/>
  <c r="I116"/>
  <c r="H116"/>
  <c r="R116"/>
  <c r="N116"/>
  <c r="M116"/>
  <c r="O116"/>
  <c r="E116"/>
  <c r="F116"/>
  <c r="P116"/>
  <c r="G116"/>
  <c r="L116"/>
  <c r="C116"/>
  <c r="C118" s="1"/>
  <c r="D116"/>
  <c r="K116"/>
  <c r="U186"/>
  <c r="U256" s="1"/>
  <c r="R186"/>
  <c r="Q186"/>
  <c r="I186"/>
  <c r="G186"/>
  <c r="G256"/>
  <c r="N186"/>
  <c r="N256" s="1"/>
  <c r="O186"/>
  <c r="M186"/>
  <c r="M256" s="1"/>
  <c r="P186"/>
  <c r="P256" s="1"/>
  <c r="H186"/>
  <c r="H256" s="1"/>
  <c r="C186"/>
  <c r="C256" s="1"/>
  <c r="L186"/>
  <c r="F186"/>
  <c r="F256" s="1"/>
  <c r="D186"/>
  <c r="E186"/>
  <c r="K186"/>
  <c r="K256"/>
  <c r="U46"/>
  <c r="R46"/>
  <c r="P46"/>
  <c r="O46"/>
  <c r="Q46"/>
  <c r="I46"/>
  <c r="N46"/>
  <c r="H46"/>
  <c r="M46"/>
  <c r="E46"/>
  <c r="G46"/>
  <c r="F46"/>
  <c r="C46"/>
  <c r="L46"/>
  <c r="K46"/>
  <c r="D46"/>
  <c r="J46" s="1"/>
  <c r="C252"/>
  <c r="A47"/>
  <c r="A117"/>
  <c r="S185"/>
  <c r="A187"/>
  <c r="J185"/>
  <c r="K122" i="91"/>
  <c r="H7"/>
  <c r="O256" i="85"/>
  <c r="H187"/>
  <c r="Q187"/>
  <c r="G187"/>
  <c r="R187"/>
  <c r="R257" s="1"/>
  <c r="I187"/>
  <c r="I188" s="1"/>
  <c r="U187"/>
  <c r="U257" s="1"/>
  <c r="P187"/>
  <c r="N187"/>
  <c r="O187"/>
  <c r="F187"/>
  <c r="M187"/>
  <c r="S187" s="1"/>
  <c r="L187"/>
  <c r="D187"/>
  <c r="D257" s="1"/>
  <c r="E187"/>
  <c r="E257"/>
  <c r="K187"/>
  <c r="C187"/>
  <c r="R47"/>
  <c r="H47"/>
  <c r="Q47"/>
  <c r="I47"/>
  <c r="N47"/>
  <c r="F47"/>
  <c r="J47" s="1"/>
  <c r="G47"/>
  <c r="O47"/>
  <c r="M47"/>
  <c r="K47"/>
  <c r="P47"/>
  <c r="P48" s="1"/>
  <c r="E47"/>
  <c r="L47"/>
  <c r="C47"/>
  <c r="D47"/>
  <c r="U47"/>
  <c r="I117"/>
  <c r="I118" s="1"/>
  <c r="P117"/>
  <c r="H117"/>
  <c r="G117"/>
  <c r="R117"/>
  <c r="Q117"/>
  <c r="Q257" s="1"/>
  <c r="O117"/>
  <c r="E117"/>
  <c r="J117" s="1"/>
  <c r="J257" s="1"/>
  <c r="K117"/>
  <c r="D117"/>
  <c r="F117"/>
  <c r="M117"/>
  <c r="S117" s="1"/>
  <c r="L117"/>
  <c r="C117"/>
  <c r="N117"/>
  <c r="N118" s="1"/>
  <c r="U117"/>
  <c r="I256"/>
  <c r="I48"/>
  <c r="G48"/>
  <c r="S46"/>
  <c r="T46" s="1"/>
  <c r="W46" s="1"/>
  <c r="M48"/>
  <c r="A49"/>
  <c r="U48"/>
  <c r="E48"/>
  <c r="Q48"/>
  <c r="H48"/>
  <c r="N48"/>
  <c r="K118"/>
  <c r="A119"/>
  <c r="R118"/>
  <c r="R123" s="1"/>
  <c r="F118"/>
  <c r="O118"/>
  <c r="P118"/>
  <c r="H118"/>
  <c r="K188"/>
  <c r="A189"/>
  <c r="M188"/>
  <c r="N188"/>
  <c r="F188"/>
  <c r="F258" s="1"/>
  <c r="O188"/>
  <c r="G188"/>
  <c r="R188"/>
  <c r="T185"/>
  <c r="T252" i="116"/>
  <c r="T235"/>
  <c r="T241"/>
  <c r="S252"/>
  <c r="S235"/>
  <c r="S241"/>
  <c r="R252"/>
  <c r="R235"/>
  <c r="R241"/>
  <c r="M252"/>
  <c r="M235"/>
  <c r="M241"/>
  <c r="I252"/>
  <c r="I235"/>
  <c r="I241"/>
  <c r="H252"/>
  <c r="H235"/>
  <c r="H241"/>
  <c r="G252"/>
  <c r="G235"/>
  <c r="G241"/>
  <c r="B252"/>
  <c r="B235"/>
  <c r="B241"/>
  <c r="T277"/>
  <c r="T260"/>
  <c r="T266"/>
  <c r="S277"/>
  <c r="S260"/>
  <c r="S266"/>
  <c r="R277"/>
  <c r="R260"/>
  <c r="R266"/>
  <c r="M277"/>
  <c r="M260"/>
  <c r="M266"/>
  <c r="I277"/>
  <c r="I260"/>
  <c r="I266"/>
  <c r="H277"/>
  <c r="H260"/>
  <c r="H266"/>
  <c r="G277"/>
  <c r="G260"/>
  <c r="G266"/>
  <c r="B277"/>
  <c r="B260"/>
  <c r="B266"/>
  <c r="T177"/>
  <c r="T160"/>
  <c r="T166"/>
  <c r="S177"/>
  <c r="S160"/>
  <c r="S166"/>
  <c r="R177"/>
  <c r="R160"/>
  <c r="R166"/>
  <c r="M177"/>
  <c r="M160"/>
  <c r="M166"/>
  <c r="I177"/>
  <c r="I160"/>
  <c r="I166"/>
  <c r="H177"/>
  <c r="H160"/>
  <c r="H166"/>
  <c r="G177"/>
  <c r="G160"/>
  <c r="G166"/>
  <c r="B177"/>
  <c r="B160"/>
  <c r="B166"/>
  <c r="T202"/>
  <c r="T185"/>
  <c r="T191"/>
  <c r="S202"/>
  <c r="S185"/>
  <c r="S191"/>
  <c r="R202"/>
  <c r="R185"/>
  <c r="R191"/>
  <c r="M202"/>
  <c r="M185"/>
  <c r="M191"/>
  <c r="I202"/>
  <c r="I185"/>
  <c r="I191"/>
  <c r="H202"/>
  <c r="H185"/>
  <c r="H191"/>
  <c r="G202"/>
  <c r="G185"/>
  <c r="G191"/>
  <c r="B202"/>
  <c r="B185"/>
  <c r="B191"/>
  <c r="T227"/>
  <c r="T210"/>
  <c r="T216"/>
  <c r="S227"/>
  <c r="S210"/>
  <c r="S216"/>
  <c r="R227"/>
  <c r="R210"/>
  <c r="R216"/>
  <c r="M227"/>
  <c r="M210"/>
  <c r="M216"/>
  <c r="I227"/>
  <c r="I210"/>
  <c r="I216"/>
  <c r="H227"/>
  <c r="H210"/>
  <c r="H216"/>
  <c r="G227"/>
  <c r="G210"/>
  <c r="G216"/>
  <c r="B227"/>
  <c r="B210"/>
  <c r="B216"/>
  <c r="T302"/>
  <c r="T285"/>
  <c r="T291"/>
  <c r="S302"/>
  <c r="S285"/>
  <c r="S291"/>
  <c r="R302"/>
  <c r="R285"/>
  <c r="R291"/>
  <c r="M302"/>
  <c r="M285"/>
  <c r="M291"/>
  <c r="I302"/>
  <c r="I285"/>
  <c r="I291"/>
  <c r="H302"/>
  <c r="H285"/>
  <c r="H291"/>
  <c r="G302"/>
  <c r="G285"/>
  <c r="G291"/>
  <c r="B302"/>
  <c r="B285"/>
  <c r="B291"/>
  <c r="Q119" i="85"/>
  <c r="I119"/>
  <c r="I120" s="1"/>
  <c r="H119"/>
  <c r="R119"/>
  <c r="O119"/>
  <c r="F119"/>
  <c r="P119"/>
  <c r="P120" s="1"/>
  <c r="P123" s="1"/>
  <c r="L119"/>
  <c r="C119"/>
  <c r="G119"/>
  <c r="G120" s="1"/>
  <c r="G260" s="1"/>
  <c r="N119"/>
  <c r="N120" s="1"/>
  <c r="D119"/>
  <c r="D120" s="1"/>
  <c r="K119"/>
  <c r="E119"/>
  <c r="E120" s="1"/>
  <c r="U119"/>
  <c r="M119"/>
  <c r="I257"/>
  <c r="R49"/>
  <c r="U49"/>
  <c r="Q49"/>
  <c r="I49"/>
  <c r="I50" s="1"/>
  <c r="G49"/>
  <c r="H49"/>
  <c r="O49"/>
  <c r="N49"/>
  <c r="M49"/>
  <c r="M50" s="1"/>
  <c r="F49"/>
  <c r="F50" s="1"/>
  <c r="P49"/>
  <c r="E49"/>
  <c r="E50" s="1"/>
  <c r="E53" s="1"/>
  <c r="L49"/>
  <c r="C49"/>
  <c r="K49"/>
  <c r="D49"/>
  <c r="L257"/>
  <c r="U189"/>
  <c r="U259"/>
  <c r="I189"/>
  <c r="I259" s="1"/>
  <c r="N189"/>
  <c r="N259"/>
  <c r="R189"/>
  <c r="R190" s="1"/>
  <c r="G189"/>
  <c r="G259"/>
  <c r="O189"/>
  <c r="O259" s="1"/>
  <c r="F189"/>
  <c r="F259"/>
  <c r="P189"/>
  <c r="P259" s="1"/>
  <c r="H189"/>
  <c r="H259"/>
  <c r="E189"/>
  <c r="E259" s="1"/>
  <c r="M189"/>
  <c r="M259"/>
  <c r="D189"/>
  <c r="D190" s="1"/>
  <c r="D260" s="1"/>
  <c r="K189"/>
  <c r="K259"/>
  <c r="Q189"/>
  <c r="Q190" s="1"/>
  <c r="L189"/>
  <c r="L259"/>
  <c r="C189"/>
  <c r="C190" s="1"/>
  <c r="C260" s="1"/>
  <c r="E188"/>
  <c r="G257"/>
  <c r="F257"/>
  <c r="O257"/>
  <c r="H257"/>
  <c r="C257"/>
  <c r="N257"/>
  <c r="K257"/>
  <c r="I258"/>
  <c r="O258"/>
  <c r="K258"/>
  <c r="C48"/>
  <c r="Q50"/>
  <c r="R50"/>
  <c r="U50"/>
  <c r="O50"/>
  <c r="G50"/>
  <c r="G53" s="1"/>
  <c r="L50"/>
  <c r="A51"/>
  <c r="P50"/>
  <c r="H50"/>
  <c r="Q120"/>
  <c r="R120"/>
  <c r="A121"/>
  <c r="L120"/>
  <c r="U120"/>
  <c r="M120"/>
  <c r="F120"/>
  <c r="F123" s="1"/>
  <c r="H120"/>
  <c r="O120"/>
  <c r="R260"/>
  <c r="A191"/>
  <c r="L190"/>
  <c r="U190"/>
  <c r="M190"/>
  <c r="M260" s="1"/>
  <c r="N190"/>
  <c r="N260"/>
  <c r="F190"/>
  <c r="G190"/>
  <c r="P190"/>
  <c r="H190"/>
  <c r="J187"/>
  <c r="C188"/>
  <c r="Q191"/>
  <c r="G191"/>
  <c r="R191"/>
  <c r="I191"/>
  <c r="I261" s="1"/>
  <c r="U191"/>
  <c r="P191"/>
  <c r="H191"/>
  <c r="O191"/>
  <c r="O192" s="1"/>
  <c r="O262" s="1"/>
  <c r="F191"/>
  <c r="M191"/>
  <c r="L191"/>
  <c r="L192" s="1"/>
  <c r="D191"/>
  <c r="D261" s="1"/>
  <c r="N191"/>
  <c r="E191"/>
  <c r="K191"/>
  <c r="C191"/>
  <c r="C261" s="1"/>
  <c r="P121"/>
  <c r="U121"/>
  <c r="H121"/>
  <c r="H122" s="1"/>
  <c r="G121"/>
  <c r="R121"/>
  <c r="Q121"/>
  <c r="I121"/>
  <c r="O121"/>
  <c r="O122" s="1"/>
  <c r="O123" s="1"/>
  <c r="N121"/>
  <c r="F121"/>
  <c r="M121"/>
  <c r="D121"/>
  <c r="K121"/>
  <c r="E121"/>
  <c r="C121"/>
  <c r="L121"/>
  <c r="L122" s="1"/>
  <c r="Q51"/>
  <c r="I51"/>
  <c r="I52" s="1"/>
  <c r="P51"/>
  <c r="G51"/>
  <c r="U51"/>
  <c r="U52" s="1"/>
  <c r="R51"/>
  <c r="R52" s="1"/>
  <c r="F51"/>
  <c r="F52" s="1"/>
  <c r="H51"/>
  <c r="H52" s="1"/>
  <c r="O51"/>
  <c r="N51"/>
  <c r="M51"/>
  <c r="K51"/>
  <c r="E51"/>
  <c r="E52" s="1"/>
  <c r="L51"/>
  <c r="L52" s="1"/>
  <c r="C51"/>
  <c r="D51"/>
  <c r="Q260"/>
  <c r="H260"/>
  <c r="L260"/>
  <c r="C50"/>
  <c r="O52"/>
  <c r="G52"/>
  <c r="P52"/>
  <c r="Q52"/>
  <c r="Q53" s="1"/>
  <c r="A55"/>
  <c r="D52"/>
  <c r="U53"/>
  <c r="N52"/>
  <c r="K50"/>
  <c r="T117"/>
  <c r="W117" s="1"/>
  <c r="S119"/>
  <c r="K120"/>
  <c r="C120"/>
  <c r="G122"/>
  <c r="P122"/>
  <c r="H123"/>
  <c r="F122"/>
  <c r="I122"/>
  <c r="R122"/>
  <c r="A125"/>
  <c r="N122"/>
  <c r="M122"/>
  <c r="M262" s="1"/>
  <c r="E122"/>
  <c r="S189"/>
  <c r="K190"/>
  <c r="K260" s="1"/>
  <c r="J189"/>
  <c r="G192"/>
  <c r="G193" s="1"/>
  <c r="P192"/>
  <c r="P262" s="1"/>
  <c r="Q192"/>
  <c r="I192"/>
  <c r="I262" s="1"/>
  <c r="A195"/>
  <c r="D192"/>
  <c r="U192"/>
  <c r="M192"/>
  <c r="E192"/>
  <c r="N192"/>
  <c r="N262" s="1"/>
  <c r="F192"/>
  <c r="F193" s="1"/>
  <c r="K44" i="73"/>
  <c r="J44"/>
  <c r="I44"/>
  <c r="D44"/>
  <c r="E261" i="85"/>
  <c r="P261"/>
  <c r="N261"/>
  <c r="R195"/>
  <c r="U195"/>
  <c r="G195"/>
  <c r="G196" s="1"/>
  <c r="G266" s="1"/>
  <c r="O195"/>
  <c r="O196" s="1"/>
  <c r="F195"/>
  <c r="P195"/>
  <c r="H195"/>
  <c r="H196" s="1"/>
  <c r="H201" s="1"/>
  <c r="N195"/>
  <c r="N196" s="1"/>
  <c r="N266" s="1"/>
  <c r="E195"/>
  <c r="I195"/>
  <c r="K195"/>
  <c r="C195"/>
  <c r="M195"/>
  <c r="Q195"/>
  <c r="L195"/>
  <c r="D195"/>
  <c r="U125"/>
  <c r="I125"/>
  <c r="H125"/>
  <c r="H126" s="1"/>
  <c r="R125"/>
  <c r="O125"/>
  <c r="N125"/>
  <c r="Q125"/>
  <c r="P125"/>
  <c r="P126" s="1"/>
  <c r="P131" s="1"/>
  <c r="G125"/>
  <c r="F125"/>
  <c r="D125"/>
  <c r="K125"/>
  <c r="E125"/>
  <c r="C125"/>
  <c r="M125"/>
  <c r="L125"/>
  <c r="M261"/>
  <c r="G261"/>
  <c r="U55"/>
  <c r="U56" s="1"/>
  <c r="U61" s="1"/>
  <c r="R55"/>
  <c r="R56" s="1"/>
  <c r="Q55"/>
  <c r="I55"/>
  <c r="H55"/>
  <c r="H56" s="1"/>
  <c r="G55"/>
  <c r="O55"/>
  <c r="O56" s="1"/>
  <c r="O61" s="1"/>
  <c r="N55"/>
  <c r="F55"/>
  <c r="F56" s="1"/>
  <c r="F61" s="1"/>
  <c r="E55"/>
  <c r="E56" s="1"/>
  <c r="P55"/>
  <c r="L55"/>
  <c r="C55"/>
  <c r="D55"/>
  <c r="D56" s="1"/>
  <c r="K55"/>
  <c r="M55"/>
  <c r="F261"/>
  <c r="G262"/>
  <c r="E262"/>
  <c r="F262"/>
  <c r="J190"/>
  <c r="N56"/>
  <c r="G56"/>
  <c r="P56"/>
  <c r="A57"/>
  <c r="L56"/>
  <c r="M56"/>
  <c r="M61" s="1"/>
  <c r="Q56"/>
  <c r="I56"/>
  <c r="K52"/>
  <c r="C52"/>
  <c r="C53" s="1"/>
  <c r="J51"/>
  <c r="J52" s="1"/>
  <c r="C122"/>
  <c r="C123"/>
  <c r="S120"/>
  <c r="N126"/>
  <c r="F126"/>
  <c r="O126"/>
  <c r="G126"/>
  <c r="I126"/>
  <c r="R126"/>
  <c r="U126"/>
  <c r="E126"/>
  <c r="A127"/>
  <c r="L126"/>
  <c r="K122"/>
  <c r="K123" s="1"/>
  <c r="C192"/>
  <c r="J191"/>
  <c r="F196"/>
  <c r="P196"/>
  <c r="Q196"/>
  <c r="I196"/>
  <c r="R196"/>
  <c r="A197"/>
  <c r="D196"/>
  <c r="U196"/>
  <c r="M196"/>
  <c r="E196"/>
  <c r="C146" i="76"/>
  <c r="C132"/>
  <c r="C12"/>
  <c r="C11"/>
  <c r="C25"/>
  <c r="C32"/>
  <c r="C44"/>
  <c r="C51"/>
  <c r="C58"/>
  <c r="C64"/>
  <c r="C73"/>
  <c r="C72"/>
  <c r="C71"/>
  <c r="C88"/>
  <c r="C87"/>
  <c r="C86"/>
  <c r="C110"/>
  <c r="C116"/>
  <c r="C123"/>
  <c r="C150"/>
  <c r="C159"/>
  <c r="C165"/>
  <c r="C179"/>
  <c r="C178"/>
  <c r="C177"/>
  <c r="C194"/>
  <c r="C193"/>
  <c r="C192"/>
  <c r="C223"/>
  <c r="C224"/>
  <c r="C226"/>
  <c r="C227"/>
  <c r="C225"/>
  <c r="C230"/>
  <c r="C231"/>
  <c r="C233"/>
  <c r="C234"/>
  <c r="C265" i="85"/>
  <c r="U127"/>
  <c r="H127"/>
  <c r="H128" s="1"/>
  <c r="H268" s="1"/>
  <c r="G127"/>
  <c r="R127"/>
  <c r="Q127"/>
  <c r="I127"/>
  <c r="P127"/>
  <c r="O127"/>
  <c r="N127"/>
  <c r="F127"/>
  <c r="M127"/>
  <c r="M128" s="1"/>
  <c r="E127"/>
  <c r="D127"/>
  <c r="K127"/>
  <c r="L127"/>
  <c r="C127"/>
  <c r="I57"/>
  <c r="P57"/>
  <c r="G57"/>
  <c r="G58" s="1"/>
  <c r="U57"/>
  <c r="R57"/>
  <c r="H57"/>
  <c r="H58" s="1"/>
  <c r="Q57"/>
  <c r="Q58" s="1"/>
  <c r="Q61" s="1"/>
  <c r="O57"/>
  <c r="F57"/>
  <c r="E57"/>
  <c r="N57"/>
  <c r="N58" s="1"/>
  <c r="N61" s="1"/>
  <c r="D57"/>
  <c r="K57"/>
  <c r="L57"/>
  <c r="M57"/>
  <c r="C57"/>
  <c r="G265"/>
  <c r="I265"/>
  <c r="U265"/>
  <c r="E265"/>
  <c r="R265"/>
  <c r="N265"/>
  <c r="R197"/>
  <c r="R267"/>
  <c r="I197"/>
  <c r="I267" s="1"/>
  <c r="U197"/>
  <c r="U267"/>
  <c r="P197"/>
  <c r="P267" s="1"/>
  <c r="H197"/>
  <c r="H267"/>
  <c r="Q197"/>
  <c r="Q267" s="1"/>
  <c r="E197"/>
  <c r="E267"/>
  <c r="L197"/>
  <c r="L267" s="1"/>
  <c r="O197"/>
  <c r="O267"/>
  <c r="N197"/>
  <c r="N267" s="1"/>
  <c r="K197"/>
  <c r="K267"/>
  <c r="D197"/>
  <c r="D267" s="1"/>
  <c r="G197"/>
  <c r="G267"/>
  <c r="F197"/>
  <c r="F198" s="1"/>
  <c r="M197"/>
  <c r="M267"/>
  <c r="C197"/>
  <c r="C198" s="1"/>
  <c r="C268" s="1"/>
  <c r="H265"/>
  <c r="P265"/>
  <c r="I266"/>
  <c r="F265"/>
  <c r="O266"/>
  <c r="U266"/>
  <c r="C232" i="76"/>
  <c r="C262" i="85"/>
  <c r="E266"/>
  <c r="A59"/>
  <c r="D58"/>
  <c r="U58"/>
  <c r="M58"/>
  <c r="F58"/>
  <c r="P58"/>
  <c r="R58"/>
  <c r="I58"/>
  <c r="O58"/>
  <c r="K56"/>
  <c r="A129"/>
  <c r="L128"/>
  <c r="L268" s="1"/>
  <c r="D128"/>
  <c r="U128"/>
  <c r="E128"/>
  <c r="E268" s="1"/>
  <c r="N128"/>
  <c r="N131" s="1"/>
  <c r="O128"/>
  <c r="G128"/>
  <c r="G268" s="1"/>
  <c r="P128"/>
  <c r="Q128"/>
  <c r="I128"/>
  <c r="R128"/>
  <c r="R268" s="1"/>
  <c r="C126"/>
  <c r="C266" s="1"/>
  <c r="K126"/>
  <c r="A199"/>
  <c r="L198"/>
  <c r="U198"/>
  <c r="M198"/>
  <c r="E198"/>
  <c r="O198"/>
  <c r="O268" s="1"/>
  <c r="G198"/>
  <c r="H198"/>
  <c r="Q198"/>
  <c r="I198"/>
  <c r="R198"/>
  <c r="C196"/>
  <c r="J195"/>
  <c r="C149" i="76"/>
  <c r="C222"/>
  <c r="C221"/>
  <c r="C207"/>
  <c r="C101"/>
  <c r="C229"/>
  <c r="C50"/>
  <c r="C10"/>
  <c r="C109"/>
  <c r="U199" i="85"/>
  <c r="R199"/>
  <c r="P199"/>
  <c r="P269" s="1"/>
  <c r="H199"/>
  <c r="Q199"/>
  <c r="O199"/>
  <c r="N199"/>
  <c r="N269" s="1"/>
  <c r="E199"/>
  <c r="E200" s="1"/>
  <c r="E270" s="1"/>
  <c r="I199"/>
  <c r="G199"/>
  <c r="K199"/>
  <c r="F199"/>
  <c r="C199"/>
  <c r="L199"/>
  <c r="M199"/>
  <c r="M200" s="1"/>
  <c r="M270" s="1"/>
  <c r="D199"/>
  <c r="D269" s="1"/>
  <c r="Q59"/>
  <c r="U59"/>
  <c r="I59"/>
  <c r="I60" s="1"/>
  <c r="H59"/>
  <c r="G59"/>
  <c r="O59"/>
  <c r="P59"/>
  <c r="P60" s="1"/>
  <c r="F59"/>
  <c r="R59"/>
  <c r="N59"/>
  <c r="D59"/>
  <c r="K59"/>
  <c r="M59"/>
  <c r="L59"/>
  <c r="E59"/>
  <c r="E60" s="1"/>
  <c r="C59"/>
  <c r="U129"/>
  <c r="R129"/>
  <c r="O129"/>
  <c r="N129"/>
  <c r="F129"/>
  <c r="P129"/>
  <c r="G129"/>
  <c r="I129"/>
  <c r="I130" s="1"/>
  <c r="I270" s="1"/>
  <c r="Q129"/>
  <c r="M129"/>
  <c r="H129"/>
  <c r="K129"/>
  <c r="K130" s="1"/>
  <c r="E129"/>
  <c r="L129"/>
  <c r="C129"/>
  <c r="D129"/>
  <c r="D130" s="1"/>
  <c r="C228" i="76"/>
  <c r="C220"/>
  <c r="I268" i="85"/>
  <c r="U268"/>
  <c r="K58"/>
  <c r="K61" s="1"/>
  <c r="R60"/>
  <c r="R61"/>
  <c r="A63"/>
  <c r="L60"/>
  <c r="N60"/>
  <c r="F60"/>
  <c r="H60"/>
  <c r="O60"/>
  <c r="G60"/>
  <c r="M60"/>
  <c r="Q60"/>
  <c r="U60"/>
  <c r="C58"/>
  <c r="R130"/>
  <c r="R270" s="1"/>
  <c r="A133"/>
  <c r="L130"/>
  <c r="Q130"/>
  <c r="U130"/>
  <c r="U131"/>
  <c r="M130"/>
  <c r="E130"/>
  <c r="N130"/>
  <c r="F130"/>
  <c r="P130"/>
  <c r="C128"/>
  <c r="K198"/>
  <c r="J197"/>
  <c r="R200"/>
  <c r="A203"/>
  <c r="L200"/>
  <c r="D200"/>
  <c r="D270" s="1"/>
  <c r="U200"/>
  <c r="U270" s="1"/>
  <c r="F200"/>
  <c r="F270" s="1"/>
  <c r="O200"/>
  <c r="G200"/>
  <c r="H200"/>
  <c r="Q200"/>
  <c r="I200"/>
  <c r="C215" i="76"/>
  <c r="C176"/>
  <c r="C208"/>
  <c r="C70"/>
  <c r="C102"/>
  <c r="C214"/>
  <c r="U203" i="85"/>
  <c r="P203"/>
  <c r="H203"/>
  <c r="H204" s="1"/>
  <c r="Q203"/>
  <c r="Q273" s="1"/>
  <c r="G203"/>
  <c r="R203"/>
  <c r="I203"/>
  <c r="N203"/>
  <c r="N273" s="1"/>
  <c r="O203"/>
  <c r="E203"/>
  <c r="K203"/>
  <c r="D203"/>
  <c r="D273" s="1"/>
  <c r="F203"/>
  <c r="M203"/>
  <c r="C203"/>
  <c r="L203"/>
  <c r="L204" s="1"/>
  <c r="L269"/>
  <c r="C244" i="76"/>
  <c r="J101"/>
  <c r="Q269" i="85"/>
  <c r="F269"/>
  <c r="C245" i="76"/>
  <c r="J102"/>
  <c r="P63" i="85"/>
  <c r="G63"/>
  <c r="U63"/>
  <c r="U64" s="1"/>
  <c r="U69" s="1"/>
  <c r="R63"/>
  <c r="R64" s="1"/>
  <c r="R69" s="1"/>
  <c r="H63"/>
  <c r="Q63"/>
  <c r="I63"/>
  <c r="I64" s="1"/>
  <c r="O63"/>
  <c r="O64" s="1"/>
  <c r="O69" s="1"/>
  <c r="N63"/>
  <c r="M63"/>
  <c r="K63"/>
  <c r="F63"/>
  <c r="F64" s="1"/>
  <c r="F69" s="1"/>
  <c r="L63"/>
  <c r="C63"/>
  <c r="E63"/>
  <c r="E64" s="1"/>
  <c r="D63"/>
  <c r="R269"/>
  <c r="R133"/>
  <c r="R273" s="1"/>
  <c r="Q133"/>
  <c r="Q134" s="1"/>
  <c r="I133"/>
  <c r="P133"/>
  <c r="U133"/>
  <c r="F133"/>
  <c r="F134" s="1"/>
  <c r="G133"/>
  <c r="M133"/>
  <c r="H133"/>
  <c r="J133" s="1"/>
  <c r="E133"/>
  <c r="E134" s="1"/>
  <c r="K133"/>
  <c r="D133"/>
  <c r="N133"/>
  <c r="N134" s="1"/>
  <c r="L133"/>
  <c r="C133"/>
  <c r="O133"/>
  <c r="I269"/>
  <c r="U269"/>
  <c r="J103" i="76"/>
  <c r="J105"/>
  <c r="U201" i="85"/>
  <c r="Q270"/>
  <c r="I201"/>
  <c r="E201"/>
  <c r="L270"/>
  <c r="Q64"/>
  <c r="Q69" s="1"/>
  <c r="M64"/>
  <c r="G64"/>
  <c r="N64"/>
  <c r="H64"/>
  <c r="D64"/>
  <c r="D69" s="1"/>
  <c r="L64"/>
  <c r="A65"/>
  <c r="P64"/>
  <c r="K60"/>
  <c r="C60"/>
  <c r="I134"/>
  <c r="A135"/>
  <c r="D134"/>
  <c r="H134"/>
  <c r="M134"/>
  <c r="P134"/>
  <c r="O134"/>
  <c r="G134"/>
  <c r="C200"/>
  <c r="R204"/>
  <c r="A205"/>
  <c r="D204"/>
  <c r="U204"/>
  <c r="M204"/>
  <c r="E204"/>
  <c r="N204"/>
  <c r="F204"/>
  <c r="F209" s="1"/>
  <c r="O204"/>
  <c r="G204"/>
  <c r="P204"/>
  <c r="C213" i="76"/>
  <c r="J104"/>
  <c r="C273" i="85"/>
  <c r="U65"/>
  <c r="R65"/>
  <c r="I65"/>
  <c r="H65"/>
  <c r="H66" s="1"/>
  <c r="H69" s="1"/>
  <c r="G65"/>
  <c r="O65"/>
  <c r="P65"/>
  <c r="N65"/>
  <c r="N66" s="1"/>
  <c r="K65"/>
  <c r="F65"/>
  <c r="M65"/>
  <c r="E65"/>
  <c r="E66" s="1"/>
  <c r="E69" s="1"/>
  <c r="L65"/>
  <c r="Q65"/>
  <c r="D65"/>
  <c r="D66" s="1"/>
  <c r="C65"/>
  <c r="M273"/>
  <c r="F273"/>
  <c r="G273"/>
  <c r="U205"/>
  <c r="U275" s="1"/>
  <c r="R205"/>
  <c r="P205"/>
  <c r="H205"/>
  <c r="N205"/>
  <c r="N275" s="1"/>
  <c r="Q205"/>
  <c r="Q206" s="1"/>
  <c r="I205"/>
  <c r="O205"/>
  <c r="E205"/>
  <c r="E206" s="1"/>
  <c r="F205"/>
  <c r="M205"/>
  <c r="G205"/>
  <c r="C205"/>
  <c r="L205"/>
  <c r="D205"/>
  <c r="K205"/>
  <c r="K273"/>
  <c r="U135"/>
  <c r="R135"/>
  <c r="G135"/>
  <c r="G275" s="1"/>
  <c r="P135"/>
  <c r="Q135"/>
  <c r="M135"/>
  <c r="H135"/>
  <c r="H136" s="1"/>
  <c r="H276" s="1"/>
  <c r="E135"/>
  <c r="N135"/>
  <c r="K135"/>
  <c r="L135"/>
  <c r="L136" s="1"/>
  <c r="C135"/>
  <c r="O135"/>
  <c r="I135"/>
  <c r="I136" s="1"/>
  <c r="F135"/>
  <c r="F136" s="1"/>
  <c r="F276" s="1"/>
  <c r="D135"/>
  <c r="D136" s="1"/>
  <c r="P273"/>
  <c r="O273"/>
  <c r="O274"/>
  <c r="M274"/>
  <c r="D274"/>
  <c r="C201"/>
  <c r="N274"/>
  <c r="J63"/>
  <c r="J64" s="1"/>
  <c r="C64"/>
  <c r="O66"/>
  <c r="G66"/>
  <c r="P66"/>
  <c r="P69" s="1"/>
  <c r="Q66"/>
  <c r="I66"/>
  <c r="U66"/>
  <c r="A67"/>
  <c r="L66"/>
  <c r="R66"/>
  <c r="F66"/>
  <c r="K134"/>
  <c r="C134"/>
  <c r="O136"/>
  <c r="G136"/>
  <c r="G276" s="1"/>
  <c r="Q136"/>
  <c r="R136"/>
  <c r="N136"/>
  <c r="A137"/>
  <c r="U136"/>
  <c r="M136"/>
  <c r="E136"/>
  <c r="J203"/>
  <c r="J204" s="1"/>
  <c r="C204"/>
  <c r="O206"/>
  <c r="G206"/>
  <c r="P206"/>
  <c r="H206"/>
  <c r="I206"/>
  <c r="R206"/>
  <c r="R276" s="1"/>
  <c r="A207"/>
  <c r="D206"/>
  <c r="D276" s="1"/>
  <c r="M206"/>
  <c r="N206"/>
  <c r="N276" s="1"/>
  <c r="F206"/>
  <c r="K120" i="91"/>
  <c r="H207" i="85"/>
  <c r="H208" s="1"/>
  <c r="H278" s="1"/>
  <c r="Q207"/>
  <c r="G207"/>
  <c r="R207"/>
  <c r="I207"/>
  <c r="I208" s="1"/>
  <c r="U207"/>
  <c r="P207"/>
  <c r="N207"/>
  <c r="O207"/>
  <c r="F207"/>
  <c r="M207"/>
  <c r="M277" s="1"/>
  <c r="E207"/>
  <c r="E208" s="1"/>
  <c r="L207"/>
  <c r="D207"/>
  <c r="D277"/>
  <c r="C207"/>
  <c r="K207"/>
  <c r="M275"/>
  <c r="R275"/>
  <c r="I137"/>
  <c r="I138" s="1"/>
  <c r="P137"/>
  <c r="U137"/>
  <c r="U277" s="1"/>
  <c r="H137"/>
  <c r="G137"/>
  <c r="G277" s="1"/>
  <c r="R137"/>
  <c r="Q137"/>
  <c r="E137"/>
  <c r="E138"/>
  <c r="E278" s="1"/>
  <c r="K137"/>
  <c r="D137"/>
  <c r="N137"/>
  <c r="O137"/>
  <c r="F137"/>
  <c r="L137"/>
  <c r="C137"/>
  <c r="M137"/>
  <c r="M138"/>
  <c r="E275"/>
  <c r="U67"/>
  <c r="R67"/>
  <c r="R68" s="1"/>
  <c r="H67"/>
  <c r="H68" s="1"/>
  <c r="Q67"/>
  <c r="I67"/>
  <c r="N67"/>
  <c r="N68" s="1"/>
  <c r="P67"/>
  <c r="P68" s="1"/>
  <c r="F67"/>
  <c r="M67"/>
  <c r="K67"/>
  <c r="G67"/>
  <c r="G68" s="1"/>
  <c r="E67"/>
  <c r="E68" s="1"/>
  <c r="O67"/>
  <c r="L67"/>
  <c r="L68" s="1"/>
  <c r="C67"/>
  <c r="D67"/>
  <c r="K275"/>
  <c r="O275"/>
  <c r="D275"/>
  <c r="I275"/>
  <c r="Q275"/>
  <c r="I276"/>
  <c r="M276"/>
  <c r="Q276"/>
  <c r="U68"/>
  <c r="M68"/>
  <c r="F68"/>
  <c r="O68"/>
  <c r="Q68"/>
  <c r="I68"/>
  <c r="D68"/>
  <c r="K66"/>
  <c r="C66"/>
  <c r="J65"/>
  <c r="J66" s="1"/>
  <c r="K136"/>
  <c r="U138"/>
  <c r="U278" s="1"/>
  <c r="N138"/>
  <c r="F138"/>
  <c r="L138"/>
  <c r="O138"/>
  <c r="P138"/>
  <c r="H138"/>
  <c r="Q138"/>
  <c r="Q278" s="1"/>
  <c r="D138"/>
  <c r="D278" s="1"/>
  <c r="R138"/>
  <c r="M208"/>
  <c r="F208"/>
  <c r="O208"/>
  <c r="O278" s="1"/>
  <c r="G208"/>
  <c r="Q208"/>
  <c r="L208"/>
  <c r="L278" s="1"/>
  <c r="K206"/>
  <c r="J106" i="91"/>
  <c r="J97"/>
  <c r="K97"/>
  <c r="J31"/>
  <c r="K31"/>
  <c r="J118"/>
  <c r="K118"/>
  <c r="J114"/>
  <c r="K114"/>
  <c r="J112"/>
  <c r="K112"/>
  <c r="J110"/>
  <c r="K110"/>
  <c r="J108"/>
  <c r="K108"/>
  <c r="J101"/>
  <c r="K101"/>
  <c r="J81"/>
  <c r="J99"/>
  <c r="K99"/>
  <c r="L277" i="85"/>
  <c r="E277"/>
  <c r="F277"/>
  <c r="Q277"/>
  <c r="D208"/>
  <c r="O277"/>
  <c r="H277"/>
  <c r="U208"/>
  <c r="K276"/>
  <c r="G209"/>
  <c r="F278"/>
  <c r="C68"/>
  <c r="C138"/>
  <c r="K208"/>
  <c r="S207"/>
  <c r="S208" s="1"/>
  <c r="H68" i="91"/>
  <c r="J73"/>
  <c r="K73"/>
  <c r="J71"/>
  <c r="K71"/>
  <c r="J70"/>
  <c r="J69"/>
  <c r="H63"/>
  <c r="H55"/>
  <c r="H50"/>
  <c r="H30"/>
  <c r="J33"/>
  <c r="K33"/>
  <c r="K116"/>
  <c r="H93"/>
  <c r="J94"/>
  <c r="K94"/>
  <c r="J91"/>
  <c r="J90"/>
  <c r="J83"/>
  <c r="J61"/>
  <c r="K61"/>
  <c r="J59"/>
  <c r="K59"/>
  <c r="J57"/>
  <c r="K57"/>
  <c r="J53"/>
  <c r="K53"/>
  <c r="J51"/>
  <c r="K51"/>
  <c r="J48"/>
  <c r="K48"/>
  <c r="J47"/>
  <c r="K47"/>
  <c r="H41"/>
  <c r="J45"/>
  <c r="K45"/>
  <c r="J44"/>
  <c r="K44"/>
  <c r="J43"/>
  <c r="K43"/>
  <c r="J38"/>
  <c r="K38"/>
  <c r="J35"/>
  <c r="K35"/>
  <c r="J28"/>
  <c r="K28"/>
  <c r="J24"/>
  <c r="K24"/>
  <c r="J22"/>
  <c r="K22"/>
  <c r="J20"/>
  <c r="K20"/>
  <c r="J18"/>
  <c r="K18"/>
  <c r="J16"/>
  <c r="K16"/>
  <c r="J12"/>
  <c r="K12"/>
  <c r="J10"/>
  <c r="K10"/>
  <c r="H5"/>
  <c r="J86"/>
  <c r="K86"/>
  <c r="J96"/>
  <c r="K96"/>
  <c r="K91"/>
  <c r="J46"/>
  <c r="K46"/>
  <c r="H89"/>
  <c r="H76"/>
  <c r="K90"/>
  <c r="B124" i="78"/>
  <c r="I93"/>
  <c r="D93"/>
  <c r="B93"/>
  <c r="K16" i="72"/>
  <c r="K26"/>
  <c r="J93" i="78"/>
  <c r="K36" i="72"/>
  <c r="D13" i="73"/>
  <c r="D81" i="78"/>
  <c r="B42"/>
  <c r="I90"/>
  <c r="D90"/>
  <c r="B90"/>
  <c r="J90"/>
  <c r="M127" i="116"/>
  <c r="M110"/>
  <c r="M116"/>
  <c r="I352"/>
  <c r="I335"/>
  <c r="I341"/>
  <c r="H352"/>
  <c r="H335"/>
  <c r="H341"/>
  <c r="B352"/>
  <c r="B335"/>
  <c r="G352"/>
  <c r="G335"/>
  <c r="G341"/>
  <c r="M152"/>
  <c r="M135"/>
  <c r="M141"/>
  <c r="T152"/>
  <c r="T135"/>
  <c r="T141"/>
  <c r="S152"/>
  <c r="S135"/>
  <c r="S141"/>
  <c r="R152"/>
  <c r="R135"/>
  <c r="R141"/>
  <c r="G152"/>
  <c r="G135"/>
  <c r="G141"/>
  <c r="B152"/>
  <c r="B135"/>
  <c r="B141"/>
  <c r="I152"/>
  <c r="I135"/>
  <c r="I141"/>
  <c r="H152"/>
  <c r="H135"/>
  <c r="H141"/>
  <c r="T127"/>
  <c r="T110"/>
  <c r="T116"/>
  <c r="S127"/>
  <c r="S110"/>
  <c r="S116"/>
  <c r="R127"/>
  <c r="R110"/>
  <c r="R116"/>
  <c r="I127"/>
  <c r="I110"/>
  <c r="I116"/>
  <c r="H127"/>
  <c r="H110"/>
  <c r="H116"/>
  <c r="G127"/>
  <c r="G110"/>
  <c r="G116"/>
  <c r="T102"/>
  <c r="T85"/>
  <c r="T91"/>
  <c r="S102"/>
  <c r="S85"/>
  <c r="S91"/>
  <c r="R102"/>
  <c r="R85"/>
  <c r="R91"/>
  <c r="I102"/>
  <c r="I85"/>
  <c r="I91"/>
  <c r="H102"/>
  <c r="H85"/>
  <c r="H91"/>
  <c r="G102"/>
  <c r="G85"/>
  <c r="G91"/>
  <c r="M77"/>
  <c r="M60"/>
  <c r="M66"/>
  <c r="T77"/>
  <c r="T60"/>
  <c r="T66"/>
  <c r="S77"/>
  <c r="S60"/>
  <c r="S66"/>
  <c r="R77"/>
  <c r="R60"/>
  <c r="R66"/>
  <c r="B77"/>
  <c r="I77"/>
  <c r="I60"/>
  <c r="I66"/>
  <c r="H77"/>
  <c r="H60"/>
  <c r="H66"/>
  <c r="G77"/>
  <c r="G60"/>
  <c r="G66"/>
  <c r="T352"/>
  <c r="T335"/>
  <c r="S352"/>
  <c r="S335"/>
  <c r="R352"/>
  <c r="R335"/>
  <c r="M352"/>
  <c r="M335"/>
  <c r="T52"/>
  <c r="T35"/>
  <c r="T41"/>
  <c r="S52"/>
  <c r="S35"/>
  <c r="S41"/>
  <c r="R52"/>
  <c r="R35"/>
  <c r="R41"/>
  <c r="I52"/>
  <c r="I35"/>
  <c r="H52"/>
  <c r="H35"/>
  <c r="G52"/>
  <c r="G35"/>
  <c r="B52"/>
  <c r="B35"/>
  <c r="B341"/>
  <c r="M102"/>
  <c r="M85"/>
  <c r="M91"/>
  <c r="B60"/>
  <c r="B66"/>
  <c r="M52"/>
  <c r="M35"/>
  <c r="M41"/>
  <c r="B102"/>
  <c r="B85"/>
  <c r="B91"/>
  <c r="B127"/>
  <c r="B110"/>
  <c r="B116"/>
  <c r="I41"/>
  <c r="H41"/>
  <c r="G41"/>
  <c r="B41"/>
  <c r="I27"/>
  <c r="I10"/>
  <c r="I16"/>
  <c r="H27"/>
  <c r="H10"/>
  <c r="H16"/>
  <c r="G27"/>
  <c r="I360"/>
  <c r="H360"/>
  <c r="G360"/>
  <c r="B360"/>
  <c r="S341"/>
  <c r="M341"/>
  <c r="T341"/>
  <c r="T27"/>
  <c r="T10"/>
  <c r="T16"/>
  <c r="S27"/>
  <c r="S10"/>
  <c r="S16"/>
  <c r="R27"/>
  <c r="R10"/>
  <c r="R16"/>
  <c r="M27"/>
  <c r="M10"/>
  <c r="G10"/>
  <c r="G16"/>
  <c r="M16"/>
  <c r="R341"/>
  <c r="D23" i="89"/>
  <c r="D21"/>
  <c r="I20"/>
  <c r="A175" i="84"/>
  <c r="A176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E27" s="1"/>
  <c r="D30"/>
  <c r="F29"/>
  <c r="E29"/>
  <c r="D29"/>
  <c r="F28"/>
  <c r="F27" s="1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F17" s="1"/>
  <c r="E18"/>
  <c r="D18"/>
  <c r="D17" s="1"/>
  <c r="F14"/>
  <c r="E14"/>
  <c r="D14"/>
  <c r="F12"/>
  <c r="E12"/>
  <c r="D12"/>
  <c r="E11"/>
  <c r="D11"/>
  <c r="J16" i="72"/>
  <c r="J26"/>
  <c r="J36"/>
  <c r="D27" i="90"/>
  <c r="A177" i="84"/>
  <c r="A178"/>
  <c r="A179"/>
  <c r="A180"/>
  <c r="AE9" i="75"/>
  <c r="A181" i="84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D179" i="76"/>
  <c r="D178"/>
  <c r="A203" i="84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E28" i="70"/>
  <c r="A223" i="84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J11" i="72"/>
  <c r="K11"/>
  <c r="L11"/>
  <c r="A241" i="84"/>
  <c r="A242"/>
  <c r="A243"/>
  <c r="A244"/>
  <c r="A245"/>
  <c r="A246"/>
  <c r="A247"/>
  <c r="A248"/>
  <c r="A250"/>
  <c r="A251"/>
  <c r="A252"/>
  <c r="A253"/>
  <c r="A254"/>
  <c r="A255"/>
  <c r="A257"/>
  <c r="A261"/>
  <c r="A262"/>
  <c r="A263"/>
  <c r="A264"/>
  <c r="A265"/>
  <c r="A267"/>
  <c r="A268"/>
  <c r="A269"/>
  <c r="A271"/>
  <c r="A272"/>
  <c r="A273"/>
  <c r="A274"/>
  <c r="A275"/>
  <c r="A276"/>
  <c r="A277"/>
  <c r="A281"/>
  <c r="A282"/>
  <c r="A283"/>
  <c r="A284"/>
  <c r="A285"/>
  <c r="A286"/>
  <c r="A288"/>
  <c r="A290"/>
  <c r="A294"/>
  <c r="A295"/>
  <c r="A296"/>
  <c r="A297"/>
  <c r="A298"/>
  <c r="A299"/>
  <c r="A300"/>
  <c r="A302"/>
  <c r="A304"/>
  <c r="A308"/>
  <c r="A310"/>
  <c r="A311"/>
  <c r="A313"/>
  <c r="A317"/>
  <c r="A318"/>
  <c r="A319"/>
  <c r="A320"/>
  <c r="A321"/>
  <c r="A323"/>
  <c r="A325"/>
  <c r="D18" i="89"/>
  <c r="J8"/>
  <c r="J12"/>
  <c r="J19"/>
  <c r="J18"/>
  <c r="K19"/>
  <c r="K18"/>
  <c r="K17"/>
  <c r="J16"/>
  <c r="I16"/>
  <c r="K15"/>
  <c r="K14"/>
  <c r="K13"/>
  <c r="J20"/>
  <c r="K20"/>
  <c r="K16"/>
  <c r="K9"/>
  <c r="K10"/>
  <c r="K11"/>
  <c r="K8"/>
  <c r="I12"/>
  <c r="K12"/>
  <c r="U26" i="72"/>
  <c r="U16"/>
  <c r="V26"/>
  <c r="V16"/>
  <c r="M26"/>
  <c r="M16"/>
  <c r="N26"/>
  <c r="N16"/>
  <c r="O26"/>
  <c r="O16"/>
  <c r="P26"/>
  <c r="P16"/>
  <c r="Q26"/>
  <c r="Q16"/>
  <c r="R26"/>
  <c r="R16"/>
  <c r="S26"/>
  <c r="S16"/>
  <c r="T26"/>
  <c r="T16"/>
  <c r="U36"/>
  <c r="N36"/>
  <c r="V36"/>
  <c r="M36"/>
  <c r="T36"/>
  <c r="P36"/>
  <c r="R36"/>
  <c r="S36"/>
  <c r="Q36"/>
  <c r="O36"/>
  <c r="G8"/>
  <c r="H8"/>
  <c r="I8"/>
  <c r="D9" i="90"/>
  <c r="G64" i="70"/>
  <c r="K64"/>
  <c r="G68"/>
  <c r="F67"/>
  <c r="E67"/>
  <c r="D67"/>
  <c r="G66"/>
  <c r="F65"/>
  <c r="E65"/>
  <c r="D65"/>
  <c r="F62"/>
  <c r="D62"/>
  <c r="G59"/>
  <c r="K59"/>
  <c r="F58"/>
  <c r="E58"/>
  <c r="D58"/>
  <c r="F56"/>
  <c r="D56"/>
  <c r="G55"/>
  <c r="F54"/>
  <c r="E54"/>
  <c r="D54"/>
  <c r="F44"/>
  <c r="D44"/>
  <c r="G51"/>
  <c r="K51"/>
  <c r="F50"/>
  <c r="E50"/>
  <c r="D50"/>
  <c r="G49"/>
  <c r="F48"/>
  <c r="E48"/>
  <c r="D48"/>
  <c r="G37"/>
  <c r="K37"/>
  <c r="G36"/>
  <c r="K36"/>
  <c r="F35"/>
  <c r="D35"/>
  <c r="G41"/>
  <c r="K41"/>
  <c r="F40"/>
  <c r="E40"/>
  <c r="D40"/>
  <c r="G39"/>
  <c r="F38"/>
  <c r="E38"/>
  <c r="D38"/>
  <c r="G65"/>
  <c r="K65"/>
  <c r="K66"/>
  <c r="G48"/>
  <c r="K48"/>
  <c r="K49"/>
  <c r="G54"/>
  <c r="K54"/>
  <c r="K55"/>
  <c r="G67"/>
  <c r="K67"/>
  <c r="K68"/>
  <c r="G38"/>
  <c r="K38"/>
  <c r="K39"/>
  <c r="D69"/>
  <c r="F69"/>
  <c r="E62"/>
  <c r="E69"/>
  <c r="G63"/>
  <c r="K63"/>
  <c r="G58"/>
  <c r="G50"/>
  <c r="K50"/>
  <c r="E35"/>
  <c r="G35"/>
  <c r="K35"/>
  <c r="G40"/>
  <c r="K40"/>
  <c r="G62"/>
  <c r="K62"/>
  <c r="G57"/>
  <c r="K57"/>
  <c r="E56"/>
  <c r="G69"/>
  <c r="K69"/>
  <c r="G56"/>
  <c r="K56"/>
  <c r="I233" i="109"/>
  <c r="H233"/>
  <c r="G233"/>
  <c r="K233"/>
  <c r="I26" i="78"/>
  <c r="D26"/>
  <c r="B26"/>
  <c r="A218" i="85"/>
  <c r="C14" i="90"/>
  <c r="C18"/>
  <c r="C17" s="1"/>
  <c r="C19"/>
  <c r="C20"/>
  <c r="C21"/>
  <c r="C22"/>
  <c r="C23"/>
  <c r="C24"/>
  <c r="C25"/>
  <c r="C26"/>
  <c r="C28"/>
  <c r="C29"/>
  <c r="C30"/>
  <c r="C31"/>
  <c r="C27" s="1"/>
  <c r="C32"/>
  <c r="C33"/>
  <c r="C34"/>
  <c r="C35"/>
  <c r="C36"/>
  <c r="E8" i="89"/>
  <c r="F8"/>
  <c r="E9"/>
  <c r="E10"/>
  <c r="D11"/>
  <c r="E11"/>
  <c r="F11"/>
  <c r="C12"/>
  <c r="D13"/>
  <c r="E13"/>
  <c r="E14"/>
  <c r="D15"/>
  <c r="E15"/>
  <c r="F15"/>
  <c r="C16"/>
  <c r="E17"/>
  <c r="F17"/>
  <c r="E19"/>
  <c r="C20"/>
  <c r="H13" i="88"/>
  <c r="H14"/>
  <c r="H15"/>
  <c r="H16"/>
  <c r="H17"/>
  <c r="H18"/>
  <c r="C19"/>
  <c r="D19"/>
  <c r="E19"/>
  <c r="F19"/>
  <c r="G19"/>
  <c r="A9" i="84"/>
  <c r="A10"/>
  <c r="B34" i="78"/>
  <c r="D34"/>
  <c r="I34"/>
  <c r="B45"/>
  <c r="D45"/>
  <c r="I45"/>
  <c r="B84"/>
  <c r="D84"/>
  <c r="D108"/>
  <c r="I84"/>
  <c r="B87"/>
  <c r="D87"/>
  <c r="I87"/>
  <c r="B96"/>
  <c r="D96"/>
  <c r="I96"/>
  <c r="B112"/>
  <c r="B115"/>
  <c r="B118"/>
  <c r="B121"/>
  <c r="B127"/>
  <c r="B130"/>
  <c r="D11" i="76"/>
  <c r="D25"/>
  <c r="D32"/>
  <c r="D44"/>
  <c r="D51"/>
  <c r="D58"/>
  <c r="D64"/>
  <c r="D224"/>
  <c r="D88"/>
  <c r="D87"/>
  <c r="D86"/>
  <c r="D230"/>
  <c r="D110"/>
  <c r="D116"/>
  <c r="D123"/>
  <c r="D146"/>
  <c r="D132"/>
  <c r="D150"/>
  <c r="D159"/>
  <c r="D165"/>
  <c r="D177"/>
  <c r="D227"/>
  <c r="D225"/>
  <c r="D234"/>
  <c r="D223"/>
  <c r="D226"/>
  <c r="D233"/>
  <c r="AE4" i="75"/>
  <c r="AE5"/>
  <c r="AE6"/>
  <c r="S7"/>
  <c r="AE7"/>
  <c r="S8"/>
  <c r="U8"/>
  <c r="AE8"/>
  <c r="S9"/>
  <c r="AE10"/>
  <c r="S10"/>
  <c r="Z11"/>
  <c r="AA11"/>
  <c r="AB11"/>
  <c r="AC11"/>
  <c r="AD11"/>
  <c r="S11"/>
  <c r="S12"/>
  <c r="S13"/>
  <c r="S14"/>
  <c r="S15"/>
  <c r="G16"/>
  <c r="H16"/>
  <c r="I16"/>
  <c r="J16"/>
  <c r="K16"/>
  <c r="L16"/>
  <c r="M16"/>
  <c r="N16"/>
  <c r="O16"/>
  <c r="P16"/>
  <c r="Q16"/>
  <c r="R16"/>
  <c r="S18"/>
  <c r="U18"/>
  <c r="S19"/>
  <c r="U19"/>
  <c r="S20"/>
  <c r="S21"/>
  <c r="S22"/>
  <c r="S23"/>
  <c r="S24"/>
  <c r="S25"/>
  <c r="S26"/>
  <c r="S27"/>
  <c r="G28"/>
  <c r="H28"/>
  <c r="I28"/>
  <c r="J28"/>
  <c r="K28"/>
  <c r="L28"/>
  <c r="M28"/>
  <c r="N28"/>
  <c r="N29"/>
  <c r="O28"/>
  <c r="O29"/>
  <c r="P28"/>
  <c r="P29"/>
  <c r="Q28"/>
  <c r="R28"/>
  <c r="D9" i="73"/>
  <c r="I9"/>
  <c r="J9"/>
  <c r="K9"/>
  <c r="L9"/>
  <c r="D11"/>
  <c r="I11"/>
  <c r="J11"/>
  <c r="K11"/>
  <c r="L11"/>
  <c r="I13"/>
  <c r="J13"/>
  <c r="K13"/>
  <c r="L13"/>
  <c r="D15"/>
  <c r="I15"/>
  <c r="J15"/>
  <c r="K15"/>
  <c r="L44"/>
  <c r="I10" i="72"/>
  <c r="M11"/>
  <c r="G16"/>
  <c r="H16"/>
  <c r="I16"/>
  <c r="L16"/>
  <c r="W16"/>
  <c r="G26"/>
  <c r="H26"/>
  <c r="I26"/>
  <c r="L26"/>
  <c r="W26"/>
  <c r="D17" i="70"/>
  <c r="F17"/>
  <c r="D19"/>
  <c r="E19"/>
  <c r="F19"/>
  <c r="G20"/>
  <c r="D31"/>
  <c r="E31"/>
  <c r="F31"/>
  <c r="G32"/>
  <c r="D42"/>
  <c r="F42"/>
  <c r="D52"/>
  <c r="F52"/>
  <c r="D60"/>
  <c r="F60"/>
  <c r="D78"/>
  <c r="D82"/>
  <c r="D84"/>
  <c r="E78"/>
  <c r="E82"/>
  <c r="E84"/>
  <c r="O25" i="69"/>
  <c r="P25"/>
  <c r="Q25"/>
  <c r="G26"/>
  <c r="H26"/>
  <c r="I26"/>
  <c r="O25" i="68"/>
  <c r="P25"/>
  <c r="Q25"/>
  <c r="G26"/>
  <c r="H26"/>
  <c r="I26"/>
  <c r="G230" i="97"/>
  <c r="G194"/>
  <c r="I234"/>
  <c r="H233"/>
  <c r="H234"/>
  <c r="G234" i="67"/>
  <c r="K234"/>
  <c r="I234"/>
  <c r="H233"/>
  <c r="H234"/>
  <c r="G230" i="66"/>
  <c r="H234"/>
  <c r="H233"/>
  <c r="I233"/>
  <c r="G194"/>
  <c r="G234" i="65"/>
  <c r="H233"/>
  <c r="I233"/>
  <c r="H230" i="66"/>
  <c r="I230"/>
  <c r="G230" i="67"/>
  <c r="I194" i="66"/>
  <c r="I193"/>
  <c r="I192"/>
  <c r="I194" i="65"/>
  <c r="I193"/>
  <c r="I192"/>
  <c r="G233" i="64"/>
  <c r="G233" i="65"/>
  <c r="K233"/>
  <c r="G194"/>
  <c r="G233" i="97"/>
  <c r="G233" i="67"/>
  <c r="H194" i="65"/>
  <c r="H193"/>
  <c r="H192"/>
  <c r="G233" i="66"/>
  <c r="K233"/>
  <c r="G18" i="70"/>
  <c r="E17"/>
  <c r="E21"/>
  <c r="I234" i="65"/>
  <c r="I233" i="97"/>
  <c r="G234" i="66"/>
  <c r="R29" i="75"/>
  <c r="Q29"/>
  <c r="J29"/>
  <c r="AE11"/>
  <c r="AF11"/>
  <c r="L15" i="73"/>
  <c r="D50" i="76"/>
  <c r="D222"/>
  <c r="D194"/>
  <c r="D193"/>
  <c r="D192"/>
  <c r="D73"/>
  <c r="D72"/>
  <c r="D71"/>
  <c r="D231"/>
  <c r="C9" i="90"/>
  <c r="G31" i="70"/>
  <c r="K31"/>
  <c r="K32"/>
  <c r="D69" i="78"/>
  <c r="J87"/>
  <c r="I69"/>
  <c r="K233" i="97"/>
  <c r="K230" i="66"/>
  <c r="G193" i="97"/>
  <c r="I108" i="78"/>
  <c r="G193" i="65"/>
  <c r="K194"/>
  <c r="G19" i="70"/>
  <c r="K19"/>
  <c r="K20"/>
  <c r="N11" i="72"/>
  <c r="O11"/>
  <c r="P11"/>
  <c r="Q11"/>
  <c r="R11"/>
  <c r="S11"/>
  <c r="T11"/>
  <c r="U11"/>
  <c r="V11"/>
  <c r="W11"/>
  <c r="X11"/>
  <c r="J84" i="78"/>
  <c r="F11" i="90"/>
  <c r="G17" i="70"/>
  <c r="K17"/>
  <c r="K18"/>
  <c r="G193" i="66"/>
  <c r="J96" i="78"/>
  <c r="G29" i="75"/>
  <c r="G30"/>
  <c r="J34" i="78"/>
  <c r="J45"/>
  <c r="J26"/>
  <c r="J49" i="73"/>
  <c r="D149" i="76"/>
  <c r="D215"/>
  <c r="M29" i="75"/>
  <c r="D232" i="76"/>
  <c r="D229"/>
  <c r="S28" i="75"/>
  <c r="S16"/>
  <c r="H232" i="67"/>
  <c r="I194"/>
  <c r="I193"/>
  <c r="I192"/>
  <c r="H194"/>
  <c r="H193"/>
  <c r="H192"/>
  <c r="G194"/>
  <c r="G234" i="97"/>
  <c r="K29" i="75"/>
  <c r="F10" i="89"/>
  <c r="I49" i="73"/>
  <c r="I36" i="72"/>
  <c r="B108" i="78"/>
  <c r="H146" i="66"/>
  <c r="B132" i="78"/>
  <c r="H19" i="88"/>
  <c r="B69" i="78"/>
  <c r="W36" i="72"/>
  <c r="H36"/>
  <c r="G24" i="61"/>
  <c r="I232" i="97"/>
  <c r="F9" i="90"/>
  <c r="E9"/>
  <c r="J13" i="72"/>
  <c r="J10"/>
  <c r="K10"/>
  <c r="I151" i="61"/>
  <c r="Q10" i="69"/>
  <c r="G146" i="66"/>
  <c r="L29" i="75"/>
  <c r="H29"/>
  <c r="I29"/>
  <c r="D109" i="76"/>
  <c r="G206" i="61"/>
  <c r="I204"/>
  <c r="Q30" i="69"/>
  <c r="H203" i="61"/>
  <c r="P29" i="69" s="1"/>
  <c r="G202" i="61"/>
  <c r="I89"/>
  <c r="I21" i="69" s="1"/>
  <c r="H146" i="97"/>
  <c r="I24" i="61"/>
  <c r="I10" i="68"/>
  <c r="G226" i="109"/>
  <c r="I226"/>
  <c r="I226" i="97"/>
  <c r="D221" i="76"/>
  <c r="I146" i="97"/>
  <c r="F21" i="70"/>
  <c r="D10" i="76"/>
  <c r="D70"/>
  <c r="G115" i="61"/>
  <c r="O12" i="68" s="1"/>
  <c r="L36" i="72"/>
  <c r="D207" i="76"/>
  <c r="G198" i="61"/>
  <c r="M198" s="1"/>
  <c r="I196"/>
  <c r="Q22" i="69" s="1"/>
  <c r="H195" i="61"/>
  <c r="P21" i="69"/>
  <c r="I93" i="61"/>
  <c r="I25" i="69" s="1"/>
  <c r="H123" i="66"/>
  <c r="I198" i="61"/>
  <c r="Q24" i="69"/>
  <c r="H197" i="61"/>
  <c r="M197" s="1"/>
  <c r="G196"/>
  <c r="I206"/>
  <c r="Q32" i="69"/>
  <c r="H205" i="61"/>
  <c r="P31" i="69" s="1"/>
  <c r="G204" i="61"/>
  <c r="I202"/>
  <c r="Q28" i="69"/>
  <c r="H201" i="61"/>
  <c r="P27" i="69" s="1"/>
  <c r="G200" i="61"/>
  <c r="I197"/>
  <c r="Q23" i="69"/>
  <c r="H196" i="61"/>
  <c r="G195"/>
  <c r="I160"/>
  <c r="Q12" i="69"/>
  <c r="H117" i="61"/>
  <c r="P14" i="68" s="1"/>
  <c r="G91" i="61"/>
  <c r="I57"/>
  <c r="F19" i="89"/>
  <c r="D20"/>
  <c r="E18"/>
  <c r="F14"/>
  <c r="D16"/>
  <c r="F13"/>
  <c r="E16"/>
  <c r="F9"/>
  <c r="E12"/>
  <c r="D12"/>
  <c r="A219" i="85"/>
  <c r="H233" i="64"/>
  <c r="K233"/>
  <c r="H200" i="61"/>
  <c r="P26" i="69"/>
  <c r="H240" i="61"/>
  <c r="G160"/>
  <c r="M160" s="1"/>
  <c r="H139"/>
  <c r="P17" i="68" s="1"/>
  <c r="I115" i="61"/>
  <c r="Q12" i="68" s="1"/>
  <c r="I111" i="61"/>
  <c r="Q10" i="68" s="1"/>
  <c r="G57" i="61"/>
  <c r="M57" s="1"/>
  <c r="I205"/>
  <c r="Q31" i="69" s="1"/>
  <c r="H204" i="61"/>
  <c r="P30" i="69"/>
  <c r="G203" i="61"/>
  <c r="I201"/>
  <c r="Q27" i="69" s="1"/>
  <c r="H90" i="61"/>
  <c r="I96"/>
  <c r="I28" i="69" s="1"/>
  <c r="H97" i="61"/>
  <c r="H29" i="69"/>
  <c r="I233" i="64"/>
  <c r="I200" i="61"/>
  <c r="I240"/>
  <c r="I139"/>
  <c r="Q17" i="68" s="1"/>
  <c r="H57" i="61"/>
  <c r="H198"/>
  <c r="P24" i="69"/>
  <c r="G197" i="61"/>
  <c r="I195"/>
  <c r="Q21" i="69" s="1"/>
  <c r="H96" i="61"/>
  <c r="H28" i="69" s="1"/>
  <c r="I92" i="61"/>
  <c r="I24" i="69" s="1"/>
  <c r="H93" i="61"/>
  <c r="H25" i="69" s="1"/>
  <c r="I95" i="61"/>
  <c r="I27" i="69" s="1"/>
  <c r="G97" i="61"/>
  <c r="M97" s="1"/>
  <c r="H206"/>
  <c r="P32" i="69" s="1"/>
  <c r="G205" i="61"/>
  <c r="I203"/>
  <c r="Q29" i="69" s="1"/>
  <c r="H202" i="61"/>
  <c r="P28" i="69"/>
  <c r="G201" i="61"/>
  <c r="O27" i="69" s="1"/>
  <c r="G90" i="61"/>
  <c r="H89"/>
  <c r="H92"/>
  <c r="H88" s="1"/>
  <c r="H87" s="1"/>
  <c r="H86" s="1"/>
  <c r="G93"/>
  <c r="H95"/>
  <c r="G96"/>
  <c r="G28" i="69" s="1"/>
  <c r="H99" i="61"/>
  <c r="H31" i="69" s="1"/>
  <c r="G240" i="61"/>
  <c r="G139"/>
  <c r="O17" i="68" s="1"/>
  <c r="H115" i="61"/>
  <c r="P12" i="68" s="1"/>
  <c r="H111" i="61"/>
  <c r="P10" i="68"/>
  <c r="G89" i="61"/>
  <c r="I90"/>
  <c r="I22" i="69" s="1"/>
  <c r="H91" i="61"/>
  <c r="G92"/>
  <c r="I97"/>
  <c r="I29" i="69" s="1"/>
  <c r="H98" i="61"/>
  <c r="H30" i="69" s="1"/>
  <c r="A11" i="84"/>
  <c r="K49" i="73"/>
  <c r="G36" i="72"/>
  <c r="X26"/>
  <c r="D101" i="76"/>
  <c r="D49" i="73"/>
  <c r="L49"/>
  <c r="X16" i="72"/>
  <c r="E33" i="70"/>
  <c r="G12" i="66"/>
  <c r="G242"/>
  <c r="I242"/>
  <c r="H223"/>
  <c r="G232"/>
  <c r="G232" i="65"/>
  <c r="G150" i="66"/>
  <c r="G123"/>
  <c r="G111" i="61"/>
  <c r="O10" i="68" s="1"/>
  <c r="H58" i="66"/>
  <c r="I223" i="109"/>
  <c r="G44" i="66"/>
  <c r="G231" i="64"/>
  <c r="H230" i="65"/>
  <c r="G230"/>
  <c r="I231" i="64"/>
  <c r="H24" i="61"/>
  <c r="H10" i="68" s="1"/>
  <c r="G159" i="66"/>
  <c r="G151" i="61"/>
  <c r="G58" i="66"/>
  <c r="I32"/>
  <c r="H51"/>
  <c r="I12"/>
  <c r="I11"/>
  <c r="H159"/>
  <c r="H226" i="109"/>
  <c r="I100" i="61"/>
  <c r="I44" i="66"/>
  <c r="H160" i="61"/>
  <c r="P12" i="69" s="1"/>
  <c r="G98" i="61"/>
  <c r="I99"/>
  <c r="G100"/>
  <c r="H64" i="66"/>
  <c r="H230" i="97"/>
  <c r="K230"/>
  <c r="G230" i="109"/>
  <c r="H230" i="67"/>
  <c r="K230"/>
  <c r="H170" i="61"/>
  <c r="I230" i="67"/>
  <c r="G232"/>
  <c r="G242" i="109"/>
  <c r="K242"/>
  <c r="G146" i="97"/>
  <c r="K146"/>
  <c r="I110" i="109"/>
  <c r="H159"/>
  <c r="G234"/>
  <c r="I230" i="97"/>
  <c r="H12" i="66"/>
  <c r="H11"/>
  <c r="I232" i="65"/>
  <c r="H234"/>
  <c r="H232"/>
  <c r="I230" i="109"/>
  <c r="I234"/>
  <c r="I232"/>
  <c r="I242"/>
  <c r="H230"/>
  <c r="H234"/>
  <c r="H232"/>
  <c r="H242"/>
  <c r="I146"/>
  <c r="I194"/>
  <c r="I193"/>
  <c r="I192"/>
  <c r="H110"/>
  <c r="H194"/>
  <c r="H193"/>
  <c r="H192"/>
  <c r="G194"/>
  <c r="I234" i="66"/>
  <c r="I232"/>
  <c r="I233" i="67"/>
  <c r="K233"/>
  <c r="I194" i="97"/>
  <c r="I193"/>
  <c r="I192"/>
  <c r="H194"/>
  <c r="H193"/>
  <c r="H192"/>
  <c r="H232" i="66"/>
  <c r="H194"/>
  <c r="H193"/>
  <c r="H232" i="97"/>
  <c r="H230" i="64"/>
  <c r="I146" i="66"/>
  <c r="E60" i="70"/>
  <c r="I159" i="66"/>
  <c r="K232"/>
  <c r="K234"/>
  <c r="K234" i="65"/>
  <c r="G232" i="109"/>
  <c r="K232"/>
  <c r="K234"/>
  <c r="K13" i="72"/>
  <c r="G232" i="97"/>
  <c r="K232"/>
  <c r="K234"/>
  <c r="G192" i="65"/>
  <c r="K192"/>
  <c r="K193"/>
  <c r="G193" i="109"/>
  <c r="K194"/>
  <c r="K230"/>
  <c r="K159" i="66"/>
  <c r="K226" i="109"/>
  <c r="G193" i="67"/>
  <c r="K194"/>
  <c r="K194" i="66"/>
  <c r="J108" i="78"/>
  <c r="G11" i="66"/>
  <c r="K11"/>
  <c r="K12"/>
  <c r="G192"/>
  <c r="K193"/>
  <c r="K194" i="97"/>
  <c r="G192"/>
  <c r="K192"/>
  <c r="K193"/>
  <c r="J69" i="78"/>
  <c r="K232" i="65"/>
  <c r="G132" i="66"/>
  <c r="K146"/>
  <c r="H30" i="75"/>
  <c r="I30"/>
  <c r="J30"/>
  <c r="K30"/>
  <c r="L30"/>
  <c r="M30"/>
  <c r="N30"/>
  <c r="O30"/>
  <c r="P30"/>
  <c r="Q30"/>
  <c r="R30"/>
  <c r="D176" i="76"/>
  <c r="D208"/>
  <c r="D228"/>
  <c r="D245"/>
  <c r="M201" i="61"/>
  <c r="O29" i="69"/>
  <c r="O28"/>
  <c r="M202" i="61"/>
  <c r="M204"/>
  <c r="G23" i="69"/>
  <c r="G25"/>
  <c r="O23"/>
  <c r="M200" i="61"/>
  <c r="M111"/>
  <c r="O22" i="69"/>
  <c r="M196" i="61"/>
  <c r="M206"/>
  <c r="O24" i="69"/>
  <c r="M195" i="61"/>
  <c r="G22" i="69"/>
  <c r="M90" i="61"/>
  <c r="M115"/>
  <c r="M89"/>
  <c r="G10" i="68"/>
  <c r="S29" i="75"/>
  <c r="A220" i="85"/>
  <c r="A221"/>
  <c r="L13" i="72"/>
  <c r="M13"/>
  <c r="N13"/>
  <c r="O13"/>
  <c r="P13"/>
  <c r="Q13"/>
  <c r="R13"/>
  <c r="S13"/>
  <c r="T13"/>
  <c r="U13"/>
  <c r="V13"/>
  <c r="W13"/>
  <c r="L10"/>
  <c r="M10"/>
  <c r="N10"/>
  <c r="O10"/>
  <c r="P10"/>
  <c r="Q10"/>
  <c r="R10"/>
  <c r="S10"/>
  <c r="T10"/>
  <c r="U10"/>
  <c r="V10"/>
  <c r="W10"/>
  <c r="D214" i="76"/>
  <c r="I230" i="64"/>
  <c r="I229"/>
  <c r="H233" i="61"/>
  <c r="G226" i="97"/>
  <c r="H226" i="66"/>
  <c r="G226"/>
  <c r="H110"/>
  <c r="I110"/>
  <c r="H242"/>
  <c r="K242"/>
  <c r="I64"/>
  <c r="H64" i="109"/>
  <c r="G110" i="97"/>
  <c r="H110"/>
  <c r="G25" i="66"/>
  <c r="H116"/>
  <c r="I223"/>
  <c r="H146" i="109"/>
  <c r="H132"/>
  <c r="G170" i="61"/>
  <c r="I170"/>
  <c r="M170" s="1"/>
  <c r="E20" i="89"/>
  <c r="F18"/>
  <c r="F20"/>
  <c r="F16"/>
  <c r="F12"/>
  <c r="G99" i="61"/>
  <c r="G95"/>
  <c r="G117"/>
  <c r="I32" i="69"/>
  <c r="H100" i="61"/>
  <c r="H32" i="69"/>
  <c r="H151" i="61"/>
  <c r="P10" i="69" s="1"/>
  <c r="I98" i="61"/>
  <c r="I30" i="69" s="1"/>
  <c r="I117" i="61"/>
  <c r="Q14" i="68" s="1"/>
  <c r="I88" i="64"/>
  <c r="I87"/>
  <c r="I86"/>
  <c r="I91" i="61"/>
  <c r="I23" i="69"/>
  <c r="P14"/>
  <c r="A12" i="84"/>
  <c r="X36" i="72"/>
  <c r="D102" i="76"/>
  <c r="H51" i="109"/>
  <c r="I25"/>
  <c r="H51" i="97"/>
  <c r="G227" i="109"/>
  <c r="I123" i="66"/>
  <c r="K123"/>
  <c r="H50"/>
  <c r="G88" i="64"/>
  <c r="H123" i="109"/>
  <c r="I25" i="97"/>
  <c r="H25"/>
  <c r="H25" i="109"/>
  <c r="I223" i="97"/>
  <c r="I51" i="66"/>
  <c r="H116" i="109"/>
  <c r="I226" i="66"/>
  <c r="H21" i="69"/>
  <c r="I230" i="65"/>
  <c r="K230"/>
  <c r="E42" i="70"/>
  <c r="G230" i="64"/>
  <c r="G32" i="69"/>
  <c r="H88" i="64"/>
  <c r="H87"/>
  <c r="H86"/>
  <c r="H231"/>
  <c r="H229"/>
  <c r="I165" i="109"/>
  <c r="I12"/>
  <c r="I11"/>
  <c r="H150" i="66"/>
  <c r="G165"/>
  <c r="I242" i="97"/>
  <c r="H165" i="66"/>
  <c r="G132" i="97"/>
  <c r="I64" i="109"/>
  <c r="H226" i="97"/>
  <c r="H58" i="109"/>
  <c r="I150"/>
  <c r="I44"/>
  <c r="H44" i="66"/>
  <c r="K44"/>
  <c r="G150" i="109"/>
  <c r="H223" i="97"/>
  <c r="I51" i="109"/>
  <c r="H132" i="66"/>
  <c r="I159" i="109"/>
  <c r="H150"/>
  <c r="H44"/>
  <c r="I132"/>
  <c r="G123"/>
  <c r="H165"/>
  <c r="G159"/>
  <c r="K159"/>
  <c r="I123"/>
  <c r="G165"/>
  <c r="K165"/>
  <c r="I123" i="97"/>
  <c r="G64" i="66"/>
  <c r="K64"/>
  <c r="I58" i="97"/>
  <c r="G123"/>
  <c r="I12"/>
  <c r="I11"/>
  <c r="G51"/>
  <c r="H64"/>
  <c r="H12"/>
  <c r="H11"/>
  <c r="H44"/>
  <c r="I159"/>
  <c r="H123"/>
  <c r="G242"/>
  <c r="K242"/>
  <c r="H116"/>
  <c r="G64"/>
  <c r="I64"/>
  <c r="H132"/>
  <c r="K132"/>
  <c r="H165"/>
  <c r="G58"/>
  <c r="H150"/>
  <c r="G12"/>
  <c r="I165"/>
  <c r="H159"/>
  <c r="G44"/>
  <c r="K44"/>
  <c r="I44"/>
  <c r="I132"/>
  <c r="H242"/>
  <c r="I58" i="109"/>
  <c r="O30" i="69"/>
  <c r="I31"/>
  <c r="O32"/>
  <c r="O21"/>
  <c r="G234" i="61"/>
  <c r="H27" i="69"/>
  <c r="O26"/>
  <c r="G233" i="61"/>
  <c r="I132" i="66"/>
  <c r="G29" i="69"/>
  <c r="I194" i="61"/>
  <c r="P23" i="69"/>
  <c r="Q26"/>
  <c r="I233" i="61"/>
  <c r="G60" i="70"/>
  <c r="K60"/>
  <c r="H192" i="66"/>
  <c r="I232" i="67"/>
  <c r="K232"/>
  <c r="G192" i="109"/>
  <c r="K192"/>
  <c r="K193"/>
  <c r="K226" i="66"/>
  <c r="K132"/>
  <c r="K64" i="97"/>
  <c r="G149" i="66"/>
  <c r="G192" i="67"/>
  <c r="K192"/>
  <c r="K193"/>
  <c r="K51" i="97"/>
  <c r="G225" i="109"/>
  <c r="K226" i="97"/>
  <c r="K192" i="66"/>
  <c r="K102" i="76"/>
  <c r="G11" i="97"/>
  <c r="K11"/>
  <c r="K12"/>
  <c r="K123"/>
  <c r="K123" i="109"/>
  <c r="X13" i="72"/>
  <c r="K150" i="109"/>
  <c r="D244" i="76"/>
  <c r="K101"/>
  <c r="K104"/>
  <c r="X10" i="72"/>
  <c r="K231" i="64"/>
  <c r="G229"/>
  <c r="K229"/>
  <c r="K230"/>
  <c r="S30" i="75"/>
  <c r="D220" i="76"/>
  <c r="G31" i="69"/>
  <c r="M99" i="61"/>
  <c r="M100"/>
  <c r="G88"/>
  <c r="G87" s="1"/>
  <c r="G86" s="1"/>
  <c r="O14" i="69"/>
  <c r="M151" i="61"/>
  <c r="G87" i="64"/>
  <c r="K88"/>
  <c r="C231" i="61"/>
  <c r="E233"/>
  <c r="E232" s="1"/>
  <c r="D231"/>
  <c r="E231"/>
  <c r="E234"/>
  <c r="D233" i="65"/>
  <c r="F233"/>
  <c r="C233"/>
  <c r="A222" i="85"/>
  <c r="A223"/>
  <c r="K103" i="76"/>
  <c r="K105"/>
  <c r="D213"/>
  <c r="J8" i="72"/>
  <c r="G227" i="97"/>
  <c r="G179"/>
  <c r="I110"/>
  <c r="K110"/>
  <c r="G159"/>
  <c r="K159"/>
  <c r="G150"/>
  <c r="K150"/>
  <c r="I150"/>
  <c r="I149"/>
  <c r="H109" i="66"/>
  <c r="G116"/>
  <c r="G147" i="61"/>
  <c r="G51" i="109"/>
  <c r="K51"/>
  <c r="G58"/>
  <c r="K58"/>
  <c r="G64"/>
  <c r="K64"/>
  <c r="G12"/>
  <c r="G165" i="97"/>
  <c r="K165"/>
  <c r="G44" i="109"/>
  <c r="K44"/>
  <c r="H58" i="97"/>
  <c r="H50"/>
  <c r="I51"/>
  <c r="I50"/>
  <c r="I147" i="61"/>
  <c r="H147"/>
  <c r="H146" s="1"/>
  <c r="G146" i="109"/>
  <c r="I165" i="66"/>
  <c r="K165"/>
  <c r="A13" i="84"/>
  <c r="G179" i="109"/>
  <c r="O14" i="68"/>
  <c r="H109" i="109"/>
  <c r="G223" i="66"/>
  <c r="K223"/>
  <c r="I25"/>
  <c r="I10"/>
  <c r="H25"/>
  <c r="K25"/>
  <c r="O10" i="69"/>
  <c r="I149" i="109"/>
  <c r="I58" i="66"/>
  <c r="G51"/>
  <c r="H227"/>
  <c r="H225"/>
  <c r="H179"/>
  <c r="H178"/>
  <c r="H177"/>
  <c r="H207"/>
  <c r="I150"/>
  <c r="K150"/>
  <c r="H149"/>
  <c r="H215"/>
  <c r="H50" i="109"/>
  <c r="G42" i="70"/>
  <c r="K42"/>
  <c r="I50" i="109"/>
  <c r="G223" i="97"/>
  <c r="K223"/>
  <c r="I227" i="66"/>
  <c r="I225"/>
  <c r="I179"/>
  <c r="I178"/>
  <c r="I177"/>
  <c r="I207"/>
  <c r="H149" i="109"/>
  <c r="H32" i="66"/>
  <c r="I116"/>
  <c r="I109"/>
  <c r="H223" i="109"/>
  <c r="G149"/>
  <c r="I32" i="97"/>
  <c r="I10"/>
  <c r="H149"/>
  <c r="H109"/>
  <c r="I32" i="109"/>
  <c r="I10"/>
  <c r="G50" i="97"/>
  <c r="K50"/>
  <c r="O20" i="69"/>
  <c r="G232" i="61"/>
  <c r="Q20" i="69"/>
  <c r="Q19" s="1"/>
  <c r="Q18" s="1"/>
  <c r="G132" i="109"/>
  <c r="K132"/>
  <c r="K146"/>
  <c r="G50" i="66"/>
  <c r="K51"/>
  <c r="G11" i="109"/>
  <c r="G178" i="97"/>
  <c r="G178" i="109"/>
  <c r="G225" i="97"/>
  <c r="K116" i="66"/>
  <c r="I50"/>
  <c r="K58"/>
  <c r="K149" i="109"/>
  <c r="K58" i="97"/>
  <c r="G86" i="64"/>
  <c r="K86"/>
  <c r="K87"/>
  <c r="F231" i="61"/>
  <c r="D233"/>
  <c r="E230"/>
  <c r="E229" s="1"/>
  <c r="D232" i="65"/>
  <c r="F232"/>
  <c r="D230"/>
  <c r="F230"/>
  <c r="C230"/>
  <c r="D194"/>
  <c r="D234"/>
  <c r="F234"/>
  <c r="K8" i="72"/>
  <c r="G149" i="97"/>
  <c r="G50" i="109"/>
  <c r="I149" i="66"/>
  <c r="H12" i="109"/>
  <c r="H11"/>
  <c r="G110"/>
  <c r="K110"/>
  <c r="A224" i="85"/>
  <c r="A14" i="84"/>
  <c r="H10" i="66"/>
  <c r="H214"/>
  <c r="H213"/>
  <c r="H176"/>
  <c r="H208"/>
  <c r="H94"/>
  <c r="I70"/>
  <c r="I94" i="109"/>
  <c r="I116"/>
  <c r="I109"/>
  <c r="I176"/>
  <c r="I116" i="97"/>
  <c r="I109"/>
  <c r="H94" i="109"/>
  <c r="H88"/>
  <c r="H87"/>
  <c r="H86"/>
  <c r="H176"/>
  <c r="I215"/>
  <c r="H215"/>
  <c r="G88" i="66"/>
  <c r="G215"/>
  <c r="I215" i="97"/>
  <c r="G227" i="66"/>
  <c r="G179"/>
  <c r="H215" i="97"/>
  <c r="H179"/>
  <c r="H178"/>
  <c r="H177"/>
  <c r="H207"/>
  <c r="H227"/>
  <c r="H225"/>
  <c r="I179" i="109"/>
  <c r="I178"/>
  <c r="I177"/>
  <c r="I207"/>
  <c r="I227"/>
  <c r="I225"/>
  <c r="H179"/>
  <c r="H178"/>
  <c r="H177"/>
  <c r="H207"/>
  <c r="H227"/>
  <c r="G32" i="97"/>
  <c r="I179"/>
  <c r="I178"/>
  <c r="I177"/>
  <c r="I207"/>
  <c r="I227"/>
  <c r="I225"/>
  <c r="G25"/>
  <c r="K25"/>
  <c r="G32" i="66"/>
  <c r="H32" i="97"/>
  <c r="H10"/>
  <c r="G116"/>
  <c r="H32" i="109"/>
  <c r="G116"/>
  <c r="K116"/>
  <c r="I70"/>
  <c r="H176" i="97"/>
  <c r="G110" i="66"/>
  <c r="H94" i="97"/>
  <c r="I94"/>
  <c r="I70"/>
  <c r="I79" i="66"/>
  <c r="I214"/>
  <c r="D193" i="65"/>
  <c r="F194"/>
  <c r="G177" i="97"/>
  <c r="K178"/>
  <c r="H88" i="66"/>
  <c r="H87"/>
  <c r="H86"/>
  <c r="I94"/>
  <c r="K94"/>
  <c r="K12" i="109"/>
  <c r="G94"/>
  <c r="K50"/>
  <c r="K227" i="97"/>
  <c r="K11" i="109"/>
  <c r="K32" i="97"/>
  <c r="G178" i="66"/>
  <c r="K179"/>
  <c r="G215" i="97"/>
  <c r="K215"/>
  <c r="K149"/>
  <c r="K149" i="66"/>
  <c r="K225" i="97"/>
  <c r="H225" i="109"/>
  <c r="K225"/>
  <c r="K227"/>
  <c r="G225" i="66"/>
  <c r="K225"/>
  <c r="K227"/>
  <c r="K179" i="109"/>
  <c r="K50" i="66"/>
  <c r="G109" i="97"/>
  <c r="K109"/>
  <c r="K116"/>
  <c r="G177" i="109"/>
  <c r="K178"/>
  <c r="K179" i="97"/>
  <c r="G109" i="66"/>
  <c r="K109"/>
  <c r="K110"/>
  <c r="G87"/>
  <c r="G10"/>
  <c r="K32"/>
  <c r="H214" i="97"/>
  <c r="G231" i="109"/>
  <c r="K94"/>
  <c r="C233" i="61"/>
  <c r="C230"/>
  <c r="C229"/>
  <c r="D230"/>
  <c r="D229"/>
  <c r="C194" i="65"/>
  <c r="C193"/>
  <c r="C192"/>
  <c r="C234"/>
  <c r="C232"/>
  <c r="L8" i="72"/>
  <c r="M8"/>
  <c r="N8"/>
  <c r="O8"/>
  <c r="P8"/>
  <c r="Q8"/>
  <c r="R8"/>
  <c r="S8"/>
  <c r="T8"/>
  <c r="U8"/>
  <c r="V8"/>
  <c r="W8"/>
  <c r="X8"/>
  <c r="G176" i="97"/>
  <c r="G94"/>
  <c r="K94"/>
  <c r="I176" i="66"/>
  <c r="I208"/>
  <c r="G215" i="109"/>
  <c r="K215"/>
  <c r="I215" i="66"/>
  <c r="I213"/>
  <c r="H10" i="109"/>
  <c r="H214"/>
  <c r="H213"/>
  <c r="G25"/>
  <c r="K25"/>
  <c r="G32"/>
  <c r="K32"/>
  <c r="G223"/>
  <c r="K223"/>
  <c r="G109"/>
  <c r="A226" i="85"/>
  <c r="A15" i="84"/>
  <c r="I88" i="109"/>
  <c r="I87"/>
  <c r="I86"/>
  <c r="H79" i="66"/>
  <c r="H224"/>
  <c r="H222"/>
  <c r="H221"/>
  <c r="H70"/>
  <c r="H231"/>
  <c r="H229"/>
  <c r="H228"/>
  <c r="G88" i="109"/>
  <c r="G231" i="66"/>
  <c r="H231" i="109"/>
  <c r="H229"/>
  <c r="H228"/>
  <c r="I79"/>
  <c r="I231"/>
  <c r="I229"/>
  <c r="I228"/>
  <c r="I214"/>
  <c r="I213"/>
  <c r="I208"/>
  <c r="H208" i="97"/>
  <c r="I79"/>
  <c r="I73"/>
  <c r="I72"/>
  <c r="I71"/>
  <c r="H208" i="109"/>
  <c r="I176" i="97"/>
  <c r="I208"/>
  <c r="I214"/>
  <c r="I213"/>
  <c r="I231" i="66"/>
  <c r="I229"/>
  <c r="I228"/>
  <c r="I88"/>
  <c r="I87"/>
  <c r="I86"/>
  <c r="H70" i="97"/>
  <c r="G10"/>
  <c r="K10"/>
  <c r="H88"/>
  <c r="H87"/>
  <c r="H86"/>
  <c r="H231"/>
  <c r="H229"/>
  <c r="H228"/>
  <c r="I231"/>
  <c r="I229"/>
  <c r="I228"/>
  <c r="I88"/>
  <c r="I87"/>
  <c r="I86"/>
  <c r="I73" i="66"/>
  <c r="I72"/>
  <c r="I71"/>
  <c r="I224"/>
  <c r="I222"/>
  <c r="I221"/>
  <c r="K215"/>
  <c r="G177"/>
  <c r="K178"/>
  <c r="G208" i="97"/>
  <c r="K208"/>
  <c r="K88" i="66"/>
  <c r="G207" i="109"/>
  <c r="K207"/>
  <c r="K177"/>
  <c r="K176" i="97"/>
  <c r="G207"/>
  <c r="K207"/>
  <c r="K177"/>
  <c r="D192" i="65"/>
  <c r="F192"/>
  <c r="F193"/>
  <c r="G176" i="66"/>
  <c r="G86"/>
  <c r="K86"/>
  <c r="K87"/>
  <c r="G229"/>
  <c r="K231"/>
  <c r="G70"/>
  <c r="K70"/>
  <c r="K10"/>
  <c r="K79"/>
  <c r="G214"/>
  <c r="H213" i="97"/>
  <c r="H224"/>
  <c r="G229" i="109"/>
  <c r="K231"/>
  <c r="G87"/>
  <c r="K88"/>
  <c r="G176"/>
  <c r="K109"/>
  <c r="G10"/>
  <c r="G231" i="97"/>
  <c r="G88"/>
  <c r="H79" i="109"/>
  <c r="H73"/>
  <c r="H72"/>
  <c r="H71"/>
  <c r="H101"/>
  <c r="H70"/>
  <c r="H73" i="66"/>
  <c r="H72"/>
  <c r="H71"/>
  <c r="H101"/>
  <c r="H102"/>
  <c r="H220"/>
  <c r="A227" i="85"/>
  <c r="A16" i="84"/>
  <c r="I73" i="109"/>
  <c r="I72"/>
  <c r="I71"/>
  <c r="I101"/>
  <c r="I102"/>
  <c r="I224"/>
  <c r="I222"/>
  <c r="I221"/>
  <c r="I220"/>
  <c r="I220" i="66"/>
  <c r="H73" i="97"/>
  <c r="I224"/>
  <c r="I222"/>
  <c r="I221"/>
  <c r="I220"/>
  <c r="I101" i="66"/>
  <c r="I102"/>
  <c r="G214" i="97"/>
  <c r="G213"/>
  <c r="G70"/>
  <c r="K70"/>
  <c r="G79"/>
  <c r="K79"/>
  <c r="I101"/>
  <c r="I102"/>
  <c r="G229"/>
  <c r="K231"/>
  <c r="G207" i="66"/>
  <c r="K207"/>
  <c r="K177"/>
  <c r="K213" i="97"/>
  <c r="G87"/>
  <c r="K88"/>
  <c r="K214"/>
  <c r="G70" i="109"/>
  <c r="K70"/>
  <c r="K10"/>
  <c r="G208" i="66"/>
  <c r="K208"/>
  <c r="K176"/>
  <c r="G228"/>
  <c r="K228"/>
  <c r="K229"/>
  <c r="G73"/>
  <c r="G213"/>
  <c r="K213"/>
  <c r="K214"/>
  <c r="G224"/>
  <c r="H72" i="97"/>
  <c r="H222"/>
  <c r="G228" i="109"/>
  <c r="K228"/>
  <c r="K229"/>
  <c r="G86"/>
  <c r="K86"/>
  <c r="K87"/>
  <c r="G208"/>
  <c r="K208"/>
  <c r="K176"/>
  <c r="G214"/>
  <c r="H224"/>
  <c r="H222"/>
  <c r="H221"/>
  <c r="H220"/>
  <c r="H102"/>
  <c r="A229" i="85"/>
  <c r="A17" i="84"/>
  <c r="G73" i="97"/>
  <c r="G72"/>
  <c r="G71"/>
  <c r="G224"/>
  <c r="G222"/>
  <c r="G221"/>
  <c r="K224"/>
  <c r="G86"/>
  <c r="K86"/>
  <c r="K87"/>
  <c r="G101"/>
  <c r="G102"/>
  <c r="K73"/>
  <c r="G220"/>
  <c r="G228"/>
  <c r="K228"/>
  <c r="K229"/>
  <c r="G72" i="66"/>
  <c r="K73"/>
  <c r="G222"/>
  <c r="K224"/>
  <c r="H71" i="97"/>
  <c r="K72"/>
  <c r="H221"/>
  <c r="K222"/>
  <c r="G73" i="109"/>
  <c r="K79"/>
  <c r="G213"/>
  <c r="K213"/>
  <c r="K214"/>
  <c r="G224"/>
  <c r="A233" i="85"/>
  <c r="A18" i="84"/>
  <c r="G71" i="66"/>
  <c r="K72"/>
  <c r="G221"/>
  <c r="K222"/>
  <c r="K221" i="97"/>
  <c r="H220"/>
  <c r="K220"/>
  <c r="H101"/>
  <c r="K71"/>
  <c r="G72" i="109"/>
  <c r="K73"/>
  <c r="G222"/>
  <c r="K224"/>
  <c r="A234" i="85"/>
  <c r="A19" i="84"/>
  <c r="G101" i="66"/>
  <c r="K71"/>
  <c r="G220"/>
  <c r="K220"/>
  <c r="K221"/>
  <c r="H102" i="97"/>
  <c r="K102"/>
  <c r="K101"/>
  <c r="G71" i="109"/>
  <c r="K72"/>
  <c r="G221"/>
  <c r="K222"/>
  <c r="A235" i="85"/>
  <c r="A20" i="84"/>
  <c r="G102" i="66"/>
  <c r="K102"/>
  <c r="K101"/>
  <c r="G101" i="109"/>
  <c r="K71"/>
  <c r="G220"/>
  <c r="K220"/>
  <c r="K221"/>
  <c r="A237" i="85"/>
  <c r="A21" i="84"/>
  <c r="G102" i="109"/>
  <c r="K102"/>
  <c r="K101"/>
  <c r="A238" i="85"/>
  <c r="A22" i="84"/>
  <c r="A239" i="85"/>
  <c r="A23" i="84"/>
  <c r="A241" i="85"/>
  <c r="A24" i="84"/>
  <c r="A245" i="85"/>
  <c r="A25" i="84"/>
  <c r="A246" i="85"/>
  <c r="A26" i="84"/>
  <c r="A247" i="85"/>
  <c r="A27" i="84"/>
  <c r="A249" i="85"/>
  <c r="A28" i="84"/>
  <c r="A251" i="85"/>
  <c r="A29" i="84"/>
  <c r="A255" i="85"/>
  <c r="A30" i="84"/>
  <c r="A256" i="85"/>
  <c r="A31" i="84"/>
  <c r="A257" i="85"/>
  <c r="A32" i="84"/>
  <c r="A259" i="85"/>
  <c r="A33" i="84"/>
  <c r="A261" i="85"/>
  <c r="A34" i="84"/>
  <c r="A265" i="85"/>
  <c r="A35" i="84"/>
  <c r="A267" i="85"/>
  <c r="A36" i="84"/>
  <c r="A269" i="85"/>
  <c r="A37" i="84"/>
  <c r="A273" i="85"/>
  <c r="A38" i="84"/>
  <c r="A275" i="85"/>
  <c r="A39" i="84"/>
  <c r="A277" i="85"/>
  <c r="A40" i="84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4"/>
  <c r="A85"/>
  <c r="A86"/>
  <c r="A87"/>
  <c r="A88"/>
  <c r="A89"/>
  <c r="A91"/>
  <c r="A95"/>
  <c r="A96"/>
  <c r="A97"/>
  <c r="A98"/>
  <c r="A99"/>
  <c r="A101"/>
  <c r="A102"/>
  <c r="A103"/>
  <c r="A105"/>
  <c r="A106"/>
  <c r="A107"/>
  <c r="A108"/>
  <c r="A109"/>
  <c r="A110"/>
  <c r="A111"/>
  <c r="A115"/>
  <c r="A116"/>
  <c r="A117"/>
  <c r="A118"/>
  <c r="A119"/>
  <c r="A120"/>
  <c r="A122"/>
  <c r="A124"/>
  <c r="A128"/>
  <c r="A129"/>
  <c r="A130"/>
  <c r="A131"/>
  <c r="A132"/>
  <c r="A133"/>
  <c r="A134"/>
  <c r="A136"/>
  <c r="A138"/>
  <c r="A142"/>
  <c r="A144"/>
  <c r="A145"/>
  <c r="A147"/>
  <c r="A151"/>
  <c r="A152"/>
  <c r="A153"/>
  <c r="A154"/>
  <c r="A155"/>
  <c r="A157"/>
  <c r="A159"/>
  <c r="G26" i="70"/>
  <c r="K26"/>
  <c r="G30"/>
  <c r="K30"/>
  <c r="D28"/>
  <c r="G25"/>
  <c r="K25"/>
  <c r="H226" i="65"/>
  <c r="H123"/>
  <c r="H12"/>
  <c r="H11"/>
  <c r="I51"/>
  <c r="H159"/>
  <c r="I58"/>
  <c r="H146"/>
  <c r="I165"/>
  <c r="I226"/>
  <c r="F28" i="70"/>
  <c r="G29"/>
  <c r="K29"/>
  <c r="G226" i="65"/>
  <c r="I123"/>
  <c r="I12"/>
  <c r="I11"/>
  <c r="I146"/>
  <c r="H150"/>
  <c r="H242"/>
  <c r="H64"/>
  <c r="D33" i="70"/>
  <c r="G24"/>
  <c r="I150" i="65"/>
  <c r="I44"/>
  <c r="I64"/>
  <c r="H58"/>
  <c r="G23" i="70"/>
  <c r="K23"/>
  <c r="K24"/>
  <c r="K226" i="65"/>
  <c r="I116"/>
  <c r="F33" i="70"/>
  <c r="H44" i="65"/>
  <c r="I242"/>
  <c r="H165"/>
  <c r="H149"/>
  <c r="H51"/>
  <c r="H50"/>
  <c r="I50"/>
  <c r="H132"/>
  <c r="H25"/>
  <c r="I32"/>
  <c r="G28" i="70"/>
  <c r="K28"/>
  <c r="H223" i="65"/>
  <c r="G242"/>
  <c r="K242"/>
  <c r="H116"/>
  <c r="I132"/>
  <c r="I110"/>
  <c r="I223"/>
  <c r="G146"/>
  <c r="K146"/>
  <c r="I25"/>
  <c r="I10"/>
  <c r="I70"/>
  <c r="F71" i="70"/>
  <c r="G110" i="65"/>
  <c r="I227"/>
  <c r="I225"/>
  <c r="H32"/>
  <c r="H10"/>
  <c r="H70"/>
  <c r="H215"/>
  <c r="H94"/>
  <c r="I109"/>
  <c r="I159"/>
  <c r="I149"/>
  <c r="G132"/>
  <c r="K132"/>
  <c r="G150"/>
  <c r="K150"/>
  <c r="G123"/>
  <c r="K123"/>
  <c r="G165"/>
  <c r="K165"/>
  <c r="G227"/>
  <c r="G179"/>
  <c r="G64"/>
  <c r="K64"/>
  <c r="H179"/>
  <c r="H178"/>
  <c r="H177"/>
  <c r="H207"/>
  <c r="H227"/>
  <c r="H225"/>
  <c r="H110"/>
  <c r="H109"/>
  <c r="H176"/>
  <c r="G159"/>
  <c r="K159"/>
  <c r="G33" i="70"/>
  <c r="K33"/>
  <c r="G12" i="65"/>
  <c r="G44"/>
  <c r="K44"/>
  <c r="G116"/>
  <c r="K116"/>
  <c r="G32"/>
  <c r="G51"/>
  <c r="K51"/>
  <c r="G58"/>
  <c r="K58"/>
  <c r="G178"/>
  <c r="G11"/>
  <c r="K11"/>
  <c r="K12"/>
  <c r="G225"/>
  <c r="K225"/>
  <c r="K227"/>
  <c r="K32"/>
  <c r="K110"/>
  <c r="H88"/>
  <c r="H87"/>
  <c r="H86"/>
  <c r="C146"/>
  <c r="D146"/>
  <c r="F146"/>
  <c r="C116"/>
  <c r="C51"/>
  <c r="D51"/>
  <c r="F51"/>
  <c r="I179"/>
  <c r="I178"/>
  <c r="I177"/>
  <c r="I207"/>
  <c r="H231"/>
  <c r="H229"/>
  <c r="H228"/>
  <c r="I214"/>
  <c r="H214"/>
  <c r="H213"/>
  <c r="H79"/>
  <c r="H73"/>
  <c r="H72"/>
  <c r="H71"/>
  <c r="I176"/>
  <c r="G149"/>
  <c r="K149"/>
  <c r="G25"/>
  <c r="I94"/>
  <c r="I215"/>
  <c r="G223"/>
  <c r="K223"/>
  <c r="G50"/>
  <c r="K50"/>
  <c r="H208"/>
  <c r="G109"/>
  <c r="K109"/>
  <c r="K179"/>
  <c r="G177"/>
  <c r="K178"/>
  <c r="G10"/>
  <c r="K10"/>
  <c r="K25"/>
  <c r="H101"/>
  <c r="H102"/>
  <c r="D64"/>
  <c r="F64"/>
  <c r="C64"/>
  <c r="D12"/>
  <c r="C12"/>
  <c r="C11"/>
  <c r="D116"/>
  <c r="F116"/>
  <c r="C165"/>
  <c r="D165"/>
  <c r="F165"/>
  <c r="D32"/>
  <c r="F32"/>
  <c r="C32"/>
  <c r="D123"/>
  <c r="F123"/>
  <c r="C123"/>
  <c r="C132"/>
  <c r="D132"/>
  <c r="F132"/>
  <c r="D159"/>
  <c r="C159"/>
  <c r="C58"/>
  <c r="D58"/>
  <c r="F58"/>
  <c r="D150"/>
  <c r="C150"/>
  <c r="D226"/>
  <c r="F226"/>
  <c r="C226"/>
  <c r="D44"/>
  <c r="F44"/>
  <c r="C44"/>
  <c r="I208"/>
  <c r="I79"/>
  <c r="I224"/>
  <c r="I222"/>
  <c r="I221"/>
  <c r="I213"/>
  <c r="H224"/>
  <c r="H222"/>
  <c r="H221"/>
  <c r="H220"/>
  <c r="G215"/>
  <c r="K215"/>
  <c r="I88"/>
  <c r="I87"/>
  <c r="I86"/>
  <c r="I231"/>
  <c r="I229"/>
  <c r="I228"/>
  <c r="G176"/>
  <c r="G94"/>
  <c r="K94"/>
  <c r="L84" i="78"/>
  <c r="L85"/>
  <c r="F159" i="65"/>
  <c r="K79"/>
  <c r="G207"/>
  <c r="K207"/>
  <c r="K177"/>
  <c r="D11"/>
  <c r="F11"/>
  <c r="F12"/>
  <c r="F150"/>
  <c r="L31" i="78"/>
  <c r="L32" s="1"/>
  <c r="G214" i="65"/>
  <c r="K214"/>
  <c r="G70"/>
  <c r="K70"/>
  <c r="G208"/>
  <c r="K208"/>
  <c r="K176"/>
  <c r="D149"/>
  <c r="C149"/>
  <c r="C94"/>
  <c r="C50"/>
  <c r="D50"/>
  <c r="F50"/>
  <c r="D110"/>
  <c r="C110"/>
  <c r="C109"/>
  <c r="D25"/>
  <c r="C25"/>
  <c r="C10"/>
  <c r="D242"/>
  <c r="F242"/>
  <c r="C242"/>
  <c r="D223"/>
  <c r="F223"/>
  <c r="C223"/>
  <c r="I220"/>
  <c r="I73"/>
  <c r="I72"/>
  <c r="I71"/>
  <c r="I101"/>
  <c r="I102"/>
  <c r="G224"/>
  <c r="G73"/>
  <c r="G88"/>
  <c r="G231"/>
  <c r="G213"/>
  <c r="K213"/>
  <c r="D10"/>
  <c r="F10"/>
  <c r="F25"/>
  <c r="D94"/>
  <c r="F94"/>
  <c r="F149"/>
  <c r="D109"/>
  <c r="F109"/>
  <c r="F110"/>
  <c r="G87"/>
  <c r="K88"/>
  <c r="G229"/>
  <c r="K231"/>
  <c r="G72"/>
  <c r="K73"/>
  <c r="G222"/>
  <c r="K224"/>
  <c r="C215"/>
  <c r="D215"/>
  <c r="F215"/>
  <c r="C176"/>
  <c r="C214"/>
  <c r="C70"/>
  <c r="D227"/>
  <c r="D178"/>
  <c r="D177"/>
  <c r="F178"/>
  <c r="D225"/>
  <c r="F225"/>
  <c r="F227"/>
  <c r="D70"/>
  <c r="F70"/>
  <c r="D176"/>
  <c r="F176"/>
  <c r="D214"/>
  <c r="G228"/>
  <c r="K228"/>
  <c r="K229"/>
  <c r="G86"/>
  <c r="K86"/>
  <c r="K87"/>
  <c r="G221"/>
  <c r="K222"/>
  <c r="G71"/>
  <c r="K72"/>
  <c r="D79"/>
  <c r="C213"/>
  <c r="C227"/>
  <c r="C225"/>
  <c r="C178"/>
  <c r="N79"/>
  <c r="D207"/>
  <c r="F207"/>
  <c r="F177"/>
  <c r="D208"/>
  <c r="F208"/>
  <c r="D213"/>
  <c r="F213"/>
  <c r="F214"/>
  <c r="F79"/>
  <c r="K71"/>
  <c r="G101"/>
  <c r="K221"/>
  <c r="G220"/>
  <c r="K220"/>
  <c r="C177"/>
  <c r="C207"/>
  <c r="C208"/>
  <c r="C79"/>
  <c r="D88"/>
  <c r="D231"/>
  <c r="D73"/>
  <c r="D224"/>
  <c r="D87"/>
  <c r="F88"/>
  <c r="D229"/>
  <c r="F231"/>
  <c r="D72"/>
  <c r="F73"/>
  <c r="D222"/>
  <c r="F224"/>
  <c r="G102"/>
  <c r="K102"/>
  <c r="K101"/>
  <c r="C88"/>
  <c r="C87"/>
  <c r="C86"/>
  <c r="C231"/>
  <c r="C229"/>
  <c r="C228"/>
  <c r="C73"/>
  <c r="C72"/>
  <c r="C71"/>
  <c r="C224"/>
  <c r="C222"/>
  <c r="C221"/>
  <c r="D86"/>
  <c r="F86"/>
  <c r="F87"/>
  <c r="D228"/>
  <c r="F228"/>
  <c r="F229"/>
  <c r="D71"/>
  <c r="F72"/>
  <c r="D221"/>
  <c r="F222"/>
  <c r="C101"/>
  <c r="C102"/>
  <c r="C220"/>
  <c r="F221"/>
  <c r="D220"/>
  <c r="F220"/>
  <c r="F71"/>
  <c r="D101"/>
  <c r="G80" i="70"/>
  <c r="K80"/>
  <c r="D102" i="65"/>
  <c r="F102"/>
  <c r="F101"/>
  <c r="G81" i="70"/>
  <c r="K81"/>
  <c r="H241" i="61"/>
  <c r="G9" i="72"/>
  <c r="G47" i="70"/>
  <c r="K47"/>
  <c r="F78"/>
  <c r="F82"/>
  <c r="G79"/>
  <c r="K79"/>
  <c r="I241" i="61"/>
  <c r="G46" i="70"/>
  <c r="K46"/>
  <c r="C13" i="90"/>
  <c r="I175" i="61"/>
  <c r="H142"/>
  <c r="I163"/>
  <c r="H173"/>
  <c r="H140"/>
  <c r="H145"/>
  <c r="H182"/>
  <c r="H227" s="1"/>
  <c r="H225" s="1"/>
  <c r="H138"/>
  <c r="I125"/>
  <c r="I172"/>
  <c r="I158"/>
  <c r="H134"/>
  <c r="H132" s="1"/>
  <c r="P16" i="68" s="1"/>
  <c r="C10" i="90"/>
  <c r="C15" s="1"/>
  <c r="C16" s="1"/>
  <c r="I186" i="61"/>
  <c r="Q27" i="68" s="1"/>
  <c r="H171" i="61"/>
  <c r="H164"/>
  <c r="I191"/>
  <c r="Q32" i="68" s="1"/>
  <c r="H175" i="61"/>
  <c r="I154"/>
  <c r="I162"/>
  <c r="H131"/>
  <c r="I144"/>
  <c r="H167"/>
  <c r="H168"/>
  <c r="I143"/>
  <c r="I153"/>
  <c r="H137"/>
  <c r="C40" i="90"/>
  <c r="H157" i="61"/>
  <c r="I134"/>
  <c r="I183"/>
  <c r="Q24" i="68"/>
  <c r="I173" i="61"/>
  <c r="I129"/>
  <c r="H158"/>
  <c r="H125"/>
  <c r="M125" s="1"/>
  <c r="C11" i="90"/>
  <c r="H226" i="67"/>
  <c r="H163" i="61"/>
  <c r="I136"/>
  <c r="I126"/>
  <c r="I15"/>
  <c r="I155"/>
  <c r="H141"/>
  <c r="M141" s="1"/>
  <c r="I140"/>
  <c r="I226" i="67"/>
  <c r="I128" i="61"/>
  <c r="I137"/>
  <c r="H126"/>
  <c r="I157"/>
  <c r="H156"/>
  <c r="H172"/>
  <c r="I142"/>
  <c r="I130"/>
  <c r="I187"/>
  <c r="Q28" i="68"/>
  <c r="H128" i="61"/>
  <c r="I145"/>
  <c r="I174"/>
  <c r="I171"/>
  <c r="I141"/>
  <c r="H186"/>
  <c r="P27" i="68" s="1"/>
  <c r="I127" i="61"/>
  <c r="I167"/>
  <c r="I135"/>
  <c r="G78" i="70"/>
  <c r="K78"/>
  <c r="H191" i="61"/>
  <c r="P32" i="68"/>
  <c r="H129" i="61"/>
  <c r="H190"/>
  <c r="P31" i="68" s="1"/>
  <c r="H155" i="61"/>
  <c r="I182"/>
  <c r="Q23" i="68"/>
  <c r="I169" i="61"/>
  <c r="H114"/>
  <c r="P11" i="68" s="1"/>
  <c r="I138" i="61"/>
  <c r="I131"/>
  <c r="H187"/>
  <c r="P28" i="68" s="1"/>
  <c r="H127" i="61"/>
  <c r="H144"/>
  <c r="G10" i="70"/>
  <c r="D21"/>
  <c r="H174" i="61"/>
  <c r="H135"/>
  <c r="H154"/>
  <c r="H169"/>
  <c r="I114"/>
  <c r="Q11" i="68" s="1"/>
  <c r="H12" i="72"/>
  <c r="D13" i="90"/>
  <c r="H183" i="61"/>
  <c r="P24" i="68" s="1"/>
  <c r="I164" i="61"/>
  <c r="H143"/>
  <c r="I156"/>
  <c r="I168"/>
  <c r="H136"/>
  <c r="H162"/>
  <c r="H153"/>
  <c r="H150" s="1"/>
  <c r="H130"/>
  <c r="F84" i="70"/>
  <c r="G14" i="72"/>
  <c r="G15"/>
  <c r="G37"/>
  <c r="D40" i="90"/>
  <c r="H9" i="72"/>
  <c r="D10" i="90"/>
  <c r="I113" i="61"/>
  <c r="I190"/>
  <c r="Q31" i="68" s="1"/>
  <c r="H15" i="61"/>
  <c r="G241"/>
  <c r="M241"/>
  <c r="G9" i="70"/>
  <c r="K9"/>
  <c r="K10"/>
  <c r="I77" i="61"/>
  <c r="I24" i="68" s="1"/>
  <c r="I21" i="61"/>
  <c r="I68"/>
  <c r="H31"/>
  <c r="G164"/>
  <c r="M164"/>
  <c r="G126"/>
  <c r="M126"/>
  <c r="I121"/>
  <c r="I37"/>
  <c r="G173"/>
  <c r="M173"/>
  <c r="I47"/>
  <c r="I181"/>
  <c r="M181" s="1"/>
  <c r="H43"/>
  <c r="I119"/>
  <c r="H122"/>
  <c r="M122" s="1"/>
  <c r="H36"/>
  <c r="I42"/>
  <c r="H119"/>
  <c r="G129"/>
  <c r="M129" s="1"/>
  <c r="I19"/>
  <c r="H21"/>
  <c r="H23"/>
  <c r="G154"/>
  <c r="M154"/>
  <c r="H120"/>
  <c r="G157"/>
  <c r="M157" s="1"/>
  <c r="I36"/>
  <c r="H27"/>
  <c r="H19"/>
  <c r="I38"/>
  <c r="G137"/>
  <c r="M137" s="1"/>
  <c r="D15" i="90"/>
  <c r="D16" s="1"/>
  <c r="G127" i="61"/>
  <c r="M127" s="1"/>
  <c r="H54"/>
  <c r="H17"/>
  <c r="I80"/>
  <c r="I27" i="68" s="1"/>
  <c r="H20" i="61"/>
  <c r="H188"/>
  <c r="P29" i="68"/>
  <c r="I62" i="61"/>
  <c r="I54"/>
  <c r="H16"/>
  <c r="C12" i="90"/>
  <c r="H48" i="61"/>
  <c r="H69"/>
  <c r="G142"/>
  <c r="M142"/>
  <c r="I31"/>
  <c r="G191"/>
  <c r="M191" s="1"/>
  <c r="G15"/>
  <c r="M15" s="1"/>
  <c r="G156"/>
  <c r="M156" s="1"/>
  <c r="G187"/>
  <c r="M187" s="1"/>
  <c r="I85"/>
  <c r="I32" i="68" s="1"/>
  <c r="G158" i="61"/>
  <c r="M158" s="1"/>
  <c r="G174"/>
  <c r="M174" s="1"/>
  <c r="H68"/>
  <c r="H64" s="1"/>
  <c r="H13" i="69" s="1"/>
  <c r="G169" i="61"/>
  <c r="M169"/>
  <c r="G138"/>
  <c r="M138"/>
  <c r="I35"/>
  <c r="G172"/>
  <c r="M172" s="1"/>
  <c r="I53"/>
  <c r="I51" s="1"/>
  <c r="H113"/>
  <c r="I60"/>
  <c r="H67"/>
  <c r="I48"/>
  <c r="M48" s="1"/>
  <c r="H14"/>
  <c r="H53"/>
  <c r="I16"/>
  <c r="G182"/>
  <c r="O23" i="68" s="1"/>
  <c r="G162" i="61"/>
  <c r="M162" s="1"/>
  <c r="H39"/>
  <c r="I28"/>
  <c r="G171"/>
  <c r="M171" s="1"/>
  <c r="H55"/>
  <c r="I122"/>
  <c r="G145"/>
  <c r="M145" s="1"/>
  <c r="G183"/>
  <c r="O24" i="68" s="1"/>
  <c r="I188" i="61"/>
  <c r="Q29" i="68" s="1"/>
  <c r="H22" i="61"/>
  <c r="M22" s="1"/>
  <c r="I55"/>
  <c r="H84"/>
  <c r="H31" i="68" s="1"/>
  <c r="H81" i="61"/>
  <c r="H28" i="68" s="1"/>
  <c r="H80" i="61"/>
  <c r="H27" i="68" s="1"/>
  <c r="H34" i="61"/>
  <c r="H32" s="1"/>
  <c r="H13" i="68" s="1"/>
  <c r="G125" i="61"/>
  <c r="G114"/>
  <c r="M114" s="1"/>
  <c r="H29"/>
  <c r="I56"/>
  <c r="G153"/>
  <c r="M153" s="1"/>
  <c r="I58" i="67"/>
  <c r="I150"/>
  <c r="I123"/>
  <c r="G130" i="61"/>
  <c r="M130"/>
  <c r="H61"/>
  <c r="G163"/>
  <c r="M163" s="1"/>
  <c r="G168"/>
  <c r="M168" s="1"/>
  <c r="H46"/>
  <c r="I12" i="67"/>
  <c r="I11"/>
  <c r="G148" i="61"/>
  <c r="G239"/>
  <c r="M239" s="1"/>
  <c r="I64" i="67"/>
  <c r="I67" i="61"/>
  <c r="I64" s="1"/>
  <c r="I13" i="69" s="1"/>
  <c r="I81" i="61"/>
  <c r="I28" i="68"/>
  <c r="G136" i="61"/>
  <c r="M136"/>
  <c r="H42"/>
  <c r="H38"/>
  <c r="H181"/>
  <c r="P22" i="68"/>
  <c r="H18" i="61"/>
  <c r="F86" i="70"/>
  <c r="I242" i="64"/>
  <c r="H150" i="67"/>
  <c r="G242" i="64"/>
  <c r="H64" i="67"/>
  <c r="G185" i="61"/>
  <c r="H58" i="67"/>
  <c r="G131" i="61"/>
  <c r="M131"/>
  <c r="H189"/>
  <c r="P30" i="68"/>
  <c r="I20" i="61"/>
  <c r="H121"/>
  <c r="G167"/>
  <c r="G165" s="1"/>
  <c r="O13" i="69" s="1"/>
  <c r="M167" i="61"/>
  <c r="I49"/>
  <c r="H35"/>
  <c r="H51" i="67"/>
  <c r="H44"/>
  <c r="G226" i="64"/>
  <c r="G45" i="70"/>
  <c r="K45"/>
  <c r="E44"/>
  <c r="E52"/>
  <c r="H12" i="67"/>
  <c r="H11"/>
  <c r="I146" i="64"/>
  <c r="H56" i="61"/>
  <c r="H62"/>
  <c r="I14"/>
  <c r="H78"/>
  <c r="H224" s="1"/>
  <c r="H222" s="1"/>
  <c r="G128"/>
  <c r="M128" s="1"/>
  <c r="I18"/>
  <c r="I12" s="1"/>
  <c r="I11" s="1"/>
  <c r="I17"/>
  <c r="H85"/>
  <c r="H32" i="68" s="1"/>
  <c r="H37" i="61"/>
  <c r="I78"/>
  <c r="I25" i="68"/>
  <c r="I66" i="61"/>
  <c r="G175"/>
  <c r="M175" s="1"/>
  <c r="E13" i="90"/>
  <c r="E15" s="1"/>
  <c r="E16" s="1"/>
  <c r="I12" i="72"/>
  <c r="I185" i="61"/>
  <c r="M185" s="1"/>
  <c r="I226" i="64"/>
  <c r="H226"/>
  <c r="H185" i="61"/>
  <c r="P26" i="68" s="1"/>
  <c r="G82" i="70"/>
  <c r="K82"/>
  <c r="I165" i="67"/>
  <c r="I44"/>
  <c r="I84" i="61"/>
  <c r="I31" i="68" s="1"/>
  <c r="G134" i="61"/>
  <c r="M134" s="1"/>
  <c r="I22"/>
  <c r="I61"/>
  <c r="I39"/>
  <c r="H28"/>
  <c r="H123" i="67"/>
  <c r="E10" i="90"/>
  <c r="H14" i="72"/>
  <c r="H15"/>
  <c r="H37"/>
  <c r="E40" i="90"/>
  <c r="I9" i="72"/>
  <c r="I146" i="67"/>
  <c r="I132"/>
  <c r="I242"/>
  <c r="H146" i="64"/>
  <c r="H242" i="67"/>
  <c r="H159"/>
  <c r="D71" i="70"/>
  <c r="D86"/>
  <c r="H165" i="67"/>
  <c r="I51"/>
  <c r="G146" i="64"/>
  <c r="K146"/>
  <c r="H242"/>
  <c r="I46" i="61"/>
  <c r="I44" s="1"/>
  <c r="I15" i="68" s="1"/>
  <c r="I43" i="61"/>
  <c r="I63"/>
  <c r="G143"/>
  <c r="M143"/>
  <c r="G141"/>
  <c r="H60"/>
  <c r="H63"/>
  <c r="H58" s="1"/>
  <c r="H11" i="69" s="1"/>
  <c r="I69" i="61"/>
  <c r="G190"/>
  <c r="M190" s="1"/>
  <c r="H49"/>
  <c r="I159" i="67"/>
  <c r="G144" i="61"/>
  <c r="M144" s="1"/>
  <c r="H146" i="67"/>
  <c r="H132"/>
  <c r="I23" i="61"/>
  <c r="H66"/>
  <c r="H47"/>
  <c r="H44" s="1"/>
  <c r="H15" i="68" s="1"/>
  <c r="I27" i="61"/>
  <c r="I34"/>
  <c r="G186"/>
  <c r="M186"/>
  <c r="G135"/>
  <c r="M135"/>
  <c r="H77"/>
  <c r="H24" i="68"/>
  <c r="I120" i="61"/>
  <c r="G140"/>
  <c r="M140" s="1"/>
  <c r="I29"/>
  <c r="I189"/>
  <c r="Q30" i="68"/>
  <c r="G155" i="61"/>
  <c r="M155"/>
  <c r="K242" i="64"/>
  <c r="K226"/>
  <c r="O11" i="68"/>
  <c r="G188" i="61"/>
  <c r="O29" i="68" s="1"/>
  <c r="G84" i="61"/>
  <c r="O28" i="68"/>
  <c r="H32" i="67"/>
  <c r="G81" i="61"/>
  <c r="M81" s="1"/>
  <c r="H41"/>
  <c r="G27"/>
  <c r="M27"/>
  <c r="G55"/>
  <c r="M55"/>
  <c r="I50" i="67"/>
  <c r="G80" i="61"/>
  <c r="M80" s="1"/>
  <c r="G119"/>
  <c r="M119"/>
  <c r="G20"/>
  <c r="M20"/>
  <c r="G38"/>
  <c r="M38"/>
  <c r="I32" i="67"/>
  <c r="G56" i="61"/>
  <c r="M56" s="1"/>
  <c r="G37"/>
  <c r="M37" s="1"/>
  <c r="G69"/>
  <c r="M69" s="1"/>
  <c r="G67"/>
  <c r="G64" s="1"/>
  <c r="G13" i="69" s="1"/>
  <c r="O32" i="68"/>
  <c r="I75" i="61"/>
  <c r="I22" i="68"/>
  <c r="H40" i="61"/>
  <c r="I83"/>
  <c r="I30" i="68" s="1"/>
  <c r="G17" i="61"/>
  <c r="M17" s="1"/>
  <c r="G16"/>
  <c r="M16" s="1"/>
  <c r="G36"/>
  <c r="M36" s="1"/>
  <c r="G29"/>
  <c r="G25" s="1"/>
  <c r="G49"/>
  <c r="M49" s="1"/>
  <c r="I40"/>
  <c r="G34"/>
  <c r="H50" i="67"/>
  <c r="G62" i="61"/>
  <c r="M62" s="1"/>
  <c r="H239"/>
  <c r="H242" s="1"/>
  <c r="M242" s="1"/>
  <c r="G78"/>
  <c r="M78" s="1"/>
  <c r="G35"/>
  <c r="M35" s="1"/>
  <c r="H148"/>
  <c r="G23"/>
  <c r="M23" s="1"/>
  <c r="G43"/>
  <c r="M43" s="1"/>
  <c r="G60"/>
  <c r="M60" s="1"/>
  <c r="G14"/>
  <c r="M14" s="1"/>
  <c r="G85"/>
  <c r="M85" s="1"/>
  <c r="G59"/>
  <c r="M59" s="1"/>
  <c r="H116" i="67"/>
  <c r="E71" i="70"/>
  <c r="E86"/>
  <c r="G152" i="61"/>
  <c r="H58" i="64"/>
  <c r="H59" i="61"/>
  <c r="G32" i="64"/>
  <c r="I45" i="61"/>
  <c r="I44" i="64"/>
  <c r="I82" i="61"/>
  <c r="I29" i="68"/>
  <c r="G120" i="61"/>
  <c r="M120"/>
  <c r="G31"/>
  <c r="M31"/>
  <c r="G47"/>
  <c r="M47"/>
  <c r="G52"/>
  <c r="G13"/>
  <c r="M13" s="1"/>
  <c r="H33"/>
  <c r="H32" i="64"/>
  <c r="H51"/>
  <c r="H52" i="61"/>
  <c r="H51" s="1"/>
  <c r="I25" i="67"/>
  <c r="J12" i="72"/>
  <c r="K12"/>
  <c r="L12"/>
  <c r="M12"/>
  <c r="N12"/>
  <c r="O12"/>
  <c r="P12"/>
  <c r="Q12"/>
  <c r="R12"/>
  <c r="S12"/>
  <c r="T12"/>
  <c r="U12"/>
  <c r="V12"/>
  <c r="W12"/>
  <c r="F13" i="90"/>
  <c r="F15" s="1"/>
  <c r="F16" s="1"/>
  <c r="I124" i="61"/>
  <c r="I123" s="1"/>
  <c r="Q15" i="68" s="1"/>
  <c r="I123" i="64"/>
  <c r="G58"/>
  <c r="G51"/>
  <c r="G159"/>
  <c r="I150"/>
  <c r="I152" i="61"/>
  <c r="M152" s="1"/>
  <c r="G54"/>
  <c r="M54" s="1"/>
  <c r="I41"/>
  <c r="G48"/>
  <c r="I110" i="67"/>
  <c r="H123" i="64"/>
  <c r="H124" i="61"/>
  <c r="G124"/>
  <c r="M124" s="1"/>
  <c r="G122"/>
  <c r="G44" i="64"/>
  <c r="H150"/>
  <c r="H152" i="61"/>
  <c r="G165" i="64"/>
  <c r="G146" i="61"/>
  <c r="G132" s="1"/>
  <c r="O16" i="68" s="1"/>
  <c r="G133" i="61"/>
  <c r="I58" i="64"/>
  <c r="I59" i="61"/>
  <c r="I58"/>
  <c r="I11" i="69" s="1"/>
  <c r="G116" i="64"/>
  <c r="H116"/>
  <c r="H82" i="61"/>
  <c r="H29" i="68" s="1"/>
  <c r="G19" i="61"/>
  <c r="M19" s="1"/>
  <c r="G46"/>
  <c r="G44" s="1"/>
  <c r="G15" i="68" s="1"/>
  <c r="G77" i="61"/>
  <c r="M77" s="1"/>
  <c r="G242"/>
  <c r="H161"/>
  <c r="H159"/>
  <c r="P11" i="69" s="1"/>
  <c r="H159" i="64"/>
  <c r="G123"/>
  <c r="K123"/>
  <c r="O26" i="68"/>
  <c r="G226" i="61"/>
  <c r="G161"/>
  <c r="H12" i="64"/>
  <c r="H11"/>
  <c r="H13" i="61"/>
  <c r="H12" s="1"/>
  <c r="H11" s="1"/>
  <c r="G64" i="64"/>
  <c r="G33" i="61"/>
  <c r="G32" s="1"/>
  <c r="G13" i="68" s="1"/>
  <c r="G242" i="67"/>
  <c r="K242"/>
  <c r="G146"/>
  <c r="K146"/>
  <c r="G66" i="61"/>
  <c r="M66"/>
  <c r="O27" i="68"/>
  <c r="H223" i="67"/>
  <c r="G226"/>
  <c r="K226"/>
  <c r="I52" i="61"/>
  <c r="I51" i="64"/>
  <c r="G53" i="61"/>
  <c r="M53" s="1"/>
  <c r="G189"/>
  <c r="M189" s="1"/>
  <c r="I148"/>
  <c r="I146" s="1"/>
  <c r="G21"/>
  <c r="M21" s="1"/>
  <c r="H149" i="67"/>
  <c r="I239" i="61"/>
  <c r="I242"/>
  <c r="G39"/>
  <c r="M39"/>
  <c r="G18"/>
  <c r="I12" i="64"/>
  <c r="I11"/>
  <c r="I13" i="61"/>
  <c r="H132" i="64"/>
  <c r="H133" i="61"/>
  <c r="O31" i="68"/>
  <c r="G12" i="64"/>
  <c r="H25" i="67"/>
  <c r="I159" i="64"/>
  <c r="I161" i="61"/>
  <c r="I159" s="1"/>
  <c r="Q11" i="69" s="1"/>
  <c r="I165" i="64"/>
  <c r="I166" i="61"/>
  <c r="I165" s="1"/>
  <c r="Q13" i="69" s="1"/>
  <c r="F10" i="90"/>
  <c r="I14" i="72"/>
  <c r="I15"/>
  <c r="I37"/>
  <c r="F40" i="90"/>
  <c r="J9" i="72"/>
  <c r="G45" i="61"/>
  <c r="H226"/>
  <c r="G21" i="70"/>
  <c r="K21"/>
  <c r="H110" i="67"/>
  <c r="I65" i="61"/>
  <c r="I64" i="64"/>
  <c r="H165"/>
  <c r="H166" i="61"/>
  <c r="H165" s="1"/>
  <c r="P13" i="69" s="1"/>
  <c r="H75" i="61"/>
  <c r="H22" i="68"/>
  <c r="I30" i="61"/>
  <c r="G42"/>
  <c r="M42" s="1"/>
  <c r="G28"/>
  <c r="M28" s="1"/>
  <c r="H44" i="64"/>
  <c r="H45" i="61"/>
  <c r="I33"/>
  <c r="I32" s="1"/>
  <c r="I13" i="68" s="1"/>
  <c r="I32" i="64"/>
  <c r="G150"/>
  <c r="H64"/>
  <c r="K64"/>
  <c r="H65" i="61"/>
  <c r="I223" i="67"/>
  <c r="I133" i="61"/>
  <c r="M133" s="1"/>
  <c r="I132" i="64"/>
  <c r="G84" i="70"/>
  <c r="K84"/>
  <c r="G44"/>
  <c r="K44"/>
  <c r="G65" i="61"/>
  <c r="G121"/>
  <c r="M121"/>
  <c r="I116" i="67"/>
  <c r="G132" i="64"/>
  <c r="H83" i="61"/>
  <c r="H30" i="68"/>
  <c r="G22" i="61"/>
  <c r="G63"/>
  <c r="M63"/>
  <c r="G68"/>
  <c r="G61"/>
  <c r="M61"/>
  <c r="G181"/>
  <c r="H30"/>
  <c r="I149" i="67"/>
  <c r="G113" i="61"/>
  <c r="M113"/>
  <c r="K32" i="64"/>
  <c r="K44"/>
  <c r="K159"/>
  <c r="K51"/>
  <c r="K165"/>
  <c r="K58"/>
  <c r="X12" i="72"/>
  <c r="K132" i="64"/>
  <c r="M45" i="61"/>
  <c r="M161"/>
  <c r="M148"/>
  <c r="M52"/>
  <c r="M188"/>
  <c r="G32" i="68"/>
  <c r="G27"/>
  <c r="G31"/>
  <c r="M65" i="61"/>
  <c r="K150" i="64"/>
  <c r="G11"/>
  <c r="K11"/>
  <c r="K12"/>
  <c r="E226" i="61"/>
  <c r="I94" i="67"/>
  <c r="H10"/>
  <c r="H70"/>
  <c r="I10"/>
  <c r="I70"/>
  <c r="G28" i="68"/>
  <c r="G82" i="61"/>
  <c r="G29" i="68" s="1"/>
  <c r="M82" i="61"/>
  <c r="H94" i="67"/>
  <c r="H109"/>
  <c r="G41" i="61"/>
  <c r="M41"/>
  <c r="H118"/>
  <c r="G25" i="68"/>
  <c r="H215" i="67"/>
  <c r="G40" i="61"/>
  <c r="M40" s="1"/>
  <c r="G159"/>
  <c r="O11" i="69" s="1"/>
  <c r="G165" i="67"/>
  <c r="K165"/>
  <c r="I76" i="61"/>
  <c r="I23" i="68" s="1"/>
  <c r="I223" i="64"/>
  <c r="G110"/>
  <c r="G83" i="61"/>
  <c r="G30" i="68" s="1"/>
  <c r="G52" i="70"/>
  <c r="K52"/>
  <c r="G132" i="67"/>
  <c r="K132"/>
  <c r="H179"/>
  <c r="H178"/>
  <c r="H177"/>
  <c r="H207"/>
  <c r="H227"/>
  <c r="H225"/>
  <c r="G73" i="64"/>
  <c r="G224"/>
  <c r="G58" i="61"/>
  <c r="G11" i="69" s="1"/>
  <c r="H50" i="64"/>
  <c r="I215" i="67"/>
  <c r="H26" i="61"/>
  <c r="H25"/>
  <c r="H11" i="68" s="1"/>
  <c r="H25" i="64"/>
  <c r="H10"/>
  <c r="G112" i="61"/>
  <c r="G44" i="67"/>
  <c r="K44"/>
  <c r="H223" i="64"/>
  <c r="H76" i="61"/>
  <c r="H73" s="1"/>
  <c r="H72" s="1"/>
  <c r="H71" s="1"/>
  <c r="H101" s="1"/>
  <c r="I112"/>
  <c r="I110"/>
  <c r="I110" i="64"/>
  <c r="I73"/>
  <c r="I72"/>
  <c r="I71"/>
  <c r="I101"/>
  <c r="I74" i="61"/>
  <c r="I73" s="1"/>
  <c r="I72" s="1"/>
  <c r="I71" s="1"/>
  <c r="I224" i="64"/>
  <c r="I180" i="61"/>
  <c r="Q21" i="68" s="1"/>
  <c r="I118" i="61"/>
  <c r="I116"/>
  <c r="Q13" i="68" s="1"/>
  <c r="I116" i="64"/>
  <c r="K116"/>
  <c r="G76" i="61"/>
  <c r="G223" s="1"/>
  <c r="G51" i="67"/>
  <c r="K51"/>
  <c r="G149" i="64"/>
  <c r="G75" i="61"/>
  <c r="M75" s="1"/>
  <c r="H149" i="64"/>
  <c r="I227" i="67"/>
  <c r="I225"/>
  <c r="I179"/>
  <c r="I178"/>
  <c r="I177"/>
  <c r="I207"/>
  <c r="K9" i="72"/>
  <c r="J14"/>
  <c r="J15"/>
  <c r="J37"/>
  <c r="G159" i="67"/>
  <c r="K159"/>
  <c r="G25" i="64"/>
  <c r="K25"/>
  <c r="H110"/>
  <c r="H109"/>
  <c r="H112" i="61"/>
  <c r="H110"/>
  <c r="G12" i="67"/>
  <c r="G150"/>
  <c r="K150"/>
  <c r="I50" i="64"/>
  <c r="I149"/>
  <c r="G50"/>
  <c r="O22" i="68"/>
  <c r="G74" i="61"/>
  <c r="G73" s="1"/>
  <c r="G72" s="1"/>
  <c r="G71" s="1"/>
  <c r="G101" s="1"/>
  <c r="G223" i="64"/>
  <c r="K223"/>
  <c r="G123" i="67"/>
  <c r="K123"/>
  <c r="H180" i="61"/>
  <c r="I26"/>
  <c r="I25" s="1"/>
  <c r="I11" i="68" s="1"/>
  <c r="I25" i="64"/>
  <c r="I10"/>
  <c r="G58" i="67"/>
  <c r="K58"/>
  <c r="I109"/>
  <c r="G64"/>
  <c r="K64"/>
  <c r="G26" i="61"/>
  <c r="G32" i="67"/>
  <c r="K32"/>
  <c r="H73" i="64"/>
  <c r="H72"/>
  <c r="H71"/>
  <c r="H101"/>
  <c r="H74" i="61"/>
  <c r="H224" i="64"/>
  <c r="G30" i="61"/>
  <c r="M30"/>
  <c r="G166"/>
  <c r="M166"/>
  <c r="G11" i="67"/>
  <c r="K11"/>
  <c r="K12"/>
  <c r="K224" i="64"/>
  <c r="I231" i="67"/>
  <c r="I229"/>
  <c r="I228"/>
  <c r="I199" i="64"/>
  <c r="H88" i="67"/>
  <c r="H87"/>
  <c r="H86"/>
  <c r="K94"/>
  <c r="H199" i="64"/>
  <c r="H194" s="1"/>
  <c r="H193" s="1"/>
  <c r="H192" s="1"/>
  <c r="M26" i="61"/>
  <c r="K149" i="64"/>
  <c r="G109"/>
  <c r="K110"/>
  <c r="G72"/>
  <c r="K73"/>
  <c r="K50"/>
  <c r="G10"/>
  <c r="K10"/>
  <c r="M76" i="61"/>
  <c r="M112"/>
  <c r="D226"/>
  <c r="F226"/>
  <c r="C226"/>
  <c r="H214" i="67"/>
  <c r="H213"/>
  <c r="I194" i="64"/>
  <c r="I193" s="1"/>
  <c r="I192" s="1"/>
  <c r="I88" i="67"/>
  <c r="I87"/>
  <c r="I86"/>
  <c r="W19" i="75"/>
  <c r="I214" i="67"/>
  <c r="I213"/>
  <c r="H231"/>
  <c r="H229"/>
  <c r="H228"/>
  <c r="H176"/>
  <c r="H208"/>
  <c r="G71" i="70"/>
  <c r="K71"/>
  <c r="G222" i="64"/>
  <c r="I215"/>
  <c r="G149" i="67"/>
  <c r="K149"/>
  <c r="G215" i="64"/>
  <c r="H215"/>
  <c r="H222"/>
  <c r="H176"/>
  <c r="G110" i="61"/>
  <c r="O9" i="68" s="1"/>
  <c r="M110" i="61"/>
  <c r="G21" i="68"/>
  <c r="G23"/>
  <c r="I223" i="61"/>
  <c r="H21" i="68"/>
  <c r="H223" i="61"/>
  <c r="I176" i="67"/>
  <c r="I208"/>
  <c r="I79"/>
  <c r="G227"/>
  <c r="G179"/>
  <c r="I21" i="68"/>
  <c r="H79" i="67"/>
  <c r="I222" i="64"/>
  <c r="P9" i="68"/>
  <c r="H179" i="61"/>
  <c r="H178" s="1"/>
  <c r="H177" s="1"/>
  <c r="P21" i="68"/>
  <c r="I70" i="64"/>
  <c r="I102"/>
  <c r="G50" i="67"/>
  <c r="K50"/>
  <c r="G180" i="61"/>
  <c r="M180"/>
  <c r="G116" i="67"/>
  <c r="K116"/>
  <c r="G118" i="61"/>
  <c r="M118"/>
  <c r="H70" i="64"/>
  <c r="H102"/>
  <c r="H214"/>
  <c r="G223" i="67"/>
  <c r="K223"/>
  <c r="G110"/>
  <c r="K110"/>
  <c r="I109" i="64"/>
  <c r="I176"/>
  <c r="G25" i="67"/>
  <c r="L9" i="72"/>
  <c r="K14"/>
  <c r="K15"/>
  <c r="K37"/>
  <c r="G178" i="67"/>
  <c r="K179"/>
  <c r="G225"/>
  <c r="K225"/>
  <c r="K227"/>
  <c r="G10"/>
  <c r="K10"/>
  <c r="K25"/>
  <c r="K222" i="64"/>
  <c r="K109"/>
  <c r="K215"/>
  <c r="G176"/>
  <c r="K176"/>
  <c r="G71"/>
  <c r="K72"/>
  <c r="G214"/>
  <c r="G70"/>
  <c r="K70"/>
  <c r="C224" i="61"/>
  <c r="D224"/>
  <c r="E223"/>
  <c r="M223" s="1"/>
  <c r="E224"/>
  <c r="I234" i="64"/>
  <c r="I232" s="1"/>
  <c r="I228" s="1"/>
  <c r="H234"/>
  <c r="H232" s="1"/>
  <c r="H228" s="1"/>
  <c r="G199"/>
  <c r="K199"/>
  <c r="G86" i="70"/>
  <c r="K86"/>
  <c r="H213" i="64"/>
  <c r="G215" i="67"/>
  <c r="K215"/>
  <c r="G109"/>
  <c r="O21" i="68"/>
  <c r="G227" i="61"/>
  <c r="G225" s="1"/>
  <c r="H184" i="64"/>
  <c r="H73" i="67"/>
  <c r="H72"/>
  <c r="H71"/>
  <c r="H101"/>
  <c r="H102"/>
  <c r="H224"/>
  <c r="H222"/>
  <c r="H221"/>
  <c r="H220"/>
  <c r="L14" i="72"/>
  <c r="L15"/>
  <c r="L37"/>
  <c r="M9"/>
  <c r="I214" i="64"/>
  <c r="I213"/>
  <c r="G70" i="67"/>
  <c r="K70"/>
  <c r="G116" i="61"/>
  <c r="I184" i="64"/>
  <c r="I179" s="1"/>
  <c r="I178" s="1"/>
  <c r="I177" s="1"/>
  <c r="I224" i="67"/>
  <c r="I222"/>
  <c r="I221"/>
  <c r="I220"/>
  <c r="I73"/>
  <c r="I72"/>
  <c r="I71"/>
  <c r="I101"/>
  <c r="I102"/>
  <c r="K214" i="64"/>
  <c r="G177" i="67"/>
  <c r="K178"/>
  <c r="G101" i="64"/>
  <c r="K101"/>
  <c r="K71"/>
  <c r="G213"/>
  <c r="K213"/>
  <c r="G214" i="67"/>
  <c r="K214"/>
  <c r="K109"/>
  <c r="O13" i="68"/>
  <c r="F224" i="61"/>
  <c r="E222"/>
  <c r="E221" s="1"/>
  <c r="C227"/>
  <c r="C225" s="1"/>
  <c r="D223"/>
  <c r="F223" s="1"/>
  <c r="D227"/>
  <c r="D225" s="1"/>
  <c r="E227"/>
  <c r="G176" i="67"/>
  <c r="G88"/>
  <c r="G231"/>
  <c r="I227" i="64"/>
  <c r="I225" s="1"/>
  <c r="I221" s="1"/>
  <c r="I220" s="1"/>
  <c r="N9" i="72"/>
  <c r="M14"/>
  <c r="M15"/>
  <c r="M37"/>
  <c r="G234" i="64"/>
  <c r="K234" s="1"/>
  <c r="G194"/>
  <c r="H227"/>
  <c r="H225" s="1"/>
  <c r="H179"/>
  <c r="H178" s="1"/>
  <c r="H177" s="1"/>
  <c r="H207" s="1"/>
  <c r="H208" s="1"/>
  <c r="G207" i="67"/>
  <c r="K207"/>
  <c r="K177"/>
  <c r="G102" i="64"/>
  <c r="K102"/>
  <c r="G208" i="67"/>
  <c r="K208"/>
  <c r="K176"/>
  <c r="G213"/>
  <c r="K213"/>
  <c r="G87"/>
  <c r="K88"/>
  <c r="G229"/>
  <c r="K231"/>
  <c r="G224"/>
  <c r="K79"/>
  <c r="G193" i="64"/>
  <c r="G192" s="1"/>
  <c r="E225" i="61"/>
  <c r="F225" s="1"/>
  <c r="F227"/>
  <c r="C223"/>
  <c r="C222" s="1"/>
  <c r="C221" s="1"/>
  <c r="G73" i="67"/>
  <c r="G184" i="64"/>
  <c r="K184"/>
  <c r="W18" i="75"/>
  <c r="W8"/>
  <c r="O9" i="72"/>
  <c r="N14"/>
  <c r="N15"/>
  <c r="N37"/>
  <c r="G86" i="67"/>
  <c r="K86"/>
  <c r="K87"/>
  <c r="G228"/>
  <c r="K228"/>
  <c r="K229"/>
  <c r="G222"/>
  <c r="K224"/>
  <c r="G72"/>
  <c r="K73"/>
  <c r="G227" i="64"/>
  <c r="G179"/>
  <c r="G178" s="1"/>
  <c r="G177" s="1"/>
  <c r="G207" s="1"/>
  <c r="G208" s="1"/>
  <c r="P9" i="72"/>
  <c r="O14"/>
  <c r="O15"/>
  <c r="O37"/>
  <c r="G221" i="67"/>
  <c r="K222"/>
  <c r="G71"/>
  <c r="K72"/>
  <c r="G225" i="64"/>
  <c r="G221" s="1"/>
  <c r="Q9" i="72"/>
  <c r="P14"/>
  <c r="P15"/>
  <c r="P37"/>
  <c r="K221" i="67"/>
  <c r="G220"/>
  <c r="K220"/>
  <c r="G101"/>
  <c r="K71"/>
  <c r="R9" i="72"/>
  <c r="Q14"/>
  <c r="Q15"/>
  <c r="Q37"/>
  <c r="G102" i="67"/>
  <c r="K102"/>
  <c r="K101"/>
  <c r="R14" i="72"/>
  <c r="R15"/>
  <c r="R37"/>
  <c r="S9"/>
  <c r="S14"/>
  <c r="S15"/>
  <c r="S37"/>
  <c r="T9"/>
  <c r="U9"/>
  <c r="T14"/>
  <c r="T15"/>
  <c r="T37"/>
  <c r="U14"/>
  <c r="U15"/>
  <c r="U37"/>
  <c r="V9"/>
  <c r="W9"/>
  <c r="X9"/>
  <c r="V14"/>
  <c r="V15"/>
  <c r="V37"/>
  <c r="W14"/>
  <c r="W15"/>
  <c r="W37"/>
  <c r="X14"/>
  <c r="X15"/>
  <c r="X37"/>
  <c r="D231" i="67"/>
  <c r="F231"/>
  <c r="C231"/>
  <c r="D230"/>
  <c r="F230"/>
  <c r="C230"/>
  <c r="C88"/>
  <c r="C87"/>
  <c r="C86"/>
  <c r="C101"/>
  <c r="C102"/>
  <c r="D88"/>
  <c r="C229"/>
  <c r="C228"/>
  <c r="C220"/>
  <c r="D87"/>
  <c r="F88"/>
  <c r="D229"/>
  <c r="D86"/>
  <c r="F87"/>
  <c r="D228"/>
  <c r="F229"/>
  <c r="D32" i="97"/>
  <c r="C32"/>
  <c r="C10"/>
  <c r="D10"/>
  <c r="F10"/>
  <c r="F32"/>
  <c r="D101" i="67"/>
  <c r="F86"/>
  <c r="D220"/>
  <c r="F220"/>
  <c r="F228"/>
  <c r="D70" i="97"/>
  <c r="F70"/>
  <c r="D214"/>
  <c r="F214"/>
  <c r="D79"/>
  <c r="C79"/>
  <c r="C214"/>
  <c r="C70"/>
  <c r="F79"/>
  <c r="F101" i="67"/>
  <c r="D102"/>
  <c r="F102"/>
  <c r="C73" i="97"/>
  <c r="C72"/>
  <c r="C71"/>
  <c r="C224"/>
  <c r="C222"/>
  <c r="C221"/>
  <c r="D73"/>
  <c r="D224"/>
  <c r="D72"/>
  <c r="F73"/>
  <c r="D222"/>
  <c r="F224"/>
  <c r="D44" i="109"/>
  <c r="F44"/>
  <c r="D230"/>
  <c r="F230"/>
  <c r="C230"/>
  <c r="C44"/>
  <c r="C64"/>
  <c r="D64"/>
  <c r="F64"/>
  <c r="C58"/>
  <c r="D58"/>
  <c r="F58"/>
  <c r="D221" i="97"/>
  <c r="F221"/>
  <c r="F222"/>
  <c r="D71"/>
  <c r="F71"/>
  <c r="F72"/>
  <c r="D32" i="109"/>
  <c r="F32"/>
  <c r="C32"/>
  <c r="C223"/>
  <c r="D223"/>
  <c r="F223"/>
  <c r="C12"/>
  <c r="C11"/>
  <c r="D12"/>
  <c r="D25"/>
  <c r="F25"/>
  <c r="C25"/>
  <c r="D51"/>
  <c r="C51"/>
  <c r="C50"/>
  <c r="D11"/>
  <c r="F11"/>
  <c r="F12"/>
  <c r="D50"/>
  <c r="F50"/>
  <c r="F51"/>
  <c r="C10"/>
  <c r="C79"/>
  <c r="C184" i="64"/>
  <c r="C179" s="1"/>
  <c r="C178" s="1"/>
  <c r="C177" s="1"/>
  <c r="C207" s="1"/>
  <c r="C208" s="1"/>
  <c r="D10" i="109"/>
  <c r="C215"/>
  <c r="C94"/>
  <c r="C88"/>
  <c r="C87"/>
  <c r="C86"/>
  <c r="C214"/>
  <c r="C213"/>
  <c r="C70"/>
  <c r="C231"/>
  <c r="C229"/>
  <c r="C228"/>
  <c r="C224"/>
  <c r="C222"/>
  <c r="C221"/>
  <c r="C220"/>
  <c r="D94"/>
  <c r="F94"/>
  <c r="C73"/>
  <c r="C72"/>
  <c r="C71"/>
  <c r="C101"/>
  <c r="C102"/>
  <c r="D215"/>
  <c r="F215"/>
  <c r="D79"/>
  <c r="F10"/>
  <c r="D214"/>
  <c r="D70"/>
  <c r="F70"/>
  <c r="D73"/>
  <c r="M80"/>
  <c r="D88"/>
  <c r="D87"/>
  <c r="D231"/>
  <c r="F231"/>
  <c r="D184" i="64"/>
  <c r="M185" s="1"/>
  <c r="F79" i="109"/>
  <c r="D224"/>
  <c r="D222"/>
  <c r="D229"/>
  <c r="D72"/>
  <c r="F73"/>
  <c r="D213"/>
  <c r="F213"/>
  <c r="F214"/>
  <c r="C165" i="97"/>
  <c r="C149"/>
  <c r="F88" i="109"/>
  <c r="D179" i="64"/>
  <c r="D178" s="1"/>
  <c r="D177" s="1"/>
  <c r="D227"/>
  <c r="F227" s="1"/>
  <c r="F184"/>
  <c r="F224" i="109"/>
  <c r="D228"/>
  <c r="F228"/>
  <c r="F229"/>
  <c r="D86"/>
  <c r="F86"/>
  <c r="F87"/>
  <c r="D71"/>
  <c r="F72"/>
  <c r="D221"/>
  <c r="F222"/>
  <c r="C215" i="97"/>
  <c r="C213"/>
  <c r="C176"/>
  <c r="C208"/>
  <c r="C94"/>
  <c r="F71" i="109"/>
  <c r="D101"/>
  <c r="F221"/>
  <c r="D220"/>
  <c r="F220"/>
  <c r="C231" i="97"/>
  <c r="C229"/>
  <c r="C228"/>
  <c r="C220"/>
  <c r="C199" i="64"/>
  <c r="C194" s="1"/>
  <c r="C193" s="1"/>
  <c r="C192" s="1"/>
  <c r="C88" i="97"/>
  <c r="C87"/>
  <c r="C86"/>
  <c r="C101"/>
  <c r="C102"/>
  <c r="D102" i="109"/>
  <c r="F102"/>
  <c r="F101"/>
  <c r="C234" i="64"/>
  <c r="C232" s="1"/>
  <c r="C228" s="1"/>
  <c r="D165" i="97"/>
  <c r="D149"/>
  <c r="F165"/>
  <c r="D94"/>
  <c r="F149"/>
  <c r="D176"/>
  <c r="D215"/>
  <c r="F94"/>
  <c r="M80"/>
  <c r="N9" i="127"/>
  <c r="D213" i="97"/>
  <c r="F213"/>
  <c r="F215"/>
  <c r="D208"/>
  <c r="F208"/>
  <c r="F176"/>
  <c r="D88"/>
  <c r="D231"/>
  <c r="D199" i="64"/>
  <c r="N10" i="127" s="1"/>
  <c r="F199" i="64"/>
  <c r="D87" i="97"/>
  <c r="F88"/>
  <c r="D229"/>
  <c r="F231"/>
  <c r="D86"/>
  <c r="F87"/>
  <c r="D228"/>
  <c r="F229"/>
  <c r="D101"/>
  <c r="F86"/>
  <c r="D220"/>
  <c r="F220"/>
  <c r="F228"/>
  <c r="D102"/>
  <c r="F102"/>
  <c r="F101"/>
  <c r="I9" i="69" l="1"/>
  <c r="I8" s="1"/>
  <c r="I50" i="61"/>
  <c r="I9" i="68"/>
  <c r="I8" s="1"/>
  <c r="I10" i="61"/>
  <c r="I207" i="64"/>
  <c r="I208" s="1"/>
  <c r="H131" i="85"/>
  <c r="H10" i="61"/>
  <c r="H9" i="68"/>
  <c r="H8" s="1"/>
  <c r="G11"/>
  <c r="M25" i="61"/>
  <c r="H50"/>
  <c r="H9" i="69"/>
  <c r="H8" s="1"/>
  <c r="E228" i="61"/>
  <c r="F229"/>
  <c r="G258" i="85"/>
  <c r="G123"/>
  <c r="K192" i="64"/>
  <c r="H207" i="61"/>
  <c r="I20" i="68"/>
  <c r="I19" s="1"/>
  <c r="I18" s="1"/>
  <c r="F38" i="90"/>
  <c r="F41" s="1"/>
  <c r="E220" i="61"/>
  <c r="H221" i="64"/>
  <c r="H220" s="1"/>
  <c r="K225"/>
  <c r="P9" i="69"/>
  <c r="P8" s="1"/>
  <c r="H149" i="61"/>
  <c r="J134" i="85"/>
  <c r="J273"/>
  <c r="S112"/>
  <c r="T111"/>
  <c r="O20" i="68"/>
  <c r="I20" i="69"/>
  <c r="I19" s="1"/>
  <c r="I18" s="1"/>
  <c r="Q35" s="1"/>
  <c r="H221" i="61"/>
  <c r="F234"/>
  <c r="C37" i="90"/>
  <c r="C38" s="1"/>
  <c r="C41" s="1"/>
  <c r="F37"/>
  <c r="G71" i="85"/>
  <c r="G73" s="1"/>
  <c r="K68"/>
  <c r="S67"/>
  <c r="C275"/>
  <c r="J205"/>
  <c r="H130"/>
  <c r="H269"/>
  <c r="J196"/>
  <c r="C193"/>
  <c r="C263" s="1"/>
  <c r="C258"/>
  <c r="N50"/>
  <c r="N53" s="1"/>
  <c r="S49"/>
  <c r="M258"/>
  <c r="M193"/>
  <c r="M263" s="1"/>
  <c r="S257"/>
  <c r="T187"/>
  <c r="L188"/>
  <c r="L256"/>
  <c r="S186"/>
  <c r="L118"/>
  <c r="L123" s="1"/>
  <c r="S116"/>
  <c r="P229"/>
  <c r="P90"/>
  <c r="P230" s="1"/>
  <c r="S89"/>
  <c r="H155"/>
  <c r="H223"/>
  <c r="J153"/>
  <c r="J223" s="1"/>
  <c r="E24" i="76"/>
  <c r="C10" i="68"/>
  <c r="F27" i="61"/>
  <c r="D25"/>
  <c r="F27" i="76"/>
  <c r="F31" i="61"/>
  <c r="F31" i="76"/>
  <c r="F25" s="1"/>
  <c r="F33" i="61"/>
  <c r="G33" i="76"/>
  <c r="G190" i="118"/>
  <c r="H190" s="1"/>
  <c r="E32" i="61"/>
  <c r="F38"/>
  <c r="F38" i="76"/>
  <c r="G147"/>
  <c r="F147" i="61"/>
  <c r="E146"/>
  <c r="F191" i="76"/>
  <c r="F191" i="61"/>
  <c r="L32" i="68"/>
  <c r="N32" s="1"/>
  <c r="D194" i="61"/>
  <c r="D193" s="1"/>
  <c r="F197" i="76"/>
  <c r="F194" s="1"/>
  <c r="F193" s="1"/>
  <c r="F192" s="1"/>
  <c r="L23" i="69"/>
  <c r="N23" s="1"/>
  <c r="F197" i="61"/>
  <c r="D234"/>
  <c r="D232" s="1"/>
  <c r="C194"/>
  <c r="C193" s="1"/>
  <c r="E202" i="76"/>
  <c r="E234" s="1"/>
  <c r="K28" i="69"/>
  <c r="C234" i="61"/>
  <c r="C232" s="1"/>
  <c r="C228" s="1"/>
  <c r="C220" s="1"/>
  <c r="F240"/>
  <c r="G240" i="76"/>
  <c r="H240" s="1"/>
  <c r="M240" i="61"/>
  <c r="K218" i="85"/>
  <c r="S148"/>
  <c r="K155"/>
  <c r="C218"/>
  <c r="J148"/>
  <c r="J218" s="1"/>
  <c r="C155"/>
  <c r="S77"/>
  <c r="L85"/>
  <c r="L217"/>
  <c r="S147"/>
  <c r="L155"/>
  <c r="J7"/>
  <c r="E15"/>
  <c r="E21" s="1"/>
  <c r="J147"/>
  <c r="E217"/>
  <c r="E155"/>
  <c r="F217"/>
  <c r="J77"/>
  <c r="J85" s="1"/>
  <c r="J91" s="1"/>
  <c r="F85"/>
  <c r="F91" s="1"/>
  <c r="S7"/>
  <c r="O15"/>
  <c r="O21" s="1"/>
  <c r="G217"/>
  <c r="G85"/>
  <c r="H217"/>
  <c r="H85"/>
  <c r="H91" s="1"/>
  <c r="R217"/>
  <c r="R155"/>
  <c r="H23" i="69"/>
  <c r="M91" i="61"/>
  <c r="H230"/>
  <c r="M205"/>
  <c r="O31" i="69"/>
  <c r="H22"/>
  <c r="H20" s="1"/>
  <c r="H19" s="1"/>
  <c r="H18" s="1"/>
  <c r="H231" i="61"/>
  <c r="J135" i="85"/>
  <c r="J136" s="1"/>
  <c r="C136"/>
  <c r="C139" s="1"/>
  <c r="P136"/>
  <c r="P276" s="1"/>
  <c r="P275"/>
  <c r="L206"/>
  <c r="L276" s="1"/>
  <c r="L275"/>
  <c r="S205"/>
  <c r="J261"/>
  <c r="J192"/>
  <c r="M52"/>
  <c r="S51"/>
  <c r="D122"/>
  <c r="D262" s="1"/>
  <c r="J121"/>
  <c r="J122" s="1"/>
  <c r="N258"/>
  <c r="N123"/>
  <c r="J180"/>
  <c r="J250" s="1"/>
  <c r="N180"/>
  <c r="N250" s="1"/>
  <c r="N249"/>
  <c r="E249"/>
  <c r="E180"/>
  <c r="H183"/>
  <c r="W35"/>
  <c r="S167"/>
  <c r="L237"/>
  <c r="L170"/>
  <c r="N237"/>
  <c r="N170"/>
  <c r="H237"/>
  <c r="H170"/>
  <c r="H240" s="1"/>
  <c r="S27"/>
  <c r="L30"/>
  <c r="J27"/>
  <c r="I30"/>
  <c r="I33" s="1"/>
  <c r="I71" s="1"/>
  <c r="R173"/>
  <c r="S95"/>
  <c r="L235"/>
  <c r="Q227"/>
  <c r="Q88"/>
  <c r="Q91" s="1"/>
  <c r="S87"/>
  <c r="T87" s="1"/>
  <c r="W87" s="1"/>
  <c r="Q161"/>
  <c r="Q225"/>
  <c r="U225"/>
  <c r="I278"/>
  <c r="N69"/>
  <c r="H53"/>
  <c r="M255"/>
  <c r="F194" i="64"/>
  <c r="C227"/>
  <c r="C225" s="1"/>
  <c r="C221" s="1"/>
  <c r="C220" s="1"/>
  <c r="K193"/>
  <c r="K194"/>
  <c r="D222" i="61"/>
  <c r="G22" i="68"/>
  <c r="Q9"/>
  <c r="I227" i="61"/>
  <c r="I225" s="1"/>
  <c r="M225" s="1"/>
  <c r="I179"/>
  <c r="I178" s="1"/>
  <c r="I177" s="1"/>
  <c r="G224"/>
  <c r="G222" s="1"/>
  <c r="M74"/>
  <c r="G51"/>
  <c r="G24" i="68"/>
  <c r="M83" i="61"/>
  <c r="G12"/>
  <c r="G11" s="1"/>
  <c r="I132"/>
  <c r="Q16" i="68" s="1"/>
  <c r="M33" i="61"/>
  <c r="I226"/>
  <c r="M226" s="1"/>
  <c r="M46"/>
  <c r="I150"/>
  <c r="M29"/>
  <c r="M67"/>
  <c r="H25" i="68"/>
  <c r="M183" i="61"/>
  <c r="M182"/>
  <c r="Q22" i="68"/>
  <c r="Q20" s="1"/>
  <c r="Q19" s="1"/>
  <c r="Q18" s="1"/>
  <c r="I35" s="1"/>
  <c r="P23"/>
  <c r="P20" s="1"/>
  <c r="P19" s="1"/>
  <c r="P18" s="1"/>
  <c r="F230" i="61"/>
  <c r="F233"/>
  <c r="M147"/>
  <c r="I230"/>
  <c r="I234"/>
  <c r="I232" s="1"/>
  <c r="M117"/>
  <c r="Q14" i="69"/>
  <c r="M96" i="61"/>
  <c r="M93"/>
  <c r="H24" i="69"/>
  <c r="J67" i="85"/>
  <c r="J68" s="1"/>
  <c r="I277"/>
  <c r="C69"/>
  <c r="H275"/>
  <c r="D139"/>
  <c r="H273"/>
  <c r="F275"/>
  <c r="P274"/>
  <c r="D209"/>
  <c r="D279" s="1"/>
  <c r="R134"/>
  <c r="R139" s="1"/>
  <c r="M269"/>
  <c r="C131"/>
  <c r="C271" s="1"/>
  <c r="E131"/>
  <c r="E271" s="1"/>
  <c r="I131"/>
  <c r="I271" s="1"/>
  <c r="I61"/>
  <c r="H266"/>
  <c r="L131"/>
  <c r="R131"/>
  <c r="G263"/>
  <c r="P260"/>
  <c r="H188"/>
  <c r="P53"/>
  <c r="F48"/>
  <c r="F53" s="1"/>
  <c r="R256"/>
  <c r="G255"/>
  <c r="S115"/>
  <c r="U252"/>
  <c r="F113"/>
  <c r="L113"/>
  <c r="C32"/>
  <c r="F166"/>
  <c r="U33"/>
  <c r="P91"/>
  <c r="P141" s="1"/>
  <c r="P143" s="1"/>
  <c r="G27" i="69"/>
  <c r="G230" i="61"/>
  <c r="M95"/>
  <c r="C274" i="85"/>
  <c r="E209"/>
  <c r="E276"/>
  <c r="C269"/>
  <c r="J129"/>
  <c r="J130" s="1"/>
  <c r="C130"/>
  <c r="C270" s="1"/>
  <c r="O269"/>
  <c r="O130"/>
  <c r="S129"/>
  <c r="K269"/>
  <c r="K200"/>
  <c r="K270" s="1"/>
  <c r="D50"/>
  <c r="J49"/>
  <c r="J50" s="1"/>
  <c r="E118"/>
  <c r="J116"/>
  <c r="T179"/>
  <c r="K18"/>
  <c r="K21" s="1"/>
  <c r="S17"/>
  <c r="T17" s="1"/>
  <c r="W17" s="1"/>
  <c r="K158"/>
  <c r="K228" s="1"/>
  <c r="K227"/>
  <c r="S157"/>
  <c r="F18"/>
  <c r="F21" s="1"/>
  <c r="J16"/>
  <c r="J18" s="1"/>
  <c r="M223"/>
  <c r="M155"/>
  <c r="S153"/>
  <c r="M92" i="61"/>
  <c r="G24" i="69"/>
  <c r="M278" i="85"/>
  <c r="M209"/>
  <c r="K277"/>
  <c r="K138"/>
  <c r="S137"/>
  <c r="P208"/>
  <c r="P277"/>
  <c r="U273"/>
  <c r="U134"/>
  <c r="U139" s="1"/>
  <c r="M268"/>
  <c r="M201"/>
  <c r="R201"/>
  <c r="R266"/>
  <c r="J55"/>
  <c r="J56" s="1"/>
  <c r="J61" s="1"/>
  <c r="Y61" s="1"/>
  <c r="C56"/>
  <c r="C61" s="1"/>
  <c r="M265"/>
  <c r="M126"/>
  <c r="S125"/>
  <c r="J125"/>
  <c r="J126" s="1"/>
  <c r="J131" s="1"/>
  <c r="Y131" s="1"/>
  <c r="D126"/>
  <c r="D131" s="1"/>
  <c r="D265"/>
  <c r="Q265"/>
  <c r="Q126"/>
  <c r="L265"/>
  <c r="L196"/>
  <c r="K265"/>
  <c r="S195"/>
  <c r="K196"/>
  <c r="S190"/>
  <c r="S260" s="1"/>
  <c r="T189"/>
  <c r="Q122"/>
  <c r="Q262" s="1"/>
  <c r="Q261"/>
  <c r="U122"/>
  <c r="U123" s="1"/>
  <c r="U261"/>
  <c r="R258"/>
  <c r="D188"/>
  <c r="J186"/>
  <c r="D256"/>
  <c r="Q188"/>
  <c r="Q256"/>
  <c r="K42"/>
  <c r="K43" s="1"/>
  <c r="S41"/>
  <c r="K112"/>
  <c r="K252" s="1"/>
  <c r="K251"/>
  <c r="L182"/>
  <c r="L252" s="1"/>
  <c r="L251"/>
  <c r="S181"/>
  <c r="P182"/>
  <c r="P251"/>
  <c r="F182"/>
  <c r="F251"/>
  <c r="J181"/>
  <c r="M247"/>
  <c r="M178"/>
  <c r="S177"/>
  <c r="T172"/>
  <c r="W171"/>
  <c r="I246"/>
  <c r="I108"/>
  <c r="I113" s="1"/>
  <c r="J106"/>
  <c r="H108"/>
  <c r="H113" s="1"/>
  <c r="J168"/>
  <c r="J238" s="1"/>
  <c r="C170"/>
  <c r="C240" s="1"/>
  <c r="C238"/>
  <c r="D238"/>
  <c r="D170"/>
  <c r="D240" s="1"/>
  <c r="I238"/>
  <c r="I170"/>
  <c r="I240" s="1"/>
  <c r="Q238"/>
  <c r="Q170"/>
  <c r="Q240" s="1"/>
  <c r="Q26"/>
  <c r="Q33" s="1"/>
  <c r="S24"/>
  <c r="T24" s="1"/>
  <c r="W24" s="1"/>
  <c r="L234"/>
  <c r="S94"/>
  <c r="T94" s="1"/>
  <c r="W94" s="1"/>
  <c r="L96"/>
  <c r="L103" s="1"/>
  <c r="N234"/>
  <c r="N96"/>
  <c r="N103" s="1"/>
  <c r="R234"/>
  <c r="R96"/>
  <c r="R103" s="1"/>
  <c r="M234"/>
  <c r="S164"/>
  <c r="M166"/>
  <c r="D233"/>
  <c r="D166"/>
  <c r="J163"/>
  <c r="M229"/>
  <c r="M160"/>
  <c r="M230" s="1"/>
  <c r="U229"/>
  <c r="U160"/>
  <c r="U230" s="1"/>
  <c r="O19" i="69"/>
  <c r="O18" s="1"/>
  <c r="G35" s="1"/>
  <c r="H139" i="85"/>
  <c r="D194" i="64"/>
  <c r="D193" s="1"/>
  <c r="D192" s="1"/>
  <c r="D207" s="1"/>
  <c r="D208" s="1"/>
  <c r="G123" i="61"/>
  <c r="M68"/>
  <c r="M18"/>
  <c r="H123"/>
  <c r="P15" i="68" s="1"/>
  <c r="M233" i="61"/>
  <c r="I88"/>
  <c r="I87" s="1"/>
  <c r="I86" s="1"/>
  <c r="I101" s="1"/>
  <c r="I193"/>
  <c r="I192" s="1"/>
  <c r="O209" i="85"/>
  <c r="O279" s="1"/>
  <c r="G138"/>
  <c r="G278" s="1"/>
  <c r="S135"/>
  <c r="U206"/>
  <c r="K139"/>
  <c r="J69"/>
  <c r="Y69" s="1"/>
  <c r="U274"/>
  <c r="P139"/>
  <c r="S59"/>
  <c r="N139"/>
  <c r="P200"/>
  <c r="P270" s="1"/>
  <c r="N200"/>
  <c r="N270" s="1"/>
  <c r="F266"/>
  <c r="G61"/>
  <c r="H61"/>
  <c r="H271"/>
  <c r="U188"/>
  <c r="I193"/>
  <c r="I263" s="1"/>
  <c r="J115"/>
  <c r="S45"/>
  <c r="S180"/>
  <c r="O252"/>
  <c r="D255"/>
  <c r="Q248"/>
  <c r="J165"/>
  <c r="P228"/>
  <c r="E91"/>
  <c r="G30" i="69"/>
  <c r="M98" i="61"/>
  <c r="G274" i="85"/>
  <c r="G139"/>
  <c r="G279" s="1"/>
  <c r="J198"/>
  <c r="J268" s="1"/>
  <c r="G130"/>
  <c r="G270" s="1"/>
  <c r="G269"/>
  <c r="D60"/>
  <c r="J59"/>
  <c r="J60" s="1"/>
  <c r="P188"/>
  <c r="P257"/>
  <c r="D48"/>
  <c r="J45"/>
  <c r="J48" s="1"/>
  <c r="J53" s="1"/>
  <c r="Y53" s="1"/>
  <c r="O173"/>
  <c r="O236"/>
  <c r="C18"/>
  <c r="J17"/>
  <c r="I161"/>
  <c r="I225"/>
  <c r="J13"/>
  <c r="C15"/>
  <c r="G21" i="69"/>
  <c r="G20" s="1"/>
  <c r="G19" s="1"/>
  <c r="G18" s="1"/>
  <c r="G231" i="61"/>
  <c r="H194"/>
  <c r="H193" s="1"/>
  <c r="H192" s="1"/>
  <c r="H234"/>
  <c r="P22" i="69"/>
  <c r="P20" s="1"/>
  <c r="P19" s="1"/>
  <c r="P18" s="1"/>
  <c r="H35" s="1"/>
  <c r="J207" i="85"/>
  <c r="C277"/>
  <c r="C208"/>
  <c r="C278" s="1"/>
  <c r="N208"/>
  <c r="N278" s="1"/>
  <c r="N277"/>
  <c r="R208"/>
  <c r="R278" s="1"/>
  <c r="R277"/>
  <c r="J274"/>
  <c r="O276"/>
  <c r="O139"/>
  <c r="S65"/>
  <c r="M66"/>
  <c r="M69" s="1"/>
  <c r="E274"/>
  <c r="E139"/>
  <c r="K64"/>
  <c r="K69" s="1"/>
  <c r="S63"/>
  <c r="K204"/>
  <c r="S203"/>
  <c r="I204"/>
  <c r="I273"/>
  <c r="Q201"/>
  <c r="Q268"/>
  <c r="S57"/>
  <c r="L58"/>
  <c r="L61" s="1"/>
  <c r="E58"/>
  <c r="J57"/>
  <c r="J58" s="1"/>
  <c r="S127"/>
  <c r="K128"/>
  <c r="K268" s="1"/>
  <c r="F128"/>
  <c r="F131" s="1"/>
  <c r="J127"/>
  <c r="J128" s="1"/>
  <c r="P266"/>
  <c r="P201"/>
  <c r="P271" s="1"/>
  <c r="K261"/>
  <c r="S191"/>
  <c r="K192"/>
  <c r="K262" s="1"/>
  <c r="H261"/>
  <c r="H192"/>
  <c r="H262" s="1"/>
  <c r="R192"/>
  <c r="R262" s="1"/>
  <c r="R261"/>
  <c r="W185"/>
  <c r="L48"/>
  <c r="L53" s="1"/>
  <c r="S47"/>
  <c r="T47" s="1"/>
  <c r="W47" s="1"/>
  <c r="S40"/>
  <c r="T39"/>
  <c r="M32"/>
  <c r="S31"/>
  <c r="T97"/>
  <c r="S160"/>
  <c r="S229"/>
  <c r="J93"/>
  <c r="C96"/>
  <c r="C103" s="1"/>
  <c r="C233"/>
  <c r="F233"/>
  <c r="F96"/>
  <c r="F103" s="1"/>
  <c r="Q233"/>
  <c r="Q96"/>
  <c r="Q103" s="1"/>
  <c r="J23"/>
  <c r="J26" s="1"/>
  <c r="D26"/>
  <c r="D33" s="1"/>
  <c r="S23"/>
  <c r="M26"/>
  <c r="M33" s="1"/>
  <c r="N225"/>
  <c r="N161"/>
  <c r="S154"/>
  <c r="P155"/>
  <c r="P224"/>
  <c r="H183" i="76"/>
  <c r="D37" i="90"/>
  <c r="D38" s="1"/>
  <c r="D41" s="1"/>
  <c r="M123" i="85"/>
  <c r="G232" i="64"/>
  <c r="H116" i="61"/>
  <c r="Q26" i="68"/>
  <c r="M34" i="61"/>
  <c r="D234" i="64"/>
  <c r="D225"/>
  <c r="K227"/>
  <c r="G179" i="61"/>
  <c r="G178" s="1"/>
  <c r="G177" s="1"/>
  <c r="I224"/>
  <c r="I222" s="1"/>
  <c r="H23" i="68"/>
  <c r="H20" s="1"/>
  <c r="H19" s="1"/>
  <c r="H18" s="1"/>
  <c r="P35" s="1"/>
  <c r="O30"/>
  <c r="G150" i="61"/>
  <c r="M84"/>
  <c r="I231"/>
  <c r="O12" i="69"/>
  <c r="M139" i="61"/>
  <c r="M203"/>
  <c r="G194"/>
  <c r="G193" s="1"/>
  <c r="G192" s="1"/>
  <c r="M24"/>
  <c r="E17" i="90"/>
  <c r="E37" s="1"/>
  <c r="E38" s="1"/>
  <c r="E41" s="1"/>
  <c r="K278" i="85"/>
  <c r="L209"/>
  <c r="L279" s="1"/>
  <c r="C206"/>
  <c r="C276" s="1"/>
  <c r="J137"/>
  <c r="J138" s="1"/>
  <c r="M139"/>
  <c r="H274"/>
  <c r="I139"/>
  <c r="R274"/>
  <c r="S199"/>
  <c r="L69"/>
  <c r="G69"/>
  <c r="G201"/>
  <c r="F201"/>
  <c r="F271" s="1"/>
  <c r="U271"/>
  <c r="S133"/>
  <c r="F139"/>
  <c r="F279" s="1"/>
  <c r="Q139"/>
  <c r="I69"/>
  <c r="H209"/>
  <c r="H279" s="1"/>
  <c r="H270"/>
  <c r="P61"/>
  <c r="S121"/>
  <c r="N193"/>
  <c r="N263" s="1"/>
  <c r="S259"/>
  <c r="D61"/>
  <c r="E61"/>
  <c r="O201"/>
  <c r="L261"/>
  <c r="F263"/>
  <c r="U262"/>
  <c r="J119"/>
  <c r="L262"/>
  <c r="F260"/>
  <c r="U260"/>
  <c r="M257"/>
  <c r="O193"/>
  <c r="O263" s="1"/>
  <c r="M53"/>
  <c r="I53"/>
  <c r="I123"/>
  <c r="K183"/>
  <c r="K253" s="1"/>
  <c r="E256"/>
  <c r="J41"/>
  <c r="J42" s="1"/>
  <c r="Q183"/>
  <c r="Q253" s="1"/>
  <c r="G251"/>
  <c r="H252"/>
  <c r="J246"/>
  <c r="P96"/>
  <c r="P103" s="1"/>
  <c r="U21"/>
  <c r="R141"/>
  <c r="C178"/>
  <c r="J177"/>
  <c r="C247"/>
  <c r="J102"/>
  <c r="J242" s="1"/>
  <c r="J241"/>
  <c r="W169"/>
  <c r="W239" s="1"/>
  <c r="M108"/>
  <c r="M113" s="1"/>
  <c r="M245"/>
  <c r="R245"/>
  <c r="R108"/>
  <c r="R113" s="1"/>
  <c r="R253" s="1"/>
  <c r="L245"/>
  <c r="S175"/>
  <c r="L178"/>
  <c r="I245"/>
  <c r="J175"/>
  <c r="I178"/>
  <c r="K173"/>
  <c r="K243" s="1"/>
  <c r="K240"/>
  <c r="M238"/>
  <c r="M100"/>
  <c r="M240" s="1"/>
  <c r="J28"/>
  <c r="C30"/>
  <c r="N30"/>
  <c r="N33" s="1"/>
  <c r="S28"/>
  <c r="T28" s="1"/>
  <c r="W28" s="1"/>
  <c r="T165"/>
  <c r="S235"/>
  <c r="H235"/>
  <c r="H166"/>
  <c r="I166"/>
  <c r="I234"/>
  <c r="E166"/>
  <c r="E233"/>
  <c r="Q160"/>
  <c r="Q230" s="1"/>
  <c r="Q229"/>
  <c r="G90"/>
  <c r="J89"/>
  <c r="J90" s="1"/>
  <c r="F227"/>
  <c r="J157"/>
  <c r="J227" s="1"/>
  <c r="F225"/>
  <c r="F161"/>
  <c r="F226"/>
  <c r="F158"/>
  <c r="F228" s="1"/>
  <c r="K222"/>
  <c r="S82"/>
  <c r="T82" s="1"/>
  <c r="W82" s="1"/>
  <c r="K220"/>
  <c r="S150"/>
  <c r="J108"/>
  <c r="J113" s="1"/>
  <c r="Y113" s="1"/>
  <c r="U108"/>
  <c r="S105"/>
  <c r="U38"/>
  <c r="U43" s="1"/>
  <c r="O38"/>
  <c r="O43" s="1"/>
  <c r="S239"/>
  <c r="L236"/>
  <c r="T25"/>
  <c r="W25" s="1"/>
  <c r="O235"/>
  <c r="P233"/>
  <c r="D91"/>
  <c r="T14"/>
  <c r="W14" s="1"/>
  <c r="F222"/>
  <c r="D108"/>
  <c r="D113" s="1"/>
  <c r="D253" s="1"/>
  <c r="J107"/>
  <c r="T107" s="1"/>
  <c r="W107" s="1"/>
  <c r="G247"/>
  <c r="G108"/>
  <c r="L246"/>
  <c r="S176"/>
  <c r="N102"/>
  <c r="S101"/>
  <c r="S241" s="1"/>
  <c r="C236"/>
  <c r="C173"/>
  <c r="C243" s="1"/>
  <c r="Q166"/>
  <c r="Q234"/>
  <c r="G158"/>
  <c r="G226"/>
  <c r="I224"/>
  <c r="J84"/>
  <c r="J224" s="1"/>
  <c r="F19" i="75"/>
  <c r="V19"/>
  <c r="F274" i="85"/>
  <c r="L273"/>
  <c r="Q204"/>
  <c r="J199"/>
  <c r="L134"/>
  <c r="L139" s="1"/>
  <c r="S197"/>
  <c r="P198"/>
  <c r="P268" s="1"/>
  <c r="N198"/>
  <c r="D198"/>
  <c r="D268" s="1"/>
  <c r="S55"/>
  <c r="C267"/>
  <c r="F267"/>
  <c r="O265"/>
  <c r="O261"/>
  <c r="O190"/>
  <c r="O260" s="1"/>
  <c r="E190"/>
  <c r="I190"/>
  <c r="I260" s="1"/>
  <c r="C259"/>
  <c r="Q259"/>
  <c r="D259"/>
  <c r="R259"/>
  <c r="K248"/>
  <c r="G43"/>
  <c r="U246"/>
  <c r="G240"/>
  <c r="Q239"/>
  <c r="U240"/>
  <c r="S99"/>
  <c r="T99" s="1"/>
  <c r="W99" s="1"/>
  <c r="C237"/>
  <c r="L33"/>
  <c r="O33"/>
  <c r="H33"/>
  <c r="N228"/>
  <c r="J159"/>
  <c r="T159" s="1"/>
  <c r="J19"/>
  <c r="J20" s="1"/>
  <c r="Q21"/>
  <c r="Q71" s="1"/>
  <c r="Q73" s="1"/>
  <c r="O226"/>
  <c r="C91"/>
  <c r="C141" s="1"/>
  <c r="C143" s="1"/>
  <c r="S86"/>
  <c r="O161"/>
  <c r="P21"/>
  <c r="N91"/>
  <c r="N141" s="1"/>
  <c r="N143" s="1"/>
  <c r="N178"/>
  <c r="N247"/>
  <c r="E103"/>
  <c r="E240"/>
  <c r="P173"/>
  <c r="P243" s="1"/>
  <c r="P236"/>
  <c r="U234"/>
  <c r="U166"/>
  <c r="G229"/>
  <c r="G160"/>
  <c r="R158"/>
  <c r="R228" s="1"/>
  <c r="R227"/>
  <c r="I226"/>
  <c r="I88"/>
  <c r="U88"/>
  <c r="U228" s="1"/>
  <c r="U226"/>
  <c r="Q226"/>
  <c r="Q158"/>
  <c r="Q228" s="1"/>
  <c r="S9"/>
  <c r="T9" s="1"/>
  <c r="W9" s="1"/>
  <c r="L15"/>
  <c r="L21" s="1"/>
  <c r="F21" i="68"/>
  <c r="D20"/>
  <c r="D19" s="1"/>
  <c r="D18" s="1"/>
  <c r="R209" i="85"/>
  <c r="R279" s="1"/>
  <c r="E273"/>
  <c r="E269"/>
  <c r="J111"/>
  <c r="J112" s="1"/>
  <c r="H251"/>
  <c r="D251"/>
  <c r="S109"/>
  <c r="J109"/>
  <c r="J110" s="1"/>
  <c r="U180"/>
  <c r="R249"/>
  <c r="I43"/>
  <c r="S37"/>
  <c r="S106"/>
  <c r="T106" s="1"/>
  <c r="W106" s="1"/>
  <c r="J36"/>
  <c r="J38" s="1"/>
  <c r="J43" s="1"/>
  <c r="Y43" s="1"/>
  <c r="H246"/>
  <c r="U245"/>
  <c r="G243"/>
  <c r="N242"/>
  <c r="N100"/>
  <c r="S168"/>
  <c r="J100"/>
  <c r="F240"/>
  <c r="E237"/>
  <c r="K33"/>
  <c r="R26"/>
  <c r="R33" s="1"/>
  <c r="P33"/>
  <c r="L88"/>
  <c r="L228" s="1"/>
  <c r="N21"/>
  <c r="S16"/>
  <c r="H18"/>
  <c r="P18"/>
  <c r="L224"/>
  <c r="M91"/>
  <c r="U91"/>
  <c r="S13"/>
  <c r="T13" s="1"/>
  <c r="W13" s="1"/>
  <c r="D21"/>
  <c r="H21"/>
  <c r="H71" s="1"/>
  <c r="H73" s="1"/>
  <c r="M15"/>
  <c r="M21" s="1"/>
  <c r="R21"/>
  <c r="L20" i="68"/>
  <c r="N21"/>
  <c r="N22" i="69"/>
  <c r="M20"/>
  <c r="H75" i="76"/>
  <c r="G73"/>
  <c r="G224"/>
  <c r="C11" i="75"/>
  <c r="G41" i="76"/>
  <c r="H41" s="1"/>
  <c r="G220" i="118"/>
  <c r="H220" s="1"/>
  <c r="F41" i="61"/>
  <c r="F47" i="76"/>
  <c r="H47" s="1"/>
  <c r="F47" i="61"/>
  <c r="D44"/>
  <c r="E117" i="76"/>
  <c r="K14" i="68"/>
  <c r="F119" i="61"/>
  <c r="D116"/>
  <c r="F119" i="76"/>
  <c r="E153"/>
  <c r="E150" s="1"/>
  <c r="C150" i="61"/>
  <c r="F154"/>
  <c r="G199" i="117"/>
  <c r="H199" s="1"/>
  <c r="G154" i="76"/>
  <c r="E150" i="61"/>
  <c r="K108" i="85"/>
  <c r="K113" s="1"/>
  <c r="F245"/>
  <c r="O100"/>
  <c r="O240" s="1"/>
  <c r="J167"/>
  <c r="J95"/>
  <c r="D96"/>
  <c r="D103" s="1"/>
  <c r="S93"/>
  <c r="T19"/>
  <c r="S156"/>
  <c r="S152"/>
  <c r="I222"/>
  <c r="E221"/>
  <c r="E221" i="76"/>
  <c r="C20" i="68"/>
  <c r="C19" s="1"/>
  <c r="C18" s="1"/>
  <c r="L20" i="69"/>
  <c r="L19" s="1"/>
  <c r="L18" s="1"/>
  <c r="F116" i="76"/>
  <c r="D20" i="69"/>
  <c r="D19" s="1"/>
  <c r="D18" s="1"/>
  <c r="L35" s="1"/>
  <c r="F21"/>
  <c r="F22"/>
  <c r="E20"/>
  <c r="G242" i="76"/>
  <c r="E49"/>
  <c r="E44" s="1"/>
  <c r="C44" i="61"/>
  <c r="G53" i="76"/>
  <c r="G52" i="118"/>
  <c r="H52" s="1"/>
  <c r="E51" i="61"/>
  <c r="F53"/>
  <c r="E121" i="76"/>
  <c r="E116" s="1"/>
  <c r="C116" i="61"/>
  <c r="AA350" i="116"/>
  <c r="AB350" s="1"/>
  <c r="F160" i="61"/>
  <c r="M106" i="78"/>
  <c r="G160" i="76"/>
  <c r="H160" s="1"/>
  <c r="M12" i="69"/>
  <c r="E162" i="76"/>
  <c r="E159" s="1"/>
  <c r="C159" i="61"/>
  <c r="L172" i="85"/>
  <c r="L242" s="1"/>
  <c r="Q172"/>
  <c r="Q242" s="1"/>
  <c r="M172"/>
  <c r="M242" s="1"/>
  <c r="J86"/>
  <c r="J88" s="1"/>
  <c r="S83"/>
  <c r="T83" s="1"/>
  <c r="W83" s="1"/>
  <c r="I223"/>
  <c r="I221"/>
  <c r="T10"/>
  <c r="W10" s="1"/>
  <c r="H226" i="76"/>
  <c r="K20" i="68"/>
  <c r="K19" s="1"/>
  <c r="K18" s="1"/>
  <c r="C35" s="1"/>
  <c r="C20" i="69"/>
  <c r="C19" s="1"/>
  <c r="C18" s="1"/>
  <c r="K35" s="1"/>
  <c r="K20"/>
  <c r="K19" s="1"/>
  <c r="K18" s="1"/>
  <c r="H185" i="76"/>
  <c r="M20" i="68"/>
  <c r="M221" i="85"/>
  <c r="S151"/>
  <c r="G222" i="76"/>
  <c r="N219" i="85"/>
  <c r="S79"/>
  <c r="J149"/>
  <c r="J219" s="1"/>
  <c r="C219"/>
  <c r="H13" i="76"/>
  <c r="F12"/>
  <c r="F11" s="1"/>
  <c r="F16" i="61"/>
  <c r="F16" i="76"/>
  <c r="H16" s="1"/>
  <c r="D12" i="61"/>
  <c r="D11" s="1"/>
  <c r="G12" i="118"/>
  <c r="H12" s="1"/>
  <c r="F17" i="61"/>
  <c r="G17" i="76"/>
  <c r="H17" s="1"/>
  <c r="F22"/>
  <c r="H22" s="1"/>
  <c r="F22" i="61"/>
  <c r="E69" i="76"/>
  <c r="E64" s="1"/>
  <c r="C64" i="61"/>
  <c r="G16" i="120"/>
  <c r="H16" s="1"/>
  <c r="E73" i="61"/>
  <c r="F75"/>
  <c r="E22" i="68"/>
  <c r="G20" i="120"/>
  <c r="H20" s="1"/>
  <c r="F92" i="61"/>
  <c r="E88"/>
  <c r="E24" i="69"/>
  <c r="F24" s="1"/>
  <c r="G92" i="76"/>
  <c r="G99" i="117"/>
  <c r="H99" s="1"/>
  <c r="F129" i="61"/>
  <c r="G129" i="76"/>
  <c r="E123" i="61"/>
  <c r="M17" i="68"/>
  <c r="G139" i="76"/>
  <c r="H139" s="1"/>
  <c r="AA348" i="116"/>
  <c r="AB348" s="1"/>
  <c r="E167" i="76"/>
  <c r="C165" i="61"/>
  <c r="F180" i="76"/>
  <c r="D179" i="61"/>
  <c r="D178" s="1"/>
  <c r="F180"/>
  <c r="S11" i="85"/>
  <c r="T11" s="1"/>
  <c r="W11" s="1"/>
  <c r="O219"/>
  <c r="H27" i="76"/>
  <c r="E29"/>
  <c r="C25" i="61"/>
  <c r="C58"/>
  <c r="C50" s="1"/>
  <c r="E59" i="76"/>
  <c r="E58" s="1"/>
  <c r="E50" s="1"/>
  <c r="D58" i="61"/>
  <c r="F60" i="76"/>
  <c r="H60" s="1"/>
  <c r="F60" i="61"/>
  <c r="F63"/>
  <c r="G233" i="118"/>
  <c r="H233" s="1"/>
  <c r="G63" i="76"/>
  <c r="H63" s="1"/>
  <c r="F66" i="61"/>
  <c r="E64"/>
  <c r="G262" i="118"/>
  <c r="H262" s="1"/>
  <c r="G66" i="76"/>
  <c r="F76" i="61"/>
  <c r="F76" i="76"/>
  <c r="F223" s="1"/>
  <c r="H223" s="1"/>
  <c r="F83" i="61"/>
  <c r="G34" i="120"/>
  <c r="H34" s="1"/>
  <c r="E30" i="68"/>
  <c r="F30" s="1"/>
  <c r="G83" i="76"/>
  <c r="H83" s="1"/>
  <c r="F93" i="61"/>
  <c r="F93" i="76"/>
  <c r="G27" i="120"/>
  <c r="H27" s="1"/>
  <c r="G97" i="76"/>
  <c r="H97" s="1"/>
  <c r="E116" i="61"/>
  <c r="G122" i="76"/>
  <c r="G64" i="117"/>
  <c r="H64" s="1"/>
  <c r="F128" i="76"/>
  <c r="H128" s="1"/>
  <c r="F128" i="61"/>
  <c r="F134" i="76"/>
  <c r="H134" s="1"/>
  <c r="F134" i="61"/>
  <c r="D146"/>
  <c r="D132" s="1"/>
  <c r="F148" i="76"/>
  <c r="H148" s="1"/>
  <c r="F148" i="61"/>
  <c r="F163"/>
  <c r="G207" i="117"/>
  <c r="H207" s="1"/>
  <c r="G163" i="76"/>
  <c r="E159" i="61"/>
  <c r="E165"/>
  <c r="G168" i="76"/>
  <c r="G222" i="117"/>
  <c r="H222" s="1"/>
  <c r="D165" i="61"/>
  <c r="F171" i="76"/>
  <c r="E227"/>
  <c r="E225" s="1"/>
  <c r="E179"/>
  <c r="E178" s="1"/>
  <c r="E177" s="1"/>
  <c r="F187"/>
  <c r="H187" s="1"/>
  <c r="F187" i="61"/>
  <c r="G27" i="119"/>
  <c r="I27" s="1"/>
  <c r="N185" i="64"/>
  <c r="O10" i="127"/>
  <c r="E179" i="64"/>
  <c r="F58" i="76"/>
  <c r="H198"/>
  <c r="H28"/>
  <c r="H130"/>
  <c r="H118"/>
  <c r="H38"/>
  <c r="E25"/>
  <c r="F146"/>
  <c r="E165"/>
  <c r="E232"/>
  <c r="D23" i="75"/>
  <c r="L69" i="78"/>
  <c r="L70" s="1"/>
  <c r="AN334" i="84"/>
  <c r="AN335" s="1"/>
  <c r="I62" i="77"/>
  <c r="J62" s="1"/>
  <c r="G15" i="76"/>
  <c r="F15" i="61"/>
  <c r="E12"/>
  <c r="F18"/>
  <c r="F18" i="76"/>
  <c r="H18" s="1"/>
  <c r="F21" i="61"/>
  <c r="G17" i="118"/>
  <c r="H17" s="1"/>
  <c r="G21" i="76"/>
  <c r="H21" s="1"/>
  <c r="G26"/>
  <c r="G98" i="118"/>
  <c r="H98" s="1"/>
  <c r="F30" i="61"/>
  <c r="G169" i="118"/>
  <c r="H169" s="1"/>
  <c r="E33" i="76"/>
  <c r="E32" s="1"/>
  <c r="C32" i="61"/>
  <c r="D32"/>
  <c r="F34" i="76"/>
  <c r="F34" i="61"/>
  <c r="F37"/>
  <c r="G203" i="118"/>
  <c r="H203" s="1"/>
  <c r="G46" i="76"/>
  <c r="G236" i="118"/>
  <c r="H236" s="1"/>
  <c r="F46" i="61"/>
  <c r="E44"/>
  <c r="D73"/>
  <c r="D72" s="1"/>
  <c r="F74" i="76"/>
  <c r="F84"/>
  <c r="H84" s="1"/>
  <c r="F84" i="61"/>
  <c r="F89"/>
  <c r="F89" i="76"/>
  <c r="F130"/>
  <c r="F130" i="61"/>
  <c r="E136" i="76"/>
  <c r="E132" s="1"/>
  <c r="C132" i="61"/>
  <c r="G137" i="76"/>
  <c r="H137" s="1"/>
  <c r="G144" i="117"/>
  <c r="H144" s="1"/>
  <c r="F140" i="61"/>
  <c r="F140" i="76"/>
  <c r="X349" i="116"/>
  <c r="Y349" s="1"/>
  <c r="F151" i="76"/>
  <c r="H151" s="1"/>
  <c r="L67" i="78"/>
  <c r="F151" i="61"/>
  <c r="F155" i="76"/>
  <c r="H155" s="1"/>
  <c r="F155" i="61"/>
  <c r="F161"/>
  <c r="F161" i="76"/>
  <c r="K38" i="79"/>
  <c r="L38" s="1"/>
  <c r="F169" i="61"/>
  <c r="G233" i="117"/>
  <c r="H233" s="1"/>
  <c r="F174" i="61"/>
  <c r="G259" i="117"/>
  <c r="H259" s="1"/>
  <c r="G174" i="76"/>
  <c r="H174" s="1"/>
  <c r="F203" i="61"/>
  <c r="G33" i="119"/>
  <c r="H33" s="1"/>
  <c r="G203" i="76"/>
  <c r="H203" s="1"/>
  <c r="D242" i="61"/>
  <c r="F242" s="1"/>
  <c r="F241"/>
  <c r="F241" i="76"/>
  <c r="H241" s="1"/>
  <c r="H138"/>
  <c r="H31"/>
  <c r="H93"/>
  <c r="H173"/>
  <c r="H171"/>
  <c r="F51"/>
  <c r="E194"/>
  <c r="E193" s="1"/>
  <c r="E192" s="1"/>
  <c r="C12" i="61"/>
  <c r="C11" s="1"/>
  <c r="E13" i="76"/>
  <c r="E12" s="1"/>
  <c r="E11" s="1"/>
  <c r="G59"/>
  <c r="G226" i="118"/>
  <c r="H226" s="1"/>
  <c r="F59" i="61"/>
  <c r="E58"/>
  <c r="F67"/>
  <c r="F67" i="76"/>
  <c r="H67" s="1"/>
  <c r="D64" i="61"/>
  <c r="C88"/>
  <c r="C87" s="1"/>
  <c r="E91" i="76"/>
  <c r="C110" i="61"/>
  <c r="E113" i="76"/>
  <c r="E110" s="1"/>
  <c r="F124"/>
  <c r="D123" i="61"/>
  <c r="C123"/>
  <c r="E126" i="76"/>
  <c r="E123" s="1"/>
  <c r="F127" i="61"/>
  <c r="G79" i="117"/>
  <c r="H79" s="1"/>
  <c r="F133" i="61"/>
  <c r="G126" i="117"/>
  <c r="H126" s="1"/>
  <c r="G133" i="76"/>
  <c r="G155" i="117"/>
  <c r="H155" s="1"/>
  <c r="F138" i="61"/>
  <c r="K14" i="79"/>
  <c r="L14" s="1"/>
  <c r="G143" i="76"/>
  <c r="H143" s="1"/>
  <c r="G181" i="117"/>
  <c r="H181" s="1"/>
  <c r="G158" i="76"/>
  <c r="H158" s="1"/>
  <c r="G203" i="117"/>
  <c r="H203" s="1"/>
  <c r="F164" i="61"/>
  <c r="F164" i="76"/>
  <c r="H164" s="1"/>
  <c r="AA351" i="116"/>
  <c r="AB351" s="1"/>
  <c r="F170" i="61"/>
  <c r="F175"/>
  <c r="G260" i="117"/>
  <c r="H260" s="1"/>
  <c r="G175" i="76"/>
  <c r="H175" s="1"/>
  <c r="E179" i="61"/>
  <c r="F183"/>
  <c r="G26" i="119"/>
  <c r="H26" s="1"/>
  <c r="F186" i="61"/>
  <c r="G29" i="119"/>
  <c r="H29" s="1"/>
  <c r="G186" i="76"/>
  <c r="H186" s="1"/>
  <c r="G43" i="119"/>
  <c r="H43" s="1"/>
  <c r="F190" i="61"/>
  <c r="M31" i="68"/>
  <c r="N31" s="1"/>
  <c r="G190" i="76"/>
  <c r="H190" s="1"/>
  <c r="G196"/>
  <c r="E194" i="61"/>
  <c r="F200"/>
  <c r="F200" i="76"/>
  <c r="F204" i="61"/>
  <c r="F204" i="76"/>
  <c r="H204" s="1"/>
  <c r="F150"/>
  <c r="H30"/>
  <c r="H81"/>
  <c r="H37"/>
  <c r="H205"/>
  <c r="H191"/>
  <c r="H119"/>
  <c r="H140"/>
  <c r="F242"/>
  <c r="E73"/>
  <c r="E72" s="1"/>
  <c r="E71" s="1"/>
  <c r="F165"/>
  <c r="H195"/>
  <c r="W159" i="85" l="1"/>
  <c r="T160"/>
  <c r="F232" i="61"/>
  <c r="D228"/>
  <c r="F228" s="1"/>
  <c r="G221"/>
  <c r="M222"/>
  <c r="K141" i="85"/>
  <c r="K143" s="1"/>
  <c r="E109" i="76"/>
  <c r="L16" i="68"/>
  <c r="AF334" i="84"/>
  <c r="AF335" s="1"/>
  <c r="D22" i="75"/>
  <c r="H35" i="68"/>
  <c r="E178" i="61"/>
  <c r="F179"/>
  <c r="M179"/>
  <c r="AR331" i="84"/>
  <c r="AR332" s="1"/>
  <c r="D13" i="69"/>
  <c r="D13" i="75"/>
  <c r="G44" i="76"/>
  <c r="H46"/>
  <c r="C15" i="68"/>
  <c r="C10" i="75"/>
  <c r="AA331" i="84"/>
  <c r="AA332" s="1"/>
  <c r="T93" i="85"/>
  <c r="S96"/>
  <c r="T16"/>
  <c r="S18"/>
  <c r="T109"/>
  <c r="S110"/>
  <c r="T55"/>
  <c r="S56"/>
  <c r="G161"/>
  <c r="G228"/>
  <c r="D221" i="64"/>
  <c r="F225"/>
  <c r="O15" i="68"/>
  <c r="O8" s="1"/>
  <c r="G109" i="61"/>
  <c r="S234" i="85"/>
  <c r="T164"/>
  <c r="T41"/>
  <c r="S42"/>
  <c r="O270"/>
  <c r="O131"/>
  <c r="S118"/>
  <c r="T115"/>
  <c r="L173"/>
  <c r="L243" s="1"/>
  <c r="L240"/>
  <c r="J217"/>
  <c r="J155"/>
  <c r="C161"/>
  <c r="C225"/>
  <c r="S218"/>
  <c r="T148"/>
  <c r="C27" i="75"/>
  <c r="C192" i="61"/>
  <c r="J275" i="85"/>
  <c r="J206"/>
  <c r="I33" i="69"/>
  <c r="H133" i="76"/>
  <c r="F123"/>
  <c r="H124"/>
  <c r="C15" i="75"/>
  <c r="C86" i="61"/>
  <c r="E12" i="75"/>
  <c r="E11" i="69"/>
  <c r="F11" s="1"/>
  <c r="F58" i="61"/>
  <c r="AP331" i="84" s="1"/>
  <c r="AP332" s="1"/>
  <c r="AO331"/>
  <c r="AO332" s="1"/>
  <c r="M58" i="61"/>
  <c r="H161" i="76"/>
  <c r="F159"/>
  <c r="AE334" i="84"/>
  <c r="AE335" s="1"/>
  <c r="K16" i="68"/>
  <c r="C22" i="75"/>
  <c r="F88" i="76"/>
  <c r="F87" s="1"/>
  <c r="F86" s="1"/>
  <c r="F231"/>
  <c r="F229" s="1"/>
  <c r="H89"/>
  <c r="F73"/>
  <c r="F72" s="1"/>
  <c r="F71" s="1"/>
  <c r="H74"/>
  <c r="F224"/>
  <c r="H224" s="1"/>
  <c r="H26"/>
  <c r="G25"/>
  <c r="H25" s="1"/>
  <c r="H15"/>
  <c r="G12"/>
  <c r="H168"/>
  <c r="G165"/>
  <c r="H165" s="1"/>
  <c r="M13" i="68"/>
  <c r="E109" i="61"/>
  <c r="E20" i="75"/>
  <c r="F116" i="61"/>
  <c r="Z334" i="84" s="1"/>
  <c r="Z335" s="1"/>
  <c r="Y334"/>
  <c r="Y335" s="1"/>
  <c r="M116" i="61"/>
  <c r="D50"/>
  <c r="AN331" i="84"/>
  <c r="AN332" s="1"/>
  <c r="D11" i="69"/>
  <c r="D8" s="1"/>
  <c r="D12" i="75"/>
  <c r="D177" i="61"/>
  <c r="D26" i="75"/>
  <c r="H129" i="76"/>
  <c r="G123"/>
  <c r="H123" s="1"/>
  <c r="E20" i="68"/>
  <c r="F22"/>
  <c r="C13" i="75"/>
  <c r="AQ331" i="84"/>
  <c r="AQ332" s="1"/>
  <c r="C13" i="69"/>
  <c r="AQ334" i="84"/>
  <c r="AQ335" s="1"/>
  <c r="C24" i="75"/>
  <c r="K11" i="69"/>
  <c r="M81" i="78"/>
  <c r="M82" s="1"/>
  <c r="M107"/>
  <c r="H53" i="76"/>
  <c r="G51"/>
  <c r="T20" i="85"/>
  <c r="W19"/>
  <c r="W20" s="1"/>
  <c r="J170"/>
  <c r="J240" s="1"/>
  <c r="J237"/>
  <c r="E23" i="75"/>
  <c r="M9" i="69"/>
  <c r="AO334" i="84"/>
  <c r="AO335" s="1"/>
  <c r="E149" i="61"/>
  <c r="F150"/>
  <c r="AP334" i="84" s="1"/>
  <c r="AP335" s="1"/>
  <c r="M69" i="78"/>
  <c r="M70" s="1"/>
  <c r="M150" i="61"/>
  <c r="C23" i="75"/>
  <c r="AM334" i="84"/>
  <c r="AM335" s="1"/>
  <c r="K9" i="69"/>
  <c r="C149" i="61"/>
  <c r="T37" i="85"/>
  <c r="W37" s="1"/>
  <c r="S38"/>
  <c r="I228"/>
  <c r="I91"/>
  <c r="I141" s="1"/>
  <c r="I143" s="1"/>
  <c r="T86"/>
  <c r="S88"/>
  <c r="Q209"/>
  <c r="Q279" s="1"/>
  <c r="Q274"/>
  <c r="T176"/>
  <c r="S246"/>
  <c r="U248"/>
  <c r="U113"/>
  <c r="U141" s="1"/>
  <c r="U143" s="1"/>
  <c r="T150"/>
  <c r="S220"/>
  <c r="H236"/>
  <c r="H173"/>
  <c r="H243" s="1"/>
  <c r="I183"/>
  <c r="I253" s="1"/>
  <c r="I248"/>
  <c r="S245"/>
  <c r="S178"/>
  <c r="T175"/>
  <c r="C183"/>
  <c r="C253" s="1"/>
  <c r="C248"/>
  <c r="S122"/>
  <c r="T121"/>
  <c r="S134"/>
  <c r="T133"/>
  <c r="N231"/>
  <c r="W39"/>
  <c r="W40" s="1"/>
  <c r="T40"/>
  <c r="K209"/>
  <c r="K279" s="1"/>
  <c r="K274"/>
  <c r="T135"/>
  <c r="S136"/>
  <c r="M173"/>
  <c r="M236"/>
  <c r="S247"/>
  <c r="T177"/>
  <c r="S182"/>
  <c r="S252" s="1"/>
  <c r="S251"/>
  <c r="T181"/>
  <c r="Q258"/>
  <c r="Q193"/>
  <c r="K266"/>
  <c r="K201"/>
  <c r="K271" s="1"/>
  <c r="T249"/>
  <c r="W179"/>
  <c r="T180"/>
  <c r="S130"/>
  <c r="T129"/>
  <c r="F236"/>
  <c r="F173"/>
  <c r="F243" s="1"/>
  <c r="F222" i="61"/>
  <c r="D221"/>
  <c r="S30" i="85"/>
  <c r="T27"/>
  <c r="E250"/>
  <c r="E183"/>
  <c r="E253" s="1"/>
  <c r="R225"/>
  <c r="R161"/>
  <c r="G225"/>
  <c r="G91"/>
  <c r="L225"/>
  <c r="L161"/>
  <c r="T77"/>
  <c r="S85"/>
  <c r="K161"/>
  <c r="K225"/>
  <c r="G194" i="117"/>
  <c r="H194" s="1"/>
  <c r="F146" i="61"/>
  <c r="E132"/>
  <c r="M146"/>
  <c r="F25"/>
  <c r="V331" i="84" s="1"/>
  <c r="V332" s="1"/>
  <c r="T331"/>
  <c r="T332" s="1"/>
  <c r="D8" i="75"/>
  <c r="F8" s="1"/>
  <c r="D11" i="68"/>
  <c r="F11" s="1"/>
  <c r="S256" i="85"/>
  <c r="S188"/>
  <c r="T186"/>
  <c r="P34" i="69"/>
  <c r="H33"/>
  <c r="H37" s="1"/>
  <c r="H33" i="68"/>
  <c r="E220" i="76"/>
  <c r="O103" i="85"/>
  <c r="O141" s="1"/>
  <c r="M231" i="61"/>
  <c r="S250" i="85"/>
  <c r="K131"/>
  <c r="M227" i="61"/>
  <c r="E10" i="76"/>
  <c r="F132"/>
  <c r="K35" i="68"/>
  <c r="M71" i="85"/>
  <c r="M73" s="1"/>
  <c r="G230"/>
  <c r="T84"/>
  <c r="W84" s="1"/>
  <c r="L274"/>
  <c r="J96"/>
  <c r="J103" s="1"/>
  <c r="Y103" s="1"/>
  <c r="S100"/>
  <c r="D53"/>
  <c r="S255"/>
  <c r="S166"/>
  <c r="R193"/>
  <c r="R263" s="1"/>
  <c r="R271"/>
  <c r="C209"/>
  <c r="C279" s="1"/>
  <c r="G131"/>
  <c r="I207" i="61"/>
  <c r="R236" i="85"/>
  <c r="J249"/>
  <c r="J262"/>
  <c r="F141"/>
  <c r="F234" i="76"/>
  <c r="D201" i="85"/>
  <c r="D271" s="1"/>
  <c r="J139"/>
  <c r="Y139" s="1"/>
  <c r="Q123"/>
  <c r="Q141" s="1"/>
  <c r="Q143" s="1"/>
  <c r="Q35" i="68"/>
  <c r="F192" i="64"/>
  <c r="C9" i="68"/>
  <c r="C8" s="1"/>
  <c r="O331" i="84"/>
  <c r="O332" s="1"/>
  <c r="C7" i="75"/>
  <c r="C10" i="61"/>
  <c r="L68" i="78"/>
  <c r="L26"/>
  <c r="L27" s="1"/>
  <c r="D14" i="75"/>
  <c r="D71" i="61"/>
  <c r="F32" i="76"/>
  <c r="H34"/>
  <c r="E25" i="75"/>
  <c r="M13" i="69"/>
  <c r="L132" i="78"/>
  <c r="M132" s="1"/>
  <c r="F165" i="61"/>
  <c r="AX334" i="84" s="1"/>
  <c r="AX335" s="1"/>
  <c r="AW334"/>
  <c r="AW335" s="1"/>
  <c r="M165" i="61"/>
  <c r="AS331" i="84"/>
  <c r="AS332" s="1"/>
  <c r="F64" i="61"/>
  <c r="AT331" i="84" s="1"/>
  <c r="AT332" s="1"/>
  <c r="E13" i="75"/>
  <c r="E13" i="69"/>
  <c r="F13" s="1"/>
  <c r="M64" i="61"/>
  <c r="H154" i="76"/>
  <c r="G150"/>
  <c r="S267" i="85"/>
  <c r="S198"/>
  <c r="S268" s="1"/>
  <c r="T197"/>
  <c r="J245"/>
  <c r="J178"/>
  <c r="T100"/>
  <c r="W97"/>
  <c r="W100" s="1"/>
  <c r="J233"/>
  <c r="J166"/>
  <c r="M248"/>
  <c r="M183"/>
  <c r="M253" s="1"/>
  <c r="F252"/>
  <c r="F183"/>
  <c r="F253" s="1"/>
  <c r="S265"/>
  <c r="T195"/>
  <c r="S196"/>
  <c r="Q266"/>
  <c r="Q131"/>
  <c r="Q271" s="1"/>
  <c r="Q9" i="69"/>
  <c r="Q8" s="1"/>
  <c r="I149" i="61"/>
  <c r="I215" s="1"/>
  <c r="Q231" i="85"/>
  <c r="Y91"/>
  <c r="S217"/>
  <c r="T147"/>
  <c r="S155"/>
  <c r="Y331" i="84"/>
  <c r="Y332" s="1"/>
  <c r="F32" i="61"/>
  <c r="Z331" i="84" s="1"/>
  <c r="Z332" s="1"/>
  <c r="E13" i="68"/>
  <c r="F13" s="1"/>
  <c r="E9" i="75"/>
  <c r="M32" i="61"/>
  <c r="J266" i="85"/>
  <c r="T112"/>
  <c r="W111"/>
  <c r="W112" s="1"/>
  <c r="H70" i="61"/>
  <c r="H102" s="1"/>
  <c r="H38" i="69" s="1"/>
  <c r="F233" i="76"/>
  <c r="H200"/>
  <c r="H196"/>
  <c r="G194"/>
  <c r="G234"/>
  <c r="L15" i="68"/>
  <c r="AB334" i="84"/>
  <c r="AB335" s="1"/>
  <c r="D21" i="75"/>
  <c r="E88" i="76"/>
  <c r="E87" s="1"/>
  <c r="E86" s="1"/>
  <c r="E230"/>
  <c r="E229" s="1"/>
  <c r="E228" s="1"/>
  <c r="G58"/>
  <c r="H58" s="1"/>
  <c r="H59"/>
  <c r="W331" i="84"/>
  <c r="W332" s="1"/>
  <c r="C9" i="75"/>
  <c r="C13" i="68"/>
  <c r="H163" i="76"/>
  <c r="G159"/>
  <c r="H159" s="1"/>
  <c r="H122"/>
  <c r="G116"/>
  <c r="H66"/>
  <c r="G64"/>
  <c r="C8" i="75"/>
  <c r="S331" i="84"/>
  <c r="S332" s="1"/>
  <c r="C11" i="68"/>
  <c r="E21" i="75"/>
  <c r="AC334" i="84"/>
  <c r="AC335" s="1"/>
  <c r="M15" i="68"/>
  <c r="F123" i="61"/>
  <c r="AD334" i="84" s="1"/>
  <c r="AD335" s="1"/>
  <c r="M123" i="61"/>
  <c r="H92" i="76"/>
  <c r="G231"/>
  <c r="G88"/>
  <c r="D9" i="68"/>
  <c r="D8" s="1"/>
  <c r="D7" i="75"/>
  <c r="D10" i="61"/>
  <c r="P331" i="84"/>
  <c r="P332" s="1"/>
  <c r="W334"/>
  <c r="W335" s="1"/>
  <c r="K13" i="68"/>
  <c r="C20" i="75"/>
  <c r="S226" i="85"/>
  <c r="T156"/>
  <c r="S158"/>
  <c r="S228" s="1"/>
  <c r="L13" i="68"/>
  <c r="L8" s="1"/>
  <c r="D109" i="61"/>
  <c r="X334" i="84"/>
  <c r="X335" s="1"/>
  <c r="D20" i="75"/>
  <c r="D15" i="68"/>
  <c r="AB331" i="84"/>
  <c r="AB332" s="1"/>
  <c r="D10" i="75"/>
  <c r="M19" i="69"/>
  <c r="N20"/>
  <c r="S238" i="85"/>
  <c r="T168"/>
  <c r="U250"/>
  <c r="U183"/>
  <c r="O231"/>
  <c r="O211"/>
  <c r="E193"/>
  <c r="E260"/>
  <c r="N268"/>
  <c r="N201"/>
  <c r="N271" s="1"/>
  <c r="J200"/>
  <c r="J270" s="1"/>
  <c r="J269"/>
  <c r="Q236"/>
  <c r="Q173"/>
  <c r="Q243" s="1"/>
  <c r="T105"/>
  <c r="S108"/>
  <c r="I236"/>
  <c r="I173"/>
  <c r="I243" s="1"/>
  <c r="W165"/>
  <c r="L248"/>
  <c r="L183"/>
  <c r="L253" s="1"/>
  <c r="J259"/>
  <c r="J120"/>
  <c r="J260" s="1"/>
  <c r="T119"/>
  <c r="G149" i="61"/>
  <c r="O9" i="69"/>
  <c r="O8" s="1"/>
  <c r="T154" i="85"/>
  <c r="S224"/>
  <c r="T23"/>
  <c r="S26"/>
  <c r="T191"/>
  <c r="S192"/>
  <c r="S261"/>
  <c r="T203"/>
  <c r="S273"/>
  <c r="S204"/>
  <c r="H232" i="61"/>
  <c r="M232" s="1"/>
  <c r="M234"/>
  <c r="J118" i="85"/>
  <c r="J123" s="1"/>
  <c r="Y123" s="1"/>
  <c r="J255"/>
  <c r="U193"/>
  <c r="U263" s="1"/>
  <c r="U258"/>
  <c r="U276"/>
  <c r="U209"/>
  <c r="U279" s="1"/>
  <c r="J182"/>
  <c r="J252" s="1"/>
  <c r="J251"/>
  <c r="P183"/>
  <c r="P253" s="1"/>
  <c r="P252"/>
  <c r="D258"/>
  <c r="D193"/>
  <c r="L266"/>
  <c r="L201"/>
  <c r="L271" s="1"/>
  <c r="M266"/>
  <c r="M131"/>
  <c r="M271" s="1"/>
  <c r="S138"/>
  <c r="S278" s="1"/>
  <c r="T137"/>
  <c r="S277"/>
  <c r="M225"/>
  <c r="M161"/>
  <c r="S227"/>
  <c r="T157"/>
  <c r="E123"/>
  <c r="E141" s="1"/>
  <c r="E143" s="1"/>
  <c r="E258"/>
  <c r="M230" i="61"/>
  <c r="G229"/>
  <c r="H193" i="85"/>
  <c r="H263" s="1"/>
  <c r="H258"/>
  <c r="N240"/>
  <c r="N173"/>
  <c r="N243" s="1"/>
  <c r="S170"/>
  <c r="S240" s="1"/>
  <c r="S237"/>
  <c r="T167"/>
  <c r="T7"/>
  <c r="S15"/>
  <c r="S21" s="1"/>
  <c r="E225"/>
  <c r="E161"/>
  <c r="H33" i="76"/>
  <c r="G32"/>
  <c r="H32" s="1"/>
  <c r="S90" i="85"/>
  <c r="T89"/>
  <c r="T229" s="1"/>
  <c r="W187"/>
  <c r="W257" s="1"/>
  <c r="T257"/>
  <c r="S50"/>
  <c r="T49"/>
  <c r="S68"/>
  <c r="T67"/>
  <c r="I33" i="68"/>
  <c r="F109" i="76"/>
  <c r="S249" i="85"/>
  <c r="H229" i="61"/>
  <c r="D123" i="85"/>
  <c r="H215" i="61"/>
  <c r="I109"/>
  <c r="I176" s="1"/>
  <c r="I208" s="1"/>
  <c r="Q38" i="69" s="1"/>
  <c r="F64" i="76"/>
  <c r="F50" s="1"/>
  <c r="F215" s="1"/>
  <c r="H197"/>
  <c r="E207"/>
  <c r="C35" i="69"/>
  <c r="H242" i="76"/>
  <c r="D35" i="69"/>
  <c r="R71" i="85"/>
  <c r="N236"/>
  <c r="T149"/>
  <c r="R248"/>
  <c r="J158"/>
  <c r="J228" s="1"/>
  <c r="T239"/>
  <c r="J247"/>
  <c r="O271"/>
  <c r="G271"/>
  <c r="G207" i="61"/>
  <c r="G227" i="76"/>
  <c r="S230" i="85"/>
  <c r="C21"/>
  <c r="J267"/>
  <c r="J235"/>
  <c r="F193" i="64"/>
  <c r="T163" i="85"/>
  <c r="K71"/>
  <c r="K73" s="1"/>
  <c r="E279"/>
  <c r="M224" i="61"/>
  <c r="G20" i="68"/>
  <c r="G19" s="1"/>
  <c r="G18" s="1"/>
  <c r="R243" i="85"/>
  <c r="H248"/>
  <c r="J15"/>
  <c r="J21" s="1"/>
  <c r="L91"/>
  <c r="L141" s="1"/>
  <c r="L143" s="1"/>
  <c r="D266"/>
  <c r="I35" i="69"/>
  <c r="K221" i="64"/>
  <c r="E178"/>
  <c r="K179"/>
  <c r="F179"/>
  <c r="F227" i="76"/>
  <c r="F225" s="1"/>
  <c r="F179"/>
  <c r="F178" s="1"/>
  <c r="F177" s="1"/>
  <c r="F207" s="1"/>
  <c r="H180"/>
  <c r="E87" i="61"/>
  <c r="F88"/>
  <c r="M88"/>
  <c r="N20" i="68"/>
  <c r="M19"/>
  <c r="F20" i="69"/>
  <c r="E19"/>
  <c r="G72" i="76"/>
  <c r="H73"/>
  <c r="N248" i="85"/>
  <c r="N183"/>
  <c r="N253" s="1"/>
  <c r="J229"/>
  <c r="J160"/>
  <c r="J230" s="1"/>
  <c r="E173"/>
  <c r="E243" s="1"/>
  <c r="E236"/>
  <c r="P13" i="68"/>
  <c r="P8" s="1"/>
  <c r="H109" i="61"/>
  <c r="H176" s="1"/>
  <c r="H208" s="1"/>
  <c r="P38" i="69" s="1"/>
  <c r="S64" i="85"/>
  <c r="T63"/>
  <c r="J208"/>
  <c r="J278" s="1"/>
  <c r="T207"/>
  <c r="J277"/>
  <c r="G50" i="61"/>
  <c r="G9" i="69"/>
  <c r="G8" s="1"/>
  <c r="E193" i="61"/>
  <c r="F194"/>
  <c r="M194"/>
  <c r="K15" i="68"/>
  <c r="AA334" i="84"/>
  <c r="AA335" s="1"/>
  <c r="C21" i="75"/>
  <c r="C109" i="61"/>
  <c r="C18" i="75"/>
  <c r="O334" i="84"/>
  <c r="O335" s="1"/>
  <c r="K9" i="68"/>
  <c r="K8" s="1"/>
  <c r="E10" i="75"/>
  <c r="F44" i="61"/>
  <c r="AD331" i="84" s="1"/>
  <c r="AD332" s="1"/>
  <c r="E15" i="68"/>
  <c r="F15" s="1"/>
  <c r="AC331" i="84"/>
  <c r="AC332" s="1"/>
  <c r="M44" i="61"/>
  <c r="D9" i="75"/>
  <c r="D13" i="68"/>
  <c r="X331" i="84"/>
  <c r="X332" s="1"/>
  <c r="I137" i="77"/>
  <c r="J137" s="1"/>
  <c r="E11" i="61"/>
  <c r="F12"/>
  <c r="M12"/>
  <c r="D25" i="75"/>
  <c r="D149" i="61"/>
  <c r="AV334" i="84"/>
  <c r="AV335" s="1"/>
  <c r="L13" i="69"/>
  <c r="L8" s="1"/>
  <c r="AS334" i="84"/>
  <c r="AS335" s="1"/>
  <c r="M11" i="69"/>
  <c r="N11" s="1"/>
  <c r="M108" i="78"/>
  <c r="M109" s="1"/>
  <c r="E24" i="75"/>
  <c r="F159" i="61"/>
  <c r="AT334" i="84" s="1"/>
  <c r="AT335" s="1"/>
  <c r="M159" i="61"/>
  <c r="C12" i="75"/>
  <c r="C11" i="69"/>
  <c r="C8" s="1"/>
  <c r="AM331" i="84"/>
  <c r="AM332" s="1"/>
  <c r="K13" i="69"/>
  <c r="AU334" i="84"/>
  <c r="AU335" s="1"/>
  <c r="C25" i="75"/>
  <c r="E72" i="61"/>
  <c r="F73"/>
  <c r="M73"/>
  <c r="T79" i="85"/>
  <c r="W79" s="1"/>
  <c r="S219"/>
  <c r="S221"/>
  <c r="T151"/>
  <c r="E11" i="75"/>
  <c r="E9" i="69"/>
  <c r="AK331" i="84"/>
  <c r="AK332" s="1"/>
  <c r="F51" i="61"/>
  <c r="AL331" i="84" s="1"/>
  <c r="AL332" s="1"/>
  <c r="M51" i="61"/>
  <c r="E50"/>
  <c r="S222" i="85"/>
  <c r="T152"/>
  <c r="U173"/>
  <c r="U243" s="1"/>
  <c r="U236"/>
  <c r="S102"/>
  <c r="S242" s="1"/>
  <c r="T101"/>
  <c r="G248"/>
  <c r="G113"/>
  <c r="G253" s="1"/>
  <c r="D141"/>
  <c r="D143" s="1"/>
  <c r="D231"/>
  <c r="F231"/>
  <c r="F211"/>
  <c r="S200"/>
  <c r="S270" s="1"/>
  <c r="T199"/>
  <c r="S269"/>
  <c r="F234" i="64"/>
  <c r="D232"/>
  <c r="K232"/>
  <c r="G228"/>
  <c r="P225" i="85"/>
  <c r="P161"/>
  <c r="S32"/>
  <c r="T31"/>
  <c r="S128"/>
  <c r="T127"/>
  <c r="T57"/>
  <c r="S58"/>
  <c r="I209"/>
  <c r="I279" s="1"/>
  <c r="I274"/>
  <c r="S66"/>
  <c r="T65"/>
  <c r="I211"/>
  <c r="P258"/>
  <c r="P193"/>
  <c r="P263" s="1"/>
  <c r="T45"/>
  <c r="S48"/>
  <c r="S60"/>
  <c r="T59"/>
  <c r="D236"/>
  <c r="D173"/>
  <c r="W172"/>
  <c r="J256"/>
  <c r="J188"/>
  <c r="W189"/>
  <c r="T259"/>
  <c r="T190"/>
  <c r="S126"/>
  <c r="S131" s="1"/>
  <c r="Z131" s="1"/>
  <c r="T125"/>
  <c r="P209"/>
  <c r="P279" s="1"/>
  <c r="P278"/>
  <c r="S223"/>
  <c r="T153"/>
  <c r="G9" i="68"/>
  <c r="G8" s="1"/>
  <c r="G10" i="61"/>
  <c r="S52" i="85"/>
  <c r="T51"/>
  <c r="T205"/>
  <c r="S275"/>
  <c r="S206"/>
  <c r="S276" s="1"/>
  <c r="D27" i="75"/>
  <c r="D192" i="61"/>
  <c r="H147" i="76"/>
  <c r="G146"/>
  <c r="H146" s="1"/>
  <c r="H161" i="85"/>
  <c r="H225"/>
  <c r="L258"/>
  <c r="L193"/>
  <c r="L263" s="1"/>
  <c r="P33" i="69"/>
  <c r="H34"/>
  <c r="I70" i="61"/>
  <c r="I102" s="1"/>
  <c r="I38" i="69" s="1"/>
  <c r="F149" i="76"/>
  <c r="E149"/>
  <c r="E215" s="1"/>
  <c r="E245" s="1"/>
  <c r="D248" i="85"/>
  <c r="J33"/>
  <c r="Y33" s="1"/>
  <c r="E101" i="76"/>
  <c r="H76"/>
  <c r="F44"/>
  <c r="F10" s="1"/>
  <c r="L19" i="68"/>
  <c r="L18" s="1"/>
  <c r="D35" s="1"/>
  <c r="D71" i="85"/>
  <c r="D73" s="1"/>
  <c r="N71"/>
  <c r="N73" s="1"/>
  <c r="L71"/>
  <c r="L73" s="1"/>
  <c r="P71"/>
  <c r="P73" s="1"/>
  <c r="J226"/>
  <c r="C33"/>
  <c r="U71"/>
  <c r="U73" s="1"/>
  <c r="T36"/>
  <c r="I221" i="61"/>
  <c r="I220" s="1"/>
  <c r="G179" i="76"/>
  <c r="O35" i="69"/>
  <c r="O243" i="85"/>
  <c r="K193"/>
  <c r="K263" s="1"/>
  <c r="S233"/>
  <c r="M279"/>
  <c r="F71"/>
  <c r="F73" s="1"/>
  <c r="M103"/>
  <c r="M141" s="1"/>
  <c r="M143" s="1"/>
  <c r="N209"/>
  <c r="N279" s="1"/>
  <c r="I229" i="61"/>
  <c r="I228" s="1"/>
  <c r="Q8" i="68"/>
  <c r="Q34" s="1"/>
  <c r="F268" i="85"/>
  <c r="U161"/>
  <c r="T95"/>
  <c r="W95" s="1"/>
  <c r="J30"/>
  <c r="H253"/>
  <c r="P35" i="69"/>
  <c r="H141" i="85"/>
  <c r="H143" s="1"/>
  <c r="O71"/>
  <c r="O73" s="1"/>
  <c r="E71"/>
  <c r="E73" s="1"/>
  <c r="T116"/>
  <c r="W116" s="1"/>
  <c r="J265"/>
  <c r="O19" i="68"/>
  <c r="O18" s="1"/>
  <c r="G35" s="1"/>
  <c r="F214" i="76" l="1"/>
  <c r="F70"/>
  <c r="C33" i="69"/>
  <c r="K34"/>
  <c r="E192" i="61"/>
  <c r="F193"/>
  <c r="E27" i="75"/>
  <c r="M193" i="61"/>
  <c r="W7" i="85"/>
  <c r="W15" s="1"/>
  <c r="T15"/>
  <c r="T227"/>
  <c r="W157"/>
  <c r="W227" s="1"/>
  <c r="O281"/>
  <c r="F232" i="76"/>
  <c r="F228" s="1"/>
  <c r="F245" s="1"/>
  <c r="H233"/>
  <c r="T217" i="85"/>
  <c r="W147"/>
  <c r="T155"/>
  <c r="K34" i="68"/>
  <c r="C33"/>
  <c r="W135" i="85"/>
  <c r="W136" s="1"/>
  <c r="T136"/>
  <c r="E19" i="68"/>
  <c r="F20"/>
  <c r="J225" i="85"/>
  <c r="J161"/>
  <c r="T118"/>
  <c r="T255"/>
  <c r="W115"/>
  <c r="W51"/>
  <c r="W52" s="1"/>
  <c r="T52"/>
  <c r="W153"/>
  <c r="W223" s="1"/>
  <c r="T223"/>
  <c r="W125"/>
  <c r="W126" s="1"/>
  <c r="W131" s="1"/>
  <c r="T126"/>
  <c r="W190"/>
  <c r="T58"/>
  <c r="W57"/>
  <c r="W58" s="1"/>
  <c r="W199"/>
  <c r="T269"/>
  <c r="T200"/>
  <c r="W101"/>
  <c r="T102"/>
  <c r="T242" s="1"/>
  <c r="T241"/>
  <c r="W152"/>
  <c r="T222"/>
  <c r="V11" i="75"/>
  <c r="F11"/>
  <c r="U11"/>
  <c r="Y21" i="85"/>
  <c r="J71"/>
  <c r="T68"/>
  <c r="W67"/>
  <c r="W68" s="1"/>
  <c r="Z21"/>
  <c r="W203"/>
  <c r="T273"/>
  <c r="T204"/>
  <c r="O33" i="69"/>
  <c r="G34"/>
  <c r="W105" i="85"/>
  <c r="W108" s="1"/>
  <c r="W113" s="1"/>
  <c r="T108"/>
  <c r="M18" i="69"/>
  <c r="N19"/>
  <c r="D176" i="61"/>
  <c r="F9" i="75"/>
  <c r="V9"/>
  <c r="U9"/>
  <c r="W9" s="1"/>
  <c r="S225" i="85"/>
  <c r="S161"/>
  <c r="Q33" i="69"/>
  <c r="I34"/>
  <c r="T196" i="85"/>
  <c r="T265"/>
  <c r="W195"/>
  <c r="T198"/>
  <c r="T268" s="1"/>
  <c r="T267"/>
  <c r="W197"/>
  <c r="F13" i="75"/>
  <c r="V13"/>
  <c r="U13"/>
  <c r="W13" s="1"/>
  <c r="D101" i="61"/>
  <c r="F142" i="85"/>
  <c r="J142" s="1"/>
  <c r="D220" i="61"/>
  <c r="F220" s="1"/>
  <c r="F221"/>
  <c r="W129" i="85"/>
  <c r="W130" s="1"/>
  <c r="T130"/>
  <c r="W177"/>
  <c r="W247" s="1"/>
  <c r="T247"/>
  <c r="W121"/>
  <c r="W122" s="1"/>
  <c r="T122"/>
  <c r="T245"/>
  <c r="W175"/>
  <c r="T178"/>
  <c r="T220"/>
  <c r="W150"/>
  <c r="W220" s="1"/>
  <c r="T246"/>
  <c r="W176"/>
  <c r="W246" s="1"/>
  <c r="T88"/>
  <c r="W86"/>
  <c r="N9" i="69"/>
  <c r="M8"/>
  <c r="L34"/>
  <c r="D33"/>
  <c r="V20" i="75"/>
  <c r="F20"/>
  <c r="U20"/>
  <c r="W20" s="1"/>
  <c r="J276" i="85"/>
  <c r="J209"/>
  <c r="C231"/>
  <c r="C211"/>
  <c r="F221" i="64"/>
  <c r="W55" i="85"/>
  <c r="W56" s="1"/>
  <c r="W61" s="1"/>
  <c r="T56"/>
  <c r="W16"/>
  <c r="T18"/>
  <c r="S53"/>
  <c r="Z53" s="1"/>
  <c r="Q211"/>
  <c r="S103"/>
  <c r="Z103" s="1"/>
  <c r="C28" i="75"/>
  <c r="S69" i="85"/>
  <c r="Z69" s="1"/>
  <c r="O35" i="68"/>
  <c r="H228" i="61"/>
  <c r="H220" s="1"/>
  <c r="D263" i="85"/>
  <c r="S33"/>
  <c r="Z33" s="1"/>
  <c r="T235"/>
  <c r="E263"/>
  <c r="D16" i="75"/>
  <c r="J201" i="85"/>
  <c r="J141"/>
  <c r="J143" s="1"/>
  <c r="N13" i="69"/>
  <c r="O143" i="85"/>
  <c r="H39" i="69"/>
  <c r="S91" i="85"/>
  <c r="G141"/>
  <c r="G143" s="1"/>
  <c r="N211"/>
  <c r="G132" i="76"/>
  <c r="H132" s="1"/>
  <c r="H44"/>
  <c r="E176"/>
  <c r="E208" s="1"/>
  <c r="H179"/>
  <c r="G178"/>
  <c r="J258" i="85"/>
  <c r="J193"/>
  <c r="T128"/>
  <c r="W127"/>
  <c r="W128" s="1"/>
  <c r="D228" i="64"/>
  <c r="F228" s="1"/>
  <c r="F232"/>
  <c r="T221" i="85"/>
  <c r="W151"/>
  <c r="W221" s="1"/>
  <c r="N19" i="68"/>
  <c r="M18"/>
  <c r="F87" i="61"/>
  <c r="E15" i="75"/>
  <c r="E86" i="61"/>
  <c r="M87"/>
  <c r="W23" i="85"/>
  <c r="W26" s="1"/>
  <c r="T26"/>
  <c r="W168"/>
  <c r="W238" s="1"/>
  <c r="T238"/>
  <c r="L33" i="68"/>
  <c r="D34"/>
  <c r="D33"/>
  <c r="L34"/>
  <c r="H116" i="76"/>
  <c r="H234"/>
  <c r="G232"/>
  <c r="F25" i="75"/>
  <c r="U25"/>
  <c r="V25"/>
  <c r="E214" i="76"/>
  <c r="E70"/>
  <c r="E102" s="1"/>
  <c r="W77" i="85"/>
  <c r="W85" s="1"/>
  <c r="T85"/>
  <c r="T251"/>
  <c r="T182"/>
  <c r="T252" s="1"/>
  <c r="W181"/>
  <c r="V23" i="75"/>
  <c r="F23"/>
  <c r="U23"/>
  <c r="W23" s="1"/>
  <c r="F109" i="61"/>
  <c r="E176"/>
  <c r="M109"/>
  <c r="H12" i="76"/>
  <c r="G11"/>
  <c r="W160" i="85"/>
  <c r="I34" i="68"/>
  <c r="Q33"/>
  <c r="W36" i="85"/>
  <c r="W38" s="1"/>
  <c r="T38"/>
  <c r="H231"/>
  <c r="H211"/>
  <c r="T275"/>
  <c r="W205"/>
  <c r="T206"/>
  <c r="O34" i="68"/>
  <c r="G33"/>
  <c r="W59" i="85"/>
  <c r="W60" s="1"/>
  <c r="T60"/>
  <c r="W65"/>
  <c r="W66" s="1"/>
  <c r="T66"/>
  <c r="W31"/>
  <c r="W32" s="1"/>
  <c r="T32"/>
  <c r="K228" i="64"/>
  <c r="G220"/>
  <c r="K220" s="1"/>
  <c r="E8" i="69"/>
  <c r="F9"/>
  <c r="E14" i="75"/>
  <c r="F72" i="61"/>
  <c r="E71"/>
  <c r="M72"/>
  <c r="V24" i="75"/>
  <c r="F24"/>
  <c r="U24"/>
  <c r="W24" s="1"/>
  <c r="D34" i="69"/>
  <c r="L33"/>
  <c r="L37" s="1"/>
  <c r="W63" i="85"/>
  <c r="W64" s="1"/>
  <c r="T64"/>
  <c r="F19" i="69"/>
  <c r="E18"/>
  <c r="E177" i="64"/>
  <c r="K178"/>
  <c r="F178"/>
  <c r="G225" i="76"/>
  <c r="H227"/>
  <c r="T219" i="85"/>
  <c r="W149"/>
  <c r="W219" s="1"/>
  <c r="M231"/>
  <c r="M211"/>
  <c r="T261"/>
  <c r="W191"/>
  <c r="T192"/>
  <c r="T224"/>
  <c r="W154"/>
  <c r="W224" s="1"/>
  <c r="T226"/>
  <c r="W156"/>
  <c r="T158"/>
  <c r="D70" i="61"/>
  <c r="D214"/>
  <c r="H231" i="76"/>
  <c r="G229"/>
  <c r="S266" i="85"/>
  <c r="S201"/>
  <c r="G149" i="76"/>
  <c r="H149" s="1"/>
  <c r="H150"/>
  <c r="S193" i="85"/>
  <c r="S258"/>
  <c r="AG334" i="84"/>
  <c r="AG335" s="1"/>
  <c r="M16" i="68"/>
  <c r="E22" i="75"/>
  <c r="F132" i="61"/>
  <c r="AH334" i="84" s="1"/>
  <c r="AH335" s="1"/>
  <c r="M132" i="61"/>
  <c r="K231" i="85"/>
  <c r="K211"/>
  <c r="W180"/>
  <c r="D215" i="61"/>
  <c r="I72" i="85"/>
  <c r="C101" i="61"/>
  <c r="W164" i="85"/>
  <c r="W234" s="1"/>
  <c r="T234"/>
  <c r="E177" i="61"/>
  <c r="F178"/>
  <c r="M178"/>
  <c r="E26" i="75"/>
  <c r="G220" i="61"/>
  <c r="M220" s="1"/>
  <c r="M221"/>
  <c r="C71" i="85"/>
  <c r="C73" s="1"/>
  <c r="F143"/>
  <c r="G176" i="61"/>
  <c r="G208" s="1"/>
  <c r="O38" i="69" s="1"/>
  <c r="I214" i="61"/>
  <c r="I213" s="1"/>
  <c r="G215"/>
  <c r="F176" i="76"/>
  <c r="F208" s="1"/>
  <c r="W235" i="85"/>
  <c r="S113"/>
  <c r="Z113" s="1"/>
  <c r="U253"/>
  <c r="N15" i="68"/>
  <c r="H64" i="76"/>
  <c r="H214" i="61"/>
  <c r="H213" s="1"/>
  <c r="C16" i="75"/>
  <c r="L35" i="68"/>
  <c r="Q263" i="85"/>
  <c r="M243"/>
  <c r="S139"/>
  <c r="Z139" s="1"/>
  <c r="S43"/>
  <c r="Z43" s="1"/>
  <c r="K8" i="69"/>
  <c r="F101" i="76"/>
  <c r="I37" i="69"/>
  <c r="I39" s="1"/>
  <c r="S61" i="85"/>
  <c r="Z61" s="1"/>
  <c r="U231"/>
  <c r="U211"/>
  <c r="D243"/>
  <c r="D211"/>
  <c r="I281"/>
  <c r="P231"/>
  <c r="P211"/>
  <c r="F10" i="75"/>
  <c r="V10"/>
  <c r="U10"/>
  <c r="T277" i="85"/>
  <c r="T208"/>
  <c r="T278" s="1"/>
  <c r="W207"/>
  <c r="T166"/>
  <c r="T233"/>
  <c r="W163"/>
  <c r="G228" i="61"/>
  <c r="M228" s="1"/>
  <c r="M229"/>
  <c r="S248" i="85"/>
  <c r="S183"/>
  <c r="T218"/>
  <c r="W148"/>
  <c r="W218" s="1"/>
  <c r="R142"/>
  <c r="R143" s="1"/>
  <c r="G70" i="61"/>
  <c r="G102" s="1"/>
  <c r="G38" i="69" s="1"/>
  <c r="G214" i="61"/>
  <c r="G213" s="1"/>
  <c r="T48" i="85"/>
  <c r="T53" s="1"/>
  <c r="W45"/>
  <c r="W48" s="1"/>
  <c r="F281"/>
  <c r="F50" i="61"/>
  <c r="E215"/>
  <c r="M50"/>
  <c r="E9" i="68"/>
  <c r="Q331" i="84"/>
  <c r="Q332" s="1"/>
  <c r="F11" i="61"/>
  <c r="R331" i="84" s="1"/>
  <c r="R332" s="1"/>
  <c r="E10" i="61"/>
  <c r="E7" i="75"/>
  <c r="M11" i="61"/>
  <c r="K33" i="68"/>
  <c r="C34"/>
  <c r="C176" i="61"/>
  <c r="O34" i="69"/>
  <c r="G33"/>
  <c r="G37" s="1"/>
  <c r="G39" s="1"/>
  <c r="H34" i="68"/>
  <c r="P33"/>
  <c r="P37" i="69" s="1"/>
  <c r="P39" s="1"/>
  <c r="H72" i="76"/>
  <c r="G71"/>
  <c r="W49" i="85"/>
  <c r="W50" s="1"/>
  <c r="T50"/>
  <c r="W89"/>
  <c r="W90" s="1"/>
  <c r="T90"/>
  <c r="T230" s="1"/>
  <c r="E231"/>
  <c r="E211"/>
  <c r="W167"/>
  <c r="T237"/>
  <c r="T170"/>
  <c r="T240" s="1"/>
  <c r="T138"/>
  <c r="W137"/>
  <c r="W138" s="1"/>
  <c r="S274"/>
  <c r="S209"/>
  <c r="W119"/>
  <c r="W120" s="1"/>
  <c r="T120"/>
  <c r="H88" i="76"/>
  <c r="G87"/>
  <c r="V21" i="75"/>
  <c r="F21"/>
  <c r="U21"/>
  <c r="W21" s="1"/>
  <c r="H194" i="76"/>
  <c r="G193"/>
  <c r="J236" i="85"/>
  <c r="J173"/>
  <c r="J248"/>
  <c r="J183"/>
  <c r="C70" i="61"/>
  <c r="C214"/>
  <c r="C213" s="1"/>
  <c r="S173" i="85"/>
  <c r="S236"/>
  <c r="W186"/>
  <c r="T256"/>
  <c r="T188"/>
  <c r="L231"/>
  <c r="L211"/>
  <c r="R231"/>
  <c r="R211"/>
  <c r="T30"/>
  <c r="W27"/>
  <c r="W30" s="1"/>
  <c r="T134"/>
  <c r="W133"/>
  <c r="W134" s="1"/>
  <c r="W139" s="1"/>
  <c r="F149" i="61"/>
  <c r="M149"/>
  <c r="H51" i="76"/>
  <c r="G50"/>
  <c r="D207" i="61"/>
  <c r="O142" i="85"/>
  <c r="N13" i="68"/>
  <c r="M8"/>
  <c r="V12" i="75"/>
  <c r="F12"/>
  <c r="U12"/>
  <c r="W12" s="1"/>
  <c r="R72" i="85"/>
  <c r="S72" s="1"/>
  <c r="C207" i="61"/>
  <c r="W41" i="85"/>
  <c r="W42" s="1"/>
  <c r="T42"/>
  <c r="O33" i="68"/>
  <c r="G34"/>
  <c r="G231" i="85"/>
  <c r="G211"/>
  <c r="T110"/>
  <c r="T250" s="1"/>
  <c r="W109"/>
  <c r="W110" s="1"/>
  <c r="T96"/>
  <c r="T103" s="1"/>
  <c r="W93"/>
  <c r="W96" s="1"/>
  <c r="F222" i="76"/>
  <c r="T260" i="85"/>
  <c r="I231"/>
  <c r="S262"/>
  <c r="D28" i="75"/>
  <c r="P34" i="68"/>
  <c r="Q34" i="69"/>
  <c r="S123" i="85"/>
  <c r="Z123" s="1"/>
  <c r="C215" i="61"/>
  <c r="J70" l="1"/>
  <c r="C102"/>
  <c r="H71" i="76"/>
  <c r="F9" i="68"/>
  <c r="E8"/>
  <c r="P281" i="85"/>
  <c r="P213"/>
  <c r="P283" s="1"/>
  <c r="F22" i="75"/>
  <c r="V22"/>
  <c r="U22"/>
  <c r="H281" i="85"/>
  <c r="H213"/>
  <c r="H283" s="1"/>
  <c r="K7" i="127"/>
  <c r="L7" s="1"/>
  <c r="F176" i="61"/>
  <c r="G272" i="117"/>
  <c r="H272" s="1"/>
  <c r="M176" i="61"/>
  <c r="I212" i="85"/>
  <c r="F86" i="61"/>
  <c r="M86"/>
  <c r="G86" i="76"/>
  <c r="H86" s="1"/>
  <c r="H87"/>
  <c r="C208" i="61"/>
  <c r="Z183" i="85"/>
  <c r="S253"/>
  <c r="W233"/>
  <c r="W166"/>
  <c r="K33" i="69"/>
  <c r="K37" s="1"/>
  <c r="C34"/>
  <c r="K213" i="85"/>
  <c r="K283" s="1"/>
  <c r="K281"/>
  <c r="S271"/>
  <c r="Z201"/>
  <c r="W226"/>
  <c r="W158"/>
  <c r="H225" i="76"/>
  <c r="G221"/>
  <c r="F18" i="69"/>
  <c r="M35"/>
  <c r="N35" s="1"/>
  <c r="E213" i="76"/>
  <c r="E244"/>
  <c r="Y201" i="85"/>
  <c r="J271"/>
  <c r="Q281"/>
  <c r="Q213"/>
  <c r="Q283" s="1"/>
  <c r="C281"/>
  <c r="C213"/>
  <c r="C283" s="1"/>
  <c r="W88"/>
  <c r="Y82"/>
  <c r="T266"/>
  <c r="T201"/>
  <c r="T274"/>
  <c r="T209"/>
  <c r="W102"/>
  <c r="W242" s="1"/>
  <c r="W241"/>
  <c r="E18" i="68"/>
  <c r="F19"/>
  <c r="F192" i="61"/>
  <c r="R212" i="85"/>
  <c r="R282" s="1"/>
  <c r="M192" i="61"/>
  <c r="F213" i="76"/>
  <c r="T139" i="85"/>
  <c r="W53"/>
  <c r="D213" i="61"/>
  <c r="T262" i="85"/>
  <c r="W43"/>
  <c r="W230"/>
  <c r="H232" i="76"/>
  <c r="T61" i="85"/>
  <c r="E28" i="75"/>
  <c r="D37" i="69"/>
  <c r="T113" i="85"/>
  <c r="T131"/>
  <c r="T123"/>
  <c r="G281"/>
  <c r="G213"/>
  <c r="G283" s="1"/>
  <c r="M33" i="68"/>
  <c r="N33" s="1"/>
  <c r="E34"/>
  <c r="F34" s="1"/>
  <c r="N8"/>
  <c r="L281" i="85"/>
  <c r="L213"/>
  <c r="L283" s="1"/>
  <c r="Y173"/>
  <c r="J243"/>
  <c r="Z193"/>
  <c r="S263"/>
  <c r="W261"/>
  <c r="W192"/>
  <c r="W262" s="1"/>
  <c r="F14" i="75"/>
  <c r="V14"/>
  <c r="U14"/>
  <c r="G10" i="76"/>
  <c r="H11"/>
  <c r="N18" i="68"/>
  <c r="E35"/>
  <c r="F35" s="1"/>
  <c r="Y193" i="85"/>
  <c r="J263"/>
  <c r="W222"/>
  <c r="Y152"/>
  <c r="J231"/>
  <c r="Y161"/>
  <c r="J211"/>
  <c r="T161"/>
  <c r="T225"/>
  <c r="S279"/>
  <c r="Z209"/>
  <c r="R213"/>
  <c r="R283" s="1"/>
  <c r="R281"/>
  <c r="T193"/>
  <c r="T258"/>
  <c r="Z173"/>
  <c r="S243"/>
  <c r="J253"/>
  <c r="Y183"/>
  <c r="H193" i="76"/>
  <c r="G192"/>
  <c r="H192" s="1"/>
  <c r="E213" i="85"/>
  <c r="E283" s="1"/>
  <c r="E281"/>
  <c r="M215" i="61"/>
  <c r="F215"/>
  <c r="W208" i="85"/>
  <c r="W278" s="1"/>
  <c r="W277"/>
  <c r="U281"/>
  <c r="U213"/>
  <c r="U283" s="1"/>
  <c r="J72"/>
  <c r="I73"/>
  <c r="M213"/>
  <c r="M283" s="1"/>
  <c r="M281"/>
  <c r="E207" i="64"/>
  <c r="K177"/>
  <c r="F177"/>
  <c r="F8" i="69"/>
  <c r="M34"/>
  <c r="N34" s="1"/>
  <c r="E33"/>
  <c r="W206" i="85"/>
  <c r="W276" s="1"/>
  <c r="W275"/>
  <c r="V15" i="75"/>
  <c r="F15"/>
  <c r="U15"/>
  <c r="H178" i="76"/>
  <c r="G177"/>
  <c r="Z91" i="85"/>
  <c r="S141"/>
  <c r="W18"/>
  <c r="Y12"/>
  <c r="W245"/>
  <c r="W178"/>
  <c r="W198"/>
  <c r="W268" s="1"/>
  <c r="W267"/>
  <c r="Z161"/>
  <c r="S231"/>
  <c r="S211"/>
  <c r="E35" i="69"/>
  <c r="F35" s="1"/>
  <c r="N18"/>
  <c r="W269" i="85"/>
  <c r="W200"/>
  <c r="W270" s="1"/>
  <c r="D29" i="75"/>
  <c r="D30" s="1"/>
  <c r="S142" i="85"/>
  <c r="T142" s="1"/>
  <c r="W142" s="1"/>
  <c r="W250"/>
  <c r="T228"/>
  <c r="W69"/>
  <c r="T43"/>
  <c r="W229"/>
  <c r="G109" i="76"/>
  <c r="W33" i="85"/>
  <c r="K101" i="61"/>
  <c r="O37" i="69"/>
  <c r="O39" s="1"/>
  <c r="S71" i="85"/>
  <c r="S73" s="1"/>
  <c r="J73"/>
  <c r="W260"/>
  <c r="W21"/>
  <c r="W71" s="1"/>
  <c r="F102" i="76"/>
  <c r="W256" i="85"/>
  <c r="W188"/>
  <c r="V7" i="75"/>
  <c r="E16"/>
  <c r="F7"/>
  <c r="U7"/>
  <c r="W7" s="1"/>
  <c r="D213" i="85"/>
  <c r="D283" s="1"/>
  <c r="D281"/>
  <c r="N281"/>
  <c r="N213"/>
  <c r="N283" s="1"/>
  <c r="D208" i="61"/>
  <c r="F221" i="76"/>
  <c r="F220" s="1"/>
  <c r="H222"/>
  <c r="H50"/>
  <c r="G215"/>
  <c r="W237" i="85"/>
  <c r="W170"/>
  <c r="W240" s="1"/>
  <c r="F10" i="61"/>
  <c r="E70"/>
  <c r="M10"/>
  <c r="E214"/>
  <c r="T236" i="85"/>
  <c r="T173"/>
  <c r="T243" s="1"/>
  <c r="F26" i="75"/>
  <c r="V26"/>
  <c r="U26"/>
  <c r="O212" i="85"/>
  <c r="F177" i="61"/>
  <c r="E207"/>
  <c r="M177"/>
  <c r="G228" i="76"/>
  <c r="H228" s="1"/>
  <c r="H229"/>
  <c r="D102" i="61"/>
  <c r="K70" s="1"/>
  <c r="F71"/>
  <c r="F212" i="85"/>
  <c r="E101" i="61"/>
  <c r="M71"/>
  <c r="W182" i="85"/>
  <c r="W252" s="1"/>
  <c r="W251"/>
  <c r="J279"/>
  <c r="Y209"/>
  <c r="N8" i="69"/>
  <c r="M33"/>
  <c r="E34"/>
  <c r="F34" s="1"/>
  <c r="T248" i="85"/>
  <c r="T183"/>
  <c r="T253" s="1"/>
  <c r="W196"/>
  <c r="W265"/>
  <c r="W273"/>
  <c r="W204"/>
  <c r="W118"/>
  <c r="W123" s="1"/>
  <c r="W255"/>
  <c r="W217"/>
  <c r="W155"/>
  <c r="F27" i="75"/>
  <c r="V27"/>
  <c r="U27"/>
  <c r="T72" i="85"/>
  <c r="W72" s="1"/>
  <c r="T91"/>
  <c r="T270"/>
  <c r="R73"/>
  <c r="J207" i="61"/>
  <c r="C29" i="75"/>
  <c r="C30" s="1"/>
  <c r="J101" i="61"/>
  <c r="W249" i="85"/>
  <c r="T69"/>
  <c r="T276"/>
  <c r="W91"/>
  <c r="T33"/>
  <c r="D220" i="64"/>
  <c r="F220" s="1"/>
  <c r="Q37" i="69"/>
  <c r="Q39" s="1"/>
  <c r="W259" i="85"/>
  <c r="T21"/>
  <c r="C37" i="69"/>
  <c r="W258" i="85" l="1"/>
  <c r="W193"/>
  <c r="W263" s="1"/>
  <c r="T231"/>
  <c r="T211"/>
  <c r="F28" i="75"/>
  <c r="U28"/>
  <c r="J177" i="61"/>
  <c r="J178"/>
  <c r="J114"/>
  <c r="K38" i="69"/>
  <c r="J208" i="61"/>
  <c r="J159"/>
  <c r="J123"/>
  <c r="J193"/>
  <c r="J116"/>
  <c r="J132"/>
  <c r="J110"/>
  <c r="J165"/>
  <c r="J150"/>
  <c r="J149"/>
  <c r="J109"/>
  <c r="J192"/>
  <c r="E33" i="68"/>
  <c r="F33" s="1"/>
  <c r="F8"/>
  <c r="M34"/>
  <c r="N34" s="1"/>
  <c r="J102" i="61"/>
  <c r="J72"/>
  <c r="J71"/>
  <c r="J17"/>
  <c r="C38" i="69"/>
  <c r="J51" i="61"/>
  <c r="J58"/>
  <c r="J87"/>
  <c r="J64"/>
  <c r="J50"/>
  <c r="J11"/>
  <c r="J32"/>
  <c r="J44"/>
  <c r="J25"/>
  <c r="J10"/>
  <c r="J86"/>
  <c r="W73" i="85"/>
  <c r="S143"/>
  <c r="F244" i="76"/>
  <c r="F33" i="69"/>
  <c r="F37" s="1"/>
  <c r="F39" s="1"/>
  <c r="E37"/>
  <c r="J281" i="85"/>
  <c r="G220" i="76"/>
  <c r="H220" s="1"/>
  <c r="H221"/>
  <c r="W209" i="85"/>
  <c r="W279" s="1"/>
  <c r="W274"/>
  <c r="K208" i="61"/>
  <c r="K110"/>
  <c r="K159"/>
  <c r="L38" i="69"/>
  <c r="L39" s="1"/>
  <c r="K150" i="61"/>
  <c r="K114"/>
  <c r="K193"/>
  <c r="K178"/>
  <c r="K165"/>
  <c r="K132"/>
  <c r="K123"/>
  <c r="K116"/>
  <c r="K149"/>
  <c r="K177"/>
  <c r="K109"/>
  <c r="K192"/>
  <c r="W248" i="85"/>
  <c r="W183"/>
  <c r="W253" s="1"/>
  <c r="W201"/>
  <c r="W271" s="1"/>
  <c r="W266"/>
  <c r="N33" i="69"/>
  <c r="N37" s="1"/>
  <c r="N39" s="1"/>
  <c r="M37"/>
  <c r="G45" i="119"/>
  <c r="H45" s="1"/>
  <c r="K10" i="127"/>
  <c r="L10" s="1"/>
  <c r="F207" i="61"/>
  <c r="M207"/>
  <c r="K6" i="127"/>
  <c r="L6" s="1"/>
  <c r="G287" i="118"/>
  <c r="H287" s="1"/>
  <c r="E102" i="61"/>
  <c r="F70"/>
  <c r="M70"/>
  <c r="L70"/>
  <c r="G245" i="76"/>
  <c r="H215"/>
  <c r="E29" i="75"/>
  <c r="U16"/>
  <c r="F16"/>
  <c r="G176" i="76"/>
  <c r="H109"/>
  <c r="S281" i="85"/>
  <c r="G214" i="76"/>
  <c r="G70"/>
  <c r="H10"/>
  <c r="W236" i="85"/>
  <c r="W173"/>
  <c r="W22" i="75"/>
  <c r="X22"/>
  <c r="T279" i="85"/>
  <c r="C39" i="69"/>
  <c r="K207" i="61"/>
  <c r="T141" i="85"/>
  <c r="T143" s="1"/>
  <c r="K176" i="61"/>
  <c r="T271" i="85"/>
  <c r="W228"/>
  <c r="J176" i="61"/>
  <c r="G101" i="76"/>
  <c r="H101" s="1"/>
  <c r="W225" i="85"/>
  <c r="W161"/>
  <c r="F282"/>
  <c r="J212"/>
  <c r="J282" s="1"/>
  <c r="F213"/>
  <c r="F283" s="1"/>
  <c r="M214" i="61"/>
  <c r="F214"/>
  <c r="E213"/>
  <c r="K9" i="127"/>
  <c r="L9" s="1"/>
  <c r="G37" i="120"/>
  <c r="H37" s="1"/>
  <c r="L101" i="61"/>
  <c r="F101"/>
  <c r="M101"/>
  <c r="K102"/>
  <c r="D38" i="69"/>
  <c r="D39" s="1"/>
  <c r="K86" i="61"/>
  <c r="K87"/>
  <c r="K51"/>
  <c r="K17"/>
  <c r="K11"/>
  <c r="K58"/>
  <c r="K25"/>
  <c r="K44"/>
  <c r="K32"/>
  <c r="K64"/>
  <c r="K72"/>
  <c r="K71"/>
  <c r="K50"/>
  <c r="K10"/>
  <c r="O282" i="85"/>
  <c r="S212"/>
  <c r="S213" s="1"/>
  <c r="S283" s="1"/>
  <c r="O213"/>
  <c r="O283" s="1"/>
  <c r="G207" i="76"/>
  <c r="H207" s="1"/>
  <c r="H177"/>
  <c r="E208" i="64"/>
  <c r="F207"/>
  <c r="K207"/>
  <c r="F18" i="68"/>
  <c r="M35"/>
  <c r="N35" s="1"/>
  <c r="I282" i="85"/>
  <c r="I213"/>
  <c r="I283" s="1"/>
  <c r="W141"/>
  <c r="W143" s="1"/>
  <c r="T71"/>
  <c r="T73" s="1"/>
  <c r="T263"/>
  <c r="W103"/>
  <c r="K39" i="69"/>
  <c r="E208" i="61"/>
  <c r="L207" s="1"/>
  <c r="S286" i="85" l="1"/>
  <c r="W231"/>
  <c r="W211"/>
  <c r="F208" i="64"/>
  <c r="K208"/>
  <c r="N103" i="61"/>
  <c r="L17"/>
  <c r="F102"/>
  <c r="J285" i="85" s="1"/>
  <c r="L25" i="61"/>
  <c r="L102"/>
  <c r="E38" i="69"/>
  <c r="M102" i="61"/>
  <c r="L58"/>
  <c r="L64"/>
  <c r="L32"/>
  <c r="L51"/>
  <c r="L44"/>
  <c r="L87"/>
  <c r="L72"/>
  <c r="L50"/>
  <c r="L11"/>
  <c r="L10"/>
  <c r="L71"/>
  <c r="L86"/>
  <c r="E39" i="69"/>
  <c r="L208" i="61"/>
  <c r="F208"/>
  <c r="S285" i="85" s="1"/>
  <c r="M38" i="69"/>
  <c r="M39" s="1"/>
  <c r="L110" i="61"/>
  <c r="L114"/>
  <c r="M208"/>
  <c r="L159"/>
  <c r="L150"/>
  <c r="L165"/>
  <c r="L123"/>
  <c r="L116"/>
  <c r="L132"/>
  <c r="L109"/>
  <c r="L178"/>
  <c r="L193"/>
  <c r="L149"/>
  <c r="L192"/>
  <c r="L177"/>
  <c r="L176"/>
  <c r="S282" i="85"/>
  <c r="T212"/>
  <c r="M213" i="61"/>
  <c r="F213"/>
  <c r="G213" i="76"/>
  <c r="H213" s="1"/>
  <c r="H214"/>
  <c r="G244"/>
  <c r="H176"/>
  <c r="G208"/>
  <c r="H208" s="1"/>
  <c r="W243" i="85"/>
  <c r="J213"/>
  <c r="J283" s="1"/>
  <c r="J286" s="1"/>
  <c r="H70" i="76"/>
  <c r="G102"/>
  <c r="F29" i="75"/>
  <c r="E30"/>
  <c r="U29"/>
  <c r="T281" i="85"/>
  <c r="T213"/>
  <c r="T283" s="1"/>
  <c r="H102" i="76" l="1"/>
  <c r="L103"/>
  <c r="W212" i="85"/>
  <c r="W282" s="1"/>
  <c r="T282"/>
  <c r="W213"/>
  <c r="W283" s="1"/>
  <c r="W281"/>
  <c r="F30" i="75"/>
  <c r="U30"/>
</calcChain>
</file>

<file path=xl/comments1.xml><?xml version="1.0" encoding="utf-8"?>
<comments xmlns="http://schemas.openxmlformats.org/spreadsheetml/2006/main">
  <authors>
    <author>ecsegi</author>
  </authors>
  <commentList>
    <comment ref="AE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  <comment ref="AE7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8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(reki???)
szocból eu önerő tartalék 8300</t>
        </r>
      </text>
    </comment>
    <comment ref="AE14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5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
bölcsi kieg
komplex
csaladsegito palyazat kieg
+???
Nincs felhasznalatlan
</t>
        </r>
      </text>
    </comment>
    <comment ref="AE21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22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szocból eu önerő tartalék 8300</t>
        </r>
      </text>
    </comment>
  </commentList>
</comments>
</file>

<file path=xl/sharedStrings.xml><?xml version="1.0" encoding="utf-8"?>
<sst xmlns="http://schemas.openxmlformats.org/spreadsheetml/2006/main" count="10270" uniqueCount="2817">
  <si>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</si>
  <si>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</si>
  <si>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</si>
  <si>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</si>
  <si>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</si>
  <si>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</si>
  <si>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</si>
  <si>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</si>
  <si>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</si>
  <si>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</si>
  <si>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</si>
  <si>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</si>
  <si>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</si>
  <si>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</si>
  <si>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</si>
  <si>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</si>
  <si>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</si>
  <si>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</si>
  <si>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</si>
  <si>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</si>
  <si>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</si>
  <si>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</si>
  <si>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</si>
  <si>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</si>
  <si>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</si>
  <si>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</si>
  <si>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</si>
  <si>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</si>
  <si>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</si>
  <si>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</si>
  <si>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</si>
  <si>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</si>
  <si>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</si>
  <si>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</si>
  <si>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</si>
  <si>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</si>
  <si>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</si>
  <si>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</si>
  <si>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</si>
  <si>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</si>
  <si>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</si>
  <si>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</si>
  <si>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</si>
  <si>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</si>
  <si>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</si>
  <si>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</si>
  <si>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</si>
  <si>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</si>
  <si>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</si>
  <si>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</si>
  <si>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</si>
  <si>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</si>
  <si>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</si>
  <si>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</si>
  <si>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</si>
  <si>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</si>
  <si>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</si>
  <si>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</si>
  <si>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</si>
  <si>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</si>
  <si>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</si>
  <si>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</si>
  <si>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</si>
  <si>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</si>
  <si>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</si>
  <si>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</si>
  <si>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</si>
  <si>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</si>
  <si>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</si>
  <si>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</si>
  <si>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</si>
  <si>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</si>
  <si>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</si>
  <si>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</si>
  <si>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</si>
  <si>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</si>
  <si>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</si>
  <si>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</si>
  <si>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</si>
  <si>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</si>
  <si>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</si>
  <si>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</si>
  <si>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</si>
  <si>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</si>
  <si>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</si>
  <si>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</si>
  <si>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</si>
  <si>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</si>
  <si>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</si>
  <si>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</si>
  <si>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</si>
  <si>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</si>
  <si>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</si>
  <si>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</si>
  <si>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</si>
  <si>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</si>
  <si>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</si>
  <si>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</si>
  <si>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</si>
  <si>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</si>
  <si>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</si>
  <si>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</si>
  <si>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</si>
  <si>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</si>
  <si>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</si>
  <si>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</si>
  <si>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</si>
  <si>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</si>
  <si>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</si>
  <si>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</si>
  <si>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</si>
  <si>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</si>
  <si>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</si>
  <si>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</si>
  <si>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</si>
  <si>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</si>
  <si>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</si>
  <si>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</si>
  <si>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</si>
  <si>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</si>
  <si>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</si>
  <si>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</si>
  <si>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</si>
  <si>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</si>
  <si>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</si>
  <si>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</si>
  <si>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</si>
  <si>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</si>
  <si>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</si>
  <si>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</si>
  <si>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</si>
  <si>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</si>
  <si>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</si>
  <si>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</si>
  <si>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</si>
  <si>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</si>
  <si>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</si>
  <si>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</si>
  <si>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</si>
  <si>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</si>
  <si>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</si>
  <si>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</si>
  <si>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</si>
  <si>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</si>
  <si>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</si>
  <si>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</si>
  <si>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</si>
  <si>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</si>
  <si>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</si>
  <si>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</si>
  <si>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</si>
  <si>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</si>
  <si>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</si>
  <si>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</si>
  <si>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</si>
  <si>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</si>
  <si>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</si>
  <si>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</si>
  <si>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</si>
  <si>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</si>
  <si>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</si>
  <si>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</si>
  <si>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</si>
  <si>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</si>
  <si>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</si>
  <si>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</si>
  <si>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</si>
  <si>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</si>
  <si>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</si>
  <si>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</si>
  <si>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</si>
  <si>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</si>
  <si>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</si>
  <si>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</si>
  <si>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</si>
  <si>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</si>
  <si>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</si>
  <si>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</si>
  <si>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</si>
  <si>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</si>
  <si>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</si>
  <si>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</si>
  <si>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</si>
  <si>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</si>
  <si>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</si>
  <si>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</si>
  <si>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</si>
  <si>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</si>
  <si>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</si>
  <si>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</si>
  <si>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</si>
  <si>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</si>
  <si>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</si>
  <si>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</si>
  <si>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</si>
  <si>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</si>
  <si>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</si>
  <si>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</si>
  <si>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</si>
  <si>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</si>
  <si>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</si>
  <si>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</si>
  <si>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</si>
  <si>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</si>
  <si>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</si>
  <si>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</si>
  <si>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</si>
  <si>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</si>
  <si>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</si>
  <si>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</si>
  <si>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</si>
  <si>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</si>
  <si>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</si>
  <si>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</si>
  <si>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</si>
  <si>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</si>
  <si>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</si>
  <si>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</si>
  <si>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</si>
  <si>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</si>
  <si>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</si>
  <si>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</si>
  <si>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</si>
  <si>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</si>
  <si>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</si>
  <si>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</si>
  <si>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</si>
  <si>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</si>
  <si>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</si>
  <si>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</si>
  <si>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</si>
  <si>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</si>
  <si>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</si>
  <si>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</si>
  <si>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</si>
  <si>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</si>
  <si>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</si>
  <si>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</si>
  <si>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</si>
  <si>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</si>
  <si>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</si>
  <si>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</si>
  <si>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</si>
  <si>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</si>
  <si>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</si>
  <si>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</si>
  <si>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</si>
  <si>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</si>
  <si>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</si>
  <si>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</si>
  <si>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</si>
  <si>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</si>
  <si>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</si>
  <si>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</si>
  <si>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</si>
  <si>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</si>
  <si>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</si>
  <si>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</si>
  <si>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</si>
  <si>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</si>
  <si>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</si>
  <si>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</si>
  <si>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</si>
  <si>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</si>
  <si>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</si>
  <si>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</si>
  <si>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</si>
  <si>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</si>
  <si>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</si>
  <si>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</si>
  <si>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</si>
  <si>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</si>
  <si>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</si>
  <si>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</si>
  <si>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</si>
  <si>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</si>
  <si>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</si>
  <si>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</si>
  <si>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</si>
  <si>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</si>
  <si>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</si>
  <si>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</si>
  <si>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</si>
  <si>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</si>
  <si>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</si>
  <si>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</si>
  <si>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</si>
  <si>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</si>
  <si>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</si>
  <si>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</si>
  <si>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</si>
  <si>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</si>
  <si>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</si>
  <si>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</si>
  <si>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</si>
  <si>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</si>
  <si>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</si>
  <si>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</si>
  <si>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</si>
  <si>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</si>
  <si>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</si>
  <si>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</si>
  <si>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</si>
  <si>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</si>
  <si>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</si>
  <si>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</si>
  <si>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</si>
  <si>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</si>
  <si>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</si>
  <si>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</si>
  <si>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</si>
  <si>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</si>
  <si>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</si>
  <si>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</si>
  <si>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</si>
  <si>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</si>
  <si>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</si>
  <si>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</si>
  <si>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</si>
  <si>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</si>
  <si>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</si>
  <si>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</si>
  <si>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</si>
  <si>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</si>
  <si>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</si>
  <si>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</si>
  <si>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</si>
  <si>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</si>
  <si>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</si>
  <si>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</si>
  <si>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</si>
  <si>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</si>
  <si>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</si>
  <si>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</si>
  <si>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</si>
  <si>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</si>
  <si>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</si>
  <si>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</si>
  <si>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</si>
  <si>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</si>
  <si>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</si>
  <si>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</si>
  <si>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</si>
  <si>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</si>
  <si>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</si>
  <si>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</si>
  <si>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</si>
  <si>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</si>
  <si>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</si>
  <si>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</si>
  <si>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</si>
  <si>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</si>
  <si>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</si>
  <si>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</si>
  <si>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</si>
  <si>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</si>
  <si>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</si>
  <si>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</si>
  <si>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</si>
  <si>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</si>
  <si>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</si>
  <si>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</si>
  <si>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</si>
  <si>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</si>
  <si>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</si>
  <si>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</si>
  <si>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</si>
  <si>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</si>
  <si>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</si>
  <si>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</si>
  <si>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</si>
  <si>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</si>
  <si>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</si>
  <si>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</si>
  <si>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</si>
  <si>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</si>
  <si>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</si>
  <si>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</si>
  <si>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</si>
  <si>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</si>
  <si>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</si>
  <si>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</si>
  <si>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</si>
  <si>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</si>
  <si>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</si>
  <si>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</si>
  <si>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</si>
  <si>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</si>
  <si>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</si>
  <si>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</si>
  <si>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</si>
  <si>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</si>
  <si>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</si>
  <si>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</si>
  <si>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</si>
  <si>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</si>
  <si>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</si>
  <si>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</si>
  <si>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</si>
  <si>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</si>
  <si>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</si>
  <si>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</si>
  <si>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</si>
  <si>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</si>
  <si>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</si>
  <si>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</si>
  <si>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</si>
  <si>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</si>
  <si>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</si>
  <si>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</si>
  <si>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</si>
  <si>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</si>
  <si>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</si>
  <si>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</si>
  <si>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</si>
  <si>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</si>
  <si>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</si>
  <si>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</si>
  <si>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</si>
  <si>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</si>
  <si>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</si>
  <si>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</si>
  <si>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</si>
  <si>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</si>
  <si>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</si>
  <si>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</si>
  <si>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</si>
  <si>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</si>
  <si>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</si>
  <si>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</si>
  <si>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</si>
  <si>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</si>
  <si>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</si>
  <si>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</si>
  <si>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</si>
  <si>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</si>
  <si>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</si>
  <si>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</si>
  <si>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</si>
  <si>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</si>
  <si>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</si>
  <si>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</si>
  <si>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</si>
  <si>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</si>
  <si>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</si>
  <si>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</si>
  <si>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</si>
  <si>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</si>
  <si>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</si>
  <si>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</si>
  <si>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</si>
  <si>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</si>
  <si>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</si>
  <si>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</si>
  <si>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</si>
  <si>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</si>
  <si>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</si>
  <si>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</si>
  <si>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</si>
  <si>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</si>
  <si>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</si>
  <si>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</si>
  <si>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</si>
  <si>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</si>
  <si>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</si>
  <si>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</si>
  <si>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</si>
  <si>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</si>
  <si>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</si>
  <si>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</si>
  <si>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</si>
  <si>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</si>
  <si>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</si>
  <si>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</si>
  <si>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</si>
  <si>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</si>
  <si>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</si>
  <si>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</si>
  <si>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</si>
  <si>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</si>
  <si>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</si>
  <si>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</si>
  <si>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</si>
  <si>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</si>
  <si>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</si>
  <si>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</si>
  <si>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</si>
  <si>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</si>
  <si>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</si>
  <si>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</si>
  <si>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</si>
  <si>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</si>
  <si>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</si>
  <si>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</si>
  <si>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</si>
  <si>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</si>
  <si>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</si>
  <si>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</si>
  <si>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</si>
  <si>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</si>
  <si>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</si>
  <si>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</si>
  <si>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</si>
  <si>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</si>
  <si>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</si>
  <si>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</si>
  <si>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</si>
  <si>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</si>
  <si>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</si>
  <si>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</si>
  <si>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</si>
  <si>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</si>
  <si>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</si>
  <si>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</si>
  <si>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</si>
  <si>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</si>
  <si>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</si>
  <si>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</si>
  <si>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</si>
  <si>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</si>
  <si>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</si>
  <si>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</si>
  <si>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</si>
  <si>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</si>
  <si>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</si>
  <si>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</si>
  <si>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</si>
  <si>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</si>
  <si>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</si>
  <si>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</si>
  <si>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</si>
  <si>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</si>
  <si>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</si>
  <si>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</si>
  <si>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</si>
  <si>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</si>
  <si>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</si>
  <si>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</si>
  <si>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</si>
  <si>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</si>
  <si>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</si>
  <si>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</si>
  <si>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</si>
  <si>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</si>
  <si>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</si>
  <si>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</si>
  <si>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</si>
  <si>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</si>
  <si>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</si>
  <si>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</si>
  <si>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</si>
  <si>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</si>
  <si>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</si>
  <si>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</si>
  <si>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</si>
  <si>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</si>
  <si>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</si>
  <si>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</si>
  <si>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</si>
  <si>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</si>
  <si>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</si>
  <si>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</si>
  <si>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</si>
  <si>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</si>
  <si>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</si>
  <si>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</si>
  <si>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</si>
  <si>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</si>
  <si>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</si>
  <si>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</si>
  <si>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</si>
  <si>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</si>
  <si>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</si>
  <si>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</si>
  <si>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</si>
  <si>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</si>
  <si>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</si>
  <si>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</si>
  <si>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</si>
  <si>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</si>
  <si>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</si>
  <si>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</si>
  <si>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</si>
  <si>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</si>
  <si>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</si>
  <si>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</si>
  <si>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</si>
  <si>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</si>
  <si>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</si>
  <si>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</si>
  <si>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</si>
  <si>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</si>
  <si>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</si>
  <si>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</si>
  <si>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</si>
  <si>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</si>
  <si>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</si>
  <si>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</si>
  <si>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</si>
  <si>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</si>
  <si>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</si>
  <si>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</si>
  <si>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</si>
  <si>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</si>
  <si>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</si>
  <si>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</si>
  <si>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</si>
  <si>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</si>
  <si>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</si>
  <si>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</si>
  <si>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</si>
  <si>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</si>
  <si>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</si>
  <si>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</si>
  <si>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</si>
  <si>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</si>
  <si>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</si>
  <si>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</si>
  <si>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</si>
  <si>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</si>
  <si>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</si>
  <si>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</si>
  <si>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</si>
  <si>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</si>
  <si>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</si>
  <si>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</si>
  <si>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</si>
  <si>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</si>
  <si>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</si>
  <si>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</si>
  <si>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</si>
  <si>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</si>
  <si>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</si>
  <si>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</si>
  <si>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</si>
  <si>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</si>
  <si>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</si>
  <si>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</si>
  <si>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</si>
  <si>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</si>
  <si>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</si>
  <si>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</si>
  <si>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</si>
  <si>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</si>
  <si>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</si>
  <si>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</si>
  <si>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</si>
  <si>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</si>
  <si>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</si>
  <si>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</si>
  <si>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</si>
  <si>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</si>
  <si>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</si>
  <si>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</si>
  <si>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</si>
  <si>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</si>
  <si>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</si>
  <si>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</si>
  <si>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</si>
  <si>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</si>
  <si>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</si>
  <si>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</si>
  <si>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</si>
  <si>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</si>
  <si>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</si>
  <si>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</si>
  <si>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</si>
  <si>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</si>
  <si>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</si>
  <si>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</si>
  <si>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</si>
  <si>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</si>
  <si>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</si>
  <si>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</si>
  <si>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</si>
  <si>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</si>
  <si>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</si>
  <si>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</si>
  <si>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</si>
  <si>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</si>
  <si>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</si>
  <si>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</si>
  <si>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</si>
  <si>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</si>
  <si>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</si>
  <si>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</si>
  <si>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</si>
  <si>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</si>
  <si>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</si>
  <si>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</si>
  <si>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</si>
  <si>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</si>
  <si>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</si>
  <si>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</si>
  <si>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</si>
  <si>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</si>
  <si>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</si>
  <si>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</si>
  <si>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</si>
  <si>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</si>
  <si>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</si>
  <si>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</si>
  <si>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</si>
  <si>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</si>
  <si>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</si>
  <si>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</si>
  <si>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</si>
  <si>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</si>
  <si>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</si>
  <si>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</si>
  <si>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</si>
  <si>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</si>
  <si>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</si>
  <si>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</si>
  <si>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</si>
  <si>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</si>
  <si>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</si>
  <si>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</si>
  <si>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</si>
  <si>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</si>
  <si>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</si>
  <si>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</si>
  <si>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</si>
  <si>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</si>
  <si>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</si>
  <si>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</si>
  <si>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</si>
  <si>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</si>
  <si>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</si>
  <si>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</si>
  <si>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</si>
  <si>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</si>
  <si>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</si>
  <si>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</si>
  <si>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</si>
  <si>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</si>
  <si>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</si>
  <si>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</si>
  <si>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</si>
  <si>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</si>
  <si>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</si>
  <si>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</si>
  <si>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</si>
  <si>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</si>
  <si>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</si>
  <si>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</si>
  <si>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</si>
  <si>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</si>
  <si>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</si>
  <si>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</si>
  <si>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</si>
  <si>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</si>
  <si>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</si>
  <si>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</si>
  <si>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</si>
  <si>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</si>
  <si>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</si>
  <si>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</si>
  <si>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</si>
  <si>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</si>
  <si>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</si>
  <si>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</si>
  <si>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</si>
  <si>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</si>
  <si>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</si>
  <si>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</si>
  <si>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</si>
  <si>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</si>
  <si>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</si>
  <si>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</si>
  <si>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</si>
  <si>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</si>
  <si>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</si>
  <si>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</si>
  <si>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</si>
  <si>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</si>
  <si>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</si>
  <si>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</si>
  <si>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</si>
  <si>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</si>
  <si>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</si>
  <si>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</si>
  <si>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</si>
  <si>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</si>
  <si>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</si>
  <si>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</si>
  <si>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</si>
  <si>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</si>
  <si>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</si>
  <si>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</si>
  <si>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</si>
  <si>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</si>
  <si>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</si>
  <si>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</si>
  <si>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</si>
  <si>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</si>
  <si>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</si>
  <si>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</si>
  <si>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</si>
  <si>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</si>
  <si>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</si>
  <si>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</si>
  <si>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</si>
  <si>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</si>
  <si>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</si>
  <si>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</si>
  <si>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</si>
  <si>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</si>
  <si>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</si>
  <si>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</si>
  <si>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</si>
  <si>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</si>
  <si>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</si>
  <si>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</si>
  <si>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</si>
  <si>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</si>
  <si>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</si>
  <si>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</si>
  <si>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</si>
  <si>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</si>
  <si>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</si>
  <si>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</si>
  <si>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</si>
  <si>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</si>
  <si>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</si>
  <si>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</si>
  <si>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</si>
  <si>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</si>
  <si>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</si>
  <si>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</si>
  <si>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</si>
  <si>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</si>
  <si>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</si>
  <si>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8. melléklet</t>
  </si>
  <si>
    <t>Az önkormányzat bevételi és kiadási előirányzatai feladatonként</t>
  </si>
  <si>
    <t>Önkormányzati kiegészítés feladatonként</t>
  </si>
  <si>
    <t>16. melléklet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</si>
  <si>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</si>
  <si>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</si>
  <si>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</si>
  <si>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</si>
  <si>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</si>
  <si>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</si>
  <si>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</si>
  <si>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</si>
  <si>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</si>
  <si>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</si>
  <si>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</si>
  <si>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</si>
  <si>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</si>
  <si>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</si>
  <si>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</si>
  <si>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</si>
  <si>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</si>
  <si>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</si>
  <si>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</si>
  <si>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</si>
  <si>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</si>
  <si>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</si>
  <si>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</si>
  <si>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</si>
  <si>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</si>
  <si>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</si>
  <si>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</si>
  <si>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</si>
  <si>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</si>
  <si>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</si>
  <si>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</si>
  <si>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</si>
  <si>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</si>
  <si>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</si>
  <si>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</si>
  <si>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</si>
  <si>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</si>
  <si>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</si>
  <si>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</si>
  <si>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</si>
  <si>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</si>
  <si>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</si>
  <si>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</si>
  <si>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</si>
  <si>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</si>
  <si>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</si>
  <si>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</si>
  <si>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</si>
  <si>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</si>
  <si>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</si>
  <si>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</si>
  <si>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</si>
  <si>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</si>
  <si>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</si>
  <si>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</si>
  <si>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</si>
  <si>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</si>
  <si>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</si>
  <si>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</si>
  <si>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</si>
  <si>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</si>
  <si>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</si>
  <si>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</si>
  <si>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</si>
  <si>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</si>
  <si>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</si>
  <si>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</si>
  <si>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</si>
  <si>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</si>
  <si>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</si>
  <si>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</si>
  <si>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</si>
  <si>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</si>
  <si>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</si>
  <si>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</si>
  <si>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</si>
  <si>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</si>
  <si>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</si>
  <si>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</si>
  <si>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</si>
  <si>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</si>
  <si>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</si>
  <si>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</si>
  <si>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</si>
  <si>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</si>
  <si>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</si>
  <si>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</si>
  <si>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</si>
  <si>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</si>
  <si>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</si>
  <si>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</si>
  <si>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</si>
  <si>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</si>
  <si>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</si>
  <si>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</si>
  <si>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</si>
  <si>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</si>
  <si>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</si>
  <si>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</si>
  <si>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</si>
  <si>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</si>
  <si>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</si>
  <si>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</si>
  <si>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</si>
  <si>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</si>
  <si>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</si>
  <si>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</si>
  <si>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</si>
  <si>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</si>
  <si>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</si>
  <si>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</si>
  <si>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</si>
  <si>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</si>
  <si>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</si>
  <si>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</si>
  <si>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</si>
  <si>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</si>
  <si>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</si>
  <si>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</si>
  <si>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</si>
  <si>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</si>
  <si>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</si>
  <si>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</si>
  <si>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</si>
  <si>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</si>
  <si>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</si>
  <si>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</si>
  <si>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</si>
  <si>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</si>
  <si>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</si>
  <si>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</si>
  <si>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</si>
  <si>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</si>
  <si>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</si>
  <si>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</si>
  <si>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</si>
  <si>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</si>
  <si>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</si>
  <si>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</si>
  <si>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</si>
  <si>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</si>
  <si>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</si>
  <si>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</si>
  <si>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</si>
  <si>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</si>
  <si>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</si>
  <si>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</si>
  <si>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</si>
  <si>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</si>
  <si>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</si>
  <si>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</si>
  <si>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</si>
  <si>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</si>
  <si>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</si>
  <si>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</si>
  <si>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</si>
  <si>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</si>
  <si>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</si>
  <si>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</si>
  <si>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</si>
  <si>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</si>
  <si>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</si>
  <si>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</si>
  <si>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</si>
  <si>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</si>
  <si>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</si>
  <si>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</si>
  <si>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</si>
  <si>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</si>
  <si>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</si>
  <si>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</si>
  <si>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</si>
  <si>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</si>
  <si>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</si>
  <si>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</si>
  <si>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</si>
  <si>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</si>
  <si>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</si>
  <si>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</si>
  <si>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</si>
  <si>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</si>
  <si>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</si>
  <si>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</si>
  <si>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</si>
  <si>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</si>
  <si>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</si>
  <si>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</si>
  <si>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</si>
  <si>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</si>
  <si>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</si>
  <si>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</si>
  <si>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</si>
  <si>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</si>
  <si>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</si>
  <si>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</si>
  <si>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</si>
  <si>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</si>
  <si>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</si>
  <si>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</si>
  <si>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</si>
  <si>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</si>
  <si>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</si>
  <si>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</si>
  <si>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</si>
  <si>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</si>
  <si>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</si>
  <si>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</si>
  <si>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</si>
  <si>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</si>
  <si>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</si>
  <si>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</si>
  <si>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</si>
  <si>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</si>
  <si>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</si>
  <si>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</si>
  <si>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</si>
  <si>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</si>
  <si>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</si>
  <si>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</si>
  <si>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</si>
  <si>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</si>
  <si>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</si>
  <si>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</si>
  <si>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</si>
  <si>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</si>
  <si>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</si>
  <si>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</si>
  <si>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</si>
  <si>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ber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</si>
  <si>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</si>
  <si>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</si>
  <si>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</si>
  <si>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</si>
  <si>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</si>
  <si>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</si>
  <si>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</si>
  <si>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</si>
  <si>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</si>
  <si>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</si>
  <si>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</si>
  <si>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</si>
  <si>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</si>
  <si>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</si>
  <si>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</si>
  <si>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</si>
  <si>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</si>
  <si>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</si>
  <si>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</si>
  <si>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</si>
  <si>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</si>
  <si>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</si>
  <si>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</si>
  <si>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</si>
  <si>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</si>
  <si>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</si>
  <si>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</si>
  <si>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</si>
  <si>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</si>
  <si>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</si>
  <si>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</si>
  <si>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</si>
  <si>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</si>
  <si>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</si>
  <si>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</si>
  <si>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</si>
  <si>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</si>
  <si>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</si>
  <si>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</si>
  <si>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</si>
  <si>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</si>
  <si>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</si>
  <si>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</si>
  <si>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</si>
  <si>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</si>
  <si>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</si>
  <si>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</si>
  <si>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</si>
  <si>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</si>
  <si>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</si>
  <si>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</si>
  <si>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</si>
  <si>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</si>
  <si>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</si>
  <si>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</si>
  <si>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</si>
  <si>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</si>
  <si>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</si>
  <si>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</si>
  <si>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</si>
  <si>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</si>
  <si>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</si>
  <si>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</si>
  <si>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</si>
  <si>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</si>
  <si>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</si>
  <si>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</si>
  <si>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</si>
  <si>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</si>
  <si>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</si>
  <si>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</si>
  <si>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</si>
  <si>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</si>
  <si>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</si>
  <si>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</si>
  <si>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</si>
  <si>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</si>
  <si>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</si>
  <si>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</si>
  <si>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</si>
  <si>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</si>
  <si>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</si>
  <si>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</si>
  <si>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</si>
  <si>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</si>
  <si>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</si>
  <si>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</si>
  <si>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</si>
  <si>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</si>
  <si>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</si>
  <si>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</si>
  <si>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</si>
  <si>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</si>
  <si>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</si>
  <si>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</si>
  <si>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</si>
  <si>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</si>
  <si>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</si>
  <si>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</si>
  <si>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</si>
  <si>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</si>
  <si>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</si>
  <si>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</si>
  <si>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</si>
  <si>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</si>
  <si>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</si>
  <si>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</si>
  <si>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</si>
  <si>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</si>
  <si>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</si>
  <si>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</si>
  <si>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</si>
  <si>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</si>
  <si>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</si>
  <si>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</si>
  <si>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</si>
  <si>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</si>
  <si>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</si>
  <si>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</si>
  <si>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</si>
  <si>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</si>
  <si>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</si>
  <si>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</si>
  <si>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</si>
  <si>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>10. EU-s projekt azonosítója, neve:</t>
  </si>
  <si>
    <t>TOP-5.2.1-15-HE1-2016-00004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</si>
  <si>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</si>
  <si>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</si>
  <si>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</si>
  <si>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</si>
  <si>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</si>
  <si>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</si>
  <si>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</si>
  <si>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</si>
  <si>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</si>
  <si>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</si>
  <si>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</si>
  <si>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</si>
  <si>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</si>
  <si>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</si>
  <si>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</si>
  <si>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</si>
  <si>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</si>
  <si>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</si>
  <si>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</si>
  <si>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</si>
  <si>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</si>
  <si>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</si>
  <si>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</si>
  <si>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</si>
  <si>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</si>
  <si>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</si>
  <si>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</si>
  <si>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</si>
  <si>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</si>
  <si>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</si>
  <si>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</si>
  <si>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</si>
  <si>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</si>
  <si>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</si>
  <si>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</si>
  <si>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</si>
  <si>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</si>
  <si>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</si>
  <si>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</si>
  <si>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</si>
  <si>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</si>
  <si>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</si>
  <si>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</si>
  <si>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</si>
  <si>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</si>
  <si>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</si>
  <si>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</si>
  <si>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</si>
  <si>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</si>
  <si>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</si>
  <si>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</si>
  <si>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</si>
  <si>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</si>
  <si>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</si>
  <si>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</si>
  <si>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</si>
  <si>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</si>
  <si>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</si>
  <si>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</si>
  <si>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</si>
  <si>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</si>
  <si>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</si>
  <si>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</si>
  <si>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</si>
  <si>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</si>
  <si>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</si>
  <si>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</si>
  <si>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</si>
  <si>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</si>
  <si>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</si>
  <si>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</si>
  <si>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</si>
  <si>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</si>
  <si>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</si>
  <si>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</si>
  <si>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</si>
  <si>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</si>
  <si>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</si>
  <si>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</si>
  <si>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</si>
  <si>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</si>
  <si>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</si>
  <si>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</si>
  <si>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</si>
  <si>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</si>
  <si>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</si>
  <si>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</si>
  <si>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</si>
  <si>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</si>
  <si>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</si>
  <si>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</si>
  <si>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</si>
  <si>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</si>
  <si>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</si>
  <si>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</si>
  <si>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</si>
  <si>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</si>
  <si>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</si>
  <si>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</si>
  <si>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</si>
  <si>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</si>
  <si>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</si>
  <si>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</si>
  <si>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</si>
  <si>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</si>
  <si>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</si>
  <si>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</si>
  <si>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</si>
  <si>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</si>
  <si>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Intézményi gyermekétkeztetés támogatása</t>
  </si>
  <si>
    <t>aa)</t>
  </si>
  <si>
    <t>ab)</t>
  </si>
  <si>
    <t>Gyermekétkeztetés támogatása</t>
  </si>
  <si>
    <t>Bölcsődei, mini bölcsődei férőhelyek kialakításának támogatása</t>
  </si>
  <si>
    <t>fel nem használt szockieg (ha -)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</si>
  <si>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</si>
  <si>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</si>
  <si>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</si>
  <si>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</si>
  <si>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</si>
  <si>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Új zöldterületi részek virágosítása,parkosítása</t>
  </si>
  <si>
    <t>Konténer szállítás</t>
  </si>
  <si>
    <t>Zöldterületek kaszálása</t>
  </si>
  <si>
    <t>Hírdetmények, kifüggesztések</t>
  </si>
  <si>
    <t>Ingatlan eladás</t>
  </si>
  <si>
    <t>Temetők működtetésével kapcsolatos bevételek</t>
  </si>
  <si>
    <t>Polgármesteri Hivatal épületének belső felújításának befejezése</t>
  </si>
  <si>
    <t>mösz</t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</si>
  <si>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</si>
  <si>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</si>
  <si>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</si>
  <si>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</si>
  <si>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</si>
  <si>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</si>
  <si>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</si>
  <si>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</si>
  <si>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</si>
  <si>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</si>
  <si>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</si>
  <si>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</si>
  <si>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</si>
  <si>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</si>
  <si>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</si>
  <si>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</si>
  <si>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</si>
  <si>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</si>
  <si>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HM-i Katasztrófavédelmi Igazgatóság</t>
  </si>
  <si>
    <t>Közvilágítás bővítése</t>
  </si>
  <si>
    <t>Informatikai eszközbeszerzések</t>
  </si>
  <si>
    <t>Önkormányzati hivatal belső felújítása (folytatás)</t>
  </si>
  <si>
    <t>Heves Város Polgárőr Egyesület</t>
  </si>
  <si>
    <t>strand</t>
  </si>
  <si>
    <t>Strand beruházás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</si>
  <si>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</si>
  <si>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</si>
  <si>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</si>
  <si>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</si>
  <si>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</si>
  <si>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</si>
  <si>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</si>
  <si>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</si>
  <si>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</si>
  <si>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</si>
  <si>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</si>
  <si>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</si>
  <si>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TOP-1.2.1-16-HE1-2017-00010 Az első magyar sakkmúzeum fejlesztése Hevesen</t>
  </si>
  <si>
    <t>TOP-3.1.1-16-HE1-2017-00003 Kerékpáros fejlesztés Heves és Hevesvezekény településeken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</si>
  <si>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</si>
  <si>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</si>
  <si>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</si>
  <si>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</si>
  <si>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</si>
  <si>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</si>
  <si>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</si>
  <si>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</si>
  <si>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</si>
  <si>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</si>
  <si>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</si>
  <si>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</si>
  <si>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</si>
  <si>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</si>
  <si>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</si>
  <si>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</si>
  <si>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</si>
  <si>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</si>
  <si>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</si>
  <si>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</si>
  <si>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</si>
  <si>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</si>
  <si>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</si>
  <si>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</si>
  <si>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</si>
  <si>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</si>
  <si>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</si>
  <si>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</si>
  <si>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</si>
  <si>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</si>
  <si>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</si>
  <si>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</si>
  <si>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</si>
  <si>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</si>
  <si>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</si>
  <si>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</si>
  <si>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</si>
  <si>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</si>
  <si>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</si>
  <si>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Nők a családban és a munkahelyen</t>
  </si>
  <si>
    <t>37.</t>
  </si>
  <si>
    <t xml:space="preserve">Heves Város Önkormányzata és költségvetési szervei 2020. évi összesített költségvetési mérlege </t>
  </si>
  <si>
    <t xml:space="preserve">Heves Város Önkormányzata 2020. évi költségvetési mérlege </t>
  </si>
  <si>
    <t xml:space="preserve">Hevesi Közös Önkormányzati Hivatal 2020. évi költségvetési mérlege </t>
  </si>
  <si>
    <t xml:space="preserve">Heves Városi Óvodák és Bölcsőde Köznevelési Intézmény 2020. évi költségvetési mérlege </t>
  </si>
  <si>
    <t xml:space="preserve">Hevesi Kulturális Központ 2020. évi költségvetési mérlege </t>
  </si>
  <si>
    <t xml:space="preserve">Heves Városi Mezei Őrszolgálat 2020. évi költségvetési mérlege </t>
  </si>
  <si>
    <t xml:space="preserve">Heves Város Gyermekjóléti Központja és Családsegítő Szolgálata 2020. évi költségvetési mérlege </t>
  </si>
  <si>
    <t>Heves Város Önkormányzata és költségvetési szervei 2020. évi létszámkerete</t>
  </si>
  <si>
    <t>Az önkormányzat által adott 2020. évi közvetett támogatások</t>
  </si>
  <si>
    <t>Heves Város Önkormányzata és költségvetési szervei 2020. évi összesített költségvetési mérlege (a tárgyévet megelőző két év teljesítési adataival kiegészítve)</t>
  </si>
  <si>
    <t>Heves Város Önkormányzata 2020. évi általános működésének és ágazati feladatainak támogatásának alakulása jogcímenként</t>
  </si>
  <si>
    <t>2020. évi felhalmozási célú kiadások</t>
  </si>
  <si>
    <t>2020. évi céljelleggel nyújtott támogatások</t>
  </si>
  <si>
    <t>Gyermekétkeztetés, munkahelyi étkeztetés, egyéb vendéglátás nyersanyagnormája és térítési díja 2020. január 1-től</t>
  </si>
  <si>
    <t>Heves Város Önkormányzata saját bevételeinek, valamint az adósságot keletkeztető ügyletekből származó fizetési kötelezettségeinek várható alakulása  2020-2023. években</t>
  </si>
  <si>
    <t>2020. évi előirányzat</t>
  </si>
  <si>
    <t>2020. ÉVI ÖSSZESÍTETT KÖLTSÉGVETÉSI MÉRLEGE</t>
  </si>
  <si>
    <t>2020. ÉVI KÖLTSÉGVETÉSI MÉRLEGE</t>
  </si>
  <si>
    <t>2020. ÉVI MŰKÖDÉSI CÉLÚ BEVÉTELEK ÉS KIADÁSOK MÉRLEGE</t>
  </si>
  <si>
    <t>2020. ÉVI FELHALMOZÁSI CÉLÚ BEVÉTELEK ÉS KIADÁSOK MÉRLEGE</t>
  </si>
  <si>
    <t xml:space="preserve"> 2020. ÉVI ENGEDÉLYEZETT LÉTSZÁM ELŐIRÁNYZATA</t>
  </si>
  <si>
    <t>2020. évi létszám előirányzat (fő)</t>
  </si>
  <si>
    <t>2020. előtt</t>
  </si>
  <si>
    <t>2022. után</t>
  </si>
  <si>
    <t>Önkormányzaton kívüli EU-s projektekhez történő hozzájárulás 2020. évi előirányzata</t>
  </si>
  <si>
    <t>23=3+…+21</t>
  </si>
  <si>
    <t>Az önkormányzat 2020. évi adósságot keletkeztető fejlesztési céljai</t>
  </si>
  <si>
    <t>2020. előtti kifizetés</t>
  </si>
  <si>
    <t>2023. után</t>
  </si>
  <si>
    <t>2018. évi teljesítés</t>
  </si>
  <si>
    <t xml:space="preserve"> 2020. ÉVI LÉTSZÁMKERET</t>
  </si>
  <si>
    <t>HEVES VÁROS ÖNKORMÁNYZATA 2020. ÉVI ÖNKORMÁNYZATI TÁMOGATÁSAI</t>
  </si>
  <si>
    <t xml:space="preserve"> Település-üzemeltetéshez kapcsolódó feladatellátás alaptámogatása</t>
  </si>
  <si>
    <t>A zöldterület-gazdálkodással kapcsolatos feladatok ellátásának alaptámogatása</t>
  </si>
  <si>
    <t>Közvilágítás fenntartásának alaptámogatása</t>
  </si>
  <si>
    <t>Köztemető fenntartással kapcsolatos feladatok alaptámogatása</t>
  </si>
  <si>
    <t>Közutak fenntartásának alaptámogatása</t>
  </si>
  <si>
    <t>Beszámítás, kiegészítés</t>
  </si>
  <si>
    <t>I.1.c) - f) Egyéb önkormányzati feladatok támogatása beszámítás, kiegészítés után</t>
  </si>
  <si>
    <t>Teljesítési adatokhoz kapcsolódó korrekciós támogatás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</si>
  <si>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[1.+…+5.]</t>
    </r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</si>
  <si>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[1.+...+5.]</t>
    </r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</si>
  <si>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[a)+…+e)]</t>
    </r>
  </si>
  <si>
    <t>SZOLIDARITÁSI HOZZÁJÁRULÁS</t>
  </si>
  <si>
    <t>A költségvetési szerveknél foglalkoztatottak 2019. évi áthúzódó és 2020. évi kompenzációja</t>
  </si>
  <si>
    <t>Megyei hatókörű városi múzeumok feladatainak támogatása</t>
  </si>
  <si>
    <t>Megyei hatókörű városi könyvtárak feladatainak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</si>
  <si>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</si>
  <si>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Települési önkormányzatok kulturális feladatainak kiegészítő támogatása</t>
  </si>
  <si>
    <t>Normafa Park program támogatása</t>
  </si>
  <si>
    <t>Megyei önkormányzatok fejlesztési feladatainak támogatása</t>
  </si>
  <si>
    <t>Monor okos város projekt támogatása</t>
  </si>
  <si>
    <t>Budapest Főváros XII. kerület Hegyvidéki Önkormányzata mélygarázs építésének támogatása</t>
  </si>
  <si>
    <t>Budapest Főváros XII. kerület Hegyvidéki Önkormányzata forgalomtechnikai fejlesztési feladatainak támogatása</t>
  </si>
  <si>
    <t>Kisbér Város városközpontja megújításának támogatása</t>
  </si>
  <si>
    <t>Normafa Park projekt egyes beruházási elemeinek támogatása</t>
  </si>
  <si>
    <t>Fejlesztések támogatása Szanticskán</t>
  </si>
  <si>
    <t>Erzsébetvárosi fejlesztések támogatása</t>
  </si>
  <si>
    <t>Bölcsőde- és óvodafejlesztések támogatása Budapest Főváros VIII. kerületében</t>
  </si>
  <si>
    <t>Budapest Főváros VIII. kerületi Horváth Mihály tér fejlesztésének támogatása</t>
  </si>
  <si>
    <t>Semmelweis Egyetem II. számú Szülészeti és Nőgyógyászati Klinika előtti parkoló fejlesztésének támogatása</t>
  </si>
  <si>
    <t>Közbiztonsági fejlesztések támogatása Budapest Főváros VIII. kerületében</t>
  </si>
  <si>
    <t>Önkormányzati bérlakásfejlesztések támogatása Budapest Főváros VIII. kerületében</t>
  </si>
  <si>
    <t>Budapest Főváros IX. kerületi József Attila-Lakótelepi Közösségi Ház felújításának támogatása</t>
  </si>
  <si>
    <t>Csemő-Cegléd közötti kerékpárút kiépítése I. ütemének támogatása</t>
  </si>
  <si>
    <t>Óvodafejlesztés és ravatalozó kialakítás támogatása Dabason</t>
  </si>
  <si>
    <t>Ispánki szennyvízelvezető-tisztító rendszer működőképessége helyreállításának támogatása</t>
  </si>
  <si>
    <t>Jászapáti Tölgyes Strandfürdő fejlesztésének támogatása</t>
  </si>
  <si>
    <t>Kőszegi Dózsa György utca felújításának támogatása</t>
  </si>
  <si>
    <t>Ravatalozó kialakításának támogatása Nagybarcán</t>
  </si>
  <si>
    <t>Vadkerti-Tó Kemping felújításának támogatása Soltvadkerten</t>
  </si>
  <si>
    <t>Pihenőpark fejlesztés támogatása Tárnokon</t>
  </si>
  <si>
    <t>Tatán az Öreg-tó körüli utak és sétány felújításának támogatása</t>
  </si>
  <si>
    <t>Tiszajenői temetőhöz vezető önkormányzati útszakasz aszfaltozásának támogatása</t>
  </si>
  <si>
    <r>
      <t xml:space="preserve">HELYI ÖNKORMÁNYZATOK FELHALMOZÁSI CÉLÚ KÖLTSÉGVETÉSI TÁMOGATÁSAI </t>
    </r>
    <r>
      <rPr>
        <b/>
        <i/>
        <sz val="9"/>
        <rFont val="Times New Roman CE"/>
        <charset val="238"/>
      </rPr>
      <t>[1.+31.]</t>
    </r>
  </si>
  <si>
    <t>Felhasználás 2020. előtt</t>
  </si>
  <si>
    <t>2020. ÉVI FELHALMOZÁSI CÉLÚ KIADÁSAI</t>
  </si>
  <si>
    <t>2020. év utáni szükséglet</t>
  </si>
  <si>
    <t>2020. ÉVI CÉLJELEGGEL NYÚJTOTT TÁMOGATÁSOK, ÁTADOTT PÉNZEK</t>
  </si>
  <si>
    <t>2020. évi működési költségvetés előirányzata</t>
  </si>
  <si>
    <t>2020. évi felhalmozási költségvetés előirányzata</t>
  </si>
  <si>
    <t>Szociális juttatások (szociális bérlakás üzemeltetése is)</t>
  </si>
  <si>
    <t>......................, 2020. .......................... hó ..... nap</t>
  </si>
  <si>
    <t>Hivatali Konyha (saját dolgozó, vendég) *</t>
  </si>
  <si>
    <t>* 2020.02.01-től a térítési díj 900 Ft/adag</t>
  </si>
  <si>
    <t>KEHOP-5.4.1-16-2016-00400</t>
  </si>
  <si>
    <t>Szemléletformáló programok Heves városban</t>
  </si>
  <si>
    <t>KEHOP-5.4.1-16-2016-00400 Szemléletformáló programok Heves városban</t>
  </si>
  <si>
    <t>Önkormányzatok és önkormányzati hivatalok jogalkotó és általános igazgatási tevékenysége (KEHOP-5.4.1)</t>
  </si>
  <si>
    <t>Önkormányzatok és társulások igazgatási tevékenysége (KEHOP-5.4.1-16-2016-00400 Szemléletformáló programok Heves városban)</t>
  </si>
  <si>
    <t>EFOP-1.2.9-17-2017-00024</t>
  </si>
  <si>
    <t>TOP-1.1.1-16-HE1-2017-00002 Iparterület kialakítása Heves Városban</t>
  </si>
  <si>
    <t>TOP-4.3.1-15-HE1-2016-00014 Leromlott területek rehabilitációja Heves városban</t>
  </si>
  <si>
    <t>EFOP-1.2.9-17-2017-00024 Nők a családban és a munkahelyen</t>
  </si>
  <si>
    <t>TOP-1.1.1-16-HE1-2017-00002</t>
  </si>
  <si>
    <t>TOP-4.3.1-15-HE1-2016-00014</t>
  </si>
  <si>
    <t>2019. évi érdekeltségnövelő támogatásból beruházás</t>
  </si>
  <si>
    <t>Informatikai fejlesztés (szerver, szgép alkatrészek)</t>
  </si>
  <si>
    <t>Az ún. Kisvárosi fejlesztési programhoz tervek készítése, korábbi terveink korszerűségi felülvizsgálata</t>
  </si>
  <si>
    <t>Szent István út és az Alkotmány út egy részének komplex felújítása</t>
  </si>
  <si>
    <t>Felszíni csapadékvíz elvezetés (Újtelepi településrész)</t>
  </si>
  <si>
    <t>Gyűjteményrendezés, műtárgyvédelem (salgópolcok, tárolóeszközök, rolók és rovarhálók</t>
  </si>
  <si>
    <t>Múzeumi gyűjtemény gyarapítás (könyvkötő hagyaték, kötélverő eszközök)</t>
  </si>
  <si>
    <t>Elmúlt évben mart aszfalt technológiával megvalósult útfelújítások</t>
  </si>
  <si>
    <t>Városüzemeltetési feladatok 2020.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</si>
  <si>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jelentős nagyságrendben hajtottunk végre kátyúzási munkákat. Feltételezve, hogy ennek hatása az ideji évre is kihat, a 2020. évi kátyúzási munkák csak az "ütőkátyúk" megszüntetésére korlátozzuk.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</si>
  <si>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elmúlt évben megnyert BM-es pályázat segítségével a Szent István út és az Alkotmány út egy részének komplex felújítását végezzük el 2020-ban, a feladat támogatásának összege 30.000.000 Ft. Sürgető feladat a város egyik gyűjtőútjának, a Hunyadi útnak a felújítása.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</si>
  <si>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 - lakossági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</si>
  <si>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elmúlt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</si>
  <si>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Felszíni csapadékvíz elvezetés (a meglévő tervet felülvizsgálni/aktualizálni ütemezni)</t>
    </r>
    <r>
      <rPr>
        <sz val="9"/>
        <rFont val="Times New Roman"/>
        <family val="1"/>
        <charset val="238"/>
      </rPr>
      <t>: Elsősorban a város Újtelepi részein közepes intezitású esőzés is komoly belvízproblémákat okoz. (Május 1. u. Somogyi u. Alkotmány u.) Ezeken a területeken indokolt csapadékvíz elvezetést megterveztetni és megvalósítani.</t>
    </r>
  </si>
  <si>
    <t>Elmúlt évben megvalósult mart aszfalt technológiával megvalósult útjavítások:</t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</si>
  <si>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bővítése és felújításának igénye merült fel a település több részén: Alatka, Bernáthegy. A nevezett területeken a hálózat nem rendelkezik közvilágítási szállal, ezért ennek vezetékelését is költségelni kell, és megvizsgáljuk napelemes közvilágítási lámpatestek felszerelését. Az elavúlt lámpatestek cseréje szükséges a Pusztacsászi város részen és a kemping környékén.</t>
    </r>
  </si>
  <si>
    <t>A közkifolyók számának további csökkentése nem lehetséges, ezért a szakfeladatra előirányzott költség meghatározása a 2019. évi teljesítés figyelembevételével történt.</t>
  </si>
  <si>
    <t>A 2019-ben a Gyöngyösi u. temető is az önkormányzat kezelésébe került. Az üzemeltetést a HEVA Kft. végzi. A temető folyamatos ápoltságának biztosítására folyamatos gondnokra lenne szükség.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</si>
  <si>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 A rágcsálók irtása lakossági igényként jelenik meg.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</si>
  <si>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2020.évi ütem</t>
    </r>
  </si>
  <si>
    <r>
      <t xml:space="preserve">A </t>
    </r>
    <r>
      <rPr>
        <b/>
        <u/>
        <sz val="9"/>
        <rFont val="Times New Roman"/>
        <family val="1"/>
        <charset val="238"/>
      </rPr>
      <t>2020.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</si>
  <si>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áprilisig (100%-ban támogatott)</t>
    </r>
  </si>
  <si>
    <t>A startmunka program keretében 2020-ben is is pályázunk. A foglalkoztatást 54 fő bevonásával tervezzük.</t>
  </si>
  <si>
    <t>A hagyományos közfoglalkoztatás 2020 évre vonatkozó támogatottsága még nem ismert. Valószínűleg a 2019-es évhez hasonlóan a  hosszabb távú foglalkoztatás 70-100%-ban lesz támogatható és a dologi kiadásokra kevesebb támogatást kapunk.</t>
  </si>
  <si>
    <t>A közfoglalkoztatási bér bruttó összege 2019-ben nem változik, a 8 órás foglalkoztatás 81.530 forint, a garantált bér összege 106.555 forint.  A kifizetés havi rendszerességgel történik.</t>
  </si>
  <si>
    <t>A közterület használati díjak 2020. évben emelkednek, amelyet a tervszám kialakításakor figyelembe vettünk.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</si>
  <si>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bővűlt.</t>
  </si>
  <si>
    <t>Károlyi M. úti volt NHSZ  telephely bérbeadása DEHU Np. Kft.</t>
  </si>
  <si>
    <t>Károlyi M. úti volt NHSZ  telephely bérbeadása GreenIris Kft.</t>
  </si>
  <si>
    <t>HEVA Kft. piac bérbeadása</t>
  </si>
  <si>
    <t>HEVA Kft. sportcsarnok üzemeltetése</t>
  </si>
  <si>
    <t>Ingatlanok vásárlása városfejlesztési feladatok megvalósítása érdekében : Hevesért Közalapítvány tulajdonrendezése 2019. évi összegből elmaradt rész, 2020.évi ütem, NHSZ ingatlan vásárlás 2019.évi ütem és 2020. évi ütem NHSZ kompenzáció 2019.évi ütem stb.</t>
  </si>
  <si>
    <t>A Művelődési Ház érdekeltségnövelő pályázatának megvalósítása : Művelődési Ház légkondícionálásának kiépítése, amelynek részbeni fedezete a 2019. évi közművelődési érdekeltségnövelő pályázaton elnyert összeg.</t>
  </si>
  <si>
    <t>A rendezési terv átfogó felülvizsgálatának befejezése ( a törvényi határidő 2020.dec.31.), és digitális települési alaptérkép elkészítése.</t>
  </si>
  <si>
    <t>A büntetésvégrehajtási intézet létesítéséhez vállalt 20kv középfeszültségű elektromos hálózat áthelyzése.</t>
  </si>
  <si>
    <t>Az ún. Kisvárosi fejlesztési programhoz tervek készítése, korábbi terveink korszerűségi felülvizsgálata.</t>
  </si>
  <si>
    <t>Az EU-s támogatási forrásból elnyert fejlesztési pályázatok megvalósulása során kialakult  költségnövekedések fedezetének biztosítása.</t>
  </si>
  <si>
    <t>CÉLTART</t>
  </si>
  <si>
    <t>Mezei őrszolgálat eszközbeszerzése : mezei őrszolgálat működésének javításához szükséges éjjelltátó, hőkamera és földmérő készülék beszerzése.</t>
  </si>
  <si>
    <t>Fejlesztési hitel felvétele - Szent István út és az Alkotmány út egy részének komplex felújítása önerő</t>
  </si>
  <si>
    <t>Egyéb bevételek, kiadások (rendezés)</t>
  </si>
  <si>
    <t>Támogatások (rendezés)</t>
  </si>
  <si>
    <t>Főnix Trampolin Sportegyesület</t>
  </si>
  <si>
    <t>Készletértékesítés ellenértéke (B401)</t>
  </si>
  <si>
    <t>2020. évi eredeti előirányzat</t>
  </si>
  <si>
    <t>2020. évi módosított előirányzat</t>
  </si>
  <si>
    <t>2020. évi eredeti létszám előirányzat (fő)</t>
  </si>
  <si>
    <t>2020. évi módosított létszám előirányzat (fő)</t>
  </si>
  <si>
    <t>2019. évi eredeti tervezett kedvezmény nélkül elérhető bevétel</t>
  </si>
  <si>
    <t>2019. évi eredeti tervezett kedvezmények összege</t>
  </si>
  <si>
    <t>2020. évi módosított tervezett kedvezmény nélkül elérhető bevétel</t>
  </si>
  <si>
    <t>2020. évi módosított tervezett kedvezmények összege</t>
  </si>
  <si>
    <t>Szociális célú ingatlan vásárlás</t>
  </si>
  <si>
    <t>Heves Termál Turisztikai Idegenforgalmi és Szolgáltató Kft. Alapítása</t>
  </si>
  <si>
    <t>Új Hevesi Média Kulturális és Szolgáltató Kft. Alapítása</t>
  </si>
  <si>
    <t>Albert Schweitzer Kórház Alapítvány</t>
  </si>
  <si>
    <t>Markhot Ferenc Kórház</t>
  </si>
  <si>
    <t>3.10.</t>
  </si>
  <si>
    <t>3.11</t>
  </si>
  <si>
    <t>Cégalapítások</t>
  </si>
  <si>
    <t>Szociális ingatlan vásárlás</t>
  </si>
  <si>
    <t>szocl</t>
  </si>
  <si>
    <t>%</t>
  </si>
  <si>
    <t>07.30-i teljesített kedvezmények összege</t>
  </si>
  <si>
    <t>K01 - Beszámoló a K1.-K8. Költségvetési kiadások előirányzatának teljesítéséről</t>
  </si>
  <si>
    <t>Sorszám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</si>
  <si>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</si>
  <si>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</si>
  <si>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</si>
  <si>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</si>
  <si>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</si>
  <si>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</si>
  <si>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</si>
  <si>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</si>
  <si>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</si>
  <si>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</si>
  <si>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</si>
  <si>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</si>
  <si>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</si>
  <si>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</si>
  <si>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</si>
  <si>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</si>
  <si>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</si>
  <si>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</si>
  <si>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</si>
  <si>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</si>
  <si>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</si>
  <si>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</si>
  <si>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</si>
  <si>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</si>
  <si>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</si>
  <si>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</si>
  <si>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</si>
  <si>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</si>
  <si>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</si>
  <si>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</si>
  <si>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</si>
  <si>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</si>
  <si>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</si>
  <si>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</si>
  <si>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</si>
  <si>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</si>
  <si>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</si>
  <si>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</si>
  <si>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</si>
  <si>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</si>
  <si>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</si>
  <si>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</si>
  <si>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</si>
  <si>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</si>
  <si>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</si>
  <si>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</si>
  <si>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</si>
  <si>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</si>
  <si>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</si>
  <si>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</si>
  <si>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</si>
  <si>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</si>
  <si>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</si>
  <si>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</si>
  <si>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</si>
  <si>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</si>
  <si>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</si>
  <si>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</si>
  <si>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</si>
  <si>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</si>
  <si>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</si>
  <si>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</si>
  <si>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</si>
  <si>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</si>
  <si>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</si>
  <si>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</si>
  <si>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</si>
  <si>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</si>
  <si>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</si>
  <si>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</si>
  <si>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</si>
  <si>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</si>
  <si>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</si>
  <si>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</si>
  <si>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</si>
  <si>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</si>
  <si>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38</t>
  </si>
  <si>
    <t>ebből: a közszféra és a magánszféra együttműködésén (PPP) alapuló szerződéses konstrukció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</si>
  <si>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</si>
  <si>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</si>
  <si>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</si>
  <si>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</si>
  <si>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</si>
  <si>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</si>
  <si>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</si>
  <si>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</si>
  <si>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</si>
  <si>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</si>
  <si>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</si>
  <si>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</si>
  <si>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</si>
  <si>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</si>
  <si>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</si>
  <si>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</si>
  <si>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</si>
  <si>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</si>
  <si>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</si>
  <si>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</si>
  <si>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</si>
  <si>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</si>
  <si>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</si>
  <si>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</si>
  <si>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</si>
  <si>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</si>
  <si>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52</t>
  </si>
  <si>
    <t>ebből: államháztartáson belül (K353)</t>
  </si>
  <si>
    <t>53</t>
  </si>
  <si>
    <t>ebből: fedezeti ügyletek kamatkiadásai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</si>
  <si>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</si>
  <si>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</si>
  <si>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</si>
  <si>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</si>
  <si>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56</t>
  </si>
  <si>
    <t>ebből: hitelviszonyt megtestesítő értékpapírok árfolyamkülönbözete (K354)</t>
  </si>
  <si>
    <t>57</t>
  </si>
  <si>
    <t>ebből: deviza kötelezettségek realizált árfolyamvesztesége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</si>
  <si>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</si>
  <si>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</si>
  <si>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</si>
  <si>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</si>
  <si>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</si>
  <si>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</si>
  <si>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61</t>
  </si>
  <si>
    <t>62</t>
  </si>
  <si>
    <t>Családi támogatások (=63+…+72) (K42)</t>
  </si>
  <si>
    <t>63</t>
  </si>
  <si>
    <t>ebből: családi pótlék (K42)</t>
  </si>
  <si>
    <t>64</t>
  </si>
  <si>
    <t>ebből: anyasági támogatás (K42)</t>
  </si>
  <si>
    <t>65</t>
  </si>
  <si>
    <t>ebből: gyermekgondozást segítő ellátás (K42)</t>
  </si>
  <si>
    <t>66</t>
  </si>
  <si>
    <t>ebből: gyermeknevelési támogatás (K42)</t>
  </si>
  <si>
    <t>67</t>
  </si>
  <si>
    <t>ebből: gyermekek születésével kapcsolatos szabadság megtérítése (K42)</t>
  </si>
  <si>
    <t>68</t>
  </si>
  <si>
    <t>ebből: életkezdési támogatás (K42)</t>
  </si>
  <si>
    <t>69</t>
  </si>
  <si>
    <t>ebből: otthonteremtési támogatás (K42)</t>
  </si>
  <si>
    <t>70</t>
  </si>
  <si>
    <t>ebből: gyermektartásdíj megelőlegezése (K42)</t>
  </si>
  <si>
    <t>71</t>
  </si>
  <si>
    <t>ebből: GYES-en és GYED-en lévők hallgatói hitelének célzott támogatása (K42)</t>
  </si>
  <si>
    <t>72</t>
  </si>
  <si>
    <t>ebből: az egyéb pénzbeli és természetbeni gyermekvédelmi támogatások  (K42)</t>
  </si>
  <si>
    <t>73</t>
  </si>
  <si>
    <t>74</t>
  </si>
  <si>
    <t>75</t>
  </si>
  <si>
    <t>ebből: ápolási díj (K44)</t>
  </si>
  <si>
    <t>76</t>
  </si>
  <si>
    <t>ebből: fogyatékossági támogatás és vakok személyi járadéka (K44)</t>
  </si>
  <si>
    <t>77</t>
  </si>
  <si>
    <t>ebből: kivételes rokkantsági ellátás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</si>
  <si>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</si>
  <si>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</si>
  <si>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</si>
  <si>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</si>
  <si>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</si>
  <si>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</si>
  <si>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</si>
  <si>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</si>
  <si>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</si>
  <si>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tartós ápolást végzők időskori támogatása [Szoctv. 44/A. §] (K44)</t>
  </si>
  <si>
    <t>83</t>
  </si>
  <si>
    <t>84</t>
  </si>
  <si>
    <t>85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</si>
  <si>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</si>
  <si>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86</t>
  </si>
  <si>
    <t>ebből: korhatár előtti ellátás és a fegyveres testületek volt tagjai szolgálati járandósága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</si>
  <si>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</si>
  <si>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</si>
  <si>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</si>
  <si>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</si>
  <si>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</si>
  <si>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</si>
  <si>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</si>
  <si>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</si>
  <si>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</si>
  <si>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</si>
  <si>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</si>
  <si>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</si>
  <si>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</si>
  <si>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94</t>
  </si>
  <si>
    <t>ebből: hozzájárulás a lakossági energiaköltségekhez (K46)</t>
  </si>
  <si>
    <t>95</t>
  </si>
  <si>
    <t>ebből: lakbértámogatás (K46)</t>
  </si>
  <si>
    <t>96</t>
  </si>
  <si>
    <t>97</t>
  </si>
  <si>
    <t>ebből: állami gondozottak pénzbeli juttatásai (K47)</t>
  </si>
  <si>
    <t>98</t>
  </si>
  <si>
    <t>ebből: oktatásban résztvevők pénzbeli juttatásai (K47)</t>
  </si>
  <si>
    <t>99</t>
  </si>
  <si>
    <t>100</t>
  </si>
  <si>
    <t>ebből: házastársi pótlék (K48)</t>
  </si>
  <si>
    <t>101</t>
  </si>
  <si>
    <t>ebből: Hadigondozottak Közalapítványát terhelő hadigondozotti ellátások (K48)</t>
  </si>
  <si>
    <t>102</t>
  </si>
  <si>
    <t>ebből: tudományos fokozattal rendelkezők nyugdíjkiegészítése (K48)</t>
  </si>
  <si>
    <t>103</t>
  </si>
  <si>
    <t>ebből: nemzeti gondozotti ellátások (K48)</t>
  </si>
  <si>
    <t>104</t>
  </si>
  <si>
    <t>ebből: nemzeti helytállásért pótlék (K48)</t>
  </si>
  <si>
    <t>105</t>
  </si>
  <si>
    <t>ebből: egyes nyugdíjjogi hátrányok enyhítése miatti (közszolgálati idő után járó) nyugdíj-kiegészítés (K48)</t>
  </si>
  <si>
    <t>106</t>
  </si>
  <si>
    <t>ebből: egyes, tartós időtartamú szabadságelvonást elszenvedettek részére járó juttatás (K48)</t>
  </si>
  <si>
    <t>107</t>
  </si>
  <si>
    <t>108</t>
  </si>
  <si>
    <t>ebből: az elhunyt akadémikusok hozzátartozóinak folyósított özvegyi- és árvaellátás (K48)</t>
  </si>
  <si>
    <t>109</t>
  </si>
  <si>
    <t>ebből: a Nemzet Sportolója címmel járó járadék, olimpiai járadék, idős sportolók szociális támogatása (K48)</t>
  </si>
  <si>
    <t>110</t>
  </si>
  <si>
    <t>ebből: életjáradék termőföldért (K48)</t>
  </si>
  <si>
    <t>111</t>
  </si>
  <si>
    <t>112</t>
  </si>
  <si>
    <t>ebből: szépkorúak jubileumi juttatása (K48)</t>
  </si>
  <si>
    <t>113</t>
  </si>
  <si>
    <t>ebből: időskorúak járadéka [Szoctv. 32/B. § (1) bekezdése]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</si>
  <si>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</si>
  <si>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</si>
  <si>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</si>
  <si>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</si>
  <si>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</si>
  <si>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</si>
  <si>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117</t>
  </si>
  <si>
    <t>ebből: egészségkárosodási és gyermekfelügyeleti támogatás [Szoctv. 37.§ (1) bekezdés a) és b) pontja] (K48)</t>
  </si>
  <si>
    <t>118</t>
  </si>
  <si>
    <t>ebből: önkormányzat által saját hatáskörben (nem szociális és gyermekvédelmi előírások alapján) adott más ellátás (K48)</t>
  </si>
  <si>
    <t>119</t>
  </si>
  <si>
    <t>120</t>
  </si>
  <si>
    <t>121</t>
  </si>
  <si>
    <t>ebből: Európai Unió (K501)</t>
  </si>
  <si>
    <t>122</t>
  </si>
  <si>
    <t>A helyi önkormányzatok előző évi elszámolásából származó kiadások (K5021)</t>
  </si>
  <si>
    <t>123</t>
  </si>
  <si>
    <t>A helyi önkormányzatok törvényi előíráson alapuló befizetései (K5022)</t>
  </si>
  <si>
    <t>124</t>
  </si>
  <si>
    <t>Egyéb elvonások, befizetések (K5023)</t>
  </si>
  <si>
    <t>125</t>
  </si>
  <si>
    <t>126</t>
  </si>
  <si>
    <t>127</t>
  </si>
  <si>
    <t>128</t>
  </si>
  <si>
    <t>ebből: központi költségvetési szervek (K504)</t>
  </si>
  <si>
    <t>129</t>
  </si>
  <si>
    <t>ebből: központi kezelésű előirányzatok (K504)</t>
  </si>
  <si>
    <t>130</t>
  </si>
  <si>
    <t>ebből: fejezeti kezelésű előirányzatok EU-s programokra és azok hazai társfinanszírozása (K504)</t>
  </si>
  <si>
    <t>131</t>
  </si>
  <si>
    <t>ebből: egyéb fejezeti kezelésű előirányzatok (K504)</t>
  </si>
  <si>
    <t>132</t>
  </si>
  <si>
    <t>ebből: társadalombiztosítás pénzügyi alapjai (K504)</t>
  </si>
  <si>
    <t>133</t>
  </si>
  <si>
    <t>ebből: elkülönített állami pénzalapok (K504)</t>
  </si>
  <si>
    <t>134</t>
  </si>
  <si>
    <t>ebből: helyi önkormányzatok és költségvetési szerveik (K504)</t>
  </si>
  <si>
    <t>135</t>
  </si>
  <si>
    <t>ebből: társulások és költségvetési szerveik (K504)</t>
  </si>
  <si>
    <t>136</t>
  </si>
  <si>
    <t>ebből: nemzetiségi önkormányzatok és költségvetési szerveik (K504)</t>
  </si>
  <si>
    <t>137</t>
  </si>
  <si>
    <t>ebből: térségi fejlesztési tanácsok és költségvetési szerveik (K504)</t>
  </si>
  <si>
    <t>138</t>
  </si>
  <si>
    <t>139</t>
  </si>
  <si>
    <t>ebből: központi költségvetési szervek (K505)</t>
  </si>
  <si>
    <t>140</t>
  </si>
  <si>
    <t>ebből: központi kezelésű előirányzatok (K505)</t>
  </si>
  <si>
    <t>141</t>
  </si>
  <si>
    <t>ebből: fejezeti kezelésű előirányzatok EU-s programokra és azok hazai társfinanszírozása (K505)</t>
  </si>
  <si>
    <t>142</t>
  </si>
  <si>
    <t>ebből: egyéb fejezeti kezelésű előirányzatok (K505)</t>
  </si>
  <si>
    <t>143</t>
  </si>
  <si>
    <t>ebből: társadalombiztosítás pénzügyi alapjai (K505)</t>
  </si>
  <si>
    <t>144</t>
  </si>
  <si>
    <t>ebből: elkülönített állami pénzalapok (K505)</t>
  </si>
  <si>
    <t>145</t>
  </si>
  <si>
    <t>ebből: helyi önkormányzatok és költségvetési szerveik (K505)</t>
  </si>
  <si>
    <t>146</t>
  </si>
  <si>
    <t>ebből: társulások és költségvetési szerveik (K505)</t>
  </si>
  <si>
    <t>147</t>
  </si>
  <si>
    <t>ebből: nemzetiségi önkormányzatok és költségvetési szerveik (K505)</t>
  </si>
  <si>
    <t>148</t>
  </si>
  <si>
    <t>ebből: térségi fejlesztési tanácsok és költségvetési szerveik (K505)</t>
  </si>
  <si>
    <t>149</t>
  </si>
  <si>
    <t>150</t>
  </si>
  <si>
    <t>ebből: központi költségvetési szervek (K506)</t>
  </si>
  <si>
    <t>151</t>
  </si>
  <si>
    <t>ebből: központi kezelésű előirányzatok (K506)</t>
  </si>
  <si>
    <t>152</t>
  </si>
  <si>
    <t>ebből: fejezeti kezelésű előirányzatok EU-s programokra és azok hazai társfinanszírozása (K506)</t>
  </si>
  <si>
    <t>153</t>
  </si>
  <si>
    <t>ebből: egyéb fejezeti kezelésű előirányzatok (K506)</t>
  </si>
  <si>
    <t>154</t>
  </si>
  <si>
    <t>ebből: társadalombiztosítás pénzügyi alapjai (K506)</t>
  </si>
  <si>
    <t>155</t>
  </si>
  <si>
    <t>ebből: elkülönített állami pénzalapok (K506)</t>
  </si>
  <si>
    <t>156</t>
  </si>
  <si>
    <t>ebből: helyi önkormányzatok és költségvetési szerveik (K506)</t>
  </si>
  <si>
    <t>157</t>
  </si>
  <si>
    <t>ebből: társulások és költségvetési szerveik (K506)</t>
  </si>
  <si>
    <t>158</t>
  </si>
  <si>
    <t>ebből: nemzetiségi önkormányzatok és költségvetési szerveik (K506)</t>
  </si>
  <si>
    <t>159</t>
  </si>
  <si>
    <t>ebből: térségi fejlesztési tanácsok és költségvetési szerveik (K506)</t>
  </si>
  <si>
    <t>160</t>
  </si>
  <si>
    <t>161</t>
  </si>
  <si>
    <t>ebből: állami vagy önkormányzati tulajdonban lévő gazdasági társaságok tartozásai miatti kifizetések (K507)</t>
  </si>
  <si>
    <t>162</t>
  </si>
  <si>
    <t>163</t>
  </si>
  <si>
    <t>ebből: egyházi jogi személyek (K508)</t>
  </si>
  <si>
    <t>164</t>
  </si>
  <si>
    <t>ebből: nonprofit gazdasági társaságok (K508)</t>
  </si>
  <si>
    <t>165</t>
  </si>
  <si>
    <t>ebből: egyéb civil szervezetek (K508)</t>
  </si>
  <si>
    <t>166</t>
  </si>
  <si>
    <t>ebből: háztartások (K508)</t>
  </si>
  <si>
    <t>167</t>
  </si>
  <si>
    <t>ebből: pénzügyi vállalkozások (K508)</t>
  </si>
  <si>
    <t>168</t>
  </si>
  <si>
    <t>ebből: állami többségi tulajdonú nem pénzügyi vállalkozások (K508)</t>
  </si>
  <si>
    <t>169</t>
  </si>
  <si>
    <t>ebből: önkormányzati többségi tulajdonú nem pénzügyi vállalkozások (K508)</t>
  </si>
  <si>
    <t>170</t>
  </si>
  <si>
    <t>ebből: egyéb vállalkozások (K508)</t>
  </si>
  <si>
    <t>171</t>
  </si>
  <si>
    <t>ebből: Európai Unió  (K508)</t>
  </si>
  <si>
    <t>172</t>
  </si>
  <si>
    <t>ebből: kormányok és nemzetközi szervezetek (K508)</t>
  </si>
  <si>
    <t>173</t>
  </si>
  <si>
    <t>ebből: egyéb külföldiek (K508)</t>
  </si>
  <si>
    <t>174</t>
  </si>
  <si>
    <t>175</t>
  </si>
  <si>
    <t>176</t>
  </si>
  <si>
    <t>177</t>
  </si>
  <si>
    <t>178</t>
  </si>
  <si>
    <t>ebből: egyházi jogi személyek (K512)</t>
  </si>
  <si>
    <t>179</t>
  </si>
  <si>
    <t>ebből: nonprofit gazdasági társaságok (K512)</t>
  </si>
  <si>
    <t>180</t>
  </si>
  <si>
    <t>ebből: egyéb civil szervezetek (K512)</t>
  </si>
  <si>
    <t>181</t>
  </si>
  <si>
    <t>ebből: háztartások (K512)</t>
  </si>
  <si>
    <t>182</t>
  </si>
  <si>
    <t>ebből: pénzügyi vállalkozások (K512)</t>
  </si>
  <si>
    <t>183</t>
  </si>
  <si>
    <t>ebből: állami többségi tulajdonú nem pénzügyi vállalkozások (K512)</t>
  </si>
  <si>
    <t>184</t>
  </si>
  <si>
    <t>ebből: önkormányzati többségi tulajdonú nem pénzügyi vállalkozások (K512)</t>
  </si>
  <si>
    <t>185</t>
  </si>
  <si>
    <t>ebből: egyéb vállalkozások (K512)</t>
  </si>
  <si>
    <t>186</t>
  </si>
  <si>
    <t>ebből: kormányok és nemzetközi szervezetek (K512)</t>
  </si>
  <si>
    <t>187</t>
  </si>
  <si>
    <t>ebből: egyéb külföldiek (K512)</t>
  </si>
  <si>
    <t>188</t>
  </si>
  <si>
    <t>Tartalékok (K513)</t>
  </si>
  <si>
    <t>189</t>
  </si>
  <si>
    <t>190</t>
  </si>
  <si>
    <t>191</t>
  </si>
  <si>
    <t>192</t>
  </si>
  <si>
    <t>ebből: termőföld-vásárlás kiadásai (K62)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</si>
  <si>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</si>
  <si>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</si>
  <si>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</si>
  <si>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</si>
  <si>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</si>
  <si>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</si>
  <si>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</si>
  <si>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</si>
  <si>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</si>
  <si>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</si>
  <si>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</si>
  <si>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</si>
  <si>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</si>
  <si>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</si>
  <si>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ebből: központi költségvetési szervek (K82)</t>
  </si>
  <si>
    <t>207</t>
  </si>
  <si>
    <t>ebből: központi kezelésű előirányzatok (K82)</t>
  </si>
  <si>
    <t>208</t>
  </si>
  <si>
    <t>ebből: fejezeti kezelésű előirányzatok EU-s programokra és azok hazai társfinanszírozása (K82)</t>
  </si>
  <si>
    <t>209</t>
  </si>
  <si>
    <t>ebből: egyéb fejezeti kezelésű előirányzatok (K82)</t>
  </si>
  <si>
    <t>210</t>
  </si>
  <si>
    <t>ebből: társadalombiztosítás pénzügyi alapjai (K82)</t>
  </si>
  <si>
    <t>211</t>
  </si>
  <si>
    <t>ebből: elkülönített állami pénzalapok (K82)</t>
  </si>
  <si>
    <t>212</t>
  </si>
  <si>
    <t>ebből: helyi önkormányzatok és költségvetési szerveik (K82)</t>
  </si>
  <si>
    <t>213</t>
  </si>
  <si>
    <t>ebből: társulások és költségvetési szerveik (K82)</t>
  </si>
  <si>
    <t>214</t>
  </si>
  <si>
    <t>ebből: nemzetiségi önkormányzatok és költségvetési szerveik (K82)</t>
  </si>
  <si>
    <t>215</t>
  </si>
  <si>
    <t>ebből: térségi fejlesztési tanácsok és költségvetési szerveik (K82)</t>
  </si>
  <si>
    <t>216</t>
  </si>
  <si>
    <t>217</t>
  </si>
  <si>
    <t>ebből: központi költségvetési szervek (K83)</t>
  </si>
  <si>
    <t>218</t>
  </si>
  <si>
    <t>ebből: központi kezelésű előirányzatok (K83)</t>
  </si>
  <si>
    <t>219</t>
  </si>
  <si>
    <t>ebből: fejezeti kezelésű előirányzatok EU-s programokra és azok hazai társfinanszírozása (K83)</t>
  </si>
  <si>
    <t>220</t>
  </si>
  <si>
    <t>ebből: egyéb fejezeti kezelésű előirányzatok (K83)</t>
  </si>
  <si>
    <t>221</t>
  </si>
  <si>
    <t>ebből: társadalombiztosítás pénzügyi alapjai (K83)</t>
  </si>
  <si>
    <t>222</t>
  </si>
  <si>
    <t>ebből: elkülönített állami pénzalapok (K83)</t>
  </si>
  <si>
    <t>223</t>
  </si>
  <si>
    <t>ebből: helyi önkormányzatok és költségvetési szerveik (K83)</t>
  </si>
  <si>
    <t>224</t>
  </si>
  <si>
    <t>ebből: társulások és költségvetési szerveik (K83)</t>
  </si>
  <si>
    <t>225</t>
  </si>
  <si>
    <t>ebből: nemzetiségi önkormányzatok és költségvetési szerveik (K83)</t>
  </si>
  <si>
    <t>226</t>
  </si>
  <si>
    <t>ebből: térségi fejlesztési tanácsok és költségvetési szerveik (K83)</t>
  </si>
  <si>
    <t>227</t>
  </si>
  <si>
    <t>228</t>
  </si>
  <si>
    <t>ebből: központi költségvetési szervek (K84)</t>
  </si>
  <si>
    <t>229</t>
  </si>
  <si>
    <t>ebből: központi kezelésű előirányzatok (K84)</t>
  </si>
  <si>
    <t>230</t>
  </si>
  <si>
    <t>ebből: fejezeti kezelésű előirányzatok EU-s programokra és azok hazai társfinanszírozása (K84)</t>
  </si>
  <si>
    <t>231</t>
  </si>
  <si>
    <t>ebből: egyéb fejezeti kezelésű előirányzatok (K84)</t>
  </si>
  <si>
    <t>232</t>
  </si>
  <si>
    <t>ebből: társadalombiztosítás pénzügyi alapjai (K84)</t>
  </si>
  <si>
    <t>233</t>
  </si>
  <si>
    <t>ebből: elkülönített állami pénzalapok (K84)</t>
  </si>
  <si>
    <t>234</t>
  </si>
  <si>
    <t>ebből: helyi önkormányzatok és költségvetési szerveik (K84)</t>
  </si>
  <si>
    <t>235</t>
  </si>
  <si>
    <t>ebből: társulások és költségvetési szerveik (K84)</t>
  </si>
  <si>
    <t>236</t>
  </si>
  <si>
    <t>ebből: nemzetiségi önkormányzatok és költségvetési szerveik (K84)</t>
  </si>
  <si>
    <t>237</t>
  </si>
  <si>
    <t>ebből: térségi fejlesztési tanácsok és költségvetési szerveik (K84)</t>
  </si>
  <si>
    <t>238</t>
  </si>
  <si>
    <t>239</t>
  </si>
  <si>
    <t>ebből: állami vagy önkormányzati tulajdonban lévő gazdasági társaságok tartozásai miatti kifizetések (K85)</t>
  </si>
  <si>
    <t>240</t>
  </si>
  <si>
    <t>241</t>
  </si>
  <si>
    <t>ebből: egyházi jogi személyek (K86)</t>
  </si>
  <si>
    <t>242</t>
  </si>
  <si>
    <t>ebből: nonprofit gazdasági társaságok (K86)</t>
  </si>
  <si>
    <t>243</t>
  </si>
  <si>
    <t>ebből: egyéb civil szervezetek (K86)</t>
  </si>
  <si>
    <t>244</t>
  </si>
  <si>
    <t>ebből: háztartások (K86)</t>
  </si>
  <si>
    <t>245</t>
  </si>
  <si>
    <t>ebből: pénzügyi vállalkozások (K86)</t>
  </si>
  <si>
    <t>246</t>
  </si>
  <si>
    <t>ebből: állami többségi tulajdonú nem pénzügyi vállalkozások (K86)</t>
  </si>
  <si>
    <t>247</t>
  </si>
  <si>
    <t>ebből: önkormányzati többségi tulajdonú nem pénzügyi vállalkozások (K86)</t>
  </si>
  <si>
    <t>248</t>
  </si>
  <si>
    <t>ebből: egyéb vállalkozások (K86)</t>
  </si>
  <si>
    <t>249</t>
  </si>
  <si>
    <t>ebből: Európai Unió  (K86)</t>
  </si>
  <si>
    <t>250</t>
  </si>
  <si>
    <t>ebből: kormányok és nemzetközi szervezetek (K86)</t>
  </si>
  <si>
    <t>251</t>
  </si>
  <si>
    <t>ebből: egyéb külföldiek (K86)</t>
  </si>
  <si>
    <t>252</t>
  </si>
  <si>
    <t>253</t>
  </si>
  <si>
    <t>254</t>
  </si>
  <si>
    <t>255</t>
  </si>
  <si>
    <t>ebből: egyházi jogi személyek (K89)</t>
  </si>
  <si>
    <t>256</t>
  </si>
  <si>
    <t>ebből: nonprofit gazdasági társaságok (K89)</t>
  </si>
  <si>
    <t>257</t>
  </si>
  <si>
    <t>ebből: egyéb civil szervezetek (K89)</t>
  </si>
  <si>
    <t>258</t>
  </si>
  <si>
    <t>ebből: háztartások (K89)</t>
  </si>
  <si>
    <t>259</t>
  </si>
  <si>
    <t>ebből: pénzügyi vállalkozások (K89)</t>
  </si>
  <si>
    <t>260</t>
  </si>
  <si>
    <t>ebből: állami többségi tulajdonú nem pénzügyi vállalkozások (K89)</t>
  </si>
  <si>
    <t>261</t>
  </si>
  <si>
    <t>ebből: önkormányzati többségi tulajdonú nem pénzügyi vállalkozások (K89)</t>
  </si>
  <si>
    <t>262</t>
  </si>
  <si>
    <t>ebből: egyéb vállalkozások (K89)</t>
  </si>
  <si>
    <t>263</t>
  </si>
  <si>
    <t>ebből: kormányok és nemzetközi szervezetek (K89)</t>
  </si>
  <si>
    <t>264</t>
  </si>
  <si>
    <t>ebből: egyéb külföldiek (K89)</t>
  </si>
  <si>
    <t>265</t>
  </si>
  <si>
    <t>266</t>
  </si>
  <si>
    <t>K02 - Beszámoló a B1. - B7.  költségvetési bevételek előirányzatának teljesítéséről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</si>
  <si>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</si>
  <si>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</si>
  <si>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</si>
  <si>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</si>
  <si>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</si>
  <si>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</si>
  <si>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</si>
  <si>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</si>
  <si>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</si>
  <si>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</si>
  <si>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</si>
  <si>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</si>
  <si>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</si>
  <si>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</si>
  <si>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</si>
  <si>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</si>
  <si>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</si>
  <si>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</si>
  <si>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</si>
  <si>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</si>
  <si>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</si>
  <si>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</si>
  <si>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</si>
  <si>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</si>
  <si>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</si>
  <si>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</si>
  <si>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</si>
  <si>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</si>
  <si>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</si>
  <si>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</si>
  <si>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</si>
  <si>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</si>
  <si>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</si>
  <si>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</si>
  <si>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</si>
  <si>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</si>
  <si>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</si>
  <si>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</si>
  <si>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</si>
  <si>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</si>
  <si>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</si>
  <si>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</si>
  <si>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</si>
  <si>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</si>
  <si>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</si>
  <si>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</si>
  <si>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</si>
  <si>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</si>
  <si>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</si>
  <si>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</si>
  <si>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</si>
  <si>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</si>
  <si>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</si>
  <si>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</si>
  <si>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</si>
  <si>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</si>
  <si>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</si>
  <si>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</si>
  <si>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</si>
  <si>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</si>
  <si>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</si>
  <si>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</si>
  <si>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</si>
  <si>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</si>
  <si>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</si>
  <si>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hiteintézeti járadék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</si>
  <si>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</si>
  <si>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</si>
  <si>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</si>
  <si>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</si>
  <si>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</si>
  <si>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</si>
  <si>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</si>
  <si>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</si>
  <si>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</si>
  <si>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</si>
  <si>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</si>
  <si>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</si>
  <si>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</si>
  <si>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</si>
  <si>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</si>
  <si>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</si>
  <si>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</si>
  <si>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</si>
  <si>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</si>
  <si>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</si>
  <si>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</si>
  <si>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</si>
  <si>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</si>
  <si>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</si>
  <si>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</si>
  <si>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</si>
  <si>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</si>
  <si>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</si>
  <si>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</si>
  <si>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</si>
  <si>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</si>
  <si>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</si>
  <si>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</si>
  <si>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</si>
  <si>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</si>
  <si>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</si>
  <si>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</si>
  <si>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</si>
  <si>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</si>
  <si>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</si>
  <si>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</si>
  <si>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</si>
  <si>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</si>
  <si>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</si>
  <si>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</si>
  <si>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</si>
  <si>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(=143+…+146)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</si>
  <si>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</si>
  <si>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</si>
  <si>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</si>
  <si>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</si>
  <si>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(=148+…+163)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</si>
  <si>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</si>
  <si>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</si>
  <si>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</si>
  <si>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</si>
  <si>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</si>
  <si>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</si>
  <si>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</si>
  <si>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</si>
  <si>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</si>
  <si>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</si>
  <si>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</si>
  <si>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</si>
  <si>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</si>
  <si>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</si>
  <si>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</si>
  <si>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</si>
  <si>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Egyéb közhatalmi bevételek (&gt;=166+…+183)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</si>
  <si>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</si>
  <si>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</si>
  <si>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</si>
  <si>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</si>
  <si>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</si>
  <si>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</si>
  <si>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</si>
  <si>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</si>
  <si>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</si>
  <si>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</si>
  <si>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</si>
  <si>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</si>
  <si>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</si>
  <si>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</si>
  <si>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</si>
  <si>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</si>
  <si>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</si>
  <si>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Szolgáltatások ellenértéke (&gt;=187+188) (B402)</t>
  </si>
  <si>
    <t>ebből: utak használata ellenében beszedett használati díj, pótdíj, elektronikus útdíj (B402)</t>
  </si>
  <si>
    <t>Közvetített szolgáltatások ellenértéke  (&gt;=190) (B403)</t>
  </si>
  <si>
    <t>ebből: államháztartáson belül (B403)</t>
  </si>
  <si>
    <t>Tulajdonosi bevételek (&gt;=192+…+197)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</si>
  <si>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</si>
  <si>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</si>
  <si>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</si>
  <si>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</si>
  <si>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</si>
  <si>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Befektetett pénzügyi eszközökből származó bevételek (&gt;=202+203)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</si>
  <si>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</si>
  <si>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</si>
  <si>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(&gt;=205+206) (B4082)</t>
  </si>
  <si>
    <t>ebből: államháztartáson belül (B4082)</t>
  </si>
  <si>
    <t>ebből: fedezeti ügyletek kamatbevételei (B4082)</t>
  </si>
  <si>
    <t>Kamatbevételek és más nyereségjellegű bevételek (=201+204) (B408)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</si>
  <si>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</si>
  <si>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</si>
  <si>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</si>
  <si>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</si>
  <si>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</si>
  <si>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</si>
  <si>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</si>
  <si>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</si>
  <si>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</si>
  <si>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</si>
  <si>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(=185+186+189+191+198+…+200+207+215+216+217) (B4)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</si>
  <si>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</si>
  <si>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</si>
  <si>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</si>
  <si>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</si>
  <si>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Részesedések értékesítése (&gt;=227) (B54)</t>
  </si>
  <si>
    <t>ebből: privatizációból származó bevétel (B54)</t>
  </si>
  <si>
    <t>Felhalmozási bevételek (=221+223+225+226+228) (B5)</t>
  </si>
  <si>
    <t>Működési célú visszatérítendő támogatások, kölcsönök visszatérülése államháztartáson kívülről (=234+…+242)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</si>
  <si>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</si>
  <si>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</si>
  <si>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</si>
  <si>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</si>
  <si>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</si>
  <si>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</si>
  <si>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</si>
  <si>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</si>
  <si>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</si>
  <si>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</si>
  <si>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</si>
  <si>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</si>
  <si>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</si>
  <si>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</si>
  <si>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</si>
  <si>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</si>
  <si>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</si>
  <si>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</si>
  <si>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</si>
  <si>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</si>
  <si>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</si>
  <si>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</si>
  <si>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</si>
  <si>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</si>
  <si>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</si>
  <si>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</si>
  <si>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</si>
  <si>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267</t>
  </si>
  <si>
    <t>ebből: egyéb vállalkozások (B74)</t>
  </si>
  <si>
    <t>268</t>
  </si>
  <si>
    <t>ebből: külföldi szervezetek, személyek (B74)</t>
  </si>
  <si>
    <t>269</t>
  </si>
  <si>
    <t>Egyéb felhalmozási célú átvett pénzeszközök (=270+…+280) (B75)</t>
  </si>
  <si>
    <t>270</t>
  </si>
  <si>
    <t>ebből: egyházi jogi személyek (B75)</t>
  </si>
  <si>
    <t>271</t>
  </si>
  <si>
    <t>ebből: nonprofit gazdasági társaságok (B75)</t>
  </si>
  <si>
    <t>272</t>
  </si>
  <si>
    <t>ebből: egyéb civil szervezetek (B75)</t>
  </si>
  <si>
    <t>273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</si>
  <si>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</si>
  <si>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</si>
  <si>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</si>
  <si>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</si>
  <si>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</si>
  <si>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</si>
  <si>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</si>
  <si>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</si>
  <si>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</si>
  <si>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</si>
  <si>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</si>
  <si>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</si>
  <si>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</si>
  <si>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</si>
  <si>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</si>
  <si>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Felhalmozási célú átvett pénzeszközök (=256+…+259+269) (B7)</t>
  </si>
  <si>
    <t>282</t>
  </si>
  <si>
    <t>17. melléklet</t>
  </si>
  <si>
    <t>K03 - Önkormányzati (irányító szervi) konszolidált beszámoló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</si>
  <si>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</si>
  <si>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</si>
  <si>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</si>
  <si>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</si>
  <si>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</si>
  <si>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</si>
  <si>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</si>
  <si>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</si>
  <si>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</si>
  <si>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</si>
  <si>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</si>
  <si>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</si>
  <si>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</si>
  <si>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</si>
  <si>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</si>
  <si>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</si>
  <si>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</si>
  <si>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</si>
  <si>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</si>
  <si>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Pénzeszközök lekötött bankbetétként elhelyezése (K916)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</si>
  <si>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</si>
  <si>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</si>
  <si>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</si>
  <si>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</si>
  <si>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</si>
  <si>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</si>
  <si>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</si>
  <si>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</si>
  <si>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</si>
  <si>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</si>
  <si>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</si>
  <si>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</si>
  <si>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Finanszírozási kiadások (=29+37+38+39) (K9)</t>
  </si>
  <si>
    <t>18. melléklet</t>
  </si>
  <si>
    <t>K04 - Önkormányzati (irányító szervi) konszolidált beszámoló - 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</si>
  <si>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</si>
  <si>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</si>
  <si>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</si>
  <si>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</si>
  <si>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</si>
  <si>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</si>
  <si>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</si>
  <si>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</si>
  <si>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</si>
  <si>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</si>
  <si>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</si>
  <si>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</si>
  <si>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</si>
  <si>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</si>
  <si>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Lekötött bankbetétek megszüntetése (B817)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</si>
  <si>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</si>
  <si>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</si>
  <si>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</si>
  <si>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</si>
  <si>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</si>
  <si>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</si>
  <si>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</si>
  <si>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</si>
  <si>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</si>
  <si>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</si>
  <si>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Finanszírozási bevételek (=23+29+30+31) (B8)</t>
  </si>
  <si>
    <t>19. melléklet</t>
  </si>
  <si>
    <t>K12 - Önkormányzati (irányító szervi) konszolidált beszámoló - Konszolidált mérleg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</si>
  <si>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</si>
  <si>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</si>
  <si>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</si>
  <si>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</si>
  <si>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</si>
  <si>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</si>
  <si>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</si>
  <si>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</si>
  <si>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</si>
  <si>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</si>
  <si>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</si>
  <si>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</si>
  <si>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</si>
  <si>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</si>
  <si>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</si>
  <si>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</si>
  <si>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</si>
  <si>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</si>
  <si>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</si>
  <si>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</si>
  <si>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</si>
  <si>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</si>
  <si>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</si>
  <si>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</si>
  <si>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</si>
  <si>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</si>
  <si>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</si>
  <si>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</si>
  <si>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</si>
  <si>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</si>
  <si>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</si>
  <si>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20. melléklet</t>
  </si>
  <si>
    <t>K13 - Önkormányzati (irányító szervi) konszolidált beszámoló - Konszolidált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</si>
  <si>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</si>
  <si>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</si>
  <si>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</si>
  <si>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</si>
  <si>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</si>
  <si>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</si>
  <si>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</si>
  <si>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</si>
  <si>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</si>
  <si>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</si>
  <si>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</si>
  <si>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</si>
  <si>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</si>
  <si>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</si>
  <si>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</si>
  <si>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</si>
  <si>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</si>
  <si>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</si>
  <si>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</si>
  <si>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</si>
  <si>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</si>
  <si>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</si>
  <si>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</si>
  <si>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</si>
  <si>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</si>
  <si>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</si>
  <si>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</si>
  <si>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</si>
  <si>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</si>
  <si>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</si>
  <si>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</si>
  <si>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</si>
  <si>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</si>
  <si>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</si>
  <si>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</si>
  <si>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</si>
  <si>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</si>
  <si>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</si>
  <si>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</si>
  <si>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</si>
  <si>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</si>
  <si>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</si>
  <si>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</si>
  <si>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MÉRLEG SZERINTI EREDMÉNY (=±A±B)</t>
  </si>
  <si>
    <t>21. melléklet</t>
  </si>
  <si>
    <t xml:space="preserve"> HEVES VÁROS ÖNKORMÁNYZATA </t>
  </si>
  <si>
    <t>VAGYONKIMUTATÁS</t>
  </si>
  <si>
    <t>(Nettó érték) E Ft</t>
  </si>
  <si>
    <t>(Bruttó érték) E Ft</t>
  </si>
  <si>
    <t>ESZKÖZÖK</t>
  </si>
  <si>
    <t>Törzsvagyon</t>
  </si>
  <si>
    <t>Üzleti vagyon</t>
  </si>
  <si>
    <r>
      <t xml:space="preserve">„0”-ra leírt eszközök, a használatban lévő kisértékű immateriális javak, tárgyi eszközök, készletek </t>
    </r>
    <r>
      <rPr>
        <b/>
        <i/>
        <sz val="10"/>
        <rFont val="Times New Roman"/>
        <family val="1"/>
        <charset val="238"/>
      </rPr>
      <t>bruttó</t>
    </r>
    <r>
      <rPr>
        <i/>
        <sz val="10"/>
        <rFont val="Times New Roman"/>
        <family val="1"/>
        <charset val="238"/>
      </rPr>
      <t xml:space="preserve"> értéke</t>
    </r>
  </si>
  <si>
    <r>
      <t xml:space="preserve">a 01-02. számlacsoportban nyilvántartott eszközök </t>
    </r>
    <r>
      <rPr>
        <b/>
        <i/>
        <sz val="10"/>
        <rFont val="Times New Roman"/>
        <family val="1"/>
        <charset val="238"/>
      </rPr>
      <t>bruttó</t>
    </r>
    <r>
      <rPr>
        <i/>
        <sz val="10"/>
        <rFont val="Times New Roman"/>
        <family val="1"/>
        <charset val="238"/>
      </rPr>
      <t xml:space="preserve"> értéke</t>
    </r>
  </si>
  <si>
    <t>Forgalom-képtelen</t>
  </si>
  <si>
    <t>Nemzetgazdasági szempontból kiemelt jelentőségű</t>
  </si>
  <si>
    <t>Korlátozottan forgalomképes</t>
  </si>
  <si>
    <t>A) Nemzeti vagyonba tartozó befektetett eszközök</t>
  </si>
  <si>
    <t xml:space="preserve">     I. Immateriális javak</t>
  </si>
  <si>
    <t xml:space="preserve">    II. Tárgyi eszközök</t>
  </si>
  <si>
    <t>1. Ingatlanok és a kapcsolodó vagyonértékű jogok</t>
  </si>
  <si>
    <t>2. Gépek, berendezések, felszerelések, járművek</t>
  </si>
  <si>
    <t>3. Tenyészállatok</t>
  </si>
  <si>
    <t>4. Beruházások, felújítások</t>
  </si>
  <si>
    <t>5. Tárgyi eszközök értékhelyesbítése</t>
  </si>
  <si>
    <t xml:space="preserve">   III. Befektetett pénzügyi eszközök</t>
  </si>
  <si>
    <t>1. Tartós részesedések</t>
  </si>
  <si>
    <t>2. Tartós hitelviszonyt megtestesítő értékpapír</t>
  </si>
  <si>
    <t>3. Befektetett pénzügyi eszközök értékhelyesbítése</t>
  </si>
  <si>
    <t xml:space="preserve">   IV. Koncesszióba, vagyonkezelésbe adott eszközök</t>
  </si>
  <si>
    <t>B) Nemzeti vagyonba tartozó forgóeszközök</t>
  </si>
  <si>
    <t>I. Készletek</t>
  </si>
  <si>
    <t>II. Értékpapírok</t>
  </si>
  <si>
    <t>C) Pénzeszközök</t>
  </si>
  <si>
    <t>I. Lekötött bankbetétek</t>
  </si>
  <si>
    <t>II. Pénztárak, csekkek, betétkönyvek</t>
  </si>
  <si>
    <t>III. Forintszámlák</t>
  </si>
  <si>
    <t>IV. Devizaszámlák</t>
  </si>
  <si>
    <t>D)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</si>
  <si>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</si>
  <si>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</si>
  <si>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</si>
  <si>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E) Egyéb sajátos elszámolások</t>
  </si>
  <si>
    <t>F) Aktív időbeli elhatárolások</t>
  </si>
  <si>
    <t>ESZKÖZÖK ÖSSZESEN :</t>
  </si>
  <si>
    <t xml:space="preserve"> </t>
  </si>
  <si>
    <t xml:space="preserve"> FORRÁSOK</t>
  </si>
  <si>
    <t>G) Saját tőke</t>
  </si>
  <si>
    <t>I. Nemzeti vagyon induláskori értéke</t>
  </si>
  <si>
    <t>II. Nemzeti vagyon változásai</t>
  </si>
  <si>
    <t>III.  Egyéb eszközök induláskori értéke és változásai</t>
  </si>
  <si>
    <t>IV. Felhalmozott eredmény</t>
  </si>
  <si>
    <t>V. Eszközök értékhelyesbítésének forrása</t>
  </si>
  <si>
    <t>VI. Mérleg szerinti eredmény</t>
  </si>
  <si>
    <t>H)  Kötelezettségek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</si>
  <si>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</si>
  <si>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</si>
  <si>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</si>
  <si>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I)  Kincstári számlavezetéssel kapcsolatos elszámolások</t>
  </si>
  <si>
    <t>J)  Passzív időbeli elhatárolások</t>
  </si>
  <si>
    <t>FORRÁSOK ÖSSZESEN:</t>
  </si>
  <si>
    <t>Mérlegben nem szereplő függő és biztos (jövőbeni) követelések:</t>
  </si>
  <si>
    <t>E Ft</t>
  </si>
  <si>
    <t xml:space="preserve"> - Munkáltatói lakáskölcsönök (késedelmi) kamata</t>
  </si>
  <si>
    <t xml:space="preserve"> - Gépjármű adó megosztásából még várható bevétel (központi költségvetést megillető rész)</t>
  </si>
  <si>
    <t>Mérlegben nem szereplő függő kötelezettségek:</t>
  </si>
  <si>
    <t xml:space="preserve"> - TOP-3.1.1-15-HE1-2016-00006 Kerékpárút fejlesztése Heves városában pályázat támogatási előleg</t>
  </si>
  <si>
    <t xml:space="preserve"> - TOP-3.1.1-15-HE1-2016-00007 Kerékpáros fejlesztés Boconád, Heves és Tarnaméra községekben pályázat támogatási előleg</t>
  </si>
  <si>
    <t xml:space="preserve"> - TOP-1.2.1-15-HE1-2016-00005 a Halász-kúria turisztikai fejlesztése Heves Városban pályázat támogatási előleg</t>
  </si>
  <si>
    <t xml:space="preserve"> - TOP-2.1.2-15-HE1-2016-00004 Heves Város Zöld szíve pályázat támogatási előleg</t>
  </si>
  <si>
    <t xml:space="preserve"> - EFOP-1.5.3-16-2017-00108 Humán szolgáltatások fejlesztése a Hevesi járásban pályázat támogatási előleg</t>
  </si>
  <si>
    <t xml:space="preserve"> - EFOP-3.9.2-16-2017-00024 Humán kapacitások fejlesztése a Hevesi járásban pályázat támogatási előleg</t>
  </si>
  <si>
    <t xml:space="preserve"> - EFOP-1.4.2-16-2016-00030 Integrált térségi gyermekprogramok a Hevesi járásban pályázat támogatási előleg</t>
  </si>
  <si>
    <t xml:space="preserve"> - EFOP-2.1.2-16-2017-00015 Gyerekesély programok infrastrukturális háttere a Hevesi járásban pályázat támogatási előleg</t>
  </si>
  <si>
    <t xml:space="preserve"> - TOP-4.2.1-15-HE1-2016-00014 Dél- Hevesi Kistérség Gyermekjóléti Központja és Családsegítő Szolgálatának fejlesztése pályázat támogatási előleg</t>
  </si>
  <si>
    <t xml:space="preserve"> - TOP-1.2.1-16-HE1-2017-00010 Az első magyar sakkmúzeum fejlesztése Hevesen pályázat támogatási előleg</t>
  </si>
  <si>
    <t xml:space="preserve"> - TOP-1.1.1-16-HE1-2017-00002 Iparterület kialakítása Heves Városban pályázat támogatási előleg</t>
  </si>
  <si>
    <t xml:space="preserve"> - TOP-3.1.1-16-HE1-2017-00003 Kerékpáros fejlesztés Heves és Hevesvezekény településeken pályázat támogatási előleg</t>
  </si>
  <si>
    <t xml:space="preserve"> - KEHOP-2.2.1-15-2015-00024 Solt szennyvíztisztitó telep korszerűsítése, tisztított szennyvíz Duna sodorvonali bevezetésével pályázat támogatási előleg</t>
  </si>
  <si>
    <t xml:space="preserve"> - TOP-1.2.1-16-HE1-2017-00009 Ökoturisztikai fejlesztés Heves Városban pályázat támogatási előleg</t>
  </si>
  <si>
    <t xml:space="preserve"> - TOP-2.1.2-16-HE1-2017-00001 A hevesi Vicán-tó és környezetének fejlesztése pályázat támogatási előleg</t>
  </si>
  <si>
    <t xml:space="preserve"> - Strand beruházás támogatási előleg</t>
  </si>
  <si>
    <t xml:space="preserve"> - Közfoglalkoztatás támogatási előleg</t>
  </si>
  <si>
    <t>Az Nvt. 1. § (2) bekezdés g) és h) pontja szerinti kulturális javak és régészeti leletek állománya</t>
  </si>
  <si>
    <t>22. melléklet</t>
  </si>
  <si>
    <t>Heves Város Önkormányzata tulajdonában álló gazdálkodó szervezetek működéséből származó kötelezettségek, részesedések alakulása</t>
  </si>
  <si>
    <t>Gazdálkodó szervezet megnevezése</t>
  </si>
  <si>
    <t>2019.12.31-i részesedés összege</t>
  </si>
  <si>
    <t>Részesedés aránya</t>
  </si>
  <si>
    <t>Heves Média Nonprofit Kft.</t>
  </si>
  <si>
    <t>Hevesi Önkormányzati Vagyonkezelő Kft.</t>
  </si>
  <si>
    <t>Értékvesztés visszaírás</t>
  </si>
  <si>
    <t>Hevesi Iparfejlesztési Nonprofit Kft. (korábban Eszhevár Kft.)</t>
  </si>
  <si>
    <t>Értékvesztés</t>
  </si>
  <si>
    <t>Fejlesztési és Koordinációs Közp. Nonprofit Kft.</t>
  </si>
  <si>
    <t>REGIO-KOM Társulás</t>
  </si>
  <si>
    <t>Heves Megyei Vízmű Zrt.</t>
  </si>
  <si>
    <t>23. melléklet</t>
  </si>
  <si>
    <t>Adósság állomány alakulása lejárat, eszközök, bel- és külföldi hitelezők szerinti bontásban</t>
  </si>
  <si>
    <t>önk</t>
  </si>
  <si>
    <t>hköh</t>
  </si>
  <si>
    <t>hvóbki</t>
  </si>
  <si>
    <t>mősz</t>
  </si>
  <si>
    <t>hvgykcssz</t>
  </si>
  <si>
    <t>Adósságállomány eszközök szerint</t>
  </si>
  <si>
    <t>Nem lejárt</t>
  </si>
  <si>
    <t>Lejárt</t>
  </si>
  <si>
    <t>Nem lejárt, lejárt összes tartozás</t>
  </si>
  <si>
    <t>1-30 nap közötti állomány</t>
  </si>
  <si>
    <t>31-60 nap közötti állomány</t>
  </si>
  <si>
    <t>61-90 nap közötti állomány</t>
  </si>
  <si>
    <t>91-180 nap közötti állomány</t>
  </si>
  <si>
    <t>181-360 nap közötti állomány</t>
  </si>
  <si>
    <t>360 napon túli</t>
  </si>
  <si>
    <t>Összes lejárt tartozás</t>
  </si>
  <si>
    <t>10=(4+…+9)</t>
  </si>
  <si>
    <t>11=(3+10)</t>
  </si>
  <si>
    <t>I. Belföldi hitelezők</t>
  </si>
  <si>
    <t>Adóhatósággal szembeni tartozások</t>
  </si>
  <si>
    <t>Szállítói tartozás</t>
  </si>
  <si>
    <t>Szállítói tartozás *</t>
  </si>
  <si>
    <t>Egyéb adósság *</t>
  </si>
  <si>
    <t>Egyéb adósság **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</si>
  <si>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</si>
  <si>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</si>
  <si>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</si>
  <si>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</si>
  <si>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</si>
  <si>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</si>
  <si>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* Stabilitási tv. 3. §. alapján (hitelek, kötvénykibocsátás, kezességvállalás stb.)</t>
  </si>
  <si>
    <t>eu</t>
  </si>
  <si>
    <t>adósság</t>
  </si>
  <si>
    <t>felh</t>
  </si>
  <si>
    <t>felh eu</t>
  </si>
  <si>
    <t>felh ad</t>
  </si>
  <si>
    <t>műk</t>
  </si>
  <si>
    <t>tévi</t>
  </si>
  <si>
    <t>kévi</t>
  </si>
  <si>
    <t>24. melléklet</t>
  </si>
  <si>
    <t>Tartozások hitelfelvételből és kötvénykibocsátásból</t>
  </si>
  <si>
    <t>S.sz.</t>
  </si>
  <si>
    <t>Pénzintézet</t>
  </si>
  <si>
    <t>Hitel megnevezése</t>
  </si>
  <si>
    <t>Hitelfelvétel időpontja (szerződés kötés időpontja)</t>
  </si>
  <si>
    <t>Lejárata</t>
  </si>
  <si>
    <t>Felvett hitel összege v. kerete</t>
  </si>
  <si>
    <t>2019.12.31-i állomány</t>
  </si>
  <si>
    <t>Hitel törlesztés</t>
  </si>
  <si>
    <t>kamatfizetés</t>
  </si>
  <si>
    <t>Hosszú lejáratú hitelek</t>
  </si>
  <si>
    <t>Rövid lejáratú hitelek</t>
  </si>
  <si>
    <t>25. melléklet</t>
  </si>
  <si>
    <t>MARADVÁNYKIMUTATÁS</t>
  </si>
  <si>
    <t>ÖNK</t>
  </si>
  <si>
    <t>HKÖH</t>
  </si>
  <si>
    <t>HVÓBKI</t>
  </si>
  <si>
    <t>HKK</t>
  </si>
  <si>
    <t>MŐSZ</t>
  </si>
  <si>
    <t>HVGYKCSSZ</t>
  </si>
  <si>
    <t>3.a</t>
  </si>
  <si>
    <t>3.b</t>
  </si>
  <si>
    <t>3.c</t>
  </si>
  <si>
    <t>3.d</t>
  </si>
  <si>
    <t>3.e</t>
  </si>
  <si>
    <t>3.f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</si>
  <si>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</si>
  <si>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</si>
  <si>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</si>
  <si>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</si>
  <si>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</si>
  <si>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</si>
  <si>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</si>
  <si>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</si>
  <si>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</si>
  <si>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</si>
  <si>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</si>
  <si>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</si>
  <si>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</si>
  <si>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</si>
  <si>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</si>
  <si>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</si>
  <si>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</si>
  <si>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</si>
  <si>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</si>
  <si>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26. melléklet</t>
  </si>
  <si>
    <t>MÁK beszámoló</t>
  </si>
  <si>
    <t>Jóváhagyott</t>
  </si>
  <si>
    <t xml:space="preserve">Maradvány </t>
  </si>
  <si>
    <t>Beszámoló szerinti módosittott maradvány összesen</t>
  </si>
  <si>
    <t>Felülviszgált módosittott maradvány összesen</t>
  </si>
  <si>
    <t>Működési maradvány:</t>
  </si>
  <si>
    <t xml:space="preserve">   ebből:</t>
  </si>
  <si>
    <t>Önkormányzat maradványa (MÁK garnitúra szerint)</t>
  </si>
  <si>
    <t>HKÖH maradvány elvonás</t>
  </si>
  <si>
    <t>HVÓBKI maradvány elvonás</t>
  </si>
  <si>
    <t>HKK maradvány elvonás</t>
  </si>
  <si>
    <t>MŐSZ maradvány elvonás</t>
  </si>
  <si>
    <t>HVGYKCSSZ maradvány elvonás</t>
  </si>
  <si>
    <t>ÖNK felülvizsgált maradványa</t>
  </si>
  <si>
    <t>Elkülönített számlák egyenlege (bérlakás, lakásépítés szla stb.)</t>
  </si>
  <si>
    <t>EU-s pályázatok elk. számlái, előlegek, még el nem számolt támogatásokra (TOP, érdekeltségnövelő stb) felhasználható *</t>
  </si>
  <si>
    <t>HKÖH maradványa (MÁK garnitúra szerint)</t>
  </si>
  <si>
    <t>maradvány elvonás</t>
  </si>
  <si>
    <t>HKÖH felülvizsgált maradványa</t>
  </si>
  <si>
    <t>HVÓBKI maradványa (MÁK garnitúra szerint)</t>
  </si>
  <si>
    <t>HVÓBKI felülvizsgált maradványa</t>
  </si>
  <si>
    <t>HKK maradványa (MÁK garnitúra szerint)</t>
  </si>
  <si>
    <t>HKK felülvizsgált maradványa</t>
  </si>
  <si>
    <t>MŐSZ maradványa (MÁK garnitúra szerint)</t>
  </si>
  <si>
    <t>MŐSZ felülvizsgált maradványa</t>
  </si>
  <si>
    <t>HVGYKCSSZ maradványa (MÁK garnitúra szerint)</t>
  </si>
  <si>
    <t>Felhalmozási maradvány:</t>
  </si>
  <si>
    <t xml:space="preserve">ÖNK felülvizsgált maradványa </t>
  </si>
  <si>
    <t>EU-s pályázatok elk. számlái, előlegek, még el nem számolt támogatásokra (TOP, érdekeltségnövelő, hivatal felújítás) felhasználható*</t>
  </si>
  <si>
    <t>A felosztott  maradványok teljes összegben feladattal terheltek, szállítói tartozás illetve szerződéssel, megállapodással terhelt maradvány, áthúzódó személyi juttatás és közteher maradványa.</t>
  </si>
  <si>
    <t>???</t>
  </si>
  <si>
    <t>Maradványkimutatás</t>
  </si>
  <si>
    <t>Heves Város Önkormányzata 2020. évi gazdálkodásának zárszámadása mellékleteiről</t>
  </si>
  <si>
    <t>Előirányzat-felhasználási ütemterv 2020. évre (pénzeszközök változása a teljesítési adatok alapján)</t>
  </si>
  <si>
    <t>Heves Város Önkormányzata 2020. évi vagyonkimutatássa</t>
  </si>
  <si>
    <t>Tartozások hitelfelvételből és kötvénykibocsátásból 2020.12.31.</t>
  </si>
  <si>
    <t xml:space="preserve">A 2020. évi maradvány megállapítása és felosztása </t>
  </si>
  <si>
    <t>12.31-i teljesítés</t>
  </si>
  <si>
    <t>12.31-i teljesített kedvezmény nélkül elért bevétel</t>
  </si>
  <si>
    <t>2019. évi teljesítés</t>
  </si>
  <si>
    <t>Önkormányzatok és társulások általános végrehajtó igazgatási tevékenysége (képviselők, bizottsági tagok)</t>
  </si>
  <si>
    <t>Önkormányzati igazgatás (nyári diákmunka)</t>
  </si>
  <si>
    <t>Iskolarendszeren kívüli egyéb oktatás, képzések (EFOP humán kapcitások fejlesztése)</t>
  </si>
  <si>
    <t>A gyermekek, fiatalok és családok életminőségét javító programok (EFOP GYEP)</t>
  </si>
  <si>
    <t>Esélyegyenlőség elősegítését célzó tevékenységek és programok (EFOP humán szolgáltatások)</t>
  </si>
  <si>
    <t>Egészségügy igazgatása (TOP foglalkoztatási paktum)</t>
  </si>
  <si>
    <t>A gyermekek, fiatalok és családok életminőségét javító programok (EFOP Nőközpont)</t>
  </si>
  <si>
    <t>Munkaadókat terhelő járulékok és szociális hozzájárulási adó (=22+…+27) (K2)</t>
  </si>
  <si>
    <t>Betegséggel kapcsolatos (nem társadalombiztosítási) ellátások (=75+…+84) (K44)</t>
  </si>
  <si>
    <t>ebből: egészségügyi szolgáltatási jogosultságra való jogosultság szociális rászorultság alapján [Szoctv. 54. §-a] ( 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</si>
  <si>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</si>
  <si>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</si>
  <si>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</si>
  <si>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</si>
  <si>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</si>
  <si>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</si>
  <si>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ebből: idegenrendészeti szerv által folyósított ellátások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</si>
  <si>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</si>
  <si>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</si>
  <si>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</si>
  <si>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</si>
  <si>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</si>
  <si>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</si>
  <si>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</si>
  <si>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</si>
  <si>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</si>
  <si>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</si>
  <si>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</si>
  <si>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Beruházások (=191+192+194+…+198) (K6)</t>
  </si>
  <si>
    <t>Felújítások (=200+...+203) (K7)</t>
  </si>
  <si>
    <t>Felhalmozási célú visszatérítendő támogatások, kölcsönök nyújtása államháztartáson belülre (=207+…+216) (K82)</t>
  </si>
  <si>
    <t>Felhalmozási célú visszatérítendő támogatások, kölcsönök törlesztése államháztartáson belülre (=218+…+227) (K83)</t>
  </si>
  <si>
    <t>Egyéb felhalmozási célú támogatások államháztartáson belülre (=229+…+238) (K84)</t>
  </si>
  <si>
    <t>Felhalmozási célú garancia- és kezességvállalásból származó kifizetés államháztartáson kívülre (&gt;=240) (K85)</t>
  </si>
  <si>
    <t>Felhalmozási célú visszatérítendő támogatások, kölcsönök nyújtása államháztartáson kívülre (=242+…+252) (K86)</t>
  </si>
  <si>
    <t>Egyéb felhalmozási célú támogatások államháztartáson kívülre (=256+…+265) (K89)</t>
  </si>
  <si>
    <t>Egyéb felhalmozási célú kiadások (=205+206+217+228+239+241+253+254+255) (K8)</t>
  </si>
  <si>
    <t>Költségvetési kiadások (=20+21+60+120+190+199+204+266) (K1-K8)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</si>
  <si>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</si>
  <si>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</si>
  <si>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</si>
  <si>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</si>
  <si>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</si>
  <si>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</si>
  <si>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</si>
  <si>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</si>
  <si>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</si>
  <si>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</si>
  <si>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</si>
  <si>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</si>
  <si>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</si>
  <si>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</si>
  <si>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</si>
  <si>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</si>
  <si>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</si>
  <si>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</si>
  <si>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</si>
  <si>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ebből:  gyógyszertámogatás többletének sávos kockázatviseléséből származó bevételek [2006. évi XCVIII. tv. 42. § ] (B351)</t>
  </si>
  <si>
    <t>Termékek és szolgáltatások adói (=116+137+141+142+147)  (B35)</t>
  </si>
  <si>
    <t>ebből: cégnyílvántartás bevételei (B36)</t>
  </si>
  <si>
    <t>Közhatalmi bevételek  (=93+94+104+109+164+165) (B3)</t>
  </si>
  <si>
    <t>ebből:tárgyi eszközök bérbeadásából származó bevétel (B402)</t>
  </si>
  <si>
    <t>ebből:  önkormányzati többségi tulajdonú vállalkozástól kapott osztalék (B404)</t>
  </si>
  <si>
    <t>Más egyéb pénzügyi műveletek bevételei (&gt;=210+...214) (B4092)</t>
  </si>
  <si>
    <t>ebből:önkormányzati többségi tulajdonú nem pénzügyi vállalkozások (B64)</t>
  </si>
  <si>
    <t>ebből:önkormányzati többségi tulajdonú nem pénzügyi vállalkozások (B65)</t>
  </si>
  <si>
    <t>ebből:önkormányzati többségi tulajdonú nem pénzügyi vállalkozások (B74)</t>
  </si>
  <si>
    <t>ebből:önkormányzati többségi tulajdonú nem pénzügyi vállalkozások (B75)</t>
  </si>
  <si>
    <t>Költségvetési bevételek (=45+81+184+220+229+255+281) (B1-B7)</t>
  </si>
  <si>
    <t>maradvány korrekvió</t>
  </si>
  <si>
    <t>27. EU-s projekt azonosítója, neve:</t>
  </si>
  <si>
    <t>28. EU-s projekt azonosítója, neve:</t>
  </si>
  <si>
    <t>TOP-7.1.1-16-H-ERFA-2019-00491</t>
  </si>
  <si>
    <t>Közösségi játszótér kialakítása Heves-Újtelepi városrészen</t>
  </si>
  <si>
    <t>(TÁMOGATÁSI INTENZÍTÁS 100%; MEGVALÓSÍTÁS FOLYAMATBAN; HKK)</t>
  </si>
  <si>
    <t>TOP-7.1.1-16-H-ERFA-2019-00510</t>
  </si>
  <si>
    <t>Fénytechnikai eszközök beszerzése</t>
  </si>
  <si>
    <t>(TÁMOGATÁSI INTENZÍTÁS 100%; MEGVALÓSÍTÁS FOLYAMATBAN; HKÖH)</t>
  </si>
  <si>
    <t>TOP-7.1.1-16-H-ERFA-2019-00299</t>
  </si>
  <si>
    <t>Mobil jégpálya kialakítása Heves városában – Egy álom megvalósulása</t>
  </si>
  <si>
    <t>TOP-5.1.2-16-HE1-2017-00001</t>
  </si>
  <si>
    <t>Foglalkoztatási együttműködések folytatása a dél-hevesi térségben</t>
  </si>
  <si>
    <t>TOP-5.1.2-16-HE1-2017-00001 Foglalkoztatási együttműködések folytatása a dél-hevesi térségben</t>
  </si>
  <si>
    <t>Összesen (1.+3.+5.+7.+36.)</t>
  </si>
  <si>
    <t>38.</t>
  </si>
  <si>
    <t>39.</t>
  </si>
  <si>
    <t>40.</t>
  </si>
  <si>
    <t>TOP-7.1.1-16-H-ERFA-2019-00510 Fénytechnikai eszközök beszerzése</t>
  </si>
  <si>
    <t>TOP-7.1.1-16-H-ERFA-2019-00491 Közösségi játszótér kialakítása Heves-Újtelepi városrészen</t>
  </si>
  <si>
    <t>TOP-7.1.1-16-H-ERFA-2019-00299 Mobil jégpálya kialakítása Heves városában – Egy álom megvalósulása</t>
  </si>
  <si>
    <t>Emberi Erőforrás Támogatáskezelő</t>
  </si>
  <si>
    <t>BURSA támogatás</t>
  </si>
  <si>
    <t>Heves Megyei Rendőr-főkapitányság</t>
  </si>
  <si>
    <t>ME-Uniós Fejl. Fejezeti  kez. előirányzat számla</t>
  </si>
  <si>
    <t>Civil Nap</t>
  </si>
  <si>
    <t>teheséges tanulók jutalmazása</t>
  </si>
  <si>
    <t>működési kiadások (előző évi elmaradt támogatás is)</t>
  </si>
  <si>
    <t>Arany János tehetségprogram</t>
  </si>
  <si>
    <t>TOP 3.1.1 pályázat támogatás visszafizetés</t>
  </si>
  <si>
    <t>TOP 4.3.1 pályázat támogatás visszafizetés</t>
  </si>
  <si>
    <t>ösztöndíjak</t>
  </si>
  <si>
    <t>EFOP 3.9.2 Humán kapacitások fejlesztése</t>
  </si>
  <si>
    <t>EFOP 1.5.3 Humán Szolgáltatások fejlesztése a Hevesi járásban</t>
  </si>
  <si>
    <t xml:space="preserve"> TOP-1.2.1-15-HE1-2016-00005 a Halász-kúria turisztikai fejlesztése Heves Városban </t>
  </si>
  <si>
    <t xml:space="preserve"> TOP-1.4.1-15-HE1-2016-00018 Heves Városi Óvodák és Bölcsőde Köznevelési Intézmény Arany János úti Óvoda és Bölcsőde infrastrukturális fejlesztése</t>
  </si>
  <si>
    <t xml:space="preserve"> TOP-2.1.2-15-HE1-2016-00004 Heves Város Zöld szíve</t>
  </si>
  <si>
    <t>TOP-1.1.1-16-HE1-2017-00002  Iparterület kialakítása Heves Városban</t>
  </si>
  <si>
    <t>TOP-1.2.1-16-HE1-2017-00010  Az első magyar sakkmúzeum fejlesztése Hevesen</t>
  </si>
  <si>
    <t>EFOP -1.8.2-17-2017-00006  Praxisközösség létrehozása a Hevesi járásban</t>
  </si>
  <si>
    <t>EFOP -1.5.3-16-2017-00108  Humán kapacitások fejlesztése a Hevesi járásban</t>
  </si>
  <si>
    <t>EFOP -3.9.2-16-2017-00024  Humán szolgáltatások fejlesztése a Hevesi járásban</t>
  </si>
  <si>
    <t>TOP-1.1.3-16-HE1-2017-00007  A helyi gazdaság fejlesztése Heves városban</t>
  </si>
  <si>
    <t>EFOP-2.1.2-16-2017-00015  Gyerekesély programok infrastrukturális háttere a Hevesi járásban</t>
  </si>
  <si>
    <t>Sakkmúzeum tető (pályázatban önerő)</t>
  </si>
  <si>
    <t>Jégpálya betonozási munkák, kerítés (pályázatban önerő)</t>
  </si>
  <si>
    <t>Gépjármű vásárlás</t>
  </si>
  <si>
    <t>HEVA Kft. Kompenzáció lakásrendelet módosítás miatt</t>
  </si>
  <si>
    <t>Hivatali konyha elszívó</t>
  </si>
  <si>
    <t>Gyöngyösi úti temető urnafal építés, kültéri lámpa, kandelláber</t>
  </si>
  <si>
    <t>HM-i Vízmű Zrt. vagyonkezelői beruházásai</t>
  </si>
  <si>
    <t>2019. évi érdekeltségnövelő támogatásból beruházás (klimatizálás)</t>
  </si>
  <si>
    <t>Fénydekoráció</t>
  </si>
  <si>
    <t>Kisértékű eszközbeszerzések (kommunikációs eszközök, biztonságtechnikai eszközök stb.)</t>
  </si>
  <si>
    <t>Szerelem A. 10. felújítása</t>
  </si>
  <si>
    <t>Kerekerdő tagóvoda épület héjazatcsere</t>
  </si>
  <si>
    <t>Fő út 37. pótmunka</t>
  </si>
  <si>
    <t>Újtelepi rendelő felújítása</t>
  </si>
  <si>
    <t>Közművelődési intézmények, közösségi színterek működtetése (TOP-7.1.1-16-H-ERFA-2019-00510 Fénytechnikai eszközök beszerzése)</t>
  </si>
  <si>
    <t>Közművelődés - közösségi és társadalmi részvétel fejlesztése (TOP 7.1.1.)</t>
  </si>
  <si>
    <t>Közművelődési intézmények, közösségi színterek működtetése (TOP-7.1.1-16-H-ERFA-2019-00491 Közösségi játszótér kialakítása Heves-Újtelepi városrészen)</t>
  </si>
  <si>
    <t>Közművelődés - közösségi és társadalmi részvétel fejlesztése (TOP-7.1.1-16-H-ERFA-2019-00299 Mobil jégpálya kialakítása Heves városában – Egy álom megvalósulása)</t>
  </si>
  <si>
    <t>Foglalkoztatást elősegítő képzések és egyéb támogatások ( TOP-5.1.2-16-HE1-2017-00001 Foglalkoztatási együttműködések folytatása a dél-hevesi térségben)</t>
  </si>
  <si>
    <t>2020. év</t>
  </si>
  <si>
    <t>2020.12.31-i részesedés összege</t>
  </si>
  <si>
    <t>Új Heves Média Kft.</t>
  </si>
  <si>
    <t>2020. évi változás</t>
  </si>
  <si>
    <t>2002. évi változás jogcíme</t>
  </si>
  <si>
    <t>Alapítás</t>
  </si>
  <si>
    <t>Heves Termál Kft.</t>
  </si>
  <si>
    <t xml:space="preserve">Részesedésből adódó kötelezettségek (tagdíj, tőkeemelés stb.) 2020.12.31. </t>
  </si>
  <si>
    <t>2020.12.31-i állomány</t>
  </si>
  <si>
    <t>2020. év utáni hitel törlesztés</t>
  </si>
  <si>
    <t>OTP Bank Nyrt.</t>
  </si>
  <si>
    <t>2020. december 31-én</t>
  </si>
  <si>
    <t>fejlesztési célhitel</t>
  </si>
  <si>
    <t>2021. évi költségvetés</t>
  </si>
  <si>
    <t>2021. évi költségvetésben eredeti előirányzatként tervezett</t>
  </si>
  <si>
    <t>Működésre eredeti előirányzatként tervezve 2021. évre</t>
  </si>
  <si>
    <t>2021. évi költségvetés eredeti működési maradvány módosítása</t>
  </si>
  <si>
    <t>Felhalmozásra eredeti előirányzatként tervezve 2021. évre</t>
  </si>
  <si>
    <t>2021. évi költségvetés eredeti felhalmozási maradvány módoítása</t>
  </si>
  <si>
    <t>2020. évi szállitói tartozások (önkormányzati összesen), kötelezettségvállalások</t>
  </si>
  <si>
    <t>Felhalmozási szállítók, kötelezettségek (EU-s pályázati pénzből adott beruházási előleg elszámolása, egyéb 2020. évi támogatási előleg stb.)</t>
  </si>
  <si>
    <t>* a maradvány csak részben fedezi a 2020. év végi 2 053 776 E Ft felhalmozási célra megkapott EU-s támogatásállomány visszapótlását, felhasználását</t>
  </si>
  <si>
    <t>2020. évi fel nem használt támogatás (közmunka támogatás előleg, 2021. évi támogatási előleg stb.)</t>
  </si>
  <si>
    <t>Közfoglalkoztatás eszközbeszerzés (üvegház építés is)</t>
  </si>
  <si>
    <t xml:space="preserve"> - Gépjármű adó fizetési kötelezettség (túlfizetések)</t>
  </si>
  <si>
    <t>Előző évekről áthúzodó (nem teljesített) előzetes kötelezettségvállalások</t>
  </si>
  <si>
    <t xml:space="preserve"> - TOP-5.1.2-16-HE1-2017-00001 Foglalkoztatási együttműködések folytatása a dél-hevesi térségben</t>
  </si>
  <si>
    <t xml:space="preserve"> - TOP-7.1.1-16-H-ERFA-2019-00299 Mobil jégpálya kialakítása Heves városában – Egy álom megvalósulása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</si>
</sst>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u/>
      <sz val="9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Arial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i/>
      <sz val="10"/>
      <name val="Times New Roman CE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9" fillId="0" borderId="0"/>
    <xf numFmtId="0" fontId="2" fillId="0" borderId="0"/>
    <xf numFmtId="0" fontId="60" fillId="0" borderId="0"/>
    <xf numFmtId="3" fontId="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6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4" xfId="0" applyNumberFormat="1" applyFont="1" applyBorder="1"/>
    <xf numFmtId="3" fontId="16" fillId="0" borderId="4" xfId="0" applyNumberFormat="1" applyFont="1" applyBorder="1"/>
    <xf numFmtId="3" fontId="16" fillId="0" borderId="5" xfId="0" applyNumberFormat="1" applyFont="1" applyBorder="1"/>
    <xf numFmtId="3" fontId="17" fillId="0" borderId="5" xfId="0" applyNumberFormat="1" applyFont="1" applyBorder="1"/>
    <xf numFmtId="3" fontId="17" fillId="0" borderId="0" xfId="0" applyNumberFormat="1" applyFont="1"/>
    <xf numFmtId="3" fontId="15" fillId="0" borderId="6" xfId="0" applyNumberFormat="1" applyFont="1" applyBorder="1"/>
    <xf numFmtId="3" fontId="17" fillId="0" borderId="7" xfId="0" applyNumberFormat="1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3" fontId="15" fillId="0" borderId="9" xfId="0" applyNumberFormat="1" applyFont="1" applyBorder="1"/>
    <xf numFmtId="3" fontId="17" fillId="0" borderId="10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3" fontId="16" fillId="0" borderId="12" xfId="0" applyNumberFormat="1" applyFont="1" applyBorder="1"/>
    <xf numFmtId="3" fontId="16" fillId="0" borderId="13" xfId="0" applyNumberFormat="1" applyFont="1" applyBorder="1"/>
    <xf numFmtId="3" fontId="15" fillId="0" borderId="14" xfId="0" applyNumberFormat="1" applyFont="1" applyBorder="1"/>
    <xf numFmtId="3" fontId="15" fillId="0" borderId="15" xfId="0" applyNumberFormat="1" applyFont="1" applyBorder="1"/>
    <xf numFmtId="3" fontId="15" fillId="0" borderId="16" xfId="0" applyNumberFormat="1" applyFont="1" applyBorder="1"/>
    <xf numFmtId="3" fontId="15" fillId="0" borderId="1" xfId="0" applyNumberFormat="1" applyFont="1" applyBorder="1"/>
    <xf numFmtId="3" fontId="15" fillId="0" borderId="2" xfId="0" applyNumberFormat="1" applyFont="1" applyBorder="1"/>
    <xf numFmtId="3" fontId="15" fillId="0" borderId="3" xfId="0" applyNumberFormat="1" applyFont="1" applyBorder="1"/>
    <xf numFmtId="3" fontId="15" fillId="0" borderId="0" xfId="0" applyNumberFormat="1" applyFont="1" applyBorder="1"/>
    <xf numFmtId="3" fontId="15" fillId="0" borderId="17" xfId="0" applyNumberFormat="1" applyFont="1" applyBorder="1"/>
    <xf numFmtId="3" fontId="15" fillId="0" borderId="18" xfId="0" applyNumberFormat="1" applyFont="1" applyBorder="1"/>
    <xf numFmtId="3" fontId="15" fillId="0" borderId="19" xfId="0" applyNumberFormat="1" applyFont="1" applyBorder="1"/>
    <xf numFmtId="3" fontId="16" fillId="0" borderId="9" xfId="0" applyNumberFormat="1" applyFont="1" applyBorder="1"/>
    <xf numFmtId="3" fontId="16" fillId="0" borderId="6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20" xfId="0" applyNumberFormat="1" applyFont="1" applyBorder="1"/>
    <xf numFmtId="3" fontId="16" fillId="0" borderId="21" xfId="0" applyNumberFormat="1" applyFont="1" applyBorder="1"/>
    <xf numFmtId="3" fontId="17" fillId="0" borderId="8" xfId="0" applyNumberFormat="1" applyFont="1" applyBorder="1"/>
    <xf numFmtId="3" fontId="17" fillId="0" borderId="20" xfId="0" applyNumberFormat="1" applyFont="1" applyBorder="1"/>
    <xf numFmtId="3" fontId="17" fillId="0" borderId="12" xfId="0" applyNumberFormat="1" applyFont="1" applyBorder="1"/>
    <xf numFmtId="3" fontId="17" fillId="0" borderId="13" xfId="0" applyNumberFormat="1" applyFont="1" applyBorder="1"/>
    <xf numFmtId="3" fontId="17" fillId="0" borderId="11" xfId="0" applyNumberFormat="1" applyFont="1" applyBorder="1"/>
    <xf numFmtId="3" fontId="17" fillId="0" borderId="21" xfId="0" applyNumberFormat="1" applyFont="1" applyBorder="1"/>
    <xf numFmtId="3" fontId="16" fillId="0" borderId="22" xfId="0" applyNumberFormat="1" applyFont="1" applyBorder="1"/>
    <xf numFmtId="3" fontId="16" fillId="0" borderId="23" xfId="0" applyNumberFormat="1" applyFont="1" applyBorder="1"/>
    <xf numFmtId="3" fontId="16" fillId="0" borderId="24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24" xfId="0" applyNumberFormat="1" applyFont="1" applyBorder="1"/>
    <xf numFmtId="164" fontId="15" fillId="0" borderId="22" xfId="0" applyNumberFormat="1" applyFont="1" applyBorder="1"/>
    <xf numFmtId="164" fontId="15" fillId="0" borderId="23" xfId="0" applyNumberFormat="1" applyFont="1" applyBorder="1"/>
    <xf numFmtId="164" fontId="15" fillId="0" borderId="11" xfId="0" applyNumberFormat="1" applyFont="1" applyBorder="1"/>
    <xf numFmtId="164" fontId="15" fillId="0" borderId="12" xfId="0" applyNumberFormat="1" applyFont="1" applyBorder="1"/>
    <xf numFmtId="164" fontId="15" fillId="0" borderId="13" xfId="0" applyNumberFormat="1" applyFont="1" applyBorder="1"/>
    <xf numFmtId="164" fontId="15" fillId="0" borderId="1" xfId="0" applyNumberFormat="1" applyFont="1" applyBorder="1"/>
    <xf numFmtId="164" fontId="15" fillId="0" borderId="2" xfId="0" applyNumberFormat="1" applyFont="1" applyBorder="1"/>
    <xf numFmtId="164" fontId="15" fillId="0" borderId="3" xfId="0" applyNumberFormat="1" applyFont="1" applyBorder="1"/>
    <xf numFmtId="49" fontId="15" fillId="0" borderId="0" xfId="0" applyNumberFormat="1" applyFont="1" applyBorder="1"/>
    <xf numFmtId="49" fontId="15" fillId="0" borderId="25" xfId="0" applyNumberFormat="1" applyFont="1" applyBorder="1" applyAlignment="1">
      <alignment horizontal="left" indent="1"/>
    </xf>
    <xf numFmtId="49" fontId="16" fillId="0" borderId="26" xfId="0" applyNumberFormat="1" applyFont="1" applyBorder="1" applyAlignment="1">
      <alignment horizontal="left" indent="2"/>
    </xf>
    <xf numFmtId="49" fontId="17" fillId="0" borderId="27" xfId="0" applyNumberFormat="1" applyFont="1" applyBorder="1" applyAlignment="1">
      <alignment horizontal="left" indent="3"/>
    </xf>
    <xf numFmtId="49" fontId="16" fillId="0" borderId="27" xfId="0" applyNumberFormat="1" applyFont="1" applyBorder="1" applyAlignment="1">
      <alignment horizontal="left" indent="2"/>
    </xf>
    <xf numFmtId="49" fontId="16" fillId="0" borderId="28" xfId="0" applyNumberFormat="1" applyFont="1" applyBorder="1" applyAlignment="1">
      <alignment horizontal="left" indent="2"/>
    </xf>
    <xf numFmtId="49" fontId="15" fillId="0" borderId="25" xfId="0" applyNumberFormat="1" applyFont="1" applyBorder="1"/>
    <xf numFmtId="49" fontId="15" fillId="0" borderId="25" xfId="0" applyNumberFormat="1" applyFont="1" applyBorder="1" applyAlignment="1">
      <alignment horizontal="left"/>
    </xf>
    <xf numFmtId="49" fontId="15" fillId="0" borderId="29" xfId="0" applyNumberFormat="1" applyFont="1" applyBorder="1"/>
    <xf numFmtId="49" fontId="16" fillId="0" borderId="26" xfId="0" applyNumberFormat="1" applyFont="1" applyBorder="1"/>
    <xf numFmtId="49" fontId="16" fillId="0" borderId="30" xfId="0" applyNumberFormat="1" applyFont="1" applyBorder="1"/>
    <xf numFmtId="49" fontId="17" fillId="0" borderId="28" xfId="0" applyNumberFormat="1" applyFont="1" applyBorder="1" applyAlignment="1">
      <alignment horizontal="left" indent="3"/>
    </xf>
    <xf numFmtId="49" fontId="17" fillId="0" borderId="30" xfId="0" applyNumberFormat="1" applyFont="1" applyBorder="1" applyAlignment="1">
      <alignment horizontal="left" indent="3"/>
    </xf>
    <xf numFmtId="49" fontId="15" fillId="0" borderId="31" xfId="0" applyNumberFormat="1" applyFont="1" applyBorder="1"/>
    <xf numFmtId="49" fontId="15" fillId="0" borderId="28" xfId="0" applyNumberFormat="1" applyFont="1" applyBorder="1"/>
    <xf numFmtId="49" fontId="16" fillId="0" borderId="32" xfId="0" applyNumberFormat="1" applyFont="1" applyBorder="1" applyAlignment="1">
      <alignment horizontal="center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5" fillId="0" borderId="33" xfId="0" applyNumberFormat="1" applyFont="1" applyBorder="1" applyAlignment="1">
      <alignment horizontal="center"/>
    </xf>
    <xf numFmtId="49" fontId="16" fillId="0" borderId="36" xfId="0" applyNumberFormat="1" applyFont="1" applyBorder="1" applyAlignment="1">
      <alignment horizontal="center"/>
    </xf>
    <xf numFmtId="49" fontId="16" fillId="0" borderId="37" xfId="0" applyNumberFormat="1" applyFont="1" applyBorder="1" applyAlignment="1">
      <alignment horizontal="center"/>
    </xf>
    <xf numFmtId="49" fontId="17" fillId="0" borderId="37" xfId="0" applyNumberFormat="1" applyFont="1" applyBorder="1" applyAlignment="1">
      <alignment horizontal="center"/>
    </xf>
    <xf numFmtId="49" fontId="15" fillId="0" borderId="38" xfId="0" applyNumberFormat="1" applyFont="1" applyBorder="1" applyAlignment="1">
      <alignment horizontal="center"/>
    </xf>
    <xf numFmtId="49" fontId="16" fillId="0" borderId="39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49" fontId="17" fillId="0" borderId="39" xfId="0" applyNumberFormat="1" applyFont="1" applyBorder="1" applyAlignment="1">
      <alignment horizontal="center"/>
    </xf>
    <xf numFmtId="49" fontId="15" fillId="0" borderId="40" xfId="0" applyNumberFormat="1" applyFont="1" applyBorder="1" applyAlignment="1">
      <alignment horizontal="center"/>
    </xf>
    <xf numFmtId="49" fontId="15" fillId="0" borderId="32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/>
    </xf>
    <xf numFmtId="49" fontId="15" fillId="0" borderId="42" xfId="0" applyNumberFormat="1" applyFont="1" applyBorder="1" applyAlignment="1">
      <alignment horizontal="center"/>
    </xf>
    <xf numFmtId="3" fontId="18" fillId="0" borderId="24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49" fontId="17" fillId="0" borderId="28" xfId="0" applyNumberFormat="1" applyFont="1" applyBorder="1" applyAlignment="1">
      <alignment horizontal="left"/>
    </xf>
    <xf numFmtId="164" fontId="17" fillId="0" borderId="11" xfId="0" applyNumberFormat="1" applyFont="1" applyBorder="1"/>
    <xf numFmtId="164" fontId="17" fillId="0" borderId="12" xfId="0" applyNumberFormat="1" applyFont="1" applyBorder="1"/>
    <xf numFmtId="164" fontId="17" fillId="0" borderId="13" xfId="0" applyNumberFormat="1" applyFont="1" applyBorder="1"/>
    <xf numFmtId="49" fontId="17" fillId="2" borderId="37" xfId="0" applyNumberFormat="1" applyFont="1" applyFill="1" applyBorder="1" applyAlignment="1">
      <alignment horizontal="center"/>
    </xf>
    <xf numFmtId="49" fontId="17" fillId="2" borderId="27" xfId="0" applyNumberFormat="1" applyFont="1" applyFill="1" applyBorder="1" applyAlignment="1">
      <alignment horizontal="left" indent="3"/>
    </xf>
    <xf numFmtId="3" fontId="17" fillId="2" borderId="10" xfId="0" applyNumberFormat="1" applyFont="1" applyFill="1" applyBorder="1"/>
    <xf numFmtId="3" fontId="17" fillId="2" borderId="5" xfId="0" applyNumberFormat="1" applyFont="1" applyFill="1" applyBorder="1"/>
    <xf numFmtId="3" fontId="17" fillId="2" borderId="7" xfId="0" applyNumberFormat="1" applyFont="1" applyFill="1" applyBorder="1"/>
    <xf numFmtId="49" fontId="17" fillId="0" borderId="37" xfId="0" applyNumberFormat="1" applyFont="1" applyFill="1" applyBorder="1" applyAlignment="1">
      <alignment horizontal="center"/>
    </xf>
    <xf numFmtId="49" fontId="17" fillId="0" borderId="27" xfId="0" applyNumberFormat="1" applyFont="1" applyFill="1" applyBorder="1" applyAlignment="1">
      <alignment horizontal="left" indent="3"/>
    </xf>
    <xf numFmtId="3" fontId="15" fillId="0" borderId="1" xfId="0" applyNumberFormat="1" applyFont="1" applyFill="1" applyBorder="1"/>
    <xf numFmtId="3" fontId="15" fillId="0" borderId="2" xfId="0" applyNumberFormat="1" applyFont="1" applyFill="1" applyBorder="1"/>
    <xf numFmtId="3" fontId="15" fillId="0" borderId="3" xfId="0" applyNumberFormat="1" applyFont="1" applyFill="1" applyBorder="1"/>
    <xf numFmtId="49" fontId="16" fillId="0" borderId="26" xfId="0" applyNumberFormat="1" applyFont="1" applyFill="1" applyBorder="1" applyAlignment="1">
      <alignment horizontal="left" indent="2"/>
    </xf>
    <xf numFmtId="3" fontId="16" fillId="0" borderId="9" xfId="0" applyNumberFormat="1" applyFont="1" applyFill="1" applyBorder="1"/>
    <xf numFmtId="3" fontId="16" fillId="0" borderId="4" xfId="0" applyNumberFormat="1" applyFont="1" applyFill="1" applyBorder="1"/>
    <xf numFmtId="3" fontId="16" fillId="0" borderId="6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31" xfId="0" applyNumberFormat="1" applyFont="1" applyBorder="1" applyAlignment="1">
      <alignment horizontal="left" indent="1"/>
    </xf>
    <xf numFmtId="49" fontId="15" fillId="0" borderId="43" xfId="0" applyNumberFormat="1" applyFont="1" applyBorder="1"/>
    <xf numFmtId="49" fontId="17" fillId="0" borderId="27" xfId="0" applyNumberFormat="1" applyFont="1" applyBorder="1" applyAlignment="1">
      <alignment horizontal="left" indent="2"/>
    </xf>
    <xf numFmtId="49" fontId="17" fillId="0" borderId="27" xfId="0" applyNumberFormat="1" applyFont="1" applyBorder="1" applyAlignment="1">
      <alignment horizontal="left" indent="1"/>
    </xf>
    <xf numFmtId="49" fontId="17" fillId="0" borderId="30" xfId="0" applyNumberFormat="1" applyFont="1" applyBorder="1" applyAlignment="1">
      <alignment horizontal="left" indent="1"/>
    </xf>
    <xf numFmtId="49" fontId="16" fillId="0" borderId="40" xfId="0" applyNumberFormat="1" applyFont="1" applyBorder="1" applyAlignment="1">
      <alignment horizontal="center"/>
    </xf>
    <xf numFmtId="49" fontId="16" fillId="0" borderId="44" xfId="0" applyNumberFormat="1" applyFont="1" applyBorder="1" applyAlignment="1">
      <alignment horizontal="left" indent="1"/>
    </xf>
    <xf numFmtId="49" fontId="16" fillId="0" borderId="27" xfId="0" applyNumberFormat="1" applyFont="1" applyBorder="1" applyAlignment="1">
      <alignment horizontal="left" indent="1"/>
    </xf>
    <xf numFmtId="49" fontId="16" fillId="0" borderId="45" xfId="0" applyNumberFormat="1" applyFont="1" applyBorder="1" applyAlignment="1">
      <alignment horizontal="left" indent="1"/>
    </xf>
    <xf numFmtId="3" fontId="15" fillId="0" borderId="43" xfId="0" applyNumberFormat="1" applyFont="1" applyBorder="1"/>
    <xf numFmtId="3" fontId="15" fillId="0" borderId="46" xfId="0" applyNumberFormat="1" applyFont="1" applyBorder="1"/>
    <xf numFmtId="3" fontId="15" fillId="0" borderId="47" xfId="0" applyNumberFormat="1" applyFont="1" applyBorder="1"/>
    <xf numFmtId="3" fontId="15" fillId="0" borderId="48" xfId="0" applyNumberFormat="1" applyFont="1" applyBorder="1"/>
    <xf numFmtId="49" fontId="15" fillId="0" borderId="35" xfId="0" applyNumberFormat="1" applyFont="1" applyBorder="1"/>
    <xf numFmtId="49" fontId="17" fillId="0" borderId="27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49" fontId="17" fillId="0" borderId="45" xfId="0" applyNumberFormat="1" applyFont="1" applyBorder="1" applyAlignment="1">
      <alignment horizontal="left" wrapText="1" indent="1"/>
    </xf>
    <xf numFmtId="3" fontId="15" fillId="0" borderId="3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7" fillId="0" borderId="0" xfId="11" applyFont="1"/>
    <xf numFmtId="0" fontId="12" fillId="0" borderId="0" xfId="11" applyFont="1"/>
    <xf numFmtId="0" fontId="12" fillId="0" borderId="44" xfId="11" applyFont="1" applyBorder="1" applyAlignment="1">
      <alignment horizontal="center" vertical="center"/>
    </xf>
    <xf numFmtId="164" fontId="12" fillId="0" borderId="44" xfId="11" applyNumberFormat="1" applyFont="1" applyBorder="1" applyAlignment="1">
      <alignment horizontal="center" vertical="center"/>
    </xf>
    <xf numFmtId="164" fontId="12" fillId="0" borderId="50" xfId="11" applyNumberFormat="1" applyFont="1" applyFill="1" applyBorder="1" applyAlignment="1">
      <alignment horizontal="center" vertical="center" wrapText="1"/>
    </xf>
    <xf numFmtId="164" fontId="12" fillId="0" borderId="50" xfId="11" applyNumberFormat="1" applyFont="1" applyBorder="1" applyAlignment="1">
      <alignment horizontal="center" vertical="center" wrapText="1"/>
    </xf>
    <xf numFmtId="164" fontId="11" fillId="0" borderId="40" xfId="11" applyNumberFormat="1" applyFont="1" applyBorder="1" applyAlignment="1">
      <alignment horizontal="center" vertical="center" wrapText="1"/>
    </xf>
    <xf numFmtId="0" fontId="11" fillId="0" borderId="51" xfId="11" applyFont="1" applyBorder="1" applyAlignment="1">
      <alignment horizontal="left"/>
    </xf>
    <xf numFmtId="164" fontId="11" fillId="0" borderId="51" xfId="11" applyNumberFormat="1" applyFont="1" applyBorder="1" applyAlignment="1"/>
    <xf numFmtId="164" fontId="11" fillId="0" borderId="52" xfId="11" applyNumberFormat="1" applyFont="1" applyBorder="1" applyAlignment="1"/>
    <xf numFmtId="164" fontId="11" fillId="0" borderId="36" xfId="11" applyNumberFormat="1" applyFont="1" applyBorder="1" applyAlignment="1"/>
    <xf numFmtId="164" fontId="12" fillId="0" borderId="51" xfId="11" applyNumberFormat="1" applyFont="1" applyBorder="1" applyAlignment="1"/>
    <xf numFmtId="164" fontId="12" fillId="0" borderId="52" xfId="11" applyNumberFormat="1" applyFont="1" applyBorder="1" applyAlignment="1"/>
    <xf numFmtId="164" fontId="12" fillId="0" borderId="45" xfId="11" applyNumberFormat="1" applyFont="1" applyBorder="1" applyAlignment="1"/>
    <xf numFmtId="164" fontId="12" fillId="0" borderId="53" xfId="11" applyNumberFormat="1" applyFont="1" applyBorder="1" applyAlignment="1"/>
    <xf numFmtId="164" fontId="12" fillId="0" borderId="54" xfId="11" applyNumberFormat="1" applyFont="1" applyBorder="1" applyAlignment="1"/>
    <xf numFmtId="164" fontId="12" fillId="0" borderId="55" xfId="11" applyNumberFormat="1" applyFont="1" applyBorder="1" applyAlignment="1"/>
    <xf numFmtId="0" fontId="11" fillId="0" borderId="43" xfId="11" applyFont="1" applyBorder="1" applyAlignment="1">
      <alignment horizontal="left"/>
    </xf>
    <xf numFmtId="164" fontId="11" fillId="0" borderId="43" xfId="11" applyNumberFormat="1" applyFont="1" applyBorder="1" applyAlignment="1"/>
    <xf numFmtId="164" fontId="11" fillId="0" borderId="56" xfId="11" applyNumberFormat="1" applyFont="1" applyBorder="1" applyAlignment="1"/>
    <xf numFmtId="164" fontId="11" fillId="0" borderId="3" xfId="11" applyNumberFormat="1" applyFont="1" applyBorder="1" applyAlignment="1"/>
    <xf numFmtId="164" fontId="11" fillId="0" borderId="2" xfId="11" applyNumberFormat="1" applyFont="1" applyBorder="1" applyAlignment="1"/>
    <xf numFmtId="164" fontId="11" fillId="0" borderId="33" xfId="11" applyNumberFormat="1" applyFont="1" applyBorder="1" applyAlignment="1"/>
    <xf numFmtId="0" fontId="11" fillId="0" borderId="44" xfId="11" applyFont="1" applyBorder="1" applyAlignment="1">
      <alignment horizontal="left"/>
    </xf>
    <xf numFmtId="164" fontId="11" fillId="0" borderId="44" xfId="11" applyNumberFormat="1" applyFont="1" applyBorder="1" applyAlignment="1"/>
    <xf numFmtId="164" fontId="11" fillId="0" borderId="50" xfId="11" applyNumberFormat="1" applyFont="1" applyBorder="1" applyAlignment="1"/>
    <xf numFmtId="164" fontId="11" fillId="0" borderId="40" xfId="11" applyNumberFormat="1" applyFont="1" applyBorder="1" applyAlignment="1"/>
    <xf numFmtId="0" fontId="11" fillId="0" borderId="45" xfId="11" applyFont="1" applyBorder="1" applyAlignment="1">
      <alignment horizontal="left"/>
    </xf>
    <xf numFmtId="164" fontId="11" fillId="0" borderId="50" xfId="11" applyNumberFormat="1" applyFont="1" applyFill="1" applyBorder="1" applyAlignment="1"/>
    <xf numFmtId="0" fontId="11" fillId="0" borderId="43" xfId="11" applyFont="1" applyFill="1" applyBorder="1" applyAlignment="1">
      <alignment horizontal="left"/>
    </xf>
    <xf numFmtId="0" fontId="12" fillId="0" borderId="51" xfId="11" applyFont="1" applyBorder="1" applyAlignment="1">
      <alignment horizontal="left"/>
    </xf>
    <xf numFmtId="164" fontId="12" fillId="0" borderId="4" xfId="11" applyNumberFormat="1" applyFont="1" applyBorder="1" applyAlignment="1"/>
    <xf numFmtId="0" fontId="11" fillId="0" borderId="43" xfId="11" applyFont="1" applyBorder="1"/>
    <xf numFmtId="4" fontId="12" fillId="0" borderId="44" xfId="11" applyNumberFormat="1" applyFont="1" applyBorder="1" applyAlignment="1">
      <alignment horizontal="center" vertical="center"/>
    </xf>
    <xf numFmtId="4" fontId="12" fillId="0" borderId="50" xfId="11" applyNumberFormat="1" applyFont="1" applyFill="1" applyBorder="1" applyAlignment="1">
      <alignment horizontal="center" vertical="center" wrapText="1"/>
    </xf>
    <xf numFmtId="4" fontId="12" fillId="0" borderId="50" xfId="11" applyNumberFormat="1" applyFont="1" applyBorder="1" applyAlignment="1">
      <alignment horizontal="center" vertical="center" wrapText="1"/>
    </xf>
    <xf numFmtId="4" fontId="11" fillId="0" borderId="40" xfId="11" applyNumberFormat="1" applyFont="1" applyBorder="1" applyAlignment="1">
      <alignment horizontal="center" vertical="center" wrapText="1"/>
    </xf>
    <xf numFmtId="164" fontId="12" fillId="0" borderId="57" xfId="11" applyNumberFormat="1" applyFont="1" applyBorder="1" applyAlignment="1"/>
    <xf numFmtId="164" fontId="12" fillId="0" borderId="58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59" xfId="11" applyNumberFormat="1" applyFont="1" applyBorder="1" applyAlignment="1">
      <alignment horizontal="center" vertical="center"/>
    </xf>
    <xf numFmtId="164" fontId="11" fillId="0" borderId="47" xfId="11" applyNumberFormat="1" applyFont="1" applyFill="1" applyBorder="1" applyAlignment="1">
      <alignment horizontal="center" vertical="center" wrapText="1"/>
    </xf>
    <xf numFmtId="164" fontId="11" fillId="0" borderId="52" xfId="11" applyNumberFormat="1" applyFont="1" applyBorder="1" applyAlignment="1">
      <alignment horizontal="center" vertical="center" wrapText="1"/>
    </xf>
    <xf numFmtId="164" fontId="11" fillId="0" borderId="36" xfId="11" applyNumberFormat="1" applyFont="1" applyBorder="1" applyAlignment="1">
      <alignment horizontal="center" vertical="center" wrapText="1"/>
    </xf>
    <xf numFmtId="0" fontId="11" fillId="0" borderId="43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60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3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31" xfId="11" applyNumberFormat="1" applyFont="1" applyFill="1" applyBorder="1" applyAlignment="1">
      <alignment vertical="center"/>
    </xf>
    <xf numFmtId="3" fontId="12" fillId="0" borderId="24" xfId="11" applyNumberFormat="1" applyFont="1" applyFill="1" applyBorder="1" applyAlignment="1" applyProtection="1">
      <alignment vertical="center"/>
      <protection locked="0"/>
    </xf>
    <xf numFmtId="3" fontId="12" fillId="0" borderId="50" xfId="11" applyNumberFormat="1" applyFont="1" applyFill="1" applyBorder="1" applyAlignment="1" applyProtection="1">
      <alignment vertical="center"/>
      <protection locked="0"/>
    </xf>
    <xf numFmtId="3" fontId="11" fillId="0" borderId="40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27" xfId="11" quotePrefix="1" applyNumberFormat="1" applyFont="1" applyFill="1" applyBorder="1" applyAlignment="1">
      <alignment horizontal="left" vertical="center" indent="1"/>
    </xf>
    <xf numFmtId="3" fontId="21" fillId="0" borderId="10" xfId="11" applyNumberFormat="1" applyFont="1" applyFill="1" applyBorder="1" applyAlignment="1" applyProtection="1">
      <alignment vertical="center"/>
      <protection locked="0"/>
    </xf>
    <xf numFmtId="3" fontId="21" fillId="0" borderId="53" xfId="11" applyNumberFormat="1" applyFont="1" applyFill="1" applyBorder="1" applyAlignment="1" applyProtection="1">
      <alignment vertical="center"/>
      <protection locked="0"/>
    </xf>
    <xf numFmtId="3" fontId="10" fillId="0" borderId="37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27" xfId="11" applyNumberFormat="1" applyFont="1" applyFill="1" applyBorder="1" applyAlignment="1">
      <alignment vertical="center"/>
    </xf>
    <xf numFmtId="3" fontId="12" fillId="0" borderId="10" xfId="11" applyNumberFormat="1" applyFont="1" applyFill="1" applyBorder="1" applyAlignment="1" applyProtection="1">
      <alignment vertical="center"/>
      <protection locked="0"/>
    </xf>
    <xf numFmtId="3" fontId="12" fillId="0" borderId="53" xfId="11" applyNumberFormat="1" applyFont="1" applyFill="1" applyBorder="1" applyAlignment="1" applyProtection="1">
      <alignment vertical="center"/>
      <protection locked="0"/>
    </xf>
    <xf numFmtId="3" fontId="11" fillId="0" borderId="37" xfId="11" applyNumberFormat="1" applyFont="1" applyFill="1" applyBorder="1" applyAlignment="1">
      <alignment vertical="center"/>
    </xf>
    <xf numFmtId="3" fontId="11" fillId="0" borderId="56" xfId="11" applyNumberFormat="1" applyFont="1" applyFill="1" applyBorder="1" applyAlignment="1">
      <alignment vertical="center"/>
    </xf>
    <xf numFmtId="3" fontId="11" fillId="0" borderId="33" xfId="11" applyNumberFormat="1" applyFont="1" applyFill="1" applyBorder="1" applyAlignment="1">
      <alignment vertical="center"/>
    </xf>
    <xf numFmtId="3" fontId="11" fillId="0" borderId="1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27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28" xfId="11" applyNumberFormat="1" applyFont="1" applyFill="1" applyBorder="1" applyAlignment="1" applyProtection="1">
      <alignment vertical="center"/>
      <protection locked="0"/>
    </xf>
    <xf numFmtId="3" fontId="12" fillId="0" borderId="11" xfId="11" applyNumberFormat="1" applyFont="1" applyFill="1" applyBorder="1" applyAlignment="1" applyProtection="1">
      <alignment vertical="center"/>
      <protection locked="0"/>
    </xf>
    <xf numFmtId="3" fontId="12" fillId="0" borderId="58" xfId="11" applyNumberFormat="1" applyFont="1" applyFill="1" applyBorder="1" applyAlignment="1" applyProtection="1">
      <alignment vertical="center"/>
      <protection locked="0"/>
    </xf>
    <xf numFmtId="3" fontId="12" fillId="0" borderId="45" xfId="11" applyNumberFormat="1" applyFont="1" applyFill="1" applyBorder="1" applyAlignment="1" applyProtection="1">
      <alignment horizontal="left" wrapText="1" indent="1"/>
      <protection locked="0"/>
    </xf>
    <xf numFmtId="3" fontId="12" fillId="0" borderId="7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5" xfId="11" applyNumberFormat="1" applyFont="1" applyFill="1" applyBorder="1" applyAlignment="1" applyProtection="1">
      <protection locked="0"/>
    </xf>
    <xf numFmtId="3" fontId="12" fillId="0" borderId="53" xfId="11" applyNumberFormat="1" applyFont="1" applyFill="1" applyBorder="1" applyAlignment="1"/>
    <xf numFmtId="3" fontId="12" fillId="0" borderId="37" xfId="11" applyNumberFormat="1" applyFont="1" applyFill="1" applyBorder="1" applyAlignment="1"/>
    <xf numFmtId="3" fontId="11" fillId="0" borderId="3" xfId="11" applyNumberFormat="1" applyFont="1" applyFill="1" applyBorder="1" applyAlignment="1"/>
    <xf numFmtId="3" fontId="11" fillId="0" borderId="60" xfId="11" applyNumberFormat="1" applyFont="1" applyFill="1" applyBorder="1" applyAlignment="1"/>
    <xf numFmtId="3" fontId="11" fillId="0" borderId="2" xfId="11" applyNumberFormat="1" applyFont="1" applyFill="1" applyBorder="1" applyAlignment="1"/>
    <xf numFmtId="3" fontId="11" fillId="0" borderId="56" xfId="11" applyNumberFormat="1" applyFont="1" applyFill="1" applyBorder="1" applyAlignment="1"/>
    <xf numFmtId="3" fontId="11" fillId="0" borderId="33" xfId="11" applyNumberFormat="1" applyFont="1" applyFill="1" applyBorder="1" applyAlignment="1"/>
    <xf numFmtId="3" fontId="10" fillId="0" borderId="29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18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3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8" xfId="11" applyNumberFormat="1" applyFont="1" applyBorder="1" applyAlignment="1">
      <alignment wrapText="1"/>
    </xf>
    <xf numFmtId="3" fontId="11" fillId="0" borderId="69" xfId="11" applyNumberFormat="1" applyFont="1" applyBorder="1" applyAlignment="1">
      <alignment wrapText="1"/>
    </xf>
    <xf numFmtId="0" fontId="12" fillId="0" borderId="70" xfId="1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3" fontId="11" fillId="0" borderId="72" xfId="11" applyNumberFormat="1" applyFont="1" applyBorder="1" applyAlignment="1">
      <alignment wrapText="1"/>
    </xf>
    <xf numFmtId="0" fontId="12" fillId="0" borderId="73" xfId="11" applyFont="1" applyFill="1" applyBorder="1" applyAlignment="1">
      <alignment wrapText="1"/>
    </xf>
    <xf numFmtId="3" fontId="12" fillId="0" borderId="74" xfId="11" applyNumberFormat="1" applyFont="1" applyBorder="1" applyAlignment="1">
      <alignment wrapText="1"/>
    </xf>
    <xf numFmtId="3" fontId="11" fillId="0" borderId="75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2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3" xfId="11" applyNumberFormat="1" applyFont="1" applyBorder="1" applyAlignment="1">
      <alignment wrapText="1"/>
    </xf>
    <xf numFmtId="0" fontId="12" fillId="0" borderId="73" xfId="11" applyFont="1" applyBorder="1" applyAlignment="1">
      <alignment wrapText="1"/>
    </xf>
    <xf numFmtId="0" fontId="11" fillId="0" borderId="76" xfId="1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3" fontId="11" fillId="0" borderId="38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60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60" xfId="31" applyFont="1" applyFill="1" applyBorder="1" applyAlignment="1" applyProtection="1">
      <alignment horizontal="center" vertical="center"/>
    </xf>
    <xf numFmtId="0" fontId="12" fillId="0" borderId="56" xfId="31" applyFont="1" applyFill="1" applyBorder="1" applyAlignment="1" applyProtection="1">
      <alignment horizontal="center" vertical="center"/>
    </xf>
    <xf numFmtId="0" fontId="12" fillId="0" borderId="53" xfId="31" applyFont="1" applyFill="1" applyBorder="1" applyAlignment="1" applyProtection="1">
      <alignment horizontal="left" indent="1"/>
      <protection locked="0"/>
    </xf>
    <xf numFmtId="0" fontId="12" fillId="0" borderId="58" xfId="31" applyFont="1" applyFill="1" applyBorder="1" applyAlignment="1" applyProtection="1">
      <alignment horizontal="left" indent="1"/>
      <protection locked="0"/>
    </xf>
    <xf numFmtId="0" fontId="11" fillId="0" borderId="56" xfId="31" applyFont="1" applyFill="1" applyBorder="1" applyAlignment="1" applyProtection="1">
      <alignment horizontal="left" vertical="center" wrapText="1"/>
    </xf>
    <xf numFmtId="0" fontId="12" fillId="0" borderId="78" xfId="11" applyFont="1" applyBorder="1" applyAlignment="1">
      <alignment horizontal="center" wrapText="1"/>
    </xf>
    <xf numFmtId="0" fontId="12" fillId="0" borderId="79" xfId="11" applyFont="1" applyBorder="1" applyAlignment="1">
      <alignment horizontal="center" wrapText="1"/>
    </xf>
    <xf numFmtId="0" fontId="12" fillId="0" borderId="80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1" xfId="11" applyFont="1" applyBorder="1" applyAlignment="1">
      <alignment horizontal="center" wrapText="1"/>
    </xf>
    <xf numFmtId="3" fontId="12" fillId="0" borderId="82" xfId="11" applyNumberFormat="1" applyFont="1" applyBorder="1" applyAlignment="1">
      <alignment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4" xfId="11" applyNumberFormat="1" applyFont="1" applyFill="1" applyBorder="1" applyAlignment="1" applyProtection="1">
      <alignment vertical="center" wrapText="1"/>
      <protection locked="0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12" fillId="0" borderId="51" xfId="11" applyNumberFormat="1" applyFont="1" applyFill="1" applyBorder="1" applyAlignment="1" applyProtection="1">
      <alignment vertical="center" wrapTex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1" fontId="12" fillId="0" borderId="5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2" xfId="11" applyNumberFormat="1" applyFont="1" applyFill="1" applyBorder="1" applyAlignment="1" applyProtection="1">
      <alignment vertical="center" wrapText="1"/>
    </xf>
    <xf numFmtId="3" fontId="11" fillId="0" borderId="60" xfId="11" applyNumberFormat="1" applyFont="1" applyFill="1" applyBorder="1" applyAlignment="1" applyProtection="1">
      <alignment vertical="center" wrapText="1"/>
    </xf>
    <xf numFmtId="3" fontId="11" fillId="0" borderId="2" xfId="11" applyNumberFormat="1" applyFont="1" applyFill="1" applyBorder="1" applyAlignment="1" applyProtection="1">
      <alignment horizontal="center" vertical="center" wrapText="1"/>
    </xf>
    <xf numFmtId="3" fontId="11" fillId="0" borderId="42" xfId="11" applyNumberFormat="1" applyFont="1" applyFill="1" applyBorder="1" applyAlignment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83" xfId="11" applyNumberFormat="1" applyFont="1" applyFill="1" applyBorder="1" applyAlignment="1">
      <alignment horizontal="center" vertical="center" wrapText="1"/>
    </xf>
    <xf numFmtId="3" fontId="11" fillId="0" borderId="84" xfId="11" applyNumberFormat="1" applyFont="1" applyFill="1" applyBorder="1" applyAlignment="1">
      <alignment horizontal="center" vertical="center" wrapText="1"/>
    </xf>
    <xf numFmtId="3" fontId="11" fillId="0" borderId="56" xfId="11" applyNumberFormat="1" applyFont="1" applyFill="1" applyBorder="1" applyAlignment="1">
      <alignment horizontal="center" vertical="center" wrapText="1"/>
    </xf>
    <xf numFmtId="3" fontId="11" fillId="0" borderId="60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left" vertical="center" wrapText="1" indent="1"/>
    </xf>
    <xf numFmtId="3" fontId="11" fillId="0" borderId="3" xfId="11" applyNumberFormat="1" applyFont="1" applyFill="1" applyBorder="1" applyAlignment="1" applyProtection="1">
      <alignment vertical="center" wrapText="1"/>
    </xf>
    <xf numFmtId="3" fontId="11" fillId="0" borderId="56" xfId="11" applyNumberFormat="1" applyFont="1" applyFill="1" applyBorder="1" applyAlignment="1" applyProtection="1">
      <alignment vertical="center" wrapText="1"/>
    </xf>
    <xf numFmtId="3" fontId="11" fillId="0" borderId="60" xfId="11" applyNumberFormat="1" applyFont="1" applyFill="1" applyBorder="1" applyAlignment="1">
      <alignment horizontal="center" vertical="center"/>
    </xf>
    <xf numFmtId="3" fontId="11" fillId="0" borderId="43" xfId="11" applyNumberFormat="1" applyFont="1" applyFill="1" applyBorder="1" applyAlignment="1" applyProtection="1">
      <alignment vertical="center" wrapText="1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16" xfId="11" applyNumberFormat="1" applyFont="1" applyFill="1" applyBorder="1" applyAlignment="1">
      <alignment horizontal="center" vertical="center" wrapText="1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2" fillId="0" borderId="45" xfId="11" applyNumberFormat="1" applyFont="1" applyFill="1" applyBorder="1" applyAlignment="1" applyProtection="1">
      <alignment vertical="center" wrapText="1"/>
      <protection locked="0"/>
    </xf>
    <xf numFmtId="3" fontId="12" fillId="0" borderId="53" xfId="11" applyNumberFormat="1" applyFont="1" applyFill="1" applyBorder="1" applyAlignment="1" applyProtection="1">
      <alignment vertical="center" wrapText="1"/>
      <protection locked="0"/>
    </xf>
    <xf numFmtId="3" fontId="12" fillId="0" borderId="5" xfId="11" applyNumberFormat="1" applyFont="1" applyFill="1" applyBorder="1" applyAlignment="1" applyProtection="1">
      <alignment vertical="center" wrapText="1"/>
      <protection locked="0"/>
    </xf>
    <xf numFmtId="3" fontId="12" fillId="0" borderId="7" xfId="11" applyNumberFormat="1" applyFont="1" applyFill="1" applyBorder="1" applyAlignment="1" applyProtection="1">
      <alignment vertical="center" wrapText="1"/>
      <protection locked="0"/>
    </xf>
    <xf numFmtId="3" fontId="11" fillId="0" borderId="37" xfId="11" applyNumberFormat="1" applyFont="1" applyFill="1" applyBorder="1" applyAlignment="1">
      <alignment vertical="center" wrapText="1"/>
    </xf>
    <xf numFmtId="3" fontId="11" fillId="0" borderId="33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40" xfId="11" applyNumberFormat="1" applyFont="1" applyFill="1" applyBorder="1" applyAlignment="1">
      <alignment vertical="center" wrapText="1"/>
    </xf>
    <xf numFmtId="3" fontId="11" fillId="0" borderId="25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3" xfId="11" applyNumberFormat="1" applyFont="1" applyFill="1" applyBorder="1" applyAlignment="1" applyProtection="1">
      <alignment horizontal="center" vertical="center" wrapText="1"/>
    </xf>
    <xf numFmtId="3" fontId="11" fillId="0" borderId="33" xfId="11" applyNumberFormat="1" applyFont="1" applyFill="1" applyBorder="1" applyAlignment="1" applyProtection="1">
      <alignment vertical="center" wrapText="1"/>
      <protection locked="0"/>
    </xf>
    <xf numFmtId="3" fontId="11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56" xfId="11" applyNumberFormat="1" applyFont="1" applyFill="1" applyBorder="1" applyAlignment="1" applyProtection="1">
      <alignment vertical="center" wrapText="1"/>
      <protection locked="0"/>
    </xf>
    <xf numFmtId="3" fontId="11" fillId="0" borderId="60" xfId="11" applyNumberFormat="1" applyFont="1" applyFill="1" applyBorder="1" applyAlignment="1" applyProtection="1">
      <alignment vertical="center" wrapText="1"/>
      <protection locked="0"/>
    </xf>
    <xf numFmtId="3" fontId="11" fillId="0" borderId="2" xfId="11" applyNumberFormat="1" applyFont="1" applyFill="1" applyBorder="1" applyAlignment="1" applyProtection="1">
      <alignment vertical="center" wrapText="1"/>
      <protection locked="0"/>
    </xf>
    <xf numFmtId="3" fontId="11" fillId="0" borderId="3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0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4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3" fontId="12" fillId="0" borderId="23" xfId="11" applyNumberFormat="1" applyFont="1" applyFill="1" applyBorder="1" applyAlignment="1" applyProtection="1">
      <alignment vertical="center" wrapText="1"/>
      <protection locked="0"/>
    </xf>
    <xf numFmtId="165" fontId="11" fillId="0" borderId="25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2" xfId="11" applyNumberFormat="1" applyFont="1" applyFill="1" applyBorder="1" applyAlignment="1">
      <alignment horizontal="center" vertical="center" wrapText="1"/>
    </xf>
    <xf numFmtId="3" fontId="12" fillId="0" borderId="28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3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32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12" xfId="11" applyNumberFormat="1" applyFont="1" applyFill="1" applyBorder="1" applyAlignment="1" applyProtection="1">
      <alignment vertical="center" wrapText="1"/>
      <protection locked="0"/>
    </xf>
    <xf numFmtId="3" fontId="12" fillId="0" borderId="13" xfId="11" applyNumberFormat="1" applyFont="1" applyFill="1" applyBorder="1" applyAlignment="1" applyProtection="1">
      <alignment vertical="center" wrapText="1"/>
      <protection locked="0"/>
    </xf>
    <xf numFmtId="3" fontId="11" fillId="0" borderId="86" xfId="11" applyNumberFormat="1" applyFont="1" applyFill="1" applyBorder="1" applyAlignment="1">
      <alignment vertical="center" wrapText="1"/>
    </xf>
    <xf numFmtId="3" fontId="11" fillId="3" borderId="56" xfId="11" applyNumberFormat="1" applyFont="1" applyFill="1" applyBorder="1" applyAlignment="1" applyProtection="1">
      <alignment horizontal="center" vertical="center" wrapText="1"/>
    </xf>
    <xf numFmtId="3" fontId="11" fillId="0" borderId="33" xfId="11" applyNumberFormat="1" applyFont="1" applyFill="1" applyBorder="1" applyAlignment="1">
      <alignment vertical="center" wrapText="1"/>
    </xf>
    <xf numFmtId="3" fontId="21" fillId="0" borderId="10" xfId="11" applyNumberFormat="1" applyFont="1" applyFill="1" applyBorder="1" applyAlignment="1" applyProtection="1">
      <alignment vertical="center" wrapText="1"/>
      <protection locked="0"/>
    </xf>
    <xf numFmtId="3" fontId="12" fillId="0" borderId="10" xfId="11" applyNumberFormat="1" applyFont="1" applyFill="1" applyBorder="1" applyAlignment="1" applyProtection="1">
      <alignment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1" fillId="0" borderId="3" xfId="11" applyNumberFormat="1" applyFont="1" applyFill="1" applyBorder="1" applyAlignment="1">
      <alignment vertical="center" wrapText="1"/>
    </xf>
    <xf numFmtId="49" fontId="11" fillId="0" borderId="60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1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1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3" xfId="11" applyNumberFormat="1" applyFont="1" applyFill="1" applyBorder="1" applyAlignment="1">
      <alignment horizontal="center" vertical="center" wrapText="1"/>
    </xf>
    <xf numFmtId="3" fontId="11" fillId="0" borderId="2" xfId="11" applyNumberFormat="1" applyFont="1" applyFill="1" applyBorder="1" applyAlignment="1">
      <alignment horizontal="center" vertical="center" wrapText="1"/>
    </xf>
    <xf numFmtId="3" fontId="11" fillId="0" borderId="2" xfId="11" applyNumberFormat="1" applyFont="1" applyFill="1" applyBorder="1" applyAlignment="1">
      <alignment vertical="center" wrapText="1"/>
    </xf>
    <xf numFmtId="3" fontId="11" fillId="0" borderId="37" xfId="33" applyNumberFormat="1" applyFont="1" applyFill="1" applyBorder="1" applyAlignment="1" applyProtection="1">
      <alignment vertical="center"/>
    </xf>
    <xf numFmtId="3" fontId="12" fillId="0" borderId="7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40" xfId="33" applyNumberFormat="1" applyFont="1" applyFill="1" applyBorder="1" applyAlignment="1" applyProtection="1">
      <alignment vertical="center"/>
    </xf>
    <xf numFmtId="3" fontId="12" fillId="0" borderId="23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4" xfId="33" applyNumberFormat="1" applyFont="1" applyFill="1" applyBorder="1" applyAlignment="1" applyProtection="1">
      <alignment horizontal="left" vertical="center" indent="1"/>
    </xf>
    <xf numFmtId="3" fontId="11" fillId="0" borderId="47" xfId="33" applyNumberFormat="1" applyFont="1" applyFill="1" applyBorder="1" applyAlignment="1" applyProtection="1">
      <alignment horizontal="center" vertical="center"/>
    </xf>
    <xf numFmtId="3" fontId="11" fillId="0" borderId="60" xfId="33" applyNumberFormat="1" applyFont="1" applyFill="1" applyBorder="1" applyAlignment="1" applyProtection="1">
      <alignment horizontal="center" vertical="center" wrapText="1"/>
    </xf>
    <xf numFmtId="3" fontId="11" fillId="0" borderId="3" xfId="33" applyNumberFormat="1" applyFont="1" applyFill="1" applyBorder="1" applyAlignment="1" applyProtection="1">
      <alignment horizontal="center" vertical="center"/>
    </xf>
    <xf numFmtId="3" fontId="11" fillId="0" borderId="33" xfId="33" applyNumberFormat="1" applyFont="1" applyFill="1" applyBorder="1" applyAlignment="1" applyProtection="1">
      <alignment horizontal="center" vertical="center"/>
    </xf>
    <xf numFmtId="3" fontId="11" fillId="0" borderId="3" xfId="33" applyNumberFormat="1" applyFont="1" applyFill="1" applyBorder="1" applyAlignment="1" applyProtection="1">
      <alignment vertical="center"/>
    </xf>
    <xf numFmtId="3" fontId="11" fillId="0" borderId="3" xfId="33" applyNumberFormat="1" applyFont="1" applyFill="1" applyBorder="1" applyAlignment="1" applyProtection="1">
      <alignment horizontal="left" indent="1"/>
      <protection locked="0"/>
    </xf>
    <xf numFmtId="3" fontId="11" fillId="0" borderId="48" xfId="11" applyNumberFormat="1" applyFont="1" applyFill="1" applyBorder="1" applyAlignment="1">
      <alignment horizontal="center" vertical="center"/>
    </xf>
    <xf numFmtId="3" fontId="11" fillId="0" borderId="83" xfId="11" applyNumberFormat="1" applyFont="1" applyFill="1" applyBorder="1" applyAlignment="1">
      <alignment horizontal="center" vertical="center"/>
    </xf>
    <xf numFmtId="3" fontId="11" fillId="0" borderId="48" xfId="33" applyNumberFormat="1" applyFont="1" applyFill="1" applyBorder="1" applyAlignment="1" applyProtection="1">
      <alignment horizontal="center" vertical="center"/>
    </xf>
    <xf numFmtId="3" fontId="11" fillId="0" borderId="60" xfId="33" applyNumberFormat="1" applyFont="1" applyFill="1" applyBorder="1" applyAlignment="1" applyProtection="1">
      <alignment horizontal="left" vertical="center" indent="1"/>
    </xf>
    <xf numFmtId="3" fontId="11" fillId="0" borderId="56" xfId="33" applyNumberFormat="1" applyFont="1" applyFill="1" applyBorder="1" applyAlignment="1" applyProtection="1">
      <alignment vertical="center"/>
    </xf>
    <xf numFmtId="3" fontId="11" fillId="0" borderId="60" xfId="33" applyNumberFormat="1" applyFont="1" applyFill="1" applyBorder="1" applyAlignment="1" applyProtection="1">
      <alignment vertical="center"/>
    </xf>
    <xf numFmtId="3" fontId="11" fillId="0" borderId="2" xfId="33" applyNumberFormat="1" applyFont="1" applyFill="1" applyBorder="1" applyAlignment="1" applyProtection="1">
      <alignment vertical="center"/>
    </xf>
    <xf numFmtId="3" fontId="11" fillId="0" borderId="41" xfId="33" applyNumberFormat="1" applyFont="1" applyFill="1" applyBorder="1" applyAlignment="1" applyProtection="1">
      <alignment vertical="center"/>
    </xf>
    <xf numFmtId="3" fontId="11" fillId="0" borderId="84" xfId="33" applyNumberFormat="1" applyFont="1" applyFill="1" applyBorder="1" applyAlignment="1" applyProtection="1">
      <alignment horizontal="left" vertical="center" indent="1"/>
    </xf>
    <xf numFmtId="3" fontId="11" fillId="0" borderId="33" xfId="33" applyNumberFormat="1" applyFont="1" applyFill="1" applyBorder="1" applyAlignment="1" applyProtection="1">
      <alignment vertical="center"/>
    </xf>
    <xf numFmtId="3" fontId="11" fillId="0" borderId="87" xfId="33" applyNumberFormat="1" applyFont="1" applyFill="1" applyBorder="1" applyAlignment="1" applyProtection="1">
      <alignment horizontal="left" vertical="center" indent="1"/>
    </xf>
    <xf numFmtId="3" fontId="11" fillId="0" borderId="56" xfId="33" applyNumberFormat="1" applyFont="1" applyFill="1" applyBorder="1" applyAlignment="1" applyProtection="1"/>
    <xf numFmtId="3" fontId="11" fillId="0" borderId="2" xfId="33" applyNumberFormat="1" applyFont="1" applyFill="1" applyBorder="1" applyAlignment="1" applyProtection="1"/>
    <xf numFmtId="3" fontId="11" fillId="0" borderId="33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13" xfId="33" applyNumberFormat="1" applyFont="1" applyFill="1" applyBorder="1" applyAlignment="1" applyProtection="1">
      <alignment vertical="center"/>
      <protection locked="0"/>
    </xf>
    <xf numFmtId="3" fontId="11" fillId="0" borderId="84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7" fillId="0" borderId="49" xfId="0" applyNumberFormat="1" applyFont="1" applyBorder="1"/>
    <xf numFmtId="3" fontId="16" fillId="0" borderId="49" xfId="0" applyNumberFormat="1" applyFont="1" applyBorder="1"/>
    <xf numFmtId="3" fontId="15" fillId="0" borderId="88" xfId="0" applyNumberFormat="1" applyFont="1" applyBorder="1"/>
    <xf numFmtId="3" fontId="17" fillId="2" borderId="45" xfId="0" applyNumberFormat="1" applyFont="1" applyFill="1" applyBorder="1"/>
    <xf numFmtId="3" fontId="17" fillId="0" borderId="45" xfId="0" applyNumberFormat="1" applyFont="1" applyBorder="1"/>
    <xf numFmtId="3" fontId="17" fillId="0" borderId="57" xfId="0" applyNumberFormat="1" applyFont="1" applyBorder="1"/>
    <xf numFmtId="3" fontId="16" fillId="0" borderId="45" xfId="0" applyNumberFormat="1" applyFont="1" applyBorder="1"/>
    <xf numFmtId="3" fontId="16" fillId="0" borderId="57" xfId="0" applyNumberFormat="1" applyFont="1" applyBorder="1"/>
    <xf numFmtId="3" fontId="16" fillId="0" borderId="51" xfId="0" applyNumberFormat="1" applyFont="1" applyBorder="1"/>
    <xf numFmtId="3" fontId="15" fillId="0" borderId="43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3" fontId="15" fillId="0" borderId="89" xfId="0" applyNumberFormat="1" applyFont="1" applyBorder="1"/>
    <xf numFmtId="0" fontId="12" fillId="0" borderId="53" xfId="11" applyFont="1" applyFill="1" applyBorder="1" applyAlignment="1" applyProtection="1">
      <alignment horizontal="left" vertical="center" wrapText="1" indent="1"/>
      <protection locked="0"/>
    </xf>
    <xf numFmtId="0" fontId="12" fillId="0" borderId="52" xfId="11" applyFont="1" applyFill="1" applyBorder="1" applyAlignment="1" applyProtection="1">
      <alignment horizontal="left" vertical="center" wrapText="1" inden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6" xfId="11" applyFont="1" applyFill="1" applyBorder="1" applyAlignment="1" applyProtection="1">
      <alignment horizontal="left" vertical="center" wrapText="1"/>
      <protection locked="0"/>
    </xf>
    <xf numFmtId="0" fontId="12" fillId="0" borderId="58" xfId="11" applyFont="1" applyFill="1" applyBorder="1" applyAlignment="1">
      <alignment horizontal="left" vertical="center" wrapText="1" indent="1"/>
    </xf>
    <xf numFmtId="0" fontId="11" fillId="0" borderId="50" xfId="11" applyFont="1" applyFill="1" applyBorder="1" applyAlignment="1">
      <alignment horizontal="center" vertical="center" wrapText="1"/>
    </xf>
    <xf numFmtId="0" fontId="11" fillId="0" borderId="55" xfId="11" applyFont="1" applyFill="1" applyBorder="1" applyAlignment="1" applyProtection="1">
      <alignment horizontal="lef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59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60" xfId="11" applyFont="1" applyFill="1" applyBorder="1" applyAlignment="1">
      <alignment horizontal="center" vertical="center"/>
    </xf>
    <xf numFmtId="0" fontId="12" fillId="0" borderId="90" xfId="11" applyFont="1" applyFill="1" applyBorder="1" applyAlignment="1">
      <alignment horizontal="center" vertical="center"/>
    </xf>
    <xf numFmtId="0" fontId="21" fillId="0" borderId="58" xfId="11" applyFont="1" applyFill="1" applyBorder="1" applyAlignment="1">
      <alignment horizontal="left" vertical="center" wrapText="1" indent="3"/>
    </xf>
    <xf numFmtId="0" fontId="12" fillId="0" borderId="58" xfId="11" applyFont="1" applyFill="1" applyBorder="1" applyAlignment="1">
      <alignment horizontal="left" vertical="center" wrapText="1" indent="2"/>
    </xf>
    <xf numFmtId="0" fontId="12" fillId="0" borderId="53" xfId="11" applyFont="1" applyFill="1" applyBorder="1" applyAlignment="1" applyProtection="1">
      <alignment horizontal="left" vertical="center" wrapText="1" indent="2"/>
      <protection locked="0"/>
    </xf>
    <xf numFmtId="0" fontId="21" fillId="0" borderId="53" xfId="11" applyFont="1" applyFill="1" applyBorder="1" applyAlignment="1" applyProtection="1">
      <alignment horizontal="left" vertical="center" wrapText="1" indent="3"/>
      <protection locked="0"/>
    </xf>
    <xf numFmtId="0" fontId="12" fillId="0" borderId="52" xfId="11" applyFont="1" applyFill="1" applyBorder="1" applyAlignment="1" applyProtection="1">
      <alignment horizontal="left" vertical="center" wrapText="1" indent="2"/>
      <protection locked="0"/>
    </xf>
    <xf numFmtId="0" fontId="11" fillId="0" borderId="60" xfId="11" applyFont="1" applyFill="1" applyBorder="1" applyAlignment="1">
      <alignment horizontal="center" vertical="center" wrapText="1"/>
    </xf>
    <xf numFmtId="49" fontId="12" fillId="0" borderId="90" xfId="11" applyNumberFormat="1" applyFont="1" applyFill="1" applyBorder="1" applyAlignment="1">
      <alignment horizontal="center" vertical="center" wrapText="1"/>
    </xf>
    <xf numFmtId="0" fontId="12" fillId="0" borderId="55" xfId="11" applyFont="1" applyFill="1" applyBorder="1" applyAlignment="1">
      <alignment horizontal="left" vertical="center" wrapText="1" indent="1"/>
    </xf>
    <xf numFmtId="0" fontId="12" fillId="0" borderId="0" xfId="0" applyFont="1" applyFill="1"/>
    <xf numFmtId="3" fontId="12" fillId="0" borderId="27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55" xfId="11" applyNumberFormat="1" applyFont="1" applyFill="1" applyBorder="1" applyAlignment="1" applyProtection="1">
      <alignment horizontal="center" vertical="center" wrapText="1"/>
    </xf>
    <xf numFmtId="165" fontId="11" fillId="0" borderId="85" xfId="11" applyNumberFormat="1" applyFont="1" applyFill="1" applyBorder="1" applyAlignment="1" applyProtection="1">
      <alignment horizontal="center" vertical="center" wrapText="1"/>
    </xf>
    <xf numFmtId="165" fontId="11" fillId="0" borderId="56" xfId="11" applyNumberFormat="1" applyFont="1" applyFill="1" applyBorder="1" applyAlignment="1">
      <alignment horizontal="center" vertical="center" wrapText="1"/>
    </xf>
    <xf numFmtId="3" fontId="11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52" xfId="11" applyNumberFormat="1" applyFont="1" applyFill="1" applyBorder="1" applyAlignment="1" applyProtection="1">
      <alignment vertical="center" wrapText="1"/>
      <protection locked="0"/>
    </xf>
    <xf numFmtId="3" fontId="12" fillId="0" borderId="9" xfId="11" applyNumberFormat="1" applyFont="1" applyFill="1" applyBorder="1" applyAlignment="1" applyProtection="1">
      <alignment vertical="center" wrapText="1"/>
      <protection locked="0"/>
    </xf>
    <xf numFmtId="3" fontId="10" fillId="0" borderId="85" xfId="11" applyNumberFormat="1" applyFont="1" applyFill="1" applyBorder="1" applyAlignment="1" applyProtection="1">
      <alignment vertical="center" wrapText="1"/>
      <protection locked="0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3" fontId="11" fillId="0" borderId="85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165" fontId="12" fillId="0" borderId="25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" xfId="11" applyNumberFormat="1" applyFont="1" applyFill="1" applyBorder="1" applyAlignment="1">
      <alignment horizontal="center" vertical="center" wrapText="1"/>
    </xf>
    <xf numFmtId="165" fontId="11" fillId="0" borderId="14" xfId="11" applyNumberFormat="1" applyFont="1" applyFill="1" applyBorder="1" applyAlignment="1" applyProtection="1">
      <alignment horizontal="center" vertical="center" wrapText="1"/>
    </xf>
    <xf numFmtId="165" fontId="11" fillId="0" borderId="42" xfId="11" applyNumberFormat="1" applyFont="1" applyFill="1" applyBorder="1" applyAlignment="1" applyProtection="1">
      <alignment horizontal="center" vertical="center" wrapText="1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0" fillId="0" borderId="38" xfId="11" applyNumberFormat="1" applyFont="1" applyFill="1" applyBorder="1" applyAlignment="1" applyProtection="1">
      <alignment vertical="center" wrapText="1"/>
      <protection locked="0"/>
    </xf>
    <xf numFmtId="3" fontId="11" fillId="0" borderId="38" xfId="11" applyNumberFormat="1" applyFont="1" applyFill="1" applyBorder="1" applyAlignment="1" applyProtection="1">
      <alignment vertical="center" wrapText="1"/>
    </xf>
    <xf numFmtId="3" fontId="11" fillId="0" borderId="35" xfId="11" applyNumberFormat="1" applyFont="1" applyFill="1" applyBorder="1" applyAlignment="1" applyProtection="1">
      <alignment vertical="center" wrapText="1"/>
    </xf>
    <xf numFmtId="165" fontId="11" fillId="0" borderId="50" xfId="11" applyNumberFormat="1" applyFont="1" applyFill="1" applyBorder="1" applyAlignment="1" applyProtection="1">
      <alignment horizontal="center"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1" fillId="0" borderId="31" xfId="11" applyNumberFormat="1" applyFont="1" applyFill="1" applyBorder="1" applyAlignment="1" applyProtection="1">
      <alignment horizontal="center" vertical="center" wrapText="1"/>
    </xf>
    <xf numFmtId="165" fontId="11" fillId="0" borderId="35" xfId="11" applyNumberFormat="1" applyFont="1" applyFill="1" applyBorder="1" applyAlignment="1">
      <alignment vertical="center" wrapText="1"/>
    </xf>
    <xf numFmtId="0" fontId="12" fillId="0" borderId="10" xfId="11" applyFont="1" applyFill="1" applyBorder="1" applyAlignment="1" applyProtection="1">
      <alignment horizontal="left" vertical="center" indent="1"/>
      <protection locked="0"/>
    </xf>
    <xf numFmtId="3" fontId="11" fillId="0" borderId="3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7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0" fontId="11" fillId="0" borderId="0" xfId="11" applyFont="1" applyFill="1" applyAlignment="1">
      <alignment horizont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90" xfId="11" applyNumberFormat="1" applyFont="1" applyFill="1" applyBorder="1" applyAlignment="1">
      <alignment vertical="center" wrapText="1"/>
    </xf>
    <xf numFmtId="0" fontId="12" fillId="0" borderId="0" xfId="11" applyFont="1" applyFill="1" applyAlignment="1">
      <alignment vertical="center" wrapText="1"/>
    </xf>
    <xf numFmtId="0" fontId="11" fillId="0" borderId="3" xfId="11" applyFont="1" applyFill="1" applyBorder="1" applyAlignment="1">
      <alignment horizontal="justify"/>
    </xf>
    <xf numFmtId="3" fontId="11" fillId="0" borderId="60" xfId="11" applyNumberFormat="1" applyFont="1" applyFill="1" applyBorder="1" applyAlignment="1">
      <alignment vertical="center" wrapText="1"/>
    </xf>
    <xf numFmtId="49" fontId="11" fillId="2" borderId="60" xfId="11" applyNumberFormat="1" applyFont="1" applyFill="1" applyBorder="1" applyAlignment="1">
      <alignment horizontal="center" vertical="center" wrapText="1"/>
    </xf>
    <xf numFmtId="3" fontId="11" fillId="2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3" xfId="11" applyFont="1" applyFill="1" applyBorder="1" applyAlignment="1">
      <alignment horizontal="justify"/>
    </xf>
    <xf numFmtId="3" fontId="11" fillId="0" borderId="84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7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1" xfId="11" applyNumberFormat="1" applyFont="1" applyFill="1" applyBorder="1" applyAlignment="1">
      <alignment horizontal="center" vertical="center" wrapText="1"/>
    </xf>
    <xf numFmtId="0" fontId="11" fillId="0" borderId="16" xfId="11" applyFont="1" applyFill="1" applyBorder="1" applyAlignment="1">
      <alignment horizontal="justify"/>
    </xf>
    <xf numFmtId="3" fontId="11" fillId="0" borderId="91" xfId="11" applyNumberFormat="1" applyFont="1" applyFill="1" applyBorder="1" applyAlignment="1">
      <alignment vertical="center" wrapText="1"/>
    </xf>
    <xf numFmtId="3" fontId="11" fillId="0" borderId="15" xfId="11" applyNumberFormat="1" applyFont="1" applyFill="1" applyBorder="1" applyAlignment="1">
      <alignment vertical="center" wrapText="1"/>
    </xf>
    <xf numFmtId="0" fontId="11" fillId="2" borderId="3" xfId="11" applyFont="1" applyFill="1" applyBorder="1" applyAlignment="1">
      <alignment horizontal="justify"/>
    </xf>
    <xf numFmtId="3" fontId="11" fillId="2" borderId="60" xfId="11" applyNumberFormat="1" applyFont="1" applyFill="1" applyBorder="1" applyAlignment="1">
      <alignment vertical="center" wrapText="1"/>
    </xf>
    <xf numFmtId="3" fontId="11" fillId="2" borderId="2" xfId="11" applyNumberFormat="1" applyFont="1" applyFill="1" applyBorder="1" applyAlignment="1">
      <alignment vertical="center" wrapText="1"/>
    </xf>
    <xf numFmtId="0" fontId="12" fillId="0" borderId="19" xfId="11" applyFont="1" applyFill="1" applyBorder="1" applyAlignment="1">
      <alignment horizontal="justify"/>
    </xf>
    <xf numFmtId="3" fontId="11" fillId="2" borderId="60" xfId="11" applyNumberFormat="1" applyFont="1" applyFill="1" applyBorder="1" applyAlignment="1">
      <alignment horizontal="right" vertical="center" wrapText="1"/>
    </xf>
    <xf numFmtId="3" fontId="11" fillId="2" borderId="2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5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0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2" xfId="11" applyNumberFormat="1" applyFont="1" applyFill="1" applyBorder="1" applyAlignment="1">
      <alignment horizontal="left" vertical="center" wrapText="1"/>
    </xf>
    <xf numFmtId="49" fontId="12" fillId="0" borderId="93" xfId="11" applyNumberFormat="1" applyFont="1" applyFill="1" applyBorder="1" applyAlignment="1">
      <alignment horizontal="left" vertical="center" wrapText="1"/>
    </xf>
    <xf numFmtId="49" fontId="11" fillId="0" borderId="41" xfId="11" applyNumberFormat="1" applyFont="1" applyFill="1" applyBorder="1" applyAlignment="1">
      <alignment horizontal="left" vertical="center" wrapText="1"/>
    </xf>
    <xf numFmtId="168" fontId="11" fillId="0" borderId="43" xfId="11" applyNumberFormat="1" applyFont="1" applyFill="1" applyBorder="1" applyAlignment="1">
      <alignment horizontal="center" vertical="center" wrapText="1"/>
    </xf>
    <xf numFmtId="168" fontId="11" fillId="2" borderId="43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5" xfId="11" applyNumberFormat="1" applyFont="1" applyFill="1" applyBorder="1" applyAlignment="1">
      <alignment horizontal="center" vertical="center" wrapText="1"/>
    </xf>
    <xf numFmtId="168" fontId="12" fillId="0" borderId="51" xfId="11" applyNumberFormat="1" applyFont="1" applyFill="1" applyBorder="1" applyAlignment="1">
      <alignment horizontal="center" vertical="center" wrapText="1"/>
    </xf>
    <xf numFmtId="168" fontId="12" fillId="0" borderId="54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3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9" xfId="11" applyNumberFormat="1" applyFont="1" applyBorder="1"/>
    <xf numFmtId="3" fontId="11" fillId="0" borderId="36" xfId="11" applyNumberFormat="1" applyFont="1" applyBorder="1"/>
    <xf numFmtId="3" fontId="12" fillId="0" borderId="95" xfId="11" applyNumberFormat="1" applyFont="1" applyBorder="1" applyAlignment="1">
      <alignment horizontal="left" indent="1"/>
    </xf>
    <xf numFmtId="3" fontId="12" fillId="0" borderId="10" xfId="11" applyNumberFormat="1" applyFont="1" applyBorder="1"/>
    <xf numFmtId="3" fontId="11" fillId="0" borderId="37" xfId="11" applyNumberFormat="1" applyFont="1" applyBorder="1"/>
    <xf numFmtId="3" fontId="12" fillId="0" borderId="86" xfId="11" applyNumberFormat="1" applyFont="1" applyBorder="1" applyAlignment="1">
      <alignment horizontal="left" indent="1"/>
    </xf>
    <xf numFmtId="3" fontId="12" fillId="0" borderId="11" xfId="11" applyNumberFormat="1" applyFont="1" applyBorder="1"/>
    <xf numFmtId="3" fontId="11" fillId="0" borderId="60" xfId="11" applyNumberFormat="1" applyFont="1" applyBorder="1" applyAlignment="1">
      <alignment horizontal="center"/>
    </xf>
    <xf numFmtId="3" fontId="11" fillId="0" borderId="41" xfId="11" applyNumberFormat="1" applyFont="1" applyBorder="1"/>
    <xf numFmtId="3" fontId="11" fillId="0" borderId="1" xfId="11" applyNumberFormat="1" applyFont="1" applyBorder="1"/>
    <xf numFmtId="3" fontId="11" fillId="0" borderId="2" xfId="11" applyNumberFormat="1" applyFont="1" applyBorder="1"/>
    <xf numFmtId="3" fontId="11" fillId="0" borderId="3" xfId="11" applyNumberFormat="1" applyFont="1" applyBorder="1"/>
    <xf numFmtId="3" fontId="11" fillId="0" borderId="33" xfId="11" applyNumberFormat="1" applyFont="1" applyBorder="1"/>
    <xf numFmtId="3" fontId="11" fillId="0" borderId="56" xfId="11" applyNumberFormat="1" applyFont="1" applyBorder="1"/>
    <xf numFmtId="3" fontId="12" fillId="0" borderId="92" xfId="11" applyNumberFormat="1" applyFont="1" applyBorder="1" applyAlignment="1">
      <alignment horizontal="left" indent="1"/>
    </xf>
    <xf numFmtId="3" fontId="12" fillId="0" borderId="17" xfId="11" applyNumberFormat="1" applyFont="1" applyBorder="1"/>
    <xf numFmtId="3" fontId="11" fillId="2" borderId="60" xfId="11" applyNumberFormat="1" applyFont="1" applyFill="1" applyBorder="1" applyAlignment="1">
      <alignment horizontal="center"/>
    </xf>
    <xf numFmtId="3" fontId="11" fillId="2" borderId="41" xfId="11" applyNumberFormat="1" applyFont="1" applyFill="1" applyBorder="1"/>
    <xf numFmtId="3" fontId="11" fillId="2" borderId="1" xfId="11" applyNumberFormat="1" applyFont="1" applyFill="1" applyBorder="1"/>
    <xf numFmtId="3" fontId="11" fillId="2" borderId="2" xfId="11" applyNumberFormat="1" applyFont="1" applyFill="1" applyBorder="1"/>
    <xf numFmtId="3" fontId="11" fillId="2" borderId="56" xfId="11" applyNumberFormat="1" applyFont="1" applyFill="1" applyBorder="1"/>
    <xf numFmtId="3" fontId="11" fillId="2" borderId="33" xfId="11" applyNumberFormat="1" applyFont="1" applyFill="1" applyBorder="1"/>
    <xf numFmtId="3" fontId="11" fillId="0" borderId="17" xfId="11" applyNumberFormat="1" applyFont="1" applyFill="1" applyBorder="1"/>
    <xf numFmtId="3" fontId="11" fillId="0" borderId="18" xfId="11" applyNumberFormat="1" applyFont="1" applyFill="1" applyBorder="1"/>
    <xf numFmtId="3" fontId="11" fillId="0" borderId="55" xfId="11" applyNumberFormat="1" applyFont="1" applyFill="1" applyBorder="1"/>
    <xf numFmtId="3" fontId="11" fillId="0" borderId="42" xfId="11" applyNumberFormat="1" applyFont="1" applyFill="1" applyBorder="1"/>
    <xf numFmtId="0" fontId="12" fillId="0" borderId="7" xfId="11" applyFont="1" applyFill="1" applyBorder="1" applyAlignment="1">
      <alignment horizontal="left" indent="1"/>
    </xf>
    <xf numFmtId="3" fontId="11" fillId="0" borderId="60" xfId="11" applyNumberFormat="1" applyFont="1" applyFill="1" applyBorder="1" applyAlignment="1">
      <alignment horizontal="center"/>
    </xf>
    <xf numFmtId="3" fontId="11" fillId="0" borderId="41" xfId="11" applyNumberFormat="1" applyFont="1" applyFill="1" applyBorder="1"/>
    <xf numFmtId="3" fontId="11" fillId="0" borderId="1" xfId="11" applyNumberFormat="1" applyFont="1" applyFill="1" applyBorder="1"/>
    <xf numFmtId="3" fontId="11" fillId="0" borderId="2" xfId="11" applyNumberFormat="1" applyFont="1" applyFill="1" applyBorder="1"/>
    <xf numFmtId="3" fontId="11" fillId="0" borderId="56" xfId="11" applyNumberFormat="1" applyFont="1" applyFill="1" applyBorder="1"/>
    <xf numFmtId="3" fontId="11" fillId="0" borderId="33" xfId="11" applyNumberFormat="1" applyFont="1" applyFill="1" applyBorder="1"/>
    <xf numFmtId="0" fontId="11" fillId="0" borderId="92" xfId="11" applyFont="1" applyFill="1" applyBorder="1" applyAlignment="1">
      <alignment horizontal="justify"/>
    </xf>
    <xf numFmtId="3" fontId="11" fillId="0" borderId="14" xfId="11" applyNumberFormat="1" applyFont="1" applyFill="1" applyBorder="1"/>
    <xf numFmtId="3" fontId="11" fillId="2" borderId="14" xfId="11" applyNumberFormat="1" applyFont="1" applyFill="1" applyBorder="1"/>
    <xf numFmtId="3" fontId="11" fillId="2" borderId="38" xfId="11" applyNumberFormat="1" applyFont="1" applyFill="1" applyBorder="1"/>
    <xf numFmtId="3" fontId="11" fillId="0" borderId="0" xfId="11" applyNumberFormat="1" applyFont="1" applyBorder="1"/>
    <xf numFmtId="3" fontId="11" fillId="2" borderId="86" xfId="11" applyNumberFormat="1" applyFont="1" applyFill="1" applyBorder="1" applyAlignment="1">
      <alignment horizontal="left"/>
    </xf>
    <xf numFmtId="3" fontId="11" fillId="2" borderId="11" xfId="11" applyNumberFormat="1" applyFont="1" applyFill="1" applyBorder="1"/>
    <xf numFmtId="3" fontId="11" fillId="2" borderId="32" xfId="11" applyNumberFormat="1" applyFont="1" applyFill="1" applyBorder="1"/>
    <xf numFmtId="3" fontId="11" fillId="0" borderId="36" xfId="1" applyNumberFormat="1" applyFont="1" applyBorder="1"/>
    <xf numFmtId="3" fontId="11" fillId="0" borderId="37" xfId="1" applyNumberFormat="1" applyFont="1" applyBorder="1"/>
    <xf numFmtId="3" fontId="11" fillId="0" borderId="32" xfId="1" applyNumberFormat="1" applyFont="1" applyBorder="1"/>
    <xf numFmtId="3" fontId="11" fillId="0" borderId="42" xfId="1" applyNumberFormat="1" applyFont="1" applyBorder="1"/>
    <xf numFmtId="3" fontId="11" fillId="2" borderId="32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3" xfId="0" applyNumberFormat="1" applyFont="1" applyBorder="1"/>
    <xf numFmtId="166" fontId="11" fillId="0" borderId="2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60" xfId="11" applyNumberFormat="1" applyFont="1" applyFill="1" applyBorder="1" applyAlignment="1">
      <alignment horizontal="center" vertical="center" wrapText="1"/>
    </xf>
    <xf numFmtId="3" fontId="29" fillId="0" borderId="2" xfId="11" applyNumberFormat="1" applyFont="1" applyFill="1" applyBorder="1" applyAlignment="1">
      <alignment horizontal="center" vertical="center" wrapText="1"/>
    </xf>
    <xf numFmtId="3" fontId="29" fillId="0" borderId="3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59" xfId="11" applyNumberFormat="1" applyFont="1" applyFill="1" applyBorder="1" applyAlignment="1">
      <alignment horizontal="center" vertical="center"/>
    </xf>
    <xf numFmtId="3" fontId="8" fillId="0" borderId="4" xfId="11" applyNumberFormat="1" applyFont="1" applyFill="1" applyBorder="1" applyAlignment="1">
      <alignment vertical="center" wrapText="1"/>
    </xf>
    <xf numFmtId="3" fontId="8" fillId="0" borderId="4" xfId="11" applyNumberFormat="1" applyFont="1" applyFill="1" applyBorder="1" applyAlignment="1" applyProtection="1">
      <alignment vertical="center"/>
      <protection locked="0"/>
    </xf>
    <xf numFmtId="3" fontId="31" fillId="0" borderId="6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5" xfId="11" applyNumberFormat="1" applyFont="1" applyFill="1" applyBorder="1" applyAlignment="1">
      <alignment vertical="center" wrapText="1"/>
    </xf>
    <xf numFmtId="3" fontId="8" fillId="0" borderId="5" xfId="11" applyNumberFormat="1" applyFont="1" applyFill="1" applyBorder="1" applyAlignment="1" applyProtection="1">
      <alignment vertical="center"/>
      <protection locked="0"/>
    </xf>
    <xf numFmtId="3" fontId="31" fillId="0" borderId="7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12" xfId="11" applyNumberFormat="1" applyFont="1" applyFill="1" applyBorder="1" applyAlignment="1">
      <alignment vertical="center" wrapText="1"/>
    </xf>
    <xf numFmtId="3" fontId="8" fillId="0" borderId="12" xfId="11" applyNumberFormat="1" applyFont="1" applyFill="1" applyBorder="1" applyAlignment="1" applyProtection="1">
      <alignment vertical="center"/>
      <protection locked="0"/>
    </xf>
    <xf numFmtId="3" fontId="31" fillId="0" borderId="13" xfId="11" applyNumberFormat="1" applyFont="1" applyFill="1" applyBorder="1" applyAlignment="1">
      <alignment vertical="center"/>
    </xf>
    <xf numFmtId="3" fontId="31" fillId="0" borderId="60" xfId="11" applyNumberFormat="1" applyFont="1" applyFill="1" applyBorder="1" applyAlignment="1">
      <alignment horizontal="center" vertical="center"/>
    </xf>
    <xf numFmtId="3" fontId="31" fillId="0" borderId="2" xfId="11" applyNumberFormat="1" applyFont="1" applyFill="1" applyBorder="1" applyAlignment="1">
      <alignment vertical="center"/>
    </xf>
    <xf numFmtId="3" fontId="31" fillId="0" borderId="3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96" xfId="11" applyNumberFormat="1" applyFill="1" applyBorder="1" applyAlignment="1"/>
    <xf numFmtId="3" fontId="32" fillId="0" borderId="96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3" fillId="0" borderId="0" xfId="0" applyFont="1"/>
    <xf numFmtId="0" fontId="12" fillId="0" borderId="12" xfId="11" applyFont="1" applyBorder="1" applyAlignment="1">
      <alignment horizontal="center" wrapText="1"/>
    </xf>
    <xf numFmtId="0" fontId="12" fillId="0" borderId="13" xfId="11" applyFont="1" applyBorder="1" applyAlignment="1">
      <alignment horizontal="center"/>
    </xf>
    <xf numFmtId="0" fontId="12" fillId="0" borderId="78" xfId="11" applyFont="1" applyBorder="1" applyAlignment="1">
      <alignment wrapText="1"/>
    </xf>
    <xf numFmtId="3" fontId="12" fillId="0" borderId="78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79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79" xfId="11" applyNumberFormat="1" applyFont="1" applyBorder="1" applyAlignment="1">
      <alignment wrapText="1"/>
    </xf>
    <xf numFmtId="3" fontId="12" fillId="0" borderId="70" xfId="11" applyNumberFormat="1" applyFont="1" applyBorder="1" applyAlignment="1">
      <alignment wrapText="1"/>
    </xf>
    <xf numFmtId="0" fontId="12" fillId="0" borderId="80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0" fontId="11" fillId="0" borderId="81" xfId="11" applyFont="1" applyBorder="1" applyAlignment="1">
      <alignment wrapText="1"/>
    </xf>
    <xf numFmtId="3" fontId="11" fillId="0" borderId="81" xfId="11" applyNumberFormat="1" applyFont="1" applyBorder="1" applyAlignment="1">
      <alignment wrapText="1"/>
    </xf>
    <xf numFmtId="3" fontId="11" fillId="0" borderId="76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7" fillId="0" borderId="90" xfId="11" applyFont="1" applyBorder="1" applyAlignment="1"/>
    <xf numFmtId="0" fontId="37" fillId="0" borderId="63" xfId="11" applyFont="1" applyBorder="1" applyAlignment="1"/>
    <xf numFmtId="3" fontId="37" fillId="0" borderId="13" xfId="11" applyNumberFormat="1" applyFont="1" applyBorder="1" applyAlignment="1"/>
    <xf numFmtId="0" fontId="38" fillId="0" borderId="60" xfId="11" applyFont="1" applyBorder="1" applyAlignment="1"/>
    <xf numFmtId="0" fontId="38" fillId="0" borderId="3" xfId="11" applyFont="1" applyBorder="1" applyAlignment="1"/>
    <xf numFmtId="0" fontId="37" fillId="0" borderId="59" xfId="11" applyFont="1" applyBorder="1" applyAlignment="1"/>
    <xf numFmtId="0" fontId="37" fillId="0" borderId="6" xfId="11" applyFont="1" applyBorder="1" applyAlignment="1"/>
    <xf numFmtId="0" fontId="37" fillId="0" borderId="62" xfId="11" applyFont="1" applyBorder="1" applyAlignment="1"/>
    <xf numFmtId="0" fontId="37" fillId="0" borderId="7" xfId="11" applyFont="1" applyBorder="1" applyAlignment="1"/>
    <xf numFmtId="0" fontId="37" fillId="0" borderId="13" xfId="11" applyFont="1" applyBorder="1" applyAlignment="1"/>
    <xf numFmtId="0" fontId="37" fillId="0" borderId="87" xfId="11" applyFont="1" applyBorder="1" applyAlignment="1"/>
    <xf numFmtId="0" fontId="37" fillId="0" borderId="20" xfId="11" applyFont="1" applyBorder="1" applyAlignment="1"/>
    <xf numFmtId="0" fontId="38" fillId="0" borderId="60" xfId="11" applyFont="1" applyFill="1" applyBorder="1" applyAlignment="1"/>
    <xf numFmtId="3" fontId="15" fillId="0" borderId="5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5" xfId="1" applyNumberFormat="1" applyFont="1" applyFill="1" applyBorder="1" applyAlignment="1">
      <alignment horizontal="right" vertical="top" wrapText="1"/>
    </xf>
    <xf numFmtId="0" fontId="11" fillId="0" borderId="44" xfId="11" applyFont="1" applyFill="1" applyBorder="1" applyAlignment="1">
      <alignment horizontal="left"/>
    </xf>
    <xf numFmtId="164" fontId="11" fillId="0" borderId="44" xfId="11" applyNumberFormat="1" applyFont="1" applyFill="1" applyBorder="1" applyAlignment="1"/>
    <xf numFmtId="164" fontId="11" fillId="0" borderId="40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5" xfId="11" applyFont="1" applyFill="1" applyBorder="1" applyAlignment="1">
      <alignment horizontal="left"/>
    </xf>
    <xf numFmtId="3" fontId="12" fillId="0" borderId="95" xfId="11" applyNumberFormat="1" applyFont="1" applyFill="1" applyBorder="1" applyAlignment="1" applyProtection="1">
      <alignment vertical="center" wrapText="1"/>
      <protection locked="0"/>
    </xf>
    <xf numFmtId="49" fontId="12" fillId="0" borderId="87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7" fillId="0" borderId="10" xfId="0" applyNumberFormat="1" applyFont="1" applyFill="1" applyBorder="1"/>
    <xf numFmtId="3" fontId="17" fillId="0" borderId="5" xfId="0" applyNumberFormat="1" applyFont="1" applyFill="1" applyBorder="1"/>
    <xf numFmtId="3" fontId="17" fillId="0" borderId="7" xfId="0" applyNumberFormat="1" applyFont="1" applyFill="1" applyBorder="1"/>
    <xf numFmtId="0" fontId="37" fillId="0" borderId="87" xfId="11" applyFont="1" applyBorder="1" applyAlignment="1">
      <alignment horizontal="center"/>
    </xf>
    <xf numFmtId="0" fontId="37" fillId="0" borderId="20" xfId="11" applyFont="1" applyBorder="1" applyAlignment="1">
      <alignment horizontal="center"/>
    </xf>
    <xf numFmtId="9" fontId="37" fillId="0" borderId="87" xfId="11" applyNumberFormat="1" applyFont="1" applyBorder="1" applyAlignment="1">
      <alignment horizontal="center"/>
    </xf>
    <xf numFmtId="9" fontId="37" fillId="0" borderId="20" xfId="11" applyNumberFormat="1" applyFont="1" applyBorder="1" applyAlignment="1">
      <alignment horizontal="center"/>
    </xf>
    <xf numFmtId="0" fontId="37" fillId="0" borderId="19" xfId="11" applyFont="1" applyBorder="1" applyAlignment="1"/>
    <xf numFmtId="0" fontId="38" fillId="0" borderId="3" xfId="11" applyFont="1" applyFill="1" applyBorder="1" applyAlignment="1"/>
    <xf numFmtId="3" fontId="12" fillId="0" borderId="97" xfId="11" applyNumberFormat="1" applyFont="1" applyBorder="1" applyAlignment="1">
      <alignment horizontal="left" indent="1"/>
    </xf>
    <xf numFmtId="3" fontId="11" fillId="0" borderId="40" xfId="1" applyNumberFormat="1" applyFont="1" applyBorder="1"/>
    <xf numFmtId="3" fontId="11" fillId="0" borderId="40" xfId="11" applyNumberFormat="1" applyFont="1" applyBorder="1"/>
    <xf numFmtId="165" fontId="11" fillId="0" borderId="43" xfId="11" applyNumberFormat="1" applyFont="1" applyFill="1" applyBorder="1" applyAlignment="1">
      <alignment horizontal="center" vertical="center" wrapText="1"/>
    </xf>
    <xf numFmtId="165" fontId="11" fillId="0" borderId="88" xfId="11" applyNumberFormat="1" applyFont="1" applyFill="1" applyBorder="1" applyAlignment="1" applyProtection="1">
      <alignment horizontal="center" vertical="center" wrapText="1"/>
    </xf>
    <xf numFmtId="165" fontId="11" fillId="0" borderId="54" xfId="11" applyNumberFormat="1" applyFont="1" applyFill="1" applyBorder="1" applyAlignment="1" applyProtection="1">
      <alignment vertical="center" wrapText="1"/>
    </xf>
    <xf numFmtId="165" fontId="12" fillId="0" borderId="45" xfId="11" applyNumberFormat="1" applyFont="1" applyFill="1" applyBorder="1" applyAlignment="1" applyProtection="1">
      <alignment vertical="center" wrapText="1"/>
      <protection locked="0"/>
    </xf>
    <xf numFmtId="165" fontId="11" fillId="0" borderId="43" xfId="11" applyNumberFormat="1" applyFont="1" applyFill="1" applyBorder="1" applyAlignment="1" applyProtection="1">
      <alignment vertical="center" wrapText="1"/>
      <protection locked="0"/>
    </xf>
    <xf numFmtId="165" fontId="11" fillId="0" borderId="51" xfId="11" applyNumberFormat="1" applyFont="1" applyFill="1" applyBorder="1" applyAlignment="1" applyProtection="1">
      <alignment vertical="center" wrapText="1"/>
      <protection locked="0"/>
    </xf>
    <xf numFmtId="165" fontId="10" fillId="0" borderId="88" xfId="11" applyNumberFormat="1" applyFont="1" applyFill="1" applyBorder="1" applyAlignment="1" applyProtection="1">
      <alignment vertical="center" wrapText="1"/>
      <protection locked="0"/>
    </xf>
    <xf numFmtId="165" fontId="11" fillId="0" borderId="88" xfId="11" applyNumberFormat="1" applyFont="1" applyFill="1" applyBorder="1" applyAlignment="1">
      <alignment vertical="center" wrapText="1"/>
    </xf>
    <xf numFmtId="165" fontId="11" fillId="0" borderId="17" xfId="11" applyNumberFormat="1" applyFont="1" applyFill="1" applyBorder="1" applyAlignment="1" applyProtection="1">
      <alignment horizontal="center" vertical="center" wrapText="1"/>
    </xf>
    <xf numFmtId="14" fontId="12" fillId="0" borderId="10" xfId="11" applyNumberFormat="1" applyFont="1" applyFill="1" applyBorder="1" applyAlignment="1" applyProtection="1">
      <alignment horizontal="center" vertical="center" wrapText="1"/>
      <protection locked="0"/>
    </xf>
    <xf numFmtId="14" fontId="12" fillId="0" borderId="9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14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3" xfId="11" applyNumberFormat="1" applyFont="1" applyFill="1" applyBorder="1" applyAlignment="1">
      <alignment horizontal="center" vertical="center" wrapText="1"/>
    </xf>
    <xf numFmtId="165" fontId="11" fillId="0" borderId="38" xfId="11" applyNumberFormat="1" applyFont="1" applyFill="1" applyBorder="1" applyAlignment="1" applyProtection="1">
      <alignment horizontal="center" vertical="center" wrapText="1"/>
    </xf>
    <xf numFmtId="165" fontId="11" fillId="0" borderId="44" xfId="11" applyNumberFormat="1" applyFont="1" applyFill="1" applyBorder="1" applyAlignment="1" applyProtection="1">
      <alignment vertical="center" wrapText="1"/>
    </xf>
    <xf numFmtId="165" fontId="11" fillId="0" borderId="24" xfId="11" applyNumberFormat="1" applyFont="1" applyFill="1" applyBorder="1" applyAlignment="1" applyProtection="1">
      <alignment horizontal="center" vertical="center" wrapText="1"/>
    </xf>
    <xf numFmtId="165" fontId="12" fillId="0" borderId="33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2" fillId="0" borderId="89" xfId="26" applyNumberFormat="1" applyFont="1" applyBorder="1"/>
    <xf numFmtId="3" fontId="42" fillId="0" borderId="84" xfId="26" applyNumberFormat="1" applyFont="1" applyBorder="1"/>
    <xf numFmtId="3" fontId="42" fillId="0" borderId="47" xfId="26" applyNumberFormat="1" applyFont="1" applyBorder="1"/>
    <xf numFmtId="3" fontId="42" fillId="0" borderId="46" xfId="26" applyNumberFormat="1" applyFont="1" applyBorder="1"/>
    <xf numFmtId="3" fontId="42" fillId="0" borderId="93" xfId="26" applyNumberFormat="1" applyFont="1" applyBorder="1"/>
    <xf numFmtId="3" fontId="8" fillId="0" borderId="0" xfId="33" applyNumberFormat="1" applyFont="1" applyFill="1" applyProtection="1"/>
    <xf numFmtId="3" fontId="42" fillId="0" borderId="44" xfId="26" applyNumberFormat="1" applyFont="1" applyBorder="1"/>
    <xf numFmtId="3" fontId="42" fillId="0" borderId="61" xfId="26" applyNumberFormat="1" applyFont="1" applyBorder="1"/>
    <xf numFmtId="3" fontId="42" fillId="0" borderId="22" xfId="26" applyNumberFormat="1" applyFont="1" applyBorder="1"/>
    <xf numFmtId="3" fontId="42" fillId="0" borderId="23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2" fillId="0" borderId="45" xfId="26" applyNumberFormat="1" applyFont="1" applyBorder="1"/>
    <xf numFmtId="3" fontId="42" fillId="0" borderId="62" xfId="26" applyNumberFormat="1" applyFont="1" applyBorder="1"/>
    <xf numFmtId="3" fontId="42" fillId="0" borderId="5" xfId="26" applyNumberFormat="1" applyFont="1" applyBorder="1"/>
    <xf numFmtId="3" fontId="42" fillId="0" borderId="7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4" fillId="0" borderId="62" xfId="26" applyNumberFormat="1" applyFont="1" applyBorder="1"/>
    <xf numFmtId="3" fontId="44" fillId="0" borderId="5" xfId="26" applyNumberFormat="1" applyFont="1" applyBorder="1"/>
    <xf numFmtId="3" fontId="44" fillId="0" borderId="7" xfId="26" applyNumberFormat="1" applyFont="1" applyBorder="1"/>
    <xf numFmtId="3" fontId="42" fillId="0" borderId="88" xfId="26" applyNumberFormat="1" applyFont="1" applyBorder="1"/>
    <xf numFmtId="3" fontId="43" fillId="0" borderId="91" xfId="26" applyNumberFormat="1" applyFont="1" applyBorder="1"/>
    <xf numFmtId="3" fontId="43" fillId="0" borderId="15" xfId="26" applyNumberFormat="1" applyFont="1" applyBorder="1"/>
    <xf numFmtId="3" fontId="43" fillId="0" borderId="16" xfId="26" applyNumberFormat="1" applyFont="1" applyBorder="1"/>
    <xf numFmtId="3" fontId="43" fillId="0" borderId="98" xfId="26" applyNumberFormat="1" applyFont="1" applyBorder="1"/>
    <xf numFmtId="3" fontId="43" fillId="0" borderId="97" xfId="26" applyNumberFormat="1" applyFont="1" applyBorder="1"/>
    <xf numFmtId="3" fontId="43" fillId="0" borderId="95" xfId="26" applyNumberFormat="1" applyFont="1" applyBorder="1"/>
    <xf numFmtId="3" fontId="45" fillId="0" borderId="95" xfId="26" applyNumberFormat="1" applyFont="1" applyBorder="1"/>
    <xf numFmtId="3" fontId="11" fillId="0" borderId="39" xfId="33" applyNumberFormat="1" applyFont="1" applyFill="1" applyBorder="1" applyAlignment="1" applyProtection="1">
      <alignment vertical="center"/>
    </xf>
    <xf numFmtId="49" fontId="17" fillId="0" borderId="28" xfId="0" applyNumberFormat="1" applyFont="1" applyBorder="1" applyAlignment="1">
      <alignment horizontal="left" indent="2"/>
    </xf>
    <xf numFmtId="49" fontId="18" fillId="0" borderId="40" xfId="0" applyNumberFormat="1" applyFont="1" applyBorder="1" applyAlignment="1">
      <alignment horizontal="center"/>
    </xf>
    <xf numFmtId="49" fontId="18" fillId="0" borderId="31" xfId="0" applyNumberFormat="1" applyFont="1" applyBorder="1" applyAlignment="1">
      <alignment horizontal="left" inden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16" xfId="11" applyNumberFormat="1" applyFont="1" applyFill="1" applyBorder="1" applyAlignment="1" applyProtection="1">
      <alignment horizontal="center" vertical="center" wrapText="1"/>
    </xf>
    <xf numFmtId="3" fontId="11" fillId="0" borderId="19" xfId="11" applyNumberFormat="1" applyFont="1" applyFill="1" applyBorder="1" applyAlignment="1" applyProtection="1">
      <alignment vertical="center" wrapText="1"/>
    </xf>
    <xf numFmtId="3" fontId="12" fillId="0" borderId="7" xfId="11" applyNumberFormat="1" applyFont="1" applyFill="1" applyBorder="1" applyAlignment="1" applyProtection="1">
      <alignment vertical="center" wrapText="1"/>
    </xf>
    <xf numFmtId="3" fontId="12" fillId="0" borderId="6" xfId="11" applyNumberFormat="1" applyFont="1" applyFill="1" applyBorder="1" applyAlignment="1" applyProtection="1">
      <alignment vertical="center" wrapText="1"/>
    </xf>
    <xf numFmtId="3" fontId="10" fillId="0" borderId="16" xfId="11" applyNumberFormat="1" applyFont="1" applyFill="1" applyBorder="1" applyAlignment="1" applyProtection="1">
      <alignment vertical="center" wrapText="1"/>
    </xf>
    <xf numFmtId="3" fontId="11" fillId="0" borderId="16" xfId="11" applyNumberFormat="1" applyFont="1" applyFill="1" applyBorder="1" applyAlignment="1" applyProtection="1">
      <alignment vertical="center" wrapText="1"/>
    </xf>
    <xf numFmtId="3" fontId="11" fillId="0" borderId="23" xfId="11" applyNumberFormat="1" applyFont="1" applyFill="1" applyBorder="1" applyAlignment="1" applyProtection="1">
      <alignment vertical="center" wrapText="1"/>
    </xf>
    <xf numFmtId="3" fontId="12" fillId="0" borderId="25" xfId="11" applyNumberFormat="1" applyFont="1" applyFill="1" applyBorder="1" applyAlignment="1" applyProtection="1">
      <alignment vertical="center" wrapText="1"/>
    </xf>
    <xf numFmtId="0" fontId="12" fillId="0" borderId="28" xfId="0" applyFont="1" applyFill="1" applyBorder="1" applyAlignment="1">
      <alignment horizontal="left" indent="1"/>
    </xf>
    <xf numFmtId="0" fontId="11" fillId="0" borderId="0" xfId="0" applyFont="1" applyFill="1"/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1" xfId="11" applyFont="1" applyBorder="1" applyAlignment="1">
      <alignment horizontal="left" indent="1"/>
    </xf>
    <xf numFmtId="0" fontId="12" fillId="0" borderId="45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0" fontId="33" fillId="0" borderId="0" xfId="32" applyFont="1" applyAlignment="1">
      <alignment vertical="top" wrapText="1"/>
    </xf>
    <xf numFmtId="0" fontId="33" fillId="0" borderId="0" xfId="28" applyFont="1" applyAlignment="1">
      <alignment vertical="top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5" xfId="11" applyNumberFormat="1" applyFont="1" applyFill="1" applyBorder="1" applyAlignment="1"/>
    <xf numFmtId="0" fontId="12" fillId="0" borderId="27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3" xfId="11" applyNumberFormat="1" applyFont="1" applyFill="1" applyBorder="1" applyAlignment="1">
      <alignment horizontal="center" vertical="center" wrapText="1"/>
    </xf>
    <xf numFmtId="3" fontId="61" fillId="0" borderId="0" xfId="11" applyNumberFormat="1" applyFont="1" applyFill="1" applyAlignment="1">
      <alignment vertical="center" wrapText="1"/>
    </xf>
    <xf numFmtId="3" fontId="62" fillId="0" borderId="0" xfId="11" applyNumberFormat="1" applyFont="1" applyFill="1" applyAlignment="1">
      <alignment horizontal="center" vertical="center" wrapText="1"/>
    </xf>
    <xf numFmtId="3" fontId="61" fillId="0" borderId="0" xfId="11" applyNumberFormat="1" applyFont="1" applyFill="1" applyAlignment="1">
      <alignment horizontal="center" vertical="center" wrapText="1"/>
    </xf>
    <xf numFmtId="3" fontId="61" fillId="0" borderId="51" xfId="11" applyNumberFormat="1" applyFont="1" applyFill="1" applyBorder="1" applyAlignment="1">
      <alignment horizontal="center" vertical="center" wrapText="1"/>
    </xf>
    <xf numFmtId="3" fontId="61" fillId="0" borderId="59" xfId="11" applyNumberFormat="1" applyFont="1" applyFill="1" applyBorder="1" applyAlignment="1">
      <alignment horizontal="center" vertical="center" wrapText="1"/>
    </xf>
    <xf numFmtId="3" fontId="61" fillId="0" borderId="62" xfId="11" applyNumberFormat="1" applyFont="1" applyFill="1" applyBorder="1" applyAlignment="1">
      <alignment horizontal="center" vertical="center" wrapText="1"/>
    </xf>
    <xf numFmtId="3" fontId="61" fillId="0" borderId="63" xfId="11" applyNumberFormat="1" applyFont="1" applyFill="1" applyBorder="1" applyAlignment="1">
      <alignment horizontal="center" vertical="center" wrapText="1"/>
    </xf>
    <xf numFmtId="3" fontId="63" fillId="0" borderId="43" xfId="11" applyNumberFormat="1" applyFont="1" applyFill="1" applyBorder="1" applyAlignment="1">
      <alignment horizontal="center" vertical="center" wrapText="1"/>
    </xf>
    <xf numFmtId="3" fontId="63" fillId="2" borderId="43" xfId="11" applyNumberFormat="1" applyFont="1" applyFill="1" applyBorder="1" applyAlignment="1">
      <alignment horizontal="center" vertical="center" wrapText="1"/>
    </xf>
    <xf numFmtId="3" fontId="61" fillId="0" borderId="84" xfId="11" applyNumberFormat="1" applyFont="1" applyFill="1" applyBorder="1" applyAlignment="1">
      <alignment horizontal="center" vertical="center" wrapText="1"/>
    </xf>
    <xf numFmtId="3" fontId="61" fillId="0" borderId="61" xfId="11" applyNumberFormat="1" applyFont="1" applyFill="1" applyBorder="1" applyAlignment="1">
      <alignment horizontal="center" vertical="center" wrapText="1"/>
    </xf>
    <xf numFmtId="3" fontId="63" fillId="0" borderId="60" xfId="11" applyNumberFormat="1" applyFont="1" applyFill="1" applyBorder="1" applyAlignment="1">
      <alignment horizontal="center" vertical="center" wrapText="1"/>
    </xf>
    <xf numFmtId="3" fontId="61" fillId="0" borderId="90" xfId="11" applyNumberFormat="1" applyFont="1" applyFill="1" applyBorder="1" applyAlignment="1">
      <alignment horizontal="center" vertical="center" wrapText="1"/>
    </xf>
    <xf numFmtId="3" fontId="63" fillId="0" borderId="89" xfId="11" applyNumberFormat="1" applyFont="1" applyFill="1" applyBorder="1" applyAlignment="1">
      <alignment horizontal="center" vertical="center" wrapText="1"/>
    </xf>
    <xf numFmtId="3" fontId="62" fillId="0" borderId="0" xfId="11" applyNumberFormat="1" applyFont="1" applyFill="1" applyAlignment="1">
      <alignment horizontal="center" vertical="center"/>
    </xf>
    <xf numFmtId="3" fontId="61" fillId="0" borderId="0" xfId="11" applyNumberFormat="1" applyFont="1" applyFill="1" applyAlignment="1">
      <alignment horizontal="center" vertical="center"/>
    </xf>
    <xf numFmtId="3" fontId="64" fillId="0" borderId="63" xfId="11" applyNumberFormat="1" applyFont="1" applyFill="1" applyBorder="1" applyAlignment="1">
      <alignment horizontal="center" vertical="center" wrapText="1"/>
    </xf>
    <xf numFmtId="3" fontId="63" fillId="0" borderId="60" xfId="11" applyNumberFormat="1" applyFont="1" applyFill="1" applyBorder="1" applyAlignment="1">
      <alignment horizontal="center" vertical="center"/>
    </xf>
    <xf numFmtId="3" fontId="64" fillId="0" borderId="62" xfId="11" applyNumberFormat="1" applyFont="1" applyFill="1" applyBorder="1" applyAlignment="1">
      <alignment horizontal="center" vertical="center" wrapText="1"/>
    </xf>
    <xf numFmtId="3" fontId="61" fillId="0" borderId="90" xfId="11" applyNumberFormat="1" applyFont="1" applyFill="1" applyBorder="1" applyAlignment="1">
      <alignment horizontal="center" vertical="center"/>
    </xf>
    <xf numFmtId="3" fontId="61" fillId="0" borderId="0" xfId="0" applyNumberFormat="1" applyFont="1" applyFill="1" applyAlignment="1">
      <alignment horizontal="center" vertical="center"/>
    </xf>
    <xf numFmtId="3" fontId="63" fillId="4" borderId="60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165" fontId="12" fillId="0" borderId="8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5" xfId="0" applyNumberFormat="1" applyFont="1" applyFill="1" applyBorder="1"/>
    <xf numFmtId="0" fontId="12" fillId="0" borderId="37" xfId="11" applyFont="1" applyBorder="1" applyAlignment="1">
      <alignment horizontal="left" indent="1"/>
    </xf>
    <xf numFmtId="0" fontId="12" fillId="0" borderId="54" xfId="11" applyFont="1" applyBorder="1" applyAlignment="1">
      <alignment horizontal="left" indent="1"/>
    </xf>
    <xf numFmtId="3" fontId="11" fillId="0" borderId="33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0" fontId="12" fillId="0" borderId="5" xfId="11" applyFont="1" applyFill="1" applyBorder="1" applyAlignment="1">
      <alignment horizontal="left" vertical="center" wrapText="1" indent="2"/>
    </xf>
    <xf numFmtId="3" fontId="61" fillId="4" borderId="59" xfId="1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wrapText="1" indent="1"/>
    </xf>
    <xf numFmtId="168" fontId="11" fillId="0" borderId="33" xfId="11" applyNumberFormat="1" applyFont="1" applyFill="1" applyBorder="1" applyAlignment="1">
      <alignment horizontal="center" vertical="center" wrapText="1"/>
    </xf>
    <xf numFmtId="3" fontId="12" fillId="0" borderId="60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1" fillId="0" borderId="25" xfId="11" applyNumberFormat="1" applyFont="1" applyFill="1" applyBorder="1"/>
    <xf numFmtId="168" fontId="12" fillId="0" borderId="59" xfId="11" applyNumberFormat="1" applyFont="1" applyFill="1" applyBorder="1" applyAlignment="1">
      <alignment horizontal="center" vertical="center" wrapText="1"/>
    </xf>
    <xf numFmtId="0" fontId="12" fillId="0" borderId="6" xfId="11" applyFont="1" applyFill="1" applyBorder="1" applyAlignment="1">
      <alignment horizontal="left" vertical="center" wrapText="1" indent="1"/>
    </xf>
    <xf numFmtId="3" fontId="12" fillId="0" borderId="24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32" xfId="11" applyNumberFormat="1" applyFont="1" applyBorder="1"/>
    <xf numFmtId="168" fontId="12" fillId="0" borderId="90" xfId="11" applyNumberFormat="1" applyFont="1" applyFill="1" applyBorder="1" applyAlignment="1">
      <alignment horizontal="center" vertical="center" wrapText="1"/>
    </xf>
    <xf numFmtId="3" fontId="11" fillId="0" borderId="42" xfId="11" applyNumberFormat="1" applyFont="1" applyBorder="1"/>
    <xf numFmtId="3" fontId="11" fillId="0" borderId="14" xfId="11" applyNumberFormat="1" applyFont="1" applyBorder="1"/>
    <xf numFmtId="3" fontId="11" fillId="0" borderId="38" xfId="11" applyNumberFormat="1" applyFont="1" applyBorder="1"/>
    <xf numFmtId="168" fontId="12" fillId="0" borderId="60" xfId="11" applyNumberFormat="1" applyFont="1" applyFill="1" applyBorder="1" applyAlignment="1">
      <alignment horizontal="center" vertical="center" wrapText="1"/>
    </xf>
    <xf numFmtId="3" fontId="12" fillId="0" borderId="41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0" borderId="33" xfId="1" applyNumberFormat="1" applyFont="1" applyBorder="1"/>
    <xf numFmtId="3" fontId="12" fillId="5" borderId="0" xfId="11" applyNumberFormat="1" applyFont="1" applyFill="1"/>
    <xf numFmtId="3" fontId="11" fillId="0" borderId="60" xfId="11" applyNumberFormat="1" applyFont="1" applyBorder="1" applyAlignment="1">
      <alignment horizontal="center" vertical="center" wrapText="1"/>
    </xf>
    <xf numFmtId="3" fontId="11" fillId="0" borderId="1" xfId="11" applyNumberFormat="1" applyFont="1" applyFill="1" applyBorder="1" applyAlignment="1">
      <alignment horizontal="center" vertical="center" wrapText="1"/>
    </xf>
    <xf numFmtId="3" fontId="12" fillId="0" borderId="57" xfId="11" applyNumberFormat="1" applyFont="1" applyFill="1" applyBorder="1" applyAlignment="1" applyProtection="1">
      <alignment vertical="center" wrapText="1"/>
      <protection locked="0"/>
    </xf>
    <xf numFmtId="3" fontId="21" fillId="0" borderId="7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4" xfId="11" applyNumberFormat="1" applyFont="1" applyFill="1" applyBorder="1" applyAlignment="1">
      <alignment horizontal="center" vertical="center" wrapText="1"/>
    </xf>
    <xf numFmtId="3" fontId="11" fillId="0" borderId="1" xfId="11" applyNumberFormat="1" applyFont="1" applyBorder="1" applyAlignment="1">
      <alignment wrapText="1"/>
    </xf>
    <xf numFmtId="0" fontId="38" fillId="0" borderId="3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1" xfId="11" applyNumberFormat="1" applyFont="1" applyFill="1" applyBorder="1" applyAlignment="1"/>
    <xf numFmtId="3" fontId="11" fillId="0" borderId="6" xfId="11" applyNumberFormat="1" applyFont="1" applyFill="1" applyBorder="1" applyAlignment="1">
      <alignment vertical="center"/>
    </xf>
    <xf numFmtId="3" fontId="11" fillId="0" borderId="59" xfId="11" applyNumberFormat="1" applyFont="1" applyFill="1" applyBorder="1" applyAlignment="1">
      <alignment vertical="center"/>
    </xf>
    <xf numFmtId="3" fontId="11" fillId="0" borderId="4" xfId="11" applyNumberFormat="1" applyFont="1" applyFill="1" applyBorder="1" applyAlignment="1">
      <alignment vertical="center"/>
    </xf>
    <xf numFmtId="3" fontId="11" fillId="0" borderId="52" xfId="11" applyNumberFormat="1" applyFont="1" applyFill="1" applyBorder="1" applyAlignment="1">
      <alignment vertical="center"/>
    </xf>
    <xf numFmtId="3" fontId="11" fillId="0" borderId="1" xfId="11" applyNumberFormat="1" applyFont="1" applyFill="1" applyBorder="1" applyAlignment="1">
      <alignment horizontal="center" vertical="center"/>
    </xf>
    <xf numFmtId="3" fontId="11" fillId="0" borderId="56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5" xfId="33" applyNumberFormat="1" applyFont="1" applyFill="1" applyBorder="1" applyAlignment="1" applyProtection="1">
      <alignment vertical="center"/>
      <protection locked="0"/>
    </xf>
    <xf numFmtId="3" fontId="12" fillId="0" borderId="53" xfId="33" applyNumberFormat="1" applyFont="1" applyFill="1" applyBorder="1" applyAlignment="1" applyProtection="1">
      <alignment vertical="center"/>
      <protection locked="0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89" xfId="11" applyNumberFormat="1" applyFont="1" applyFill="1" applyBorder="1" applyAlignment="1">
      <alignment horizontal="center"/>
    </xf>
    <xf numFmtId="0" fontId="11" fillId="0" borderId="43" xfId="11" applyNumberFormat="1" applyFont="1" applyFill="1" applyBorder="1" applyAlignment="1">
      <alignment horizontal="center"/>
    </xf>
    <xf numFmtId="0" fontId="12" fillId="0" borderId="54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4" xfId="11" applyNumberFormat="1" applyFont="1" applyFill="1" applyBorder="1" applyAlignment="1">
      <alignment horizontal="center" vertical="center" wrapText="1"/>
    </xf>
    <xf numFmtId="0" fontId="11" fillId="0" borderId="60" xfId="11" applyNumberFormat="1" applyFont="1" applyFill="1" applyBorder="1" applyAlignment="1">
      <alignment horizontal="center" vertical="center" wrapText="1"/>
    </xf>
    <xf numFmtId="0" fontId="12" fillId="0" borderId="90" xfId="11" applyNumberFormat="1" applyFont="1" applyFill="1" applyBorder="1" applyAlignment="1">
      <alignment horizontal="center" vertical="center" wrapText="1"/>
    </xf>
    <xf numFmtId="3" fontId="61" fillId="4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4" fontId="12" fillId="0" borderId="23" xfId="11" applyNumberFormat="1" applyFont="1" applyFill="1" applyBorder="1" applyAlignment="1">
      <alignment horizontal="left" vertical="center" wrapText="1"/>
    </xf>
    <xf numFmtId="0" fontId="12" fillId="0" borderId="23" xfId="11" applyFont="1" applyFill="1" applyBorder="1" applyAlignment="1"/>
    <xf numFmtId="49" fontId="12" fillId="0" borderId="95" xfId="11" applyNumberFormat="1" applyFont="1" applyFill="1" applyBorder="1" applyAlignment="1">
      <alignment horizontal="left" vertical="center" wrapText="1"/>
    </xf>
    <xf numFmtId="0" fontId="12" fillId="0" borderId="5" xfId="11" applyFont="1" applyFill="1" applyBorder="1" applyAlignment="1"/>
    <xf numFmtId="0" fontId="12" fillId="0" borderId="18" xfId="11" applyFont="1" applyFill="1" applyBorder="1" applyAlignment="1"/>
    <xf numFmtId="0" fontId="12" fillId="0" borderId="7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4" xfId="31" applyNumberFormat="1" applyFont="1" applyFill="1" applyBorder="1" applyAlignment="1" applyProtection="1">
      <alignment vertical="center" wrapText="1"/>
    </xf>
    <xf numFmtId="49" fontId="12" fillId="0" borderId="86" xfId="11" applyNumberFormat="1" applyFont="1" applyFill="1" applyBorder="1" applyAlignment="1">
      <alignment horizontal="left" vertical="center" wrapText="1"/>
    </xf>
    <xf numFmtId="0" fontId="12" fillId="0" borderId="13" xfId="11" applyFont="1" applyFill="1" applyBorder="1" applyAlignment="1"/>
    <xf numFmtId="49" fontId="12" fillId="0" borderId="97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0" fontId="12" fillId="0" borderId="63" xfId="11" applyFont="1" applyBorder="1" applyAlignment="1">
      <alignment horizontal="center" wrapText="1"/>
    </xf>
    <xf numFmtId="3" fontId="11" fillId="0" borderId="3" xfId="11" applyNumberFormat="1" applyFont="1" applyFill="1" applyBorder="1" applyAlignment="1">
      <alignment horizontal="center" vertical="center"/>
    </xf>
    <xf numFmtId="0" fontId="12" fillId="0" borderId="62" xfId="11" applyFont="1" applyFill="1" applyBorder="1" applyAlignment="1">
      <alignment horizontal="center" vertical="center"/>
    </xf>
    <xf numFmtId="3" fontId="61" fillId="0" borderId="62" xfId="11" applyNumberFormat="1" applyFont="1" applyFill="1" applyBorder="1" applyAlignment="1">
      <alignment horizontal="center" vertical="center"/>
    </xf>
    <xf numFmtId="0" fontId="46" fillId="0" borderId="52" xfId="11" applyFont="1" applyFill="1" applyBorder="1" applyAlignment="1" applyProtection="1">
      <alignment horizontal="left" vertical="center" wrapText="1" indent="2"/>
      <protection locked="0"/>
    </xf>
    <xf numFmtId="49" fontId="46" fillId="0" borderId="63" xfId="11" applyNumberFormat="1" applyFont="1" applyFill="1" applyBorder="1" applyAlignment="1">
      <alignment horizontal="center" vertical="center" wrapText="1"/>
    </xf>
    <xf numFmtId="0" fontId="37" fillId="0" borderId="23" xfId="11" applyFont="1" applyBorder="1" applyAlignment="1"/>
    <xf numFmtId="3" fontId="37" fillId="0" borderId="19" xfId="11" applyNumberFormat="1" applyFont="1" applyBorder="1" applyAlignment="1"/>
    <xf numFmtId="0" fontId="10" fillId="0" borderId="60" xfId="11" applyFont="1" applyFill="1" applyBorder="1" applyAlignment="1">
      <alignment horizontal="center" vertical="center"/>
    </xf>
    <xf numFmtId="3" fontId="65" fillId="0" borderId="60" xfId="11" applyNumberFormat="1" applyFont="1" applyFill="1" applyBorder="1" applyAlignment="1">
      <alignment horizontal="center" vertical="center"/>
    </xf>
    <xf numFmtId="0" fontId="10" fillId="0" borderId="56" xfId="11" applyFont="1" applyFill="1" applyBorder="1" applyAlignment="1" applyProtection="1">
      <alignment horizontal="left" vertical="center" wrapText="1"/>
      <protection locked="0"/>
    </xf>
    <xf numFmtId="3" fontId="10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/>
    <xf numFmtId="3" fontId="15" fillId="0" borderId="3" xfId="0" applyNumberFormat="1" applyFont="1" applyBorder="1" applyAlignment="1">
      <alignment horizontal="center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3" fontId="16" fillId="0" borderId="10" xfId="0" applyNumberFormat="1" applyFont="1" applyFill="1" applyBorder="1"/>
    <xf numFmtId="3" fontId="16" fillId="0" borderId="5" xfId="0" applyNumberFormat="1" applyFont="1" applyFill="1" applyBorder="1"/>
    <xf numFmtId="3" fontId="16" fillId="0" borderId="7" xfId="0" applyNumberFormat="1" applyFont="1" applyFill="1" applyBorder="1"/>
    <xf numFmtId="3" fontId="16" fillId="0" borderId="11" xfId="0" applyNumberFormat="1" applyFont="1" applyFill="1" applyBorder="1"/>
    <xf numFmtId="3" fontId="16" fillId="0" borderId="12" xfId="0" applyNumberFormat="1" applyFont="1" applyFill="1" applyBorder="1"/>
    <xf numFmtId="3" fontId="16" fillId="0" borderId="13" xfId="0" applyNumberFormat="1" applyFont="1" applyFill="1" applyBorder="1"/>
    <xf numFmtId="164" fontId="12" fillId="0" borderId="51" xfId="11" applyNumberFormat="1" applyFont="1" applyFill="1" applyBorder="1" applyAlignment="1"/>
    <xf numFmtId="3" fontId="12" fillId="0" borderId="99" xfId="11" applyNumberFormat="1" applyFont="1" applyBorder="1" applyAlignment="1">
      <alignment wrapText="1"/>
    </xf>
    <xf numFmtId="0" fontId="12" fillId="0" borderId="51" xfId="11" applyNumberFormat="1" applyFont="1" applyFill="1" applyBorder="1" applyAlignment="1">
      <alignment horizontal="center" vertical="center" wrapText="1"/>
    </xf>
    <xf numFmtId="0" fontId="12" fillId="0" borderId="50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 vertical="center" wrapText="1"/>
    </xf>
    <xf numFmtId="0" fontId="12" fillId="0" borderId="51" xfId="11" applyNumberFormat="1" applyFont="1" applyFill="1" applyBorder="1" applyAlignment="1">
      <alignment horizontal="center"/>
    </xf>
    <xf numFmtId="0" fontId="12" fillId="0" borderId="45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7" xfId="11" applyNumberFormat="1" applyFont="1" applyFill="1" applyBorder="1" applyAlignment="1">
      <alignment horizontal="center"/>
    </xf>
    <xf numFmtId="0" fontId="12" fillId="0" borderId="45" xfId="11" applyNumberFormat="1" applyFont="1" applyFill="1" applyBorder="1" applyAlignment="1">
      <alignment horizontal="center" vertical="center" wrapText="1"/>
    </xf>
    <xf numFmtId="0" fontId="12" fillId="0" borderId="6" xfId="11" applyFont="1" applyFill="1" applyBorder="1" applyAlignment="1"/>
    <xf numFmtId="0" fontId="12" fillId="0" borderId="7" xfId="11" applyFont="1" applyFill="1" applyBorder="1" applyAlignment="1">
      <alignment horizontal="justify"/>
    </xf>
    <xf numFmtId="0" fontId="12" fillId="0" borderId="7" xfId="11" applyFont="1" applyFill="1" applyBorder="1"/>
    <xf numFmtId="0" fontId="12" fillId="0" borderId="5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4" xfId="11" applyNumberFormat="1" applyFont="1" applyFill="1" applyBorder="1" applyAlignment="1">
      <alignment horizontal="center"/>
    </xf>
    <xf numFmtId="0" fontId="12" fillId="0" borderId="22" xfId="11" applyFont="1" applyFill="1" applyBorder="1"/>
    <xf numFmtId="0" fontId="12" fillId="0" borderId="6" xfId="11" applyFont="1" applyFill="1" applyBorder="1"/>
    <xf numFmtId="0" fontId="12" fillId="0" borderId="18" xfId="11" applyFont="1" applyFill="1" applyBorder="1" applyAlignment="1">
      <alignment horizontal="justify"/>
    </xf>
    <xf numFmtId="0" fontId="12" fillId="0" borderId="19" xfId="11" applyFont="1" applyFill="1" applyBorder="1"/>
    <xf numFmtId="0" fontId="12" fillId="0" borderId="23" xfId="11" applyFont="1" applyFill="1" applyBorder="1"/>
    <xf numFmtId="3" fontId="12" fillId="0" borderId="59" xfId="11" applyNumberFormat="1" applyFont="1" applyFill="1" applyBorder="1" applyAlignment="1">
      <alignment vertical="center" wrapText="1"/>
    </xf>
    <xf numFmtId="3" fontId="12" fillId="0" borderId="4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5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22" xfId="11" applyNumberFormat="1" applyFont="1" applyFill="1" applyBorder="1" applyAlignment="1">
      <alignment vertical="center" wrapText="1"/>
    </xf>
    <xf numFmtId="3" fontId="12" fillId="0" borderId="5" xfId="11" applyNumberFormat="1" applyFont="1" applyFill="1" applyBorder="1" applyAlignment="1">
      <alignment wrapText="1"/>
    </xf>
    <xf numFmtId="3" fontId="12" fillId="0" borderId="12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100" xfId="11" applyNumberFormat="1" applyFont="1" applyBorder="1" applyAlignment="1">
      <alignment wrapText="1"/>
    </xf>
    <xf numFmtId="3" fontId="12" fillId="0" borderId="71" xfId="11" applyNumberFormat="1" applyFont="1" applyFill="1" applyBorder="1" applyAlignment="1">
      <alignment wrapText="1"/>
    </xf>
    <xf numFmtId="3" fontId="12" fillId="0" borderId="68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2" fillId="0" borderId="32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1" fillId="0" borderId="32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22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12" xfId="33" applyNumberFormat="1" applyFont="1" applyFill="1" applyBorder="1" applyAlignment="1" applyProtection="1">
      <alignment vertical="center"/>
      <protection locked="0"/>
    </xf>
    <xf numFmtId="3" fontId="12" fillId="0" borderId="58" xfId="33" applyNumberFormat="1" applyFont="1" applyFill="1" applyBorder="1" applyAlignment="1" applyProtection="1">
      <alignment vertical="center"/>
      <protection locked="0"/>
    </xf>
    <xf numFmtId="3" fontId="17" fillId="0" borderId="57" xfId="0" applyNumberFormat="1" applyFont="1" applyFill="1" applyBorder="1"/>
    <xf numFmtId="3" fontId="17" fillId="0" borderId="13" xfId="0" applyNumberFormat="1" applyFont="1" applyFill="1" applyBorder="1"/>
    <xf numFmtId="3" fontId="16" fillId="0" borderId="44" xfId="0" applyNumberFormat="1" applyFont="1" applyBorder="1"/>
    <xf numFmtId="3" fontId="16" fillId="0" borderId="57" xfId="0" applyNumberFormat="1" applyFont="1" applyFill="1" applyBorder="1"/>
    <xf numFmtId="3" fontId="18" fillId="0" borderId="44" xfId="0" applyNumberFormat="1" applyFont="1" applyFill="1" applyBorder="1"/>
    <xf numFmtId="3" fontId="18" fillId="0" borderId="23" xfId="0" applyNumberFormat="1" applyFont="1" applyFill="1" applyBorder="1"/>
    <xf numFmtId="164" fontId="15" fillId="0" borderId="44" xfId="0" applyNumberFormat="1" applyFont="1" applyFill="1" applyBorder="1"/>
    <xf numFmtId="164" fontId="15" fillId="0" borderId="23" xfId="0" applyNumberFormat="1" applyFont="1" applyFill="1" applyBorder="1"/>
    <xf numFmtId="164" fontId="17" fillId="0" borderId="57" xfId="0" applyNumberFormat="1" applyFont="1" applyFill="1" applyBorder="1"/>
    <xf numFmtId="164" fontId="17" fillId="0" borderId="13" xfId="0" applyNumberFormat="1" applyFont="1" applyFill="1" applyBorder="1"/>
    <xf numFmtId="164" fontId="15" fillId="0" borderId="57" xfId="0" applyNumberFormat="1" applyFont="1" applyFill="1" applyBorder="1"/>
    <xf numFmtId="164" fontId="15" fillId="0" borderId="13" xfId="0" applyNumberFormat="1" applyFont="1" applyFill="1" applyBorder="1"/>
    <xf numFmtId="164" fontId="15" fillId="0" borderId="43" xfId="0" applyNumberFormat="1" applyFont="1" applyFill="1" applyBorder="1"/>
    <xf numFmtId="164" fontId="15" fillId="0" borderId="3" xfId="0" applyNumberFormat="1" applyFont="1" applyFill="1" applyBorder="1"/>
    <xf numFmtId="165" fontId="11" fillId="0" borderId="1" xfId="11" applyNumberFormat="1" applyFont="1" applyFill="1" applyBorder="1" applyAlignment="1" applyProtection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0" fontId="7" fillId="0" borderId="0" xfId="11" applyFont="1" applyFill="1" applyAlignment="1">
      <alignment horizontal="center"/>
    </xf>
    <xf numFmtId="0" fontId="12" fillId="0" borderId="0" xfId="11" applyFont="1" applyFill="1" applyBorder="1" applyAlignment="1">
      <alignment horizontal="center" wrapText="1"/>
    </xf>
    <xf numFmtId="0" fontId="11" fillId="0" borderId="1" xfId="11" applyFont="1" applyFill="1" applyBorder="1" applyAlignment="1">
      <alignment horizontal="center" vertical="center"/>
    </xf>
    <xf numFmtId="0" fontId="11" fillId="0" borderId="56" xfId="11" applyFont="1" applyFill="1" applyBorder="1" applyAlignment="1">
      <alignment horizontal="center" vertical="center"/>
    </xf>
    <xf numFmtId="0" fontId="11" fillId="0" borderId="90" xfId="11" applyFont="1" applyFill="1" applyBorder="1" applyAlignment="1">
      <alignment horizontal="center" vertical="center" wrapText="1"/>
    </xf>
    <xf numFmtId="0" fontId="11" fillId="0" borderId="17" xfId="11" applyFont="1" applyFill="1" applyBorder="1" applyAlignment="1">
      <alignment vertical="center"/>
    </xf>
    <xf numFmtId="0" fontId="11" fillId="0" borderId="55" xfId="11" applyFont="1" applyFill="1" applyBorder="1" applyAlignment="1">
      <alignment vertical="center"/>
    </xf>
    <xf numFmtId="0" fontId="12" fillId="0" borderId="0" xfId="0" applyFont="1" applyFill="1" applyAlignment="1"/>
    <xf numFmtId="0" fontId="12" fillId="0" borderId="53" xfId="11" applyFont="1" applyFill="1" applyBorder="1" applyAlignment="1" applyProtection="1">
      <alignment horizontal="left" vertical="center" indent="1"/>
      <protection locked="0"/>
    </xf>
    <xf numFmtId="0" fontId="12" fillId="0" borderId="63" xfId="11" applyFont="1" applyFill="1" applyBorder="1" applyAlignment="1">
      <alignment horizontal="center" vertical="center"/>
    </xf>
    <xf numFmtId="0" fontId="12" fillId="0" borderId="11" xfId="11" applyFont="1" applyFill="1" applyBorder="1" applyAlignment="1" applyProtection="1">
      <alignment horizontal="left" vertical="center" indent="1"/>
      <protection locked="0"/>
    </xf>
    <xf numFmtId="0" fontId="11" fillId="0" borderId="60" xfId="11" applyFont="1" applyFill="1" applyBorder="1" applyAlignment="1">
      <alignment horizontal="center"/>
    </xf>
    <xf numFmtId="0" fontId="11" fillId="0" borderId="2" xfId="11" applyFont="1" applyFill="1" applyBorder="1" applyAlignment="1">
      <alignment vertical="center"/>
    </xf>
    <xf numFmtId="0" fontId="11" fillId="0" borderId="25" xfId="11" applyFont="1" applyFill="1" applyBorder="1" applyAlignment="1">
      <alignment vertical="center"/>
    </xf>
    <xf numFmtId="0" fontId="11" fillId="0" borderId="61" xfId="11" applyFont="1" applyFill="1" applyBorder="1" applyAlignment="1">
      <alignment horizontal="center"/>
    </xf>
    <xf numFmtId="0" fontId="11" fillId="0" borderId="22" xfId="11" applyFont="1" applyFill="1" applyBorder="1" applyAlignment="1">
      <alignment vertical="center"/>
    </xf>
    <xf numFmtId="0" fontId="11" fillId="0" borderId="31" xfId="11" applyFont="1" applyFill="1" applyBorder="1" applyAlignment="1">
      <alignment vertical="center"/>
    </xf>
    <xf numFmtId="0" fontId="11" fillId="0" borderId="59" xfId="11" applyFont="1" applyFill="1" applyBorder="1" applyAlignment="1">
      <alignment horizontal="center"/>
    </xf>
    <xf numFmtId="0" fontId="11" fillId="0" borderId="4" xfId="11" applyFont="1" applyFill="1" applyBorder="1" applyAlignment="1">
      <alignment vertical="center"/>
    </xf>
    <xf numFmtId="0" fontId="11" fillId="0" borderId="26" xfId="11" applyFont="1" applyFill="1" applyBorder="1" applyAlignment="1">
      <alignment vertical="center"/>
    </xf>
    <xf numFmtId="0" fontId="11" fillId="0" borderId="55" xfId="11" applyFont="1" applyFill="1" applyBorder="1" applyAlignment="1">
      <alignment horizontal="center" vertical="center"/>
    </xf>
    <xf numFmtId="0" fontId="12" fillId="0" borderId="45" xfId="11" applyFont="1" applyFill="1" applyBorder="1" applyAlignment="1">
      <alignment horizontal="center" vertical="center"/>
    </xf>
    <xf numFmtId="0" fontId="12" fillId="0" borderId="61" xfId="11" applyFont="1" applyFill="1" applyBorder="1" applyAlignment="1">
      <alignment horizontal="center"/>
    </xf>
    <xf numFmtId="0" fontId="12" fillId="0" borderId="59" xfId="11" applyFont="1" applyFill="1" applyBorder="1" applyAlignment="1">
      <alignment horizontal="center" vertical="center"/>
    </xf>
    <xf numFmtId="0" fontId="12" fillId="0" borderId="4" xfId="11" applyFont="1" applyFill="1" applyBorder="1" applyAlignment="1" applyProtection="1">
      <alignment horizontal="left" vertical="center" indent="1"/>
      <protection locked="0"/>
    </xf>
    <xf numFmtId="0" fontId="12" fillId="0" borderId="26" xfId="11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3" fontId="11" fillId="0" borderId="56" xfId="11" applyNumberFormat="1" applyFont="1" applyBorder="1" applyAlignment="1">
      <alignment horizontal="center" vertical="center" wrapText="1"/>
    </xf>
    <xf numFmtId="3" fontId="12" fillId="0" borderId="52" xfId="11" applyNumberFormat="1" applyFont="1" applyBorder="1"/>
    <xf numFmtId="3" fontId="12" fillId="0" borderId="53" xfId="11" applyNumberFormat="1" applyFont="1" applyBorder="1"/>
    <xf numFmtId="3" fontId="6" fillId="0" borderId="53" xfId="11" applyNumberFormat="1" applyFont="1" applyBorder="1"/>
    <xf numFmtId="3" fontId="12" fillId="0" borderId="50" xfId="11" applyNumberFormat="1" applyFont="1" applyBorder="1"/>
    <xf numFmtId="3" fontId="12" fillId="0" borderId="58" xfId="11" applyNumberFormat="1" applyFont="1" applyBorder="1"/>
    <xf numFmtId="3" fontId="12" fillId="0" borderId="55" xfId="11" applyNumberFormat="1" applyFont="1" applyBorder="1"/>
    <xf numFmtId="3" fontId="12" fillId="0" borderId="56" xfId="11" applyNumberFormat="1" applyFont="1" applyBorder="1"/>
    <xf numFmtId="3" fontId="11" fillId="0" borderId="85" xfId="11" applyNumberFormat="1" applyFont="1" applyBorder="1"/>
    <xf numFmtId="3" fontId="11" fillId="0" borderId="85" xfId="11" applyNumberFormat="1" applyFont="1" applyFill="1" applyBorder="1"/>
    <xf numFmtId="3" fontId="11" fillId="2" borderId="85" xfId="11" applyNumberFormat="1" applyFont="1" applyFill="1" applyBorder="1"/>
    <xf numFmtId="3" fontId="11" fillId="2" borderId="58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47" fillId="0" borderId="0" xfId="11" applyFont="1" applyBorder="1" applyAlignment="1">
      <alignment horizontal="right" vertical="center"/>
    </xf>
    <xf numFmtId="3" fontId="15" fillId="0" borderId="5" xfId="11" applyNumberFormat="1" applyFont="1" applyFill="1" applyBorder="1" applyAlignment="1">
      <alignment vertical="top" wrapText="1"/>
    </xf>
    <xf numFmtId="3" fontId="16" fillId="0" borderId="5" xfId="11" applyNumberFormat="1" applyFont="1" applyBorder="1" applyAlignment="1">
      <alignment vertical="top"/>
    </xf>
    <xf numFmtId="3" fontId="16" fillId="0" borderId="5" xfId="11" applyNumberFormat="1" applyFont="1" applyFill="1" applyBorder="1" applyAlignment="1">
      <alignment vertical="top"/>
    </xf>
    <xf numFmtId="3" fontId="11" fillId="0" borderId="25" xfId="11" applyNumberFormat="1" applyFont="1" applyBorder="1" applyAlignment="1">
      <alignment horizontal="center" vertical="center" wrapText="1"/>
    </xf>
    <xf numFmtId="3" fontId="12" fillId="0" borderId="26" xfId="11" applyNumberFormat="1" applyFont="1" applyBorder="1"/>
    <xf numFmtId="3" fontId="12" fillId="0" borderId="27" xfId="11" applyNumberFormat="1" applyFont="1" applyBorder="1"/>
    <xf numFmtId="3" fontId="11" fillId="0" borderId="25" xfId="11" applyNumberFormat="1" applyFont="1" applyBorder="1"/>
    <xf numFmtId="3" fontId="6" fillId="0" borderId="27" xfId="11" applyNumberFormat="1" applyFont="1" applyBorder="1"/>
    <xf numFmtId="3" fontId="11" fillId="2" borderId="25" xfId="11" applyNumberFormat="1" applyFont="1" applyFill="1" applyBorder="1"/>
    <xf numFmtId="3" fontId="12" fillId="0" borderId="31" xfId="11" applyNumberFormat="1" applyFont="1" applyBorder="1"/>
    <xf numFmtId="3" fontId="12" fillId="0" borderId="28" xfId="11" applyNumberFormat="1" applyFont="1" applyBorder="1"/>
    <xf numFmtId="3" fontId="12" fillId="0" borderId="0" xfId="11" applyNumberFormat="1" applyFont="1" applyBorder="1"/>
    <xf numFmtId="3" fontId="12" fillId="0" borderId="25" xfId="11" applyNumberFormat="1" applyFont="1" applyBorder="1"/>
    <xf numFmtId="3" fontId="11" fillId="0" borderId="29" xfId="11" applyNumberFormat="1" applyFont="1" applyBorder="1"/>
    <xf numFmtId="3" fontId="11" fillId="0" borderId="29" xfId="11" applyNumberFormat="1" applyFont="1" applyFill="1" applyBorder="1"/>
    <xf numFmtId="3" fontId="11" fillId="2" borderId="29" xfId="11" applyNumberFormat="1" applyFont="1" applyFill="1" applyBorder="1"/>
    <xf numFmtId="3" fontId="11" fillId="2" borderId="28" xfId="11" applyNumberFormat="1" applyFont="1" applyFill="1" applyBorder="1"/>
    <xf numFmtId="3" fontId="15" fillId="0" borderId="60" xfId="0" applyNumberFormat="1" applyFont="1" applyBorder="1" applyAlignment="1">
      <alignment horizontal="center" vertical="center" wrapText="1"/>
    </xf>
    <xf numFmtId="3" fontId="17" fillId="0" borderId="45" xfId="0" applyNumberFormat="1" applyFont="1" applyFill="1" applyBorder="1"/>
    <xf numFmtId="3" fontId="16" fillId="0" borderId="45" xfId="0" applyNumberFormat="1" applyFont="1" applyFill="1" applyBorder="1"/>
    <xf numFmtId="3" fontId="15" fillId="0" borderId="43" xfId="0" applyNumberFormat="1" applyFont="1" applyFill="1" applyBorder="1"/>
    <xf numFmtId="3" fontId="16" fillId="0" borderId="51" xfId="0" applyNumberFormat="1" applyFont="1" applyFill="1" applyBorder="1"/>
    <xf numFmtId="3" fontId="15" fillId="0" borderId="83" xfId="0" applyNumberFormat="1" applyFont="1" applyBorder="1"/>
    <xf numFmtId="3" fontId="15" fillId="0" borderId="56" xfId="0" applyNumberFormat="1" applyFont="1" applyBorder="1"/>
    <xf numFmtId="3" fontId="16" fillId="0" borderId="52" xfId="0" applyNumberFormat="1" applyFont="1" applyBorder="1"/>
    <xf numFmtId="3" fontId="17" fillId="0" borderId="53" xfId="0" applyNumberFormat="1" applyFont="1" applyBorder="1"/>
    <xf numFmtId="3" fontId="16" fillId="0" borderId="53" xfId="0" applyNumberFormat="1" applyFont="1" applyBorder="1"/>
    <xf numFmtId="3" fontId="16" fillId="0" borderId="58" xfId="0" applyNumberFormat="1" applyFont="1" applyBorder="1"/>
    <xf numFmtId="3" fontId="17" fillId="0" borderId="58" xfId="0" applyNumberFormat="1" applyFont="1" applyBorder="1"/>
    <xf numFmtId="3" fontId="17" fillId="0" borderId="53" xfId="0" applyNumberFormat="1" applyFont="1" applyFill="1" applyBorder="1"/>
    <xf numFmtId="3" fontId="16" fillId="0" borderId="53" xfId="0" applyNumberFormat="1" applyFont="1" applyFill="1" applyBorder="1"/>
    <xf numFmtId="3" fontId="16" fillId="0" borderId="58" xfId="0" applyNumberFormat="1" applyFont="1" applyFill="1" applyBorder="1"/>
    <xf numFmtId="3" fontId="15" fillId="0" borderId="56" xfId="0" applyNumberFormat="1" applyFont="1" applyFill="1" applyBorder="1"/>
    <xf numFmtId="3" fontId="16" fillId="0" borderId="52" xfId="0" applyNumberFormat="1" applyFont="1" applyFill="1" applyBorder="1"/>
    <xf numFmtId="3" fontId="15" fillId="0" borderId="85" xfId="0" applyNumberFormat="1" applyFont="1" applyBorder="1"/>
    <xf numFmtId="3" fontId="18" fillId="0" borderId="44" xfId="0" applyNumberFormat="1" applyFont="1" applyBorder="1"/>
    <xf numFmtId="3" fontId="18" fillId="0" borderId="50" xfId="0" applyNumberFormat="1" applyFont="1" applyBorder="1"/>
    <xf numFmtId="164" fontId="15" fillId="0" borderId="44" xfId="0" applyNumberFormat="1" applyFont="1" applyBorder="1"/>
    <xf numFmtId="164" fontId="17" fillId="0" borderId="57" xfId="0" applyNumberFormat="1" applyFont="1" applyBorder="1"/>
    <xf numFmtId="164" fontId="15" fillId="0" borderId="57" xfId="0" applyNumberFormat="1" applyFont="1" applyBorder="1"/>
    <xf numFmtId="164" fontId="15" fillId="0" borderId="43" xfId="0" applyNumberFormat="1" applyFont="1" applyBorder="1"/>
    <xf numFmtId="3" fontId="16" fillId="0" borderId="101" xfId="0" applyNumberFormat="1" applyFont="1" applyBorder="1"/>
    <xf numFmtId="3" fontId="19" fillId="0" borderId="0" xfId="0" applyNumberFormat="1" applyFont="1" applyFill="1"/>
    <xf numFmtId="3" fontId="18" fillId="0" borderId="0" xfId="0" applyNumberFormat="1" applyFont="1" applyFill="1"/>
    <xf numFmtId="3" fontId="15" fillId="0" borderId="16" xfId="0" applyNumberFormat="1" applyFont="1" applyFill="1" applyBorder="1"/>
    <xf numFmtId="3" fontId="15" fillId="0" borderId="0" xfId="0" applyNumberFormat="1" applyFont="1" applyFill="1" applyBorder="1"/>
    <xf numFmtId="3" fontId="16" fillId="0" borderId="20" xfId="0" applyNumberFormat="1" applyFont="1" applyFill="1" applyBorder="1"/>
    <xf numFmtId="3" fontId="17" fillId="0" borderId="20" xfId="0" applyNumberFormat="1" applyFont="1" applyFill="1" applyBorder="1"/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Alignment="1">
      <alignment horizontal="right"/>
    </xf>
    <xf numFmtId="49" fontId="15" fillId="0" borderId="33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/>
    </xf>
    <xf numFmtId="49" fontId="15" fillId="0" borderId="41" xfId="0" applyNumberFormat="1" applyFont="1" applyFill="1" applyBorder="1" applyAlignment="1">
      <alignment horizontal="center"/>
    </xf>
    <xf numFmtId="49" fontId="15" fillId="0" borderId="42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84" xfId="0" applyNumberFormat="1" applyFont="1" applyBorder="1"/>
    <xf numFmtId="3" fontId="15" fillId="0" borderId="17" xfId="0" applyNumberFormat="1" applyFont="1" applyFill="1" applyBorder="1"/>
    <xf numFmtId="3" fontId="15" fillId="0" borderId="18" xfId="0" applyNumberFormat="1" applyFont="1" applyFill="1" applyBorder="1"/>
    <xf numFmtId="3" fontId="15" fillId="0" borderId="19" xfId="0" applyNumberFormat="1" applyFont="1" applyFill="1" applyBorder="1"/>
    <xf numFmtId="49" fontId="15" fillId="0" borderId="25" xfId="0" applyNumberFormat="1" applyFont="1" applyFill="1" applyBorder="1" applyAlignment="1">
      <alignment horizontal="left" indent="1"/>
    </xf>
    <xf numFmtId="3" fontId="15" fillId="0" borderId="60" xfId="0" applyNumberFormat="1" applyFont="1" applyBorder="1"/>
    <xf numFmtId="49" fontId="16" fillId="0" borderId="36" xfId="0" applyNumberFormat="1" applyFont="1" applyFill="1" applyBorder="1" applyAlignment="1">
      <alignment horizontal="center"/>
    </xf>
    <xf numFmtId="3" fontId="16" fillId="0" borderId="59" xfId="0" applyNumberFormat="1" applyFont="1" applyBorder="1"/>
    <xf numFmtId="3" fontId="15" fillId="0" borderId="9" xfId="0" applyNumberFormat="1" applyFont="1" applyFill="1" applyBorder="1"/>
    <xf numFmtId="3" fontId="15" fillId="0" borderId="4" xfId="0" applyNumberFormat="1" applyFont="1" applyFill="1" applyBorder="1"/>
    <xf numFmtId="3" fontId="15" fillId="0" borderId="6" xfId="0" applyNumberFormat="1" applyFont="1" applyFill="1" applyBorder="1"/>
    <xf numFmtId="49" fontId="16" fillId="0" borderId="37" xfId="0" applyNumberFormat="1" applyFont="1" applyFill="1" applyBorder="1" applyAlignment="1">
      <alignment horizontal="center"/>
    </xf>
    <xf numFmtId="49" fontId="16" fillId="0" borderId="27" xfId="0" applyNumberFormat="1" applyFont="1" applyFill="1" applyBorder="1" applyAlignment="1">
      <alignment horizontal="left" indent="2"/>
    </xf>
    <xf numFmtId="49" fontId="16" fillId="0" borderId="32" xfId="0" applyNumberFormat="1" applyFont="1" applyFill="1" applyBorder="1" applyAlignment="1">
      <alignment horizontal="center"/>
    </xf>
    <xf numFmtId="49" fontId="16" fillId="0" borderId="28" xfId="0" applyNumberFormat="1" applyFont="1" applyFill="1" applyBorder="1" applyAlignment="1">
      <alignment horizontal="left" indent="2"/>
    </xf>
    <xf numFmtId="49" fontId="17" fillId="0" borderId="32" xfId="0" applyNumberFormat="1" applyFont="1" applyFill="1" applyBorder="1" applyAlignment="1">
      <alignment horizontal="center"/>
    </xf>
    <xf numFmtId="49" fontId="17" fillId="0" borderId="28" xfId="0" applyNumberFormat="1" applyFont="1" applyFill="1" applyBorder="1" applyAlignment="1">
      <alignment horizontal="left" indent="2"/>
    </xf>
    <xf numFmtId="3" fontId="17" fillId="0" borderId="63" xfId="0" applyNumberFormat="1" applyFont="1" applyBorder="1"/>
    <xf numFmtId="3" fontId="17" fillId="0" borderId="11" xfId="0" applyNumberFormat="1" applyFont="1" applyFill="1" applyBorder="1"/>
    <xf numFmtId="3" fontId="17" fillId="0" borderId="12" xfId="0" applyNumberFormat="1" applyFont="1" applyFill="1" applyBorder="1"/>
    <xf numFmtId="49" fontId="15" fillId="0" borderId="25" xfId="0" applyNumberFormat="1" applyFont="1" applyFill="1" applyBorder="1"/>
    <xf numFmtId="49" fontId="15" fillId="0" borderId="25" xfId="0" applyNumberFormat="1" applyFont="1" applyFill="1" applyBorder="1" applyAlignment="1">
      <alignment horizontal="left"/>
    </xf>
    <xf numFmtId="49" fontId="15" fillId="0" borderId="38" xfId="0" applyNumberFormat="1" applyFont="1" applyFill="1" applyBorder="1" applyAlignment="1">
      <alignment horizontal="center"/>
    </xf>
    <xf numFmtId="49" fontId="15" fillId="0" borderId="29" xfId="0" applyNumberFormat="1" applyFont="1" applyFill="1" applyBorder="1"/>
    <xf numFmtId="3" fontId="15" fillId="0" borderId="91" xfId="0" applyNumberFormat="1" applyFont="1" applyBorder="1"/>
    <xf numFmtId="3" fontId="15" fillId="0" borderId="14" xfId="0" applyNumberFormat="1" applyFont="1" applyFill="1" applyBorder="1"/>
    <xf numFmtId="3" fontId="15" fillId="0" borderId="15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49" fontId="15" fillId="0" borderId="25" xfId="0" applyNumberFormat="1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/>
    </xf>
    <xf numFmtId="49" fontId="15" fillId="0" borderId="35" xfId="0" applyNumberFormat="1" applyFont="1" applyFill="1" applyBorder="1" applyAlignment="1">
      <alignment horizontal="center"/>
    </xf>
    <xf numFmtId="49" fontId="18" fillId="0" borderId="40" xfId="0" applyNumberFormat="1" applyFont="1" applyFill="1" applyBorder="1" applyAlignment="1">
      <alignment horizontal="center"/>
    </xf>
    <xf numFmtId="49" fontId="18" fillId="0" borderId="31" xfId="0" applyNumberFormat="1" applyFont="1" applyFill="1" applyBorder="1" applyAlignment="1">
      <alignment horizontal="left" indent="1"/>
    </xf>
    <xf numFmtId="3" fontId="18" fillId="0" borderId="61" xfId="0" applyNumberFormat="1" applyFont="1" applyBorder="1"/>
    <xf numFmtId="3" fontId="18" fillId="0" borderId="24" xfId="0" applyNumberFormat="1" applyFont="1" applyFill="1" applyBorder="1"/>
    <xf numFmtId="3" fontId="18" fillId="0" borderId="22" xfId="0" applyNumberFormat="1" applyFont="1" applyFill="1" applyBorder="1"/>
    <xf numFmtId="3" fontId="16" fillId="0" borderId="59" xfId="0" applyNumberFormat="1" applyFont="1" applyFill="1" applyBorder="1"/>
    <xf numFmtId="3" fontId="16" fillId="0" borderId="62" xfId="0" applyNumberFormat="1" applyFont="1" applyFill="1" applyBorder="1"/>
    <xf numFmtId="3" fontId="16" fillId="0" borderId="87" xfId="0" applyNumberFormat="1" applyFont="1" applyFill="1" applyBorder="1"/>
    <xf numFmtId="3" fontId="16" fillId="0" borderId="21" xfId="0" applyNumberFormat="1" applyFont="1" applyFill="1" applyBorder="1"/>
    <xf numFmtId="49" fontId="17" fillId="0" borderId="28" xfId="0" applyNumberFormat="1" applyFont="1" applyFill="1" applyBorder="1" applyAlignment="1">
      <alignment horizontal="left" indent="3"/>
    </xf>
    <xf numFmtId="49" fontId="16" fillId="0" borderId="26" xfId="0" applyNumberFormat="1" applyFont="1" applyFill="1" applyBorder="1"/>
    <xf numFmtId="49" fontId="16" fillId="0" borderId="39" xfId="0" applyNumberFormat="1" applyFont="1" applyFill="1" applyBorder="1" applyAlignment="1">
      <alignment horizontal="center"/>
    </xf>
    <xf numFmtId="49" fontId="16" fillId="0" borderId="30" xfId="0" applyNumberFormat="1" applyFont="1" applyFill="1" applyBorder="1"/>
    <xf numFmtId="3" fontId="16" fillId="0" borderId="8" xfId="0" applyNumberFormat="1" applyFont="1" applyFill="1" applyBorder="1"/>
    <xf numFmtId="49" fontId="17" fillId="0" borderId="39" xfId="0" applyNumberFormat="1" applyFont="1" applyFill="1" applyBorder="1" applyAlignment="1">
      <alignment horizontal="center"/>
    </xf>
    <xf numFmtId="49" fontId="17" fillId="0" borderId="30" xfId="0" applyNumberFormat="1" applyFont="1" applyFill="1" applyBorder="1" applyAlignment="1">
      <alignment horizontal="left" indent="3"/>
    </xf>
    <xf numFmtId="3" fontId="17" fillId="0" borderId="87" xfId="0" applyNumberFormat="1" applyFont="1" applyBorder="1"/>
    <xf numFmtId="3" fontId="17" fillId="0" borderId="21" xfId="0" applyNumberFormat="1" applyFont="1" applyFill="1" applyBorder="1"/>
    <xf numFmtId="3" fontId="17" fillId="0" borderId="8" xfId="0" applyNumberFormat="1" applyFont="1" applyFill="1" applyBorder="1"/>
    <xf numFmtId="49" fontId="15" fillId="0" borderId="40" xfId="0" applyNumberFormat="1" applyFont="1" applyFill="1" applyBorder="1" applyAlignment="1">
      <alignment horizontal="center"/>
    </xf>
    <xf numFmtId="49" fontId="15" fillId="0" borderId="31" xfId="0" applyNumberFormat="1" applyFont="1" applyFill="1" applyBorder="1"/>
    <xf numFmtId="164" fontId="15" fillId="0" borderId="61" xfId="0" applyNumberFormat="1" applyFont="1" applyBorder="1"/>
    <xf numFmtId="164" fontId="15" fillId="0" borderId="24" xfId="0" applyNumberFormat="1" applyFont="1" applyFill="1" applyBorder="1"/>
    <xf numFmtId="164" fontId="15" fillId="0" borderId="22" xfId="0" applyNumberFormat="1" applyFont="1" applyFill="1" applyBorder="1"/>
    <xf numFmtId="49" fontId="15" fillId="0" borderId="32" xfId="0" applyNumberFormat="1" applyFont="1" applyFill="1" applyBorder="1" applyAlignment="1">
      <alignment horizontal="center"/>
    </xf>
    <xf numFmtId="49" fontId="15" fillId="0" borderId="28" xfId="0" applyNumberFormat="1" applyFont="1" applyFill="1" applyBorder="1"/>
    <xf numFmtId="164" fontId="15" fillId="0" borderId="63" xfId="0" applyNumberFormat="1" applyFont="1" applyBorder="1"/>
    <xf numFmtId="164" fontId="15" fillId="0" borderId="11" xfId="0" applyNumberFormat="1" applyFont="1" applyFill="1" applyBorder="1"/>
    <xf numFmtId="164" fontId="15" fillId="0" borderId="12" xfId="0" applyNumberFormat="1" applyFont="1" applyFill="1" applyBorder="1"/>
    <xf numFmtId="164" fontId="15" fillId="0" borderId="60" xfId="0" applyNumberFormat="1" applyFont="1" applyBorder="1"/>
    <xf numFmtId="164" fontId="15" fillId="0" borderId="1" xfId="0" applyNumberFormat="1" applyFont="1" applyFill="1" applyBorder="1"/>
    <xf numFmtId="164" fontId="15" fillId="0" borderId="2" xfId="0" applyNumberFormat="1" applyFont="1" applyFill="1" applyBorder="1"/>
    <xf numFmtId="3" fontId="17" fillId="0" borderId="101" xfId="0" applyNumberFormat="1" applyFont="1" applyBorder="1"/>
    <xf numFmtId="164" fontId="15" fillId="0" borderId="50" xfId="0" applyNumberFormat="1" applyFont="1" applyBorder="1"/>
    <xf numFmtId="164" fontId="17" fillId="0" borderId="58" xfId="0" applyNumberFormat="1" applyFont="1" applyBorder="1"/>
    <xf numFmtId="164" fontId="15" fillId="0" borderId="58" xfId="0" applyNumberFormat="1" applyFont="1" applyBorder="1"/>
    <xf numFmtId="164" fontId="15" fillId="0" borderId="56" xfId="0" applyNumberFormat="1" applyFont="1" applyBorder="1"/>
    <xf numFmtId="3" fontId="17" fillId="2" borderId="53" xfId="0" applyNumberFormat="1" applyFont="1" applyFill="1" applyBorder="1"/>
    <xf numFmtId="3" fontId="16" fillId="0" borderId="50" xfId="0" applyNumberFormat="1" applyFont="1" applyBorder="1"/>
    <xf numFmtId="3" fontId="15" fillId="0" borderId="43" xfId="0" applyNumberFormat="1" applyFont="1" applyBorder="1" applyAlignment="1">
      <alignment horizontal="right"/>
    </xf>
    <xf numFmtId="3" fontId="15" fillId="0" borderId="56" xfId="0" applyNumberFormat="1" applyFont="1" applyBorder="1" applyAlignment="1">
      <alignment horizontal="right"/>
    </xf>
    <xf numFmtId="164" fontId="12" fillId="0" borderId="50" xfId="11" applyNumberFormat="1" applyFont="1" applyBorder="1" applyAlignment="1">
      <alignment horizontal="center" vertical="center"/>
    </xf>
    <xf numFmtId="164" fontId="12" fillId="0" borderId="23" xfId="11" applyNumberFormat="1" applyFont="1" applyBorder="1" applyAlignment="1">
      <alignment horizontal="center" vertical="center"/>
    </xf>
    <xf numFmtId="164" fontId="11" fillId="0" borderId="23" xfId="11" applyNumberFormat="1" applyFont="1" applyBorder="1" applyAlignment="1"/>
    <xf numFmtId="164" fontId="11" fillId="0" borderId="23" xfId="11" applyNumberFormat="1" applyFont="1" applyFill="1" applyBorder="1" applyAlignment="1"/>
    <xf numFmtId="164" fontId="12" fillId="0" borderId="6" xfId="11" applyNumberFormat="1" applyFont="1" applyBorder="1" applyAlignment="1"/>
    <xf numFmtId="4" fontId="12" fillId="0" borderId="23" xfId="11" applyNumberFormat="1" applyFont="1" applyBorder="1" applyAlignment="1">
      <alignment horizontal="center" vertical="center"/>
    </xf>
    <xf numFmtId="166" fontId="11" fillId="0" borderId="43" xfId="0" applyNumberFormat="1" applyFont="1" applyBorder="1"/>
    <xf numFmtId="4" fontId="12" fillId="0" borderId="50" xfId="11" applyNumberFormat="1" applyFont="1" applyBorder="1" applyAlignment="1">
      <alignment horizontal="center" vertical="center"/>
    </xf>
    <xf numFmtId="164" fontId="12" fillId="0" borderId="52" xfId="11" applyNumberFormat="1" applyFont="1" applyFill="1" applyBorder="1" applyAlignment="1"/>
    <xf numFmtId="166" fontId="11" fillId="0" borderId="56" xfId="0" applyNumberFormat="1" applyFont="1" applyBorder="1"/>
    <xf numFmtId="3" fontId="12" fillId="0" borderId="44" xfId="11" applyNumberFormat="1" applyFont="1" applyFill="1" applyBorder="1" applyAlignment="1" applyProtection="1">
      <alignment vertical="center"/>
      <protection locked="0"/>
    </xf>
    <xf numFmtId="3" fontId="21" fillId="0" borderId="45" xfId="11" applyNumberFormat="1" applyFont="1" applyFill="1" applyBorder="1" applyAlignment="1" applyProtection="1">
      <alignment vertical="center"/>
      <protection locked="0"/>
    </xf>
    <xf numFmtId="3" fontId="12" fillId="0" borderId="45" xfId="11" applyNumberFormat="1" applyFont="1" applyFill="1" applyBorder="1" applyAlignment="1" applyProtection="1">
      <alignment vertical="center"/>
      <protection locked="0"/>
    </xf>
    <xf numFmtId="3" fontId="11" fillId="0" borderId="43" xfId="11" applyNumberFormat="1" applyFont="1" applyFill="1" applyBorder="1" applyAlignment="1">
      <alignment vertical="center"/>
    </xf>
    <xf numFmtId="3" fontId="12" fillId="0" borderId="57" xfId="11" applyNumberFormat="1" applyFont="1" applyFill="1" applyBorder="1" applyAlignment="1" applyProtection="1">
      <alignment vertical="center"/>
      <protection locked="0"/>
    </xf>
    <xf numFmtId="3" fontId="11" fillId="0" borderId="2" xfId="11" applyNumberFormat="1" applyFont="1" applyFill="1" applyBorder="1" applyAlignment="1">
      <alignment vertical="center"/>
    </xf>
    <xf numFmtId="3" fontId="21" fillId="0" borderId="57" xfId="11" applyNumberFormat="1" applyFont="1" applyFill="1" applyBorder="1" applyAlignment="1" applyProtection="1">
      <alignment vertical="center"/>
      <protection locked="0"/>
    </xf>
    <xf numFmtId="3" fontId="21" fillId="0" borderId="58" xfId="11" applyNumberFormat="1" applyFont="1" applyFill="1" applyBorder="1" applyAlignment="1" applyProtection="1">
      <alignment vertical="center"/>
      <protection locked="0"/>
    </xf>
    <xf numFmtId="3" fontId="11" fillId="0" borderId="43" xfId="11" applyNumberFormat="1" applyFont="1" applyFill="1" applyBorder="1" applyAlignment="1" applyProtection="1">
      <alignment vertical="center"/>
      <protection locked="0"/>
    </xf>
    <xf numFmtId="3" fontId="11" fillId="0" borderId="56" xfId="11" applyNumberFormat="1" applyFont="1" applyFill="1" applyBorder="1" applyAlignment="1" applyProtection="1">
      <alignment vertical="center"/>
      <protection locked="0"/>
    </xf>
    <xf numFmtId="3" fontId="12" fillId="0" borderId="22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12" xfId="11" applyNumberFormat="1" applyFont="1" applyFill="1" applyBorder="1" applyAlignment="1" applyProtection="1">
      <alignment vertical="center"/>
      <protection locked="0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3" xfId="11" applyNumberFormat="1" applyFont="1" applyBorder="1" applyAlignment="1">
      <alignment wrapText="1"/>
    </xf>
    <xf numFmtId="3" fontId="11" fillId="0" borderId="88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6" xfId="11" applyNumberFormat="1" applyFont="1" applyBorder="1" applyAlignment="1">
      <alignment wrapText="1"/>
    </xf>
    <xf numFmtId="3" fontId="12" fillId="0" borderId="106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1" fillId="0" borderId="56" xfId="11" applyNumberFormat="1" applyFont="1" applyBorder="1" applyAlignment="1">
      <alignment wrapText="1"/>
    </xf>
    <xf numFmtId="3" fontId="11" fillId="0" borderId="85" xfId="11" applyNumberFormat="1" applyFont="1" applyBorder="1" applyAlignment="1">
      <alignment wrapText="1"/>
    </xf>
    <xf numFmtId="167" fontId="12" fillId="0" borderId="44" xfId="1" applyNumberFormat="1" applyFont="1" applyFill="1" applyBorder="1" applyProtection="1">
      <protection locked="0"/>
    </xf>
    <xf numFmtId="167" fontId="12" fillId="0" borderId="45" xfId="1" applyNumberFormat="1" applyFont="1" applyFill="1" applyBorder="1" applyProtection="1">
      <protection locked="0"/>
    </xf>
    <xf numFmtId="167" fontId="12" fillId="0" borderId="57" xfId="1" applyNumberFormat="1" applyFont="1" applyFill="1" applyBorder="1" applyProtection="1">
      <protection locked="0"/>
    </xf>
    <xf numFmtId="167" fontId="11" fillId="0" borderId="43" xfId="1" applyNumberFormat="1" applyFont="1" applyFill="1" applyBorder="1" applyProtection="1"/>
    <xf numFmtId="167" fontId="12" fillId="0" borderId="50" xfId="1" applyNumberFormat="1" applyFont="1" applyFill="1" applyBorder="1" applyProtection="1">
      <protection locked="0"/>
    </xf>
    <xf numFmtId="167" fontId="12" fillId="0" borderId="53" xfId="1" applyNumberFormat="1" applyFont="1" applyFill="1" applyBorder="1" applyProtection="1">
      <protection locked="0"/>
    </xf>
    <xf numFmtId="167" fontId="12" fillId="0" borderId="58" xfId="1" applyNumberFormat="1" applyFont="1" applyFill="1" applyBorder="1" applyProtection="1">
      <protection locked="0"/>
    </xf>
    <xf numFmtId="167" fontId="11" fillId="0" borderId="56" xfId="1" applyNumberFormat="1" applyFont="1" applyFill="1" applyBorder="1" applyProtection="1"/>
    <xf numFmtId="0" fontId="12" fillId="0" borderId="50" xfId="31" applyFont="1" applyFill="1" applyBorder="1" applyAlignment="1" applyProtection="1">
      <alignment horizontal="left"/>
      <protection locked="0"/>
    </xf>
    <xf numFmtId="3" fontId="12" fillId="0" borderId="50" xfId="11" applyNumberFormat="1" applyFont="1" applyFill="1" applyBorder="1" applyAlignment="1" applyProtection="1">
      <alignment vertical="center" wrapText="1"/>
      <protection locked="0"/>
    </xf>
    <xf numFmtId="3" fontId="12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50" xfId="33" applyNumberFormat="1" applyFont="1" applyFill="1" applyBorder="1" applyAlignment="1" applyProtection="1">
      <alignment vertical="center"/>
      <protection locked="0"/>
    </xf>
    <xf numFmtId="3" fontId="11" fillId="0" borderId="52" xfId="33" applyNumberFormat="1" applyFont="1" applyFill="1" applyBorder="1" applyAlignment="1" applyProtection="1">
      <alignment vertical="center"/>
      <protection locked="0"/>
    </xf>
    <xf numFmtId="3" fontId="11" fillId="0" borderId="53" xfId="33" applyNumberFormat="1" applyFont="1" applyFill="1" applyBorder="1" applyAlignment="1" applyProtection="1">
      <alignment vertical="center"/>
      <protection locked="0"/>
    </xf>
    <xf numFmtId="3" fontId="11" fillId="0" borderId="58" xfId="33" applyNumberFormat="1" applyFont="1" applyFill="1" applyBorder="1" applyAlignment="1" applyProtection="1">
      <alignment vertical="center"/>
      <protection locked="0"/>
    </xf>
    <xf numFmtId="3" fontId="15" fillId="0" borderId="25" xfId="0" applyNumberFormat="1" applyFont="1" applyBorder="1"/>
    <xf numFmtId="3" fontId="16" fillId="0" borderId="26" xfId="0" applyNumberFormat="1" applyFont="1" applyBorder="1"/>
    <xf numFmtId="3" fontId="17" fillId="0" borderId="27" xfId="0" applyNumberFormat="1" applyFont="1" applyBorder="1"/>
    <xf numFmtId="3" fontId="16" fillId="0" borderId="27" xfId="0" applyNumberFormat="1" applyFont="1" applyBorder="1"/>
    <xf numFmtId="3" fontId="16" fillId="0" borderId="28" xfId="0" applyNumberFormat="1" applyFont="1" applyBorder="1"/>
    <xf numFmtId="3" fontId="17" fillId="0" borderId="28" xfId="0" applyNumberFormat="1" applyFont="1" applyBorder="1"/>
    <xf numFmtId="3" fontId="15" fillId="0" borderId="35" xfId="0" applyNumberFormat="1" applyFont="1" applyBorder="1"/>
    <xf numFmtId="3" fontId="16" fillId="0" borderId="31" xfId="0" applyNumberFormat="1" applyFont="1" applyBorder="1"/>
    <xf numFmtId="3" fontId="17" fillId="2" borderId="27" xfId="0" applyNumberFormat="1" applyFont="1" applyFill="1" applyBorder="1"/>
    <xf numFmtId="3" fontId="15" fillId="0" borderId="29" xfId="0" applyNumberFormat="1" applyFont="1" applyBorder="1"/>
    <xf numFmtId="3" fontId="15" fillId="0" borderId="56" xfId="0" applyNumberFormat="1" applyFont="1" applyBorder="1" applyAlignment="1">
      <alignment horizontal="center" vertical="center" wrapText="1"/>
    </xf>
    <xf numFmtId="3" fontId="15" fillId="0" borderId="55" xfId="0" applyNumberFormat="1" applyFont="1" applyBorder="1"/>
    <xf numFmtId="3" fontId="18" fillId="0" borderId="31" xfId="0" applyNumberFormat="1" applyFont="1" applyBorder="1"/>
    <xf numFmtId="3" fontId="16" fillId="0" borderId="30" xfId="0" applyNumberFormat="1" applyFont="1" applyBorder="1"/>
    <xf numFmtId="3" fontId="17" fillId="0" borderId="30" xfId="0" applyNumberFormat="1" applyFont="1" applyBorder="1"/>
    <xf numFmtId="164" fontId="15" fillId="0" borderId="31" xfId="0" applyNumberFormat="1" applyFont="1" applyBorder="1"/>
    <xf numFmtId="164" fontId="17" fillId="0" borderId="28" xfId="0" applyNumberFormat="1" applyFont="1" applyBorder="1"/>
    <xf numFmtId="164" fontId="15" fillId="0" borderId="28" xfId="0" applyNumberFormat="1" applyFont="1" applyBorder="1"/>
    <xf numFmtId="164" fontId="15" fillId="0" borderId="25" xfId="0" applyNumberFormat="1" applyFont="1" applyBorder="1"/>
    <xf numFmtId="3" fontId="12" fillId="0" borderId="55" xfId="11" applyNumberFormat="1" applyFont="1" applyFill="1" applyBorder="1" applyAlignment="1">
      <alignment vertical="center" wrapText="1"/>
    </xf>
    <xf numFmtId="3" fontId="12" fillId="0" borderId="58" xfId="11" applyNumberFormat="1" applyFont="1" applyFill="1" applyBorder="1" applyAlignment="1">
      <alignment vertical="center" wrapText="1"/>
    </xf>
    <xf numFmtId="3" fontId="21" fillId="0" borderId="58" xfId="11" applyNumberFormat="1" applyFont="1" applyFill="1" applyBorder="1" applyAlignment="1">
      <alignment vertical="center" wrapText="1"/>
    </xf>
    <xf numFmtId="3" fontId="46" fillId="0" borderId="58" xfId="11" applyNumberFormat="1" applyFont="1" applyFill="1" applyBorder="1" applyAlignment="1">
      <alignment vertical="center" wrapText="1"/>
    </xf>
    <xf numFmtId="3" fontId="12" fillId="0" borderId="5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2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53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5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3" xfId="11" applyNumberFormat="1" applyFont="1" applyFill="1" applyBorder="1" applyAlignment="1">
      <alignment vertical="center" wrapText="1"/>
    </xf>
    <xf numFmtId="3" fontId="11" fillId="0" borderId="85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11" applyNumberFormat="1" applyFont="1" applyFill="1" applyBorder="1" applyAlignment="1" applyProtection="1">
      <alignment horizontal="right" vertical="center" wrapText="1"/>
      <protection locked="0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3" fontId="10" fillId="0" borderId="88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 applyProtection="1">
      <alignment vertical="center" wrapText="1"/>
    </xf>
    <xf numFmtId="165" fontId="11" fillId="0" borderId="19" xfId="11" applyNumberFormat="1" applyFont="1" applyFill="1" applyBorder="1" applyAlignment="1" applyProtection="1">
      <alignment horizontal="center" vertical="center" wrapText="1"/>
    </xf>
    <xf numFmtId="3" fontId="10" fillId="0" borderId="16" xfId="11" applyNumberFormat="1" applyFont="1" applyFill="1" applyBorder="1" applyAlignment="1" applyProtection="1">
      <alignment vertical="center" wrapText="1"/>
      <protection locked="0"/>
    </xf>
    <xf numFmtId="165" fontId="11" fillId="0" borderId="83" xfId="11" applyNumberFormat="1" applyFont="1" applyFill="1" applyBorder="1" applyAlignment="1" applyProtection="1">
      <alignment horizontal="center" vertical="center" wrapText="1"/>
    </xf>
    <xf numFmtId="165" fontId="11" fillId="0" borderId="44" xfId="11" applyNumberFormat="1" applyFont="1" applyFill="1" applyBorder="1" applyAlignment="1" applyProtection="1">
      <alignment horizontal="center" vertical="center" wrapText="1"/>
    </xf>
    <xf numFmtId="165" fontId="11" fillId="0" borderId="23" xfId="11" applyNumberFormat="1" applyFont="1" applyFill="1" applyBorder="1" applyAlignment="1" applyProtection="1">
      <alignment horizontal="center" vertical="center" wrapText="1"/>
    </xf>
    <xf numFmtId="0" fontId="11" fillId="0" borderId="54" xfId="11" applyFont="1" applyFill="1" applyBorder="1" applyAlignment="1">
      <alignment vertical="center" wrapText="1"/>
    </xf>
    <xf numFmtId="3" fontId="11" fillId="0" borderId="44" xfId="11" applyNumberFormat="1" applyFont="1" applyFill="1" applyBorder="1" applyAlignment="1">
      <alignment vertical="center"/>
    </xf>
    <xf numFmtId="3" fontId="11" fillId="0" borderId="51" xfId="11" applyNumberFormat="1" applyFont="1" applyFill="1" applyBorder="1" applyAlignment="1">
      <alignment vertical="center"/>
    </xf>
    <xf numFmtId="0" fontId="11" fillId="0" borderId="54" xfId="11" applyFont="1" applyFill="1" applyBorder="1" applyAlignment="1">
      <alignment horizontal="center" vertical="center" wrapText="1"/>
    </xf>
    <xf numFmtId="3" fontId="12" fillId="0" borderId="51" xfId="11" applyNumberFormat="1" applyFont="1" applyFill="1" applyBorder="1" applyAlignment="1" applyProtection="1">
      <alignment vertical="center"/>
      <protection locked="0"/>
    </xf>
    <xf numFmtId="3" fontId="11" fillId="0" borderId="23" xfId="11" applyNumberFormat="1" applyFont="1" applyFill="1" applyBorder="1" applyAlignment="1">
      <alignment vertical="center"/>
    </xf>
    <xf numFmtId="0" fontId="11" fillId="0" borderId="55" xfId="11" applyFont="1" applyFill="1" applyBorder="1" applyAlignment="1">
      <alignment vertical="center" wrapText="1"/>
    </xf>
    <xf numFmtId="3" fontId="11" fillId="0" borderId="50" xfId="11" applyNumberFormat="1" applyFont="1" applyFill="1" applyBorder="1" applyAlignment="1">
      <alignment vertical="center"/>
    </xf>
    <xf numFmtId="0" fontId="11" fillId="0" borderId="55" xfId="11" applyFont="1" applyFill="1" applyBorder="1" applyAlignment="1">
      <alignment horizontal="center" vertical="center" wrapText="1"/>
    </xf>
    <xf numFmtId="3" fontId="12" fillId="0" borderId="52" xfId="11" applyNumberFormat="1" applyFont="1" applyFill="1" applyBorder="1" applyAlignment="1" applyProtection="1">
      <alignment vertical="center"/>
      <protection locked="0"/>
    </xf>
    <xf numFmtId="3" fontId="11" fillId="0" borderId="60" xfId="31" applyNumberFormat="1" applyFont="1" applyFill="1" applyBorder="1" applyAlignment="1" applyProtection="1">
      <alignment horizontal="center" vertical="center" wrapText="1"/>
    </xf>
    <xf numFmtId="3" fontId="11" fillId="0" borderId="2" xfId="31" applyNumberFormat="1" applyFont="1" applyFill="1" applyBorder="1" applyAlignment="1" applyProtection="1">
      <alignment horizontal="center" vertical="center" wrapText="1"/>
    </xf>
    <xf numFmtId="3" fontId="11" fillId="0" borderId="5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9" xfId="11" applyNumberFormat="1" applyFont="1" applyFill="1" applyBorder="1" applyAlignment="1" applyProtection="1">
      <alignment horizontal="right" wrapText="1"/>
      <protection locked="0"/>
    </xf>
    <xf numFmtId="3" fontId="11" fillId="0" borderId="4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3" xfId="11" applyNumberFormat="1" applyFont="1" applyBorder="1" applyAlignment="1">
      <alignment horizontal="center" vertical="center" wrapText="1"/>
    </xf>
    <xf numFmtId="3" fontId="15" fillId="2" borderId="60" xfId="11" applyNumberFormat="1" applyFont="1" applyFill="1" applyBorder="1" applyAlignment="1">
      <alignment vertical="top" wrapText="1"/>
    </xf>
    <xf numFmtId="3" fontId="15" fillId="2" borderId="2" xfId="11" applyNumberFormat="1" applyFont="1" applyFill="1" applyBorder="1" applyAlignment="1">
      <alignment vertical="top" wrapText="1"/>
    </xf>
    <xf numFmtId="3" fontId="15" fillId="2" borderId="3" xfId="11" applyNumberFormat="1" applyFont="1" applyFill="1" applyBorder="1" applyAlignment="1">
      <alignment vertical="top" wrapText="1"/>
    </xf>
    <xf numFmtId="10" fontId="48" fillId="0" borderId="0" xfId="36" applyNumberFormat="1" applyFont="1" applyAlignment="1">
      <alignment horizontal="center"/>
    </xf>
    <xf numFmtId="10" fontId="18" fillId="0" borderId="0" xfId="36" applyNumberFormat="1" applyFont="1" applyAlignment="1">
      <alignment horizontal="center"/>
    </xf>
    <xf numFmtId="10" fontId="18" fillId="0" borderId="41" xfId="36" applyNumberFormat="1" applyFont="1" applyBorder="1" applyAlignment="1">
      <alignment horizontal="center" vertical="center" wrapText="1"/>
    </xf>
    <xf numFmtId="3" fontId="15" fillId="0" borderId="83" xfId="0" applyNumberFormat="1" applyFont="1" applyFill="1" applyBorder="1"/>
    <xf numFmtId="10" fontId="18" fillId="0" borderId="46" xfId="36" applyNumberFormat="1" applyFont="1" applyBorder="1" applyAlignment="1">
      <alignment horizontal="center"/>
    </xf>
    <xf numFmtId="10" fontId="18" fillId="0" borderId="3" xfId="36" applyNumberFormat="1" applyFont="1" applyBorder="1" applyAlignment="1">
      <alignment horizontal="center"/>
    </xf>
    <xf numFmtId="10" fontId="17" fillId="0" borderId="6" xfId="36" applyNumberFormat="1" applyFont="1" applyBorder="1" applyAlignment="1">
      <alignment horizontal="center"/>
    </xf>
    <xf numFmtId="10" fontId="17" fillId="0" borderId="7" xfId="36" applyNumberFormat="1" applyFont="1" applyBorder="1" applyAlignment="1">
      <alignment horizontal="center"/>
    </xf>
    <xf numFmtId="10" fontId="17" fillId="0" borderId="7" xfId="36" applyNumberFormat="1" applyFont="1" applyFill="1" applyBorder="1" applyAlignment="1">
      <alignment horizontal="center"/>
    </xf>
    <xf numFmtId="10" fontId="17" fillId="0" borderId="13" xfId="36" applyNumberFormat="1" applyFont="1" applyBorder="1" applyAlignment="1">
      <alignment horizontal="center"/>
    </xf>
    <xf numFmtId="3" fontId="17" fillId="0" borderId="58" xfId="0" applyNumberFormat="1" applyFont="1" applyFill="1" applyBorder="1"/>
    <xf numFmtId="3" fontId="15" fillId="0" borderId="85" xfId="0" applyNumberFormat="1" applyFont="1" applyFill="1" applyBorder="1"/>
    <xf numFmtId="10" fontId="18" fillId="0" borderId="16" xfId="36" applyNumberFormat="1" applyFont="1" applyBorder="1" applyAlignment="1">
      <alignment horizontal="center"/>
    </xf>
    <xf numFmtId="10" fontId="18" fillId="0" borderId="0" xfId="36" applyNumberFormat="1" applyFont="1" applyBorder="1" applyAlignment="1">
      <alignment horizontal="center"/>
    </xf>
    <xf numFmtId="3" fontId="18" fillId="0" borderId="50" xfId="0" applyNumberFormat="1" applyFont="1" applyFill="1" applyBorder="1"/>
    <xf numFmtId="10" fontId="18" fillId="0" borderId="23" xfId="36" applyNumberFormat="1" applyFont="1" applyBorder="1" applyAlignment="1">
      <alignment horizontal="center"/>
    </xf>
    <xf numFmtId="10" fontId="17" fillId="0" borderId="0" xfId="36" applyNumberFormat="1" applyFont="1" applyAlignment="1">
      <alignment horizontal="center"/>
    </xf>
    <xf numFmtId="3" fontId="16" fillId="0" borderId="101" xfId="0" applyNumberFormat="1" applyFont="1" applyFill="1" applyBorder="1"/>
    <xf numFmtId="10" fontId="17" fillId="0" borderId="20" xfId="36" applyNumberFormat="1" applyFont="1" applyBorder="1" applyAlignment="1">
      <alignment horizontal="center"/>
    </xf>
    <xf numFmtId="3" fontId="17" fillId="0" borderId="101" xfId="0" applyNumberFormat="1" applyFont="1" applyFill="1" applyBorder="1"/>
    <xf numFmtId="164" fontId="15" fillId="0" borderId="50" xfId="0" applyNumberFormat="1" applyFont="1" applyFill="1" applyBorder="1"/>
    <xf numFmtId="164" fontId="17" fillId="0" borderId="58" xfId="0" applyNumberFormat="1" applyFont="1" applyFill="1" applyBorder="1"/>
    <xf numFmtId="164" fontId="15" fillId="0" borderId="58" xfId="0" applyNumberFormat="1" applyFont="1" applyFill="1" applyBorder="1"/>
    <xf numFmtId="10" fontId="18" fillId="0" borderId="13" xfId="36" applyNumberFormat="1" applyFont="1" applyBorder="1" applyAlignment="1">
      <alignment horizontal="center"/>
    </xf>
    <xf numFmtId="164" fontId="15" fillId="0" borderId="56" xfId="0" applyNumberFormat="1" applyFont="1" applyFill="1" applyBorder="1"/>
    <xf numFmtId="10" fontId="17" fillId="2" borderId="7" xfId="36" applyNumberFormat="1" applyFont="1" applyFill="1" applyBorder="1" applyAlignment="1">
      <alignment horizontal="center"/>
    </xf>
    <xf numFmtId="10" fontId="18" fillId="0" borderId="93" xfId="36" applyNumberFormat="1" applyFont="1" applyBorder="1" applyAlignment="1">
      <alignment horizontal="center"/>
    </xf>
    <xf numFmtId="10" fontId="18" fillId="0" borderId="41" xfId="36" applyNumberFormat="1" applyFont="1" applyBorder="1" applyAlignment="1">
      <alignment horizontal="center"/>
    </xf>
    <xf numFmtId="10" fontId="17" fillId="0" borderId="94" xfId="36" applyNumberFormat="1" applyFont="1" applyBorder="1" applyAlignment="1">
      <alignment horizontal="center"/>
    </xf>
    <xf numFmtId="10" fontId="17" fillId="0" borderId="95" xfId="36" applyNumberFormat="1" applyFont="1" applyBorder="1" applyAlignment="1">
      <alignment horizontal="center"/>
    </xf>
    <xf numFmtId="10" fontId="17" fillId="0" borderId="95" xfId="36" applyNumberFormat="1" applyFont="1" applyFill="1" applyBorder="1" applyAlignment="1">
      <alignment horizontal="center"/>
    </xf>
    <xf numFmtId="10" fontId="17" fillId="0" borderId="86" xfId="36" applyNumberFormat="1" applyFont="1" applyBorder="1" applyAlignment="1">
      <alignment horizontal="center"/>
    </xf>
    <xf numFmtId="10" fontId="18" fillId="0" borderId="98" xfId="36" applyNumberFormat="1" applyFont="1" applyBorder="1" applyAlignment="1">
      <alignment horizontal="center"/>
    </xf>
    <xf numFmtId="10" fontId="17" fillId="0" borderId="23" xfId="36" applyNumberFormat="1" applyFont="1" applyBorder="1" applyAlignment="1">
      <alignment horizontal="center"/>
    </xf>
    <xf numFmtId="4" fontId="7" fillId="0" borderId="0" xfId="11" applyNumberFormat="1" applyFont="1" applyFill="1" applyAlignment="1">
      <alignment horizontal="right"/>
    </xf>
    <xf numFmtId="10" fontId="10" fillId="0" borderId="7" xfId="36" applyNumberFormat="1" applyFont="1" applyBorder="1" applyAlignment="1">
      <alignment horizontal="center"/>
    </xf>
    <xf numFmtId="10" fontId="21" fillId="0" borderId="7" xfId="36" applyNumberFormat="1" applyFont="1" applyBorder="1" applyAlignment="1">
      <alignment horizontal="center"/>
    </xf>
    <xf numFmtId="10" fontId="10" fillId="0" borderId="6" xfId="36" applyNumberFormat="1" applyFont="1" applyBorder="1" applyAlignment="1">
      <alignment horizontal="center"/>
    </xf>
    <xf numFmtId="10" fontId="21" fillId="0" borderId="20" xfId="36" applyNumberFormat="1" applyFont="1" applyBorder="1" applyAlignment="1">
      <alignment horizontal="center"/>
    </xf>
    <xf numFmtId="10" fontId="10" fillId="0" borderId="3" xfId="36" applyNumberFormat="1" applyFont="1" applyBorder="1" applyAlignment="1">
      <alignment horizontal="center"/>
    </xf>
    <xf numFmtId="166" fontId="11" fillId="0" borderId="41" xfId="0" applyNumberFormat="1" applyFont="1" applyBorder="1"/>
    <xf numFmtId="10" fontId="18" fillId="0" borderId="41" xfId="36" applyNumberFormat="1" applyFont="1" applyFill="1" applyBorder="1" applyAlignment="1">
      <alignment horizontal="center" vertical="center" wrapText="1"/>
    </xf>
    <xf numFmtId="10" fontId="21" fillId="0" borderId="23" xfId="36" applyNumberFormat="1" applyFont="1" applyFill="1" applyBorder="1" applyAlignment="1" applyProtection="1">
      <alignment horizontal="center" vertical="center"/>
      <protection locked="0"/>
    </xf>
    <xf numFmtId="10" fontId="21" fillId="0" borderId="7" xfId="36" applyNumberFormat="1" applyFont="1" applyFill="1" applyBorder="1" applyAlignment="1" applyProtection="1">
      <alignment horizontal="center" vertical="center"/>
      <protection locked="0"/>
    </xf>
    <xf numFmtId="10" fontId="10" fillId="0" borderId="3" xfId="36" applyNumberFormat="1" applyFont="1" applyFill="1" applyBorder="1" applyAlignment="1">
      <alignment horizontal="center" vertical="center"/>
    </xf>
    <xf numFmtId="10" fontId="21" fillId="0" borderId="13" xfId="36" applyNumberFormat="1" applyFont="1" applyFill="1" applyBorder="1" applyAlignment="1" applyProtection="1">
      <alignment horizontal="center" vertical="center"/>
      <protection locked="0"/>
    </xf>
    <xf numFmtId="10" fontId="49" fillId="0" borderId="0" xfId="36" applyNumberFormat="1" applyFont="1" applyAlignment="1">
      <alignment horizontal="center"/>
    </xf>
    <xf numFmtId="10" fontId="21" fillId="0" borderId="0" xfId="36" applyNumberFormat="1" applyFont="1" applyAlignment="1">
      <alignment horizontal="center"/>
    </xf>
    <xf numFmtId="10" fontId="21" fillId="0" borderId="108" xfId="36" applyNumberFormat="1" applyFont="1" applyBorder="1" applyAlignment="1">
      <alignment horizontal="center" wrapText="1"/>
    </xf>
    <xf numFmtId="10" fontId="21" fillId="0" borderId="109" xfId="36" applyNumberFormat="1" applyFont="1" applyBorder="1" applyAlignment="1">
      <alignment horizontal="center" wrapText="1"/>
    </xf>
    <xf numFmtId="10" fontId="21" fillId="0" borderId="110" xfId="36" applyNumberFormat="1" applyFont="1" applyBorder="1" applyAlignment="1">
      <alignment horizontal="center" wrapText="1"/>
    </xf>
    <xf numFmtId="10" fontId="10" fillId="0" borderId="3" xfId="36" applyNumberFormat="1" applyFont="1" applyBorder="1" applyAlignment="1">
      <alignment horizontal="center" wrapText="1"/>
    </xf>
    <xf numFmtId="10" fontId="10" fillId="0" borderId="16" xfId="36" applyNumberFormat="1" applyFont="1" applyBorder="1" applyAlignment="1">
      <alignment horizontal="center" wrapText="1"/>
    </xf>
    <xf numFmtId="10" fontId="10" fillId="0" borderId="0" xfId="36" applyNumberFormat="1" applyFont="1" applyFill="1" applyBorder="1" applyAlignment="1" applyProtection="1">
      <alignment horizontal="center" vertical="center" wrapText="1"/>
    </xf>
    <xf numFmtId="10" fontId="10" fillId="0" borderId="0" xfId="36" applyNumberFormat="1" applyFont="1" applyFill="1" applyBorder="1" applyAlignment="1" applyProtection="1">
      <alignment horizontal="center"/>
    </xf>
    <xf numFmtId="10" fontId="21" fillId="0" borderId="23" xfId="36" applyNumberFormat="1" applyFont="1" applyFill="1" applyBorder="1" applyAlignment="1" applyProtection="1">
      <alignment horizontal="center"/>
      <protection locked="0"/>
    </xf>
    <xf numFmtId="10" fontId="21" fillId="0" borderId="7" xfId="36" applyNumberFormat="1" applyFont="1" applyFill="1" applyBorder="1" applyAlignment="1" applyProtection="1">
      <alignment horizontal="center"/>
      <protection locked="0"/>
    </xf>
    <xf numFmtId="10" fontId="21" fillId="0" borderId="13" xfId="36" applyNumberFormat="1" applyFont="1" applyFill="1" applyBorder="1" applyAlignment="1" applyProtection="1">
      <alignment horizontal="center"/>
      <protection locked="0"/>
    </xf>
    <xf numFmtId="10" fontId="10" fillId="0" borderId="3" xfId="36" applyNumberFormat="1" applyFont="1" applyFill="1" applyBorder="1" applyAlignment="1" applyProtection="1">
      <alignment horizontal="center"/>
    </xf>
    <xf numFmtId="10" fontId="10" fillId="0" borderId="3" xfId="36" applyNumberFormat="1" applyFont="1" applyFill="1" applyBorder="1" applyAlignment="1" applyProtection="1">
      <alignment horizontal="center" vertical="center" wrapText="1"/>
    </xf>
    <xf numFmtId="10" fontId="21" fillId="0" borderId="6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3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13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2" xfId="36" applyNumberFormat="1" applyFont="1" applyFill="1" applyBorder="1" applyAlignment="1">
      <alignment horizontal="center" vertical="center" wrapText="1"/>
    </xf>
    <xf numFmtId="10" fontId="10" fillId="0" borderId="3" xfId="36" applyNumberFormat="1" applyFont="1" applyFill="1" applyBorder="1" applyAlignment="1">
      <alignment horizontal="center" vertical="center" wrapText="1"/>
    </xf>
    <xf numFmtId="10" fontId="21" fillId="0" borderId="24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3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10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7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95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1" xfId="36" applyNumberFormat="1" applyFont="1" applyFill="1" applyBorder="1" applyAlignment="1" applyProtection="1">
      <alignment horizontal="center" vertical="center" wrapText="1"/>
      <protection locked="0"/>
    </xf>
    <xf numFmtId="10" fontId="21" fillId="0" borderId="20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23" xfId="36" applyNumberFormat="1" applyFont="1" applyFill="1" applyBorder="1" applyAlignment="1" applyProtection="1">
      <alignment horizontal="center" vertical="center"/>
      <protection locked="0"/>
    </xf>
    <xf numFmtId="10" fontId="10" fillId="0" borderId="6" xfId="36" applyNumberFormat="1" applyFont="1" applyFill="1" applyBorder="1" applyAlignment="1" applyProtection="1">
      <alignment horizontal="center" vertical="center"/>
      <protection locked="0"/>
    </xf>
    <xf numFmtId="10" fontId="10" fillId="0" borderId="7" xfId="36" applyNumberFormat="1" applyFont="1" applyFill="1" applyBorder="1" applyAlignment="1" applyProtection="1">
      <alignment horizontal="center" vertical="center"/>
      <protection locked="0"/>
    </xf>
    <xf numFmtId="10" fontId="10" fillId="0" borderId="3" xfId="36" applyNumberFormat="1" applyFont="1" applyFill="1" applyBorder="1" applyAlignment="1" applyProtection="1">
      <alignment horizontal="center" vertical="center"/>
    </xf>
    <xf numFmtId="10" fontId="10" fillId="0" borderId="13" xfId="36" applyNumberFormat="1" applyFont="1" applyFill="1" applyBorder="1" applyAlignment="1" applyProtection="1">
      <alignment horizontal="center" vertical="center"/>
      <protection locked="0"/>
    </xf>
    <xf numFmtId="3" fontId="21" fillId="0" borderId="0" xfId="36" applyNumberFormat="1" applyFont="1" applyAlignment="1">
      <alignment horizontal="center"/>
    </xf>
    <xf numFmtId="10" fontId="19" fillId="0" borderId="0" xfId="36" applyNumberFormat="1" applyFont="1" applyAlignment="1">
      <alignment horizontal="right"/>
    </xf>
    <xf numFmtId="10" fontId="18" fillId="0" borderId="0" xfId="36" applyNumberFormat="1" applyFont="1" applyAlignment="1">
      <alignment horizontal="right"/>
    </xf>
    <xf numFmtId="10" fontId="18" fillId="0" borderId="19" xfId="36" applyNumberFormat="1" applyFont="1" applyBorder="1" applyAlignment="1">
      <alignment horizontal="center"/>
    </xf>
    <xf numFmtId="10" fontId="17" fillId="6" borderId="7" xfId="36" applyNumberFormat="1" applyFont="1" applyFill="1" applyBorder="1" applyAlignment="1">
      <alignment horizontal="center"/>
    </xf>
    <xf numFmtId="10" fontId="17" fillId="0" borderId="0" xfId="36" applyNumberFormat="1" applyFont="1" applyBorder="1" applyAlignment="1">
      <alignment horizontal="center"/>
    </xf>
    <xf numFmtId="10" fontId="21" fillId="0" borderId="13" xfId="36" applyNumberFormat="1" applyFont="1" applyFill="1" applyBorder="1" applyAlignment="1">
      <alignment horizontal="center" vertical="center" wrapText="1"/>
    </xf>
    <xf numFmtId="10" fontId="46" fillId="0" borderId="13" xfId="36" applyNumberFormat="1" applyFont="1" applyFill="1" applyBorder="1" applyAlignment="1">
      <alignment horizontal="center" vertical="center" wrapText="1"/>
    </xf>
    <xf numFmtId="49" fontId="11" fillId="0" borderId="43" xfId="11" applyNumberFormat="1" applyFont="1" applyFill="1" applyBorder="1" applyAlignment="1">
      <alignment vertical="center"/>
    </xf>
    <xf numFmtId="3" fontId="12" fillId="0" borderId="7" xfId="11" applyNumberFormat="1" applyFont="1" applyFill="1" applyBorder="1" applyAlignment="1" applyProtection="1">
      <alignment horizontal="center" vertical="center" wrapText="1"/>
      <protection locked="0"/>
    </xf>
    <xf numFmtId="165" fontId="10" fillId="0" borderId="19" xfId="11" applyNumberFormat="1" applyFont="1" applyFill="1" applyBorder="1" applyAlignment="1" applyProtection="1">
      <alignment horizontal="center" vertical="center" wrapText="1"/>
    </xf>
    <xf numFmtId="3" fontId="11" fillId="0" borderId="83" xfId="11" applyNumberFormat="1" applyFont="1" applyFill="1" applyBorder="1" applyAlignment="1" applyProtection="1">
      <alignment vertical="center" wrapText="1"/>
    </xf>
    <xf numFmtId="165" fontId="12" fillId="0" borderId="56" xfId="11" applyNumberFormat="1" applyFont="1" applyFill="1" applyBorder="1" applyAlignment="1">
      <alignment vertical="center" wrapText="1"/>
    </xf>
    <xf numFmtId="3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11" applyFont="1" applyBorder="1" applyAlignment="1">
      <alignment vertical="center" wrapText="1"/>
    </xf>
    <xf numFmtId="10" fontId="21" fillId="0" borderId="7" xfId="36" applyNumberFormat="1" applyFont="1" applyBorder="1" applyAlignment="1" applyProtection="1">
      <alignment horizontal="center" vertical="center"/>
      <protection locked="0"/>
    </xf>
    <xf numFmtId="3" fontId="10" fillId="0" borderId="23" xfId="11" applyNumberFormat="1" applyFont="1" applyFill="1" applyBorder="1" applyAlignment="1">
      <alignment vertical="center"/>
    </xf>
    <xf numFmtId="3" fontId="10" fillId="0" borderId="6" xfId="11" applyNumberFormat="1" applyFont="1" applyFill="1" applyBorder="1" applyAlignment="1">
      <alignment vertical="center"/>
    </xf>
    <xf numFmtId="0" fontId="11" fillId="0" borderId="19" xfId="11" applyFont="1" applyBorder="1" applyAlignment="1">
      <alignment horizontal="center" vertical="center" wrapText="1"/>
    </xf>
    <xf numFmtId="10" fontId="21" fillId="0" borderId="16" xfId="36" applyNumberFormat="1" applyFont="1" applyFill="1" applyBorder="1" applyAlignment="1" applyProtection="1">
      <alignment horizontal="center" vertical="center" wrapText="1"/>
      <protection locked="0"/>
    </xf>
    <xf numFmtId="10" fontId="10" fillId="6" borderId="3" xfId="36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11" applyNumberFormat="1" applyFont="1" applyFill="1" applyBorder="1" applyAlignment="1" applyProtection="1">
      <alignment horizontal="right" vertical="center" wrapText="1"/>
      <protection locked="0"/>
    </xf>
    <xf numFmtId="10" fontId="10" fillId="0" borderId="23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6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7" xfId="36" applyNumberFormat="1" applyFont="1" applyFill="1" applyBorder="1" applyAlignment="1" applyProtection="1">
      <alignment horizontal="center" vertical="center" wrapText="1"/>
      <protection locked="0"/>
    </xf>
    <xf numFmtId="10" fontId="10" fillId="0" borderId="16" xfId="36" applyNumberFormat="1" applyFont="1" applyFill="1" applyBorder="1" applyAlignment="1" applyProtection="1">
      <alignment horizontal="center" vertical="center" wrapText="1"/>
      <protection locked="0"/>
    </xf>
    <xf numFmtId="3" fontId="10" fillId="0" borderId="41" xfId="11" applyNumberFormat="1" applyFont="1" applyBorder="1" applyAlignment="1">
      <alignment horizontal="center" vertical="center" wrapText="1"/>
    </xf>
    <xf numFmtId="10" fontId="21" fillId="0" borderId="61" xfId="36" applyNumberFormat="1" applyFont="1" applyBorder="1" applyAlignment="1">
      <alignment horizontal="center"/>
    </xf>
    <xf numFmtId="10" fontId="12" fillId="0" borderId="9" xfId="36" applyNumberFormat="1" applyFont="1" applyBorder="1" applyAlignment="1">
      <alignment horizontal="center"/>
    </xf>
    <xf numFmtId="10" fontId="11" fillId="0" borderId="40" xfId="36" applyNumberFormat="1" applyFont="1" applyBorder="1" applyAlignment="1">
      <alignment horizontal="center"/>
    </xf>
    <xf numFmtId="10" fontId="11" fillId="0" borderId="36" xfId="36" applyNumberFormat="1" applyFont="1" applyBorder="1" applyAlignment="1">
      <alignment horizontal="center"/>
    </xf>
    <xf numFmtId="10" fontId="12" fillId="0" borderId="10" xfId="36" applyNumberFormat="1" applyFont="1" applyBorder="1" applyAlignment="1">
      <alignment horizontal="center"/>
    </xf>
    <xf numFmtId="10" fontId="11" fillId="0" borderId="37" xfId="36" applyNumberFormat="1" applyFont="1" applyBorder="1" applyAlignment="1">
      <alignment horizontal="center"/>
    </xf>
    <xf numFmtId="10" fontId="12" fillId="0" borderId="11" xfId="36" applyNumberFormat="1" applyFont="1" applyBorder="1" applyAlignment="1">
      <alignment horizontal="center"/>
    </xf>
    <xf numFmtId="10" fontId="11" fillId="0" borderId="1" xfId="36" applyNumberFormat="1" applyFont="1" applyBorder="1" applyAlignment="1">
      <alignment horizontal="center"/>
    </xf>
    <xf numFmtId="10" fontId="11" fillId="0" borderId="2" xfId="36" applyNumberFormat="1" applyFont="1" applyBorder="1" applyAlignment="1">
      <alignment horizontal="center"/>
    </xf>
    <xf numFmtId="10" fontId="11" fillId="0" borderId="3" xfId="36" applyNumberFormat="1" applyFont="1" applyBorder="1" applyAlignment="1">
      <alignment horizontal="center"/>
    </xf>
    <xf numFmtId="10" fontId="11" fillId="0" borderId="33" xfId="36" applyNumberFormat="1" applyFont="1" applyBorder="1" applyAlignment="1">
      <alignment horizontal="center"/>
    </xf>
    <xf numFmtId="10" fontId="11" fillId="0" borderId="56" xfId="36" applyNumberFormat="1" applyFont="1" applyBorder="1" applyAlignment="1">
      <alignment horizontal="center"/>
    </xf>
    <xf numFmtId="10" fontId="11" fillId="0" borderId="32" xfId="36" applyNumberFormat="1" applyFont="1" applyBorder="1" applyAlignment="1">
      <alignment horizontal="center"/>
    </xf>
    <xf numFmtId="10" fontId="12" fillId="0" borderId="17" xfId="36" applyNumberFormat="1" applyFont="1" applyBorder="1" applyAlignment="1">
      <alignment horizontal="center"/>
    </xf>
    <xf numFmtId="10" fontId="11" fillId="0" borderId="42" xfId="36" applyNumberFormat="1" applyFont="1" applyBorder="1" applyAlignment="1">
      <alignment horizontal="center"/>
    </xf>
    <xf numFmtId="10" fontId="11" fillId="2" borderId="1" xfId="36" applyNumberFormat="1" applyFont="1" applyFill="1" applyBorder="1" applyAlignment="1">
      <alignment horizontal="center"/>
    </xf>
    <xf numFmtId="10" fontId="11" fillId="2" borderId="2" xfId="36" applyNumberFormat="1" applyFont="1" applyFill="1" applyBorder="1" applyAlignment="1">
      <alignment horizontal="center"/>
    </xf>
    <xf numFmtId="10" fontId="11" fillId="2" borderId="56" xfId="36" applyNumberFormat="1" applyFont="1" applyFill="1" applyBorder="1" applyAlignment="1">
      <alignment horizontal="center"/>
    </xf>
    <xf numFmtId="10" fontId="11" fillId="2" borderId="33" xfId="36" applyNumberFormat="1" applyFont="1" applyFill="1" applyBorder="1" applyAlignment="1">
      <alignment horizontal="center"/>
    </xf>
    <xf numFmtId="10" fontId="11" fillId="0" borderId="1" xfId="36" applyNumberFormat="1" applyFont="1" applyFill="1" applyBorder="1" applyAlignment="1">
      <alignment horizontal="center"/>
    </xf>
    <xf numFmtId="10" fontId="11" fillId="0" borderId="25" xfId="36" applyNumberFormat="1" applyFont="1" applyFill="1" applyBorder="1" applyAlignment="1">
      <alignment horizontal="center"/>
    </xf>
    <xf numFmtId="10" fontId="11" fillId="0" borderId="33" xfId="36" applyNumberFormat="1" applyFont="1" applyFill="1" applyBorder="1" applyAlignment="1">
      <alignment horizontal="center"/>
    </xf>
    <xf numFmtId="10" fontId="11" fillId="0" borderId="56" xfId="36" applyNumberFormat="1" applyFont="1" applyFill="1" applyBorder="1" applyAlignment="1">
      <alignment horizontal="center"/>
    </xf>
    <xf numFmtId="10" fontId="12" fillId="0" borderId="24" xfId="36" applyNumberFormat="1" applyFont="1" applyBorder="1" applyAlignment="1">
      <alignment horizontal="center"/>
    </xf>
    <xf numFmtId="10" fontId="11" fillId="0" borderId="2" xfId="36" applyNumberFormat="1" applyFont="1" applyFill="1" applyBorder="1" applyAlignment="1">
      <alignment horizontal="center"/>
    </xf>
    <xf numFmtId="10" fontId="12" fillId="0" borderId="1" xfId="36" applyNumberFormat="1" applyFont="1" applyBorder="1" applyAlignment="1">
      <alignment horizontal="center"/>
    </xf>
    <xf numFmtId="10" fontId="11" fillId="0" borderId="14" xfId="36" applyNumberFormat="1" applyFont="1" applyBorder="1" applyAlignment="1">
      <alignment horizontal="center"/>
    </xf>
    <xf numFmtId="10" fontId="11" fillId="0" borderId="38" xfId="36" applyNumberFormat="1" applyFont="1" applyBorder="1" applyAlignment="1">
      <alignment horizontal="center"/>
    </xf>
    <xf numFmtId="10" fontId="11" fillId="0" borderId="17" xfId="36" applyNumberFormat="1" applyFont="1" applyFill="1" applyBorder="1" applyAlignment="1">
      <alignment horizontal="center"/>
    </xf>
    <xf numFmtId="10" fontId="11" fillId="0" borderId="18" xfId="36" applyNumberFormat="1" applyFont="1" applyFill="1" applyBorder="1" applyAlignment="1">
      <alignment horizontal="center"/>
    </xf>
    <xf numFmtId="10" fontId="11" fillId="0" borderId="55" xfId="36" applyNumberFormat="1" applyFont="1" applyFill="1" applyBorder="1" applyAlignment="1">
      <alignment horizontal="center"/>
    </xf>
    <xf numFmtId="10" fontId="11" fillId="0" borderId="42" xfId="36" applyNumberFormat="1" applyFont="1" applyFill="1" applyBorder="1" applyAlignment="1">
      <alignment horizontal="center"/>
    </xf>
    <xf numFmtId="10" fontId="11" fillId="0" borderId="14" xfId="36" applyNumberFormat="1" applyFont="1" applyFill="1" applyBorder="1" applyAlignment="1">
      <alignment horizontal="center"/>
    </xf>
    <xf numFmtId="10" fontId="11" fillId="2" borderId="14" xfId="36" applyNumberFormat="1" applyFont="1" applyFill="1" applyBorder="1" applyAlignment="1">
      <alignment horizontal="center"/>
    </xf>
    <xf numFmtId="10" fontId="11" fillId="2" borderId="38" xfId="36" applyNumberFormat="1" applyFont="1" applyFill="1" applyBorder="1" applyAlignment="1">
      <alignment horizontal="center"/>
    </xf>
    <xf numFmtId="10" fontId="11" fillId="2" borderId="11" xfId="36" applyNumberFormat="1" applyFont="1" applyFill="1" applyBorder="1" applyAlignment="1">
      <alignment horizontal="center"/>
    </xf>
    <xf numFmtId="10" fontId="11" fillId="2" borderId="32" xfId="36" applyNumberFormat="1" applyFont="1" applyFill="1" applyBorder="1" applyAlignment="1">
      <alignment horizontal="center"/>
    </xf>
    <xf numFmtId="10" fontId="12" fillId="0" borderId="26" xfId="36" applyNumberFormat="1" applyFont="1" applyBorder="1" applyAlignment="1">
      <alignment horizontal="center"/>
    </xf>
    <xf numFmtId="10" fontId="12" fillId="0" borderId="27" xfId="36" applyNumberFormat="1" applyFont="1" applyBorder="1" applyAlignment="1">
      <alignment horizontal="center"/>
    </xf>
    <xf numFmtId="10" fontId="11" fillId="0" borderId="25" xfId="36" applyNumberFormat="1" applyFont="1" applyBorder="1" applyAlignment="1">
      <alignment horizontal="center"/>
    </xf>
    <xf numFmtId="10" fontId="6" fillId="0" borderId="27" xfId="36" applyNumberFormat="1" applyFont="1" applyBorder="1" applyAlignment="1">
      <alignment horizontal="center"/>
    </xf>
    <xf numFmtId="10" fontId="11" fillId="2" borderId="25" xfId="36" applyNumberFormat="1" applyFont="1" applyFill="1" applyBorder="1" applyAlignment="1">
      <alignment horizontal="center"/>
    </xf>
    <xf numFmtId="10" fontId="12" fillId="0" borderId="31" xfId="36" applyNumberFormat="1" applyFont="1" applyBorder="1" applyAlignment="1">
      <alignment horizontal="center"/>
    </xf>
    <xf numFmtId="10" fontId="12" fillId="0" borderId="28" xfId="36" applyNumberFormat="1" applyFont="1" applyBorder="1" applyAlignment="1">
      <alignment horizontal="center"/>
    </xf>
    <xf numFmtId="10" fontId="12" fillId="0" borderId="0" xfId="36" applyNumberFormat="1" applyFont="1" applyBorder="1" applyAlignment="1">
      <alignment horizontal="center"/>
    </xf>
    <xf numFmtId="10" fontId="12" fillId="0" borderId="25" xfId="36" applyNumberFormat="1" applyFont="1" applyBorder="1" applyAlignment="1">
      <alignment horizontal="center"/>
    </xf>
    <xf numFmtId="10" fontId="11" fillId="0" borderId="29" xfId="36" applyNumberFormat="1" applyFont="1" applyBorder="1" applyAlignment="1">
      <alignment horizontal="center"/>
    </xf>
    <xf numFmtId="10" fontId="11" fillId="0" borderId="29" xfId="36" applyNumberFormat="1" applyFont="1" applyFill="1" applyBorder="1" applyAlignment="1">
      <alignment horizontal="center"/>
    </xf>
    <xf numFmtId="10" fontId="11" fillId="2" borderId="29" xfId="36" applyNumberFormat="1" applyFont="1" applyFill="1" applyBorder="1" applyAlignment="1">
      <alignment horizontal="center"/>
    </xf>
    <xf numFmtId="10" fontId="11" fillId="2" borderId="28" xfId="36" applyNumberFormat="1" applyFont="1" applyFill="1" applyBorder="1" applyAlignment="1">
      <alignment horizontal="center"/>
    </xf>
    <xf numFmtId="3" fontId="11" fillId="0" borderId="3" xfId="11" applyNumberFormat="1" applyFont="1" applyBorder="1" applyAlignment="1">
      <alignment horizontal="center" vertical="center" wrapText="1"/>
    </xf>
    <xf numFmtId="10" fontId="12" fillId="0" borderId="6" xfId="36" applyNumberFormat="1" applyFont="1" applyBorder="1" applyAlignment="1">
      <alignment horizontal="center"/>
    </xf>
    <xf numFmtId="10" fontId="12" fillId="0" borderId="7" xfId="36" applyNumberFormat="1" applyFont="1" applyBorder="1" applyAlignment="1">
      <alignment horizontal="center"/>
    </xf>
    <xf numFmtId="10" fontId="6" fillId="0" borderId="7" xfId="36" applyNumberFormat="1" applyFont="1" applyBorder="1" applyAlignment="1">
      <alignment horizontal="center"/>
    </xf>
    <xf numFmtId="10" fontId="11" fillId="2" borderId="3" xfId="36" applyNumberFormat="1" applyFont="1" applyFill="1" applyBorder="1" applyAlignment="1">
      <alignment horizontal="center"/>
    </xf>
    <xf numFmtId="10" fontId="11" fillId="0" borderId="3" xfId="36" applyNumberFormat="1" applyFont="1" applyFill="1" applyBorder="1" applyAlignment="1">
      <alignment horizontal="center"/>
    </xf>
    <xf numFmtId="10" fontId="12" fillId="0" borderId="23" xfId="36" applyNumberFormat="1" applyFont="1" applyBorder="1" applyAlignment="1">
      <alignment horizontal="center"/>
    </xf>
    <xf numFmtId="10" fontId="12" fillId="0" borderId="13" xfId="36" applyNumberFormat="1" applyFont="1" applyBorder="1" applyAlignment="1">
      <alignment horizontal="center"/>
    </xf>
    <xf numFmtId="10" fontId="12" fillId="0" borderId="19" xfId="36" applyNumberFormat="1" applyFont="1" applyBorder="1" applyAlignment="1">
      <alignment horizontal="center"/>
    </xf>
    <xf numFmtId="10" fontId="12" fillId="0" borderId="3" xfId="36" applyNumberFormat="1" applyFont="1" applyBorder="1" applyAlignment="1">
      <alignment horizontal="center"/>
    </xf>
    <xf numFmtId="10" fontId="11" fillId="0" borderId="16" xfId="36" applyNumberFormat="1" applyFont="1" applyBorder="1" applyAlignment="1">
      <alignment horizontal="center"/>
    </xf>
    <xf numFmtId="10" fontId="11" fillId="0" borderId="16" xfId="36" applyNumberFormat="1" applyFont="1" applyFill="1" applyBorder="1" applyAlignment="1">
      <alignment horizontal="center"/>
    </xf>
    <xf numFmtId="10" fontId="11" fillId="2" borderId="16" xfId="36" applyNumberFormat="1" applyFont="1" applyFill="1" applyBorder="1" applyAlignment="1">
      <alignment horizontal="center"/>
    </xf>
    <xf numFmtId="10" fontId="11" fillId="2" borderId="13" xfId="36" applyNumberFormat="1" applyFont="1" applyFill="1" applyBorder="1" applyAlignment="1">
      <alignment horizontal="center"/>
    </xf>
    <xf numFmtId="49" fontId="17" fillId="0" borderId="28" xfId="0" applyNumberFormat="1" applyFont="1" applyFill="1" applyBorder="1" applyAlignment="1">
      <alignment horizontal="left"/>
    </xf>
    <xf numFmtId="164" fontId="17" fillId="0" borderId="63" xfId="0" applyNumberFormat="1" applyFont="1" applyBorder="1"/>
    <xf numFmtId="164" fontId="17" fillId="0" borderId="11" xfId="0" applyNumberFormat="1" applyFont="1" applyFill="1" applyBorder="1"/>
    <xf numFmtId="164" fontId="17" fillId="0" borderId="12" xfId="0" applyNumberFormat="1" applyFont="1" applyFill="1" applyBorder="1"/>
    <xf numFmtId="3" fontId="20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/>
    <xf numFmtId="3" fontId="16" fillId="0" borderId="0" xfId="0" applyNumberFormat="1" applyFont="1" applyFill="1" applyBorder="1"/>
    <xf numFmtId="0" fontId="15" fillId="0" borderId="6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0" fontId="16" fillId="0" borderId="63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61" xfId="0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horizontal="left" vertical="top" wrapText="1"/>
    </xf>
    <xf numFmtId="3" fontId="16" fillId="0" borderId="22" xfId="0" applyNumberFormat="1" applyFont="1" applyFill="1" applyBorder="1" applyAlignment="1">
      <alignment horizontal="right" vertical="top" wrapText="1"/>
    </xf>
    <xf numFmtId="3" fontId="16" fillId="0" borderId="23" xfId="0" applyNumberFormat="1" applyFont="1" applyFill="1" applyBorder="1" applyAlignment="1">
      <alignment horizontal="right" vertical="top" wrapText="1"/>
    </xf>
    <xf numFmtId="0" fontId="16" fillId="0" borderId="62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top" wrapText="1"/>
    </xf>
    <xf numFmtId="3" fontId="16" fillId="0" borderId="5" xfId="0" applyNumberFormat="1" applyFont="1" applyFill="1" applyBorder="1" applyAlignment="1">
      <alignment horizontal="right" vertical="top" wrapText="1"/>
    </xf>
    <xf numFmtId="3" fontId="16" fillId="0" borderId="7" xfId="0" applyNumberFormat="1" applyFont="1" applyFill="1" applyBorder="1" applyAlignment="1">
      <alignment horizontal="right" vertical="top" wrapText="1"/>
    </xf>
    <xf numFmtId="0" fontId="16" fillId="0" borderId="12" xfId="0" applyFont="1" applyFill="1" applyBorder="1" applyAlignment="1">
      <alignment horizontal="left" vertical="top" wrapText="1"/>
    </xf>
    <xf numFmtId="3" fontId="16" fillId="0" borderId="12" xfId="0" applyNumberFormat="1" applyFont="1" applyFill="1" applyBorder="1" applyAlignment="1">
      <alignment horizontal="right" vertical="top" wrapText="1"/>
    </xf>
    <xf numFmtId="3" fontId="16" fillId="0" borderId="13" xfId="0" applyNumberFormat="1" applyFont="1" applyFill="1" applyBorder="1" applyAlignment="1">
      <alignment horizontal="right" vertical="top" wrapText="1"/>
    </xf>
    <xf numFmtId="0" fontId="15" fillId="0" borderId="6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3" fontId="15" fillId="0" borderId="2" xfId="0" applyNumberFormat="1" applyFont="1" applyFill="1" applyBorder="1" applyAlignment="1">
      <alignment horizontal="right" vertical="top" wrapText="1"/>
    </xf>
    <xf numFmtId="3" fontId="15" fillId="0" borderId="3" xfId="0" applyNumberFormat="1" applyFont="1" applyFill="1" applyBorder="1" applyAlignment="1">
      <alignment horizontal="right" vertical="top" wrapText="1"/>
    </xf>
    <xf numFmtId="0" fontId="16" fillId="0" borderId="59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 vertical="top" wrapText="1"/>
    </xf>
    <xf numFmtId="3" fontId="16" fillId="0" borderId="6" xfId="0" applyNumberFormat="1" applyFont="1" applyFill="1" applyBorder="1" applyAlignment="1">
      <alignment horizontal="right" vertical="top" wrapText="1"/>
    </xf>
    <xf numFmtId="0" fontId="15" fillId="0" borderId="90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left" vertical="top" wrapText="1"/>
    </xf>
    <xf numFmtId="3" fontId="15" fillId="0" borderId="18" xfId="0" applyNumberFormat="1" applyFont="1" applyFill="1" applyBorder="1" applyAlignment="1">
      <alignment horizontal="right" vertical="top" wrapText="1"/>
    </xf>
    <xf numFmtId="3" fontId="15" fillId="0" borderId="19" xfId="0" applyNumberFormat="1" applyFont="1" applyFill="1" applyBorder="1" applyAlignment="1">
      <alignment horizontal="right" vertical="top" wrapText="1"/>
    </xf>
    <xf numFmtId="0" fontId="16" fillId="0" borderId="90" xfId="0" applyFont="1" applyFill="1" applyBorder="1" applyAlignment="1">
      <alignment horizontal="center" vertical="top" wrapText="1"/>
    </xf>
    <xf numFmtId="3" fontId="16" fillId="0" borderId="18" xfId="0" applyNumberFormat="1" applyFont="1" applyFill="1" applyBorder="1" applyAlignment="1">
      <alignment horizontal="right" vertical="top" wrapText="1"/>
    </xf>
    <xf numFmtId="0" fontId="16" fillId="0" borderId="18" xfId="0" applyFont="1" applyFill="1" applyBorder="1" applyAlignment="1">
      <alignment horizontal="left" vertical="top" wrapText="1"/>
    </xf>
    <xf numFmtId="3" fontId="16" fillId="0" borderId="19" xfId="0" applyNumberFormat="1" applyFont="1" applyFill="1" applyBorder="1" applyAlignment="1">
      <alignment horizontal="right" vertical="top" wrapText="1"/>
    </xf>
    <xf numFmtId="0" fontId="16" fillId="0" borderId="5" xfId="0" applyFont="1" applyFill="1" applyBorder="1"/>
    <xf numFmtId="0" fontId="16" fillId="0" borderId="12" xfId="0" applyFont="1" applyFill="1" applyBorder="1"/>
    <xf numFmtId="0" fontId="15" fillId="0" borderId="2" xfId="0" applyFont="1" applyFill="1" applyBorder="1"/>
    <xf numFmtId="0" fontId="16" fillId="0" borderId="0" xfId="0" applyFont="1" applyFill="1" applyAlignment="1">
      <alignment horizontal="center" vertical="top" wrapText="1"/>
    </xf>
    <xf numFmtId="0" fontId="16" fillId="0" borderId="87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20" xfId="0" applyFont="1" applyFill="1" applyBorder="1" applyAlignment="1">
      <alignment horizontal="center" vertical="top" wrapText="1"/>
    </xf>
    <xf numFmtId="0" fontId="15" fillId="0" borderId="84" xfId="0" applyFont="1" applyFill="1" applyBorder="1" applyAlignment="1">
      <alignment horizontal="center" vertical="top" wrapText="1"/>
    </xf>
    <xf numFmtId="0" fontId="15" fillId="0" borderId="47" xfId="0" applyFont="1" applyFill="1" applyBorder="1" applyAlignment="1">
      <alignment horizontal="left" vertical="top" wrapText="1"/>
    </xf>
    <xf numFmtId="3" fontId="15" fillId="0" borderId="47" xfId="0" applyNumberFormat="1" applyFont="1" applyFill="1" applyBorder="1" applyAlignment="1">
      <alignment horizontal="right" vertical="top" wrapText="1"/>
    </xf>
    <xf numFmtId="3" fontId="15" fillId="0" borderId="46" xfId="0" applyNumberFormat="1" applyFont="1" applyFill="1" applyBorder="1" applyAlignment="1">
      <alignment horizontal="right" vertical="top" wrapText="1"/>
    </xf>
    <xf numFmtId="0" fontId="15" fillId="0" borderId="91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left" vertical="top" wrapText="1"/>
    </xf>
    <xf numFmtId="3" fontId="15" fillId="0" borderId="15" xfId="0" applyNumberFormat="1" applyFont="1" applyFill="1" applyBorder="1" applyAlignment="1">
      <alignment horizontal="right" vertical="top" wrapText="1"/>
    </xf>
    <xf numFmtId="3" fontId="15" fillId="0" borderId="16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3" fontId="15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Alignment="1">
      <alignment vertical="center"/>
    </xf>
    <xf numFmtId="0" fontId="0" fillId="0" borderId="0" xfId="0" applyFont="1" applyFill="1"/>
    <xf numFmtId="3" fontId="19" fillId="0" borderId="0" xfId="13" applyNumberFormat="1" applyFont="1"/>
    <xf numFmtId="3" fontId="20" fillId="0" borderId="0" xfId="13" applyNumberFormat="1" applyFont="1"/>
    <xf numFmtId="3" fontId="33" fillId="0" borderId="0" xfId="13" applyNumberFormat="1" applyFont="1"/>
    <xf numFmtId="3" fontId="51" fillId="0" borderId="0" xfId="13" applyNumberFormat="1" applyFont="1" applyFill="1" applyAlignment="1">
      <alignment horizontal="right"/>
    </xf>
    <xf numFmtId="3" fontId="51" fillId="0" borderId="0" xfId="13" applyNumberFormat="1" applyFont="1" applyBorder="1" applyAlignment="1">
      <alignment horizontal="right"/>
    </xf>
    <xf numFmtId="3" fontId="52" fillId="0" borderId="0" xfId="13" applyNumberFormat="1" applyFont="1"/>
    <xf numFmtId="3" fontId="35" fillId="0" borderId="92" xfId="13" applyNumberFormat="1" applyFont="1" applyBorder="1" applyAlignment="1">
      <alignment horizontal="center" vertical="center" wrapText="1"/>
    </xf>
    <xf numFmtId="3" fontId="33" fillId="0" borderId="91" xfId="13" applyNumberFormat="1" applyFont="1" applyBorder="1" applyAlignment="1">
      <alignment horizontal="center" vertical="center" wrapText="1"/>
    </xf>
    <xf numFmtId="3" fontId="33" fillId="0" borderId="15" xfId="13" applyNumberFormat="1" applyFont="1" applyBorder="1" applyAlignment="1">
      <alignment horizontal="center" vertical="center" wrapText="1"/>
    </xf>
    <xf numFmtId="3" fontId="35" fillId="0" borderId="16" xfId="13" applyNumberFormat="1" applyFont="1" applyBorder="1" applyAlignment="1">
      <alignment horizontal="center" vertical="center" wrapText="1"/>
    </xf>
    <xf numFmtId="3" fontId="33" fillId="0" borderId="0" xfId="13" applyNumberFormat="1" applyFont="1" applyAlignment="1">
      <alignment horizontal="center" vertical="center" wrapText="1"/>
    </xf>
    <xf numFmtId="49" fontId="33" fillId="0" borderId="54" xfId="13" applyNumberFormat="1" applyFont="1" applyBorder="1" applyAlignment="1">
      <alignment wrapText="1"/>
    </xf>
    <xf numFmtId="3" fontId="33" fillId="0" borderId="90" xfId="13" applyNumberFormat="1" applyFont="1" applyBorder="1"/>
    <xf numFmtId="3" fontId="33" fillId="0" borderId="18" xfId="13" applyNumberFormat="1" applyFont="1" applyBorder="1"/>
    <xf numFmtId="3" fontId="35" fillId="0" borderId="19" xfId="13" applyNumberFormat="1" applyFont="1" applyBorder="1"/>
    <xf numFmtId="3" fontId="33" fillId="0" borderId="42" xfId="13" applyNumberFormat="1" applyFont="1" applyBorder="1"/>
    <xf numFmtId="3" fontId="35" fillId="0" borderId="92" xfId="13" applyNumberFormat="1" applyFont="1" applyFill="1" applyBorder="1"/>
    <xf numFmtId="3" fontId="35" fillId="0" borderId="92" xfId="13" applyNumberFormat="1" applyFont="1" applyBorder="1"/>
    <xf numFmtId="3" fontId="52" fillId="0" borderId="42" xfId="13" applyNumberFormat="1" applyFont="1" applyBorder="1"/>
    <xf numFmtId="49" fontId="35" fillId="0" borderId="54" xfId="13" applyNumberFormat="1" applyFont="1" applyBorder="1" applyAlignment="1">
      <alignment wrapText="1"/>
    </xf>
    <xf numFmtId="3" fontId="35" fillId="0" borderId="90" xfId="13" applyNumberFormat="1" applyFont="1" applyBorder="1"/>
    <xf numFmtId="3" fontId="35" fillId="0" borderId="18" xfId="13" applyNumberFormat="1" applyFont="1" applyBorder="1"/>
    <xf numFmtId="3" fontId="35" fillId="0" borderId="42" xfId="13" applyNumberFormat="1" applyFont="1" applyBorder="1"/>
    <xf numFmtId="3" fontId="51" fillId="0" borderId="42" xfId="13" applyNumberFormat="1" applyFont="1" applyBorder="1"/>
    <xf numFmtId="3" fontId="35" fillId="0" borderId="0" xfId="13" applyNumberFormat="1" applyFont="1"/>
    <xf numFmtId="49" fontId="33" fillId="0" borderId="54" xfId="13" applyNumberFormat="1" applyFont="1" applyBorder="1" applyAlignment="1">
      <alignment horizontal="left" wrapText="1" indent="2"/>
    </xf>
    <xf numFmtId="3" fontId="33" fillId="0" borderId="90" xfId="13" applyNumberFormat="1" applyFont="1" applyFill="1" applyBorder="1"/>
    <xf numFmtId="3" fontId="33" fillId="0" borderId="55" xfId="13" applyNumberFormat="1" applyFont="1" applyFill="1" applyBorder="1"/>
    <xf numFmtId="3" fontId="33" fillId="0" borderId="18" xfId="13" applyNumberFormat="1" applyFont="1" applyFill="1" applyBorder="1"/>
    <xf numFmtId="3" fontId="33" fillId="0" borderId="42" xfId="13" applyNumberFormat="1" applyFont="1" applyFill="1" applyBorder="1"/>
    <xf numFmtId="3" fontId="35" fillId="0" borderId="19" xfId="13" applyNumberFormat="1" applyFont="1" applyFill="1" applyBorder="1"/>
    <xf numFmtId="3" fontId="52" fillId="0" borderId="42" xfId="13" applyNumberFormat="1" applyFont="1" applyFill="1" applyBorder="1"/>
    <xf numFmtId="3" fontId="33" fillId="0" borderId="54" xfId="13" applyNumberFormat="1" applyFont="1" applyBorder="1"/>
    <xf numFmtId="3" fontId="35" fillId="0" borderId="90" xfId="13" applyNumberFormat="1" applyFont="1" applyFill="1" applyBorder="1"/>
    <xf numFmtId="3" fontId="35" fillId="0" borderId="18" xfId="13" applyNumberFormat="1" applyFont="1" applyFill="1" applyBorder="1"/>
    <xf numFmtId="3" fontId="35" fillId="0" borderId="42" xfId="13" applyNumberFormat="1" applyFont="1" applyFill="1" applyBorder="1"/>
    <xf numFmtId="3" fontId="51" fillId="0" borderId="42" xfId="13" applyNumberFormat="1" applyFont="1" applyFill="1" applyBorder="1"/>
    <xf numFmtId="49" fontId="33" fillId="0" borderId="54" xfId="13" applyNumberFormat="1" applyFont="1" applyBorder="1" applyAlignment="1">
      <alignment horizontal="left" wrapText="1" indent="1"/>
    </xf>
    <xf numFmtId="49" fontId="35" fillId="0" borderId="54" xfId="13" applyNumberFormat="1" applyFont="1" applyBorder="1" applyAlignment="1">
      <alignment horizontal="left" wrapText="1"/>
    </xf>
    <xf numFmtId="49" fontId="33" fillId="0" borderId="54" xfId="13" applyNumberFormat="1" applyFont="1" applyBorder="1" applyAlignment="1">
      <alignment horizontal="left" wrapText="1"/>
    </xf>
    <xf numFmtId="3" fontId="33" fillId="0" borderId="19" xfId="13" applyNumberFormat="1" applyFont="1" applyFill="1" applyBorder="1"/>
    <xf numFmtId="3" fontId="33" fillId="0" borderId="92" xfId="13" applyNumberFormat="1" applyFont="1" applyFill="1" applyBorder="1"/>
    <xf numFmtId="3" fontId="33" fillId="0" borderId="38" xfId="13" applyNumberFormat="1" applyFont="1" applyFill="1" applyBorder="1"/>
    <xf numFmtId="3" fontId="33" fillId="0" borderId="98" xfId="13" applyNumberFormat="1" applyFont="1" applyFill="1" applyBorder="1"/>
    <xf numFmtId="3" fontId="33" fillId="0" borderId="92" xfId="13" applyNumberFormat="1" applyFont="1" applyBorder="1"/>
    <xf numFmtId="49" fontId="35" fillId="0" borderId="43" xfId="13" applyNumberFormat="1" applyFont="1" applyBorder="1" applyAlignment="1">
      <alignment wrapText="1"/>
    </xf>
    <xf numFmtId="3" fontId="35" fillId="0" borderId="60" xfId="13" applyNumberFormat="1" applyFont="1" applyBorder="1"/>
    <xf numFmtId="3" fontId="35" fillId="0" borderId="2" xfId="13" applyNumberFormat="1" applyFont="1" applyBorder="1"/>
    <xf numFmtId="3" fontId="35" fillId="0" borderId="3" xfId="13" applyNumberFormat="1" applyFont="1" applyBorder="1"/>
    <xf numFmtId="3" fontId="35" fillId="0" borderId="33" xfId="13" applyNumberFormat="1" applyFont="1" applyBorder="1"/>
    <xf numFmtId="3" fontId="35" fillId="0" borderId="41" xfId="13" applyNumberFormat="1" applyFont="1" applyFill="1" applyBorder="1"/>
    <xf numFmtId="3" fontId="51" fillId="0" borderId="33" xfId="13" applyNumberFormat="1" applyFont="1" applyBorder="1"/>
    <xf numFmtId="49" fontId="33" fillId="0" borderId="0" xfId="13" applyNumberFormat="1" applyFont="1" applyAlignment="1">
      <alignment wrapText="1"/>
    </xf>
    <xf numFmtId="3" fontId="35" fillId="0" borderId="0" xfId="13" applyNumberFormat="1" applyFont="1" applyFill="1"/>
    <xf numFmtId="3" fontId="35" fillId="0" borderId="0" xfId="13" applyNumberFormat="1" applyFont="1" applyBorder="1"/>
    <xf numFmtId="3" fontId="35" fillId="0" borderId="0" xfId="13" applyNumberFormat="1" applyFont="1" applyBorder="1" applyAlignment="1">
      <alignment horizontal="center" vertical="center" wrapText="1"/>
    </xf>
    <xf numFmtId="3" fontId="35" fillId="6" borderId="90" xfId="13" applyNumberFormat="1" applyFont="1" applyFill="1" applyBorder="1"/>
    <xf numFmtId="3" fontId="35" fillId="6" borderId="18" xfId="13" applyNumberFormat="1" applyFont="1" applyFill="1" applyBorder="1"/>
    <xf numFmtId="3" fontId="35" fillId="6" borderId="19" xfId="13" applyNumberFormat="1" applyFont="1" applyFill="1" applyBorder="1"/>
    <xf numFmtId="3" fontId="35" fillId="6" borderId="42" xfId="13" applyNumberFormat="1" applyFont="1" applyFill="1" applyBorder="1"/>
    <xf numFmtId="3" fontId="51" fillId="0" borderId="0" xfId="13" applyNumberFormat="1" applyFont="1"/>
    <xf numFmtId="3" fontId="33" fillId="6" borderId="90" xfId="13" applyNumberFormat="1" applyFont="1" applyFill="1" applyBorder="1"/>
    <xf numFmtId="3" fontId="33" fillId="6" borderId="18" xfId="13" applyNumberFormat="1" applyFont="1" applyFill="1" applyBorder="1"/>
    <xf numFmtId="3" fontId="33" fillId="6" borderId="42" xfId="13" applyNumberFormat="1" applyFont="1" applyFill="1" applyBorder="1"/>
    <xf numFmtId="3" fontId="33" fillId="6" borderId="19" xfId="13" applyNumberFormat="1" applyFont="1" applyFill="1" applyBorder="1"/>
    <xf numFmtId="3" fontId="35" fillId="0" borderId="60" xfId="13" applyNumberFormat="1" applyFont="1" applyFill="1" applyBorder="1"/>
    <xf numFmtId="3" fontId="35" fillId="0" borderId="2" xfId="13" applyNumberFormat="1" applyFont="1" applyFill="1" applyBorder="1"/>
    <xf numFmtId="3" fontId="35" fillId="0" borderId="3" xfId="13" applyNumberFormat="1" applyFont="1" applyFill="1" applyBorder="1"/>
    <xf numFmtId="3" fontId="35" fillId="0" borderId="33" xfId="13" applyNumberFormat="1" applyFont="1" applyFill="1" applyBorder="1"/>
    <xf numFmtId="3" fontId="33" fillId="0" borderId="0" xfId="13" applyNumberFormat="1" applyFont="1" applyFill="1"/>
    <xf numFmtId="3" fontId="52" fillId="0" borderId="0" xfId="13" applyNumberFormat="1" applyFont="1" applyFill="1"/>
    <xf numFmtId="0" fontId="51" fillId="0" borderId="0" xfId="13" applyFont="1"/>
    <xf numFmtId="3" fontId="53" fillId="0" borderId="0" xfId="11" applyNumberFormat="1" applyFont="1" applyFill="1"/>
    <xf numFmtId="3" fontId="32" fillId="0" borderId="0" xfId="11" applyNumberFormat="1" applyFont="1" applyFill="1" applyAlignment="1">
      <alignment horizontal="right"/>
    </xf>
    <xf numFmtId="3" fontId="30" fillId="0" borderId="60" xfId="11" applyNumberFormat="1" applyFont="1" applyFill="1" applyBorder="1" applyAlignment="1">
      <alignment horizontal="center" vertical="center" wrapText="1"/>
    </xf>
    <xf numFmtId="3" fontId="30" fillId="0" borderId="56" xfId="11" applyNumberFormat="1" applyFont="1" applyFill="1" applyBorder="1" applyAlignment="1">
      <alignment horizontal="center" vertical="center" wrapText="1"/>
    </xf>
    <xf numFmtId="3" fontId="30" fillId="0" borderId="33" xfId="11" applyNumberFormat="1" applyFont="1" applyFill="1" applyBorder="1" applyAlignment="1">
      <alignment horizontal="center" vertical="center" wrapText="1"/>
    </xf>
    <xf numFmtId="3" fontId="30" fillId="0" borderId="25" xfId="11" applyNumberFormat="1" applyFont="1" applyFill="1" applyBorder="1" applyAlignment="1">
      <alignment horizontal="center" vertical="center" wrapText="1"/>
    </xf>
    <xf numFmtId="3" fontId="54" fillId="0" borderId="3" xfId="11" applyNumberFormat="1" applyFont="1" applyFill="1" applyBorder="1" applyAlignment="1">
      <alignment horizontal="center" vertical="center" wrapText="1"/>
    </xf>
    <xf numFmtId="3" fontId="32" fillId="0" borderId="33" xfId="11" applyNumberFormat="1" applyFont="1" applyFill="1" applyBorder="1" applyAlignment="1">
      <alignment horizontal="center" vertical="center" wrapText="1"/>
    </xf>
    <xf numFmtId="3" fontId="53" fillId="0" borderId="59" xfId="11" applyNumberFormat="1" applyFont="1" applyFill="1" applyBorder="1" applyAlignment="1">
      <alignment horizontal="center" vertical="center"/>
    </xf>
    <xf numFmtId="3" fontId="53" fillId="0" borderId="52" xfId="11" applyNumberFormat="1" applyFont="1" applyFill="1" applyBorder="1" applyAlignment="1">
      <alignment vertical="center" wrapText="1"/>
    </xf>
    <xf numFmtId="3" fontId="53" fillId="0" borderId="36" xfId="11" applyNumberFormat="1" applyFont="1" applyFill="1" applyBorder="1" applyAlignment="1" applyProtection="1">
      <alignment vertical="center"/>
      <protection locked="0"/>
    </xf>
    <xf numFmtId="3" fontId="53" fillId="0" borderId="26" xfId="11" applyNumberFormat="1" applyFont="1" applyFill="1" applyBorder="1" applyAlignment="1" applyProtection="1">
      <alignment vertical="center"/>
      <protection locked="0"/>
    </xf>
    <xf numFmtId="3" fontId="55" fillId="0" borderId="6" xfId="11" applyNumberFormat="1" applyFont="1" applyFill="1" applyBorder="1" applyAlignment="1" applyProtection="1">
      <alignment vertical="center"/>
      <protection locked="0"/>
    </xf>
    <xf numFmtId="3" fontId="30" fillId="0" borderId="36" xfId="11" applyNumberFormat="1" applyFont="1" applyFill="1" applyBorder="1" applyAlignment="1" applyProtection="1">
      <alignment vertical="center"/>
      <protection locked="0"/>
    </xf>
    <xf numFmtId="10" fontId="53" fillId="0" borderId="26" xfId="41" applyNumberFormat="1" applyFont="1" applyFill="1" applyBorder="1" applyAlignment="1" applyProtection="1">
      <alignment vertical="center"/>
      <protection locked="0"/>
    </xf>
    <xf numFmtId="3" fontId="56" fillId="0" borderId="36" xfId="11" applyNumberFormat="1" applyFont="1" applyFill="1" applyBorder="1" applyAlignment="1">
      <alignment vertical="center"/>
    </xf>
    <xf numFmtId="3" fontId="53" fillId="0" borderId="62" xfId="11" applyNumberFormat="1" applyFont="1" applyFill="1" applyBorder="1" applyAlignment="1">
      <alignment horizontal="center" vertical="center"/>
    </xf>
    <xf numFmtId="3" fontId="53" fillId="0" borderId="53" xfId="11" applyNumberFormat="1" applyFont="1" applyFill="1" applyBorder="1" applyAlignment="1">
      <alignment vertical="center" wrapText="1"/>
    </xf>
    <xf numFmtId="3" fontId="53" fillId="0" borderId="37" xfId="11" applyNumberFormat="1" applyFont="1" applyFill="1" applyBorder="1" applyAlignment="1" applyProtection="1">
      <alignment vertical="center"/>
      <protection locked="0"/>
    </xf>
    <xf numFmtId="3" fontId="53" fillId="0" borderId="27" xfId="11" applyNumberFormat="1" applyFont="1" applyFill="1" applyBorder="1" applyAlignment="1" applyProtection="1">
      <alignment vertical="center"/>
      <protection locked="0"/>
    </xf>
    <xf numFmtId="3" fontId="56" fillId="0" borderId="37" xfId="11" applyNumberFormat="1" applyFont="1" applyFill="1" applyBorder="1" applyAlignment="1">
      <alignment vertical="center"/>
    </xf>
    <xf numFmtId="3" fontId="55" fillId="0" borderId="6" xfId="11" applyNumberFormat="1" applyFont="1" applyFill="1" applyBorder="1" applyAlignment="1" applyProtection="1">
      <alignment vertical="center" wrapText="1"/>
      <protection locked="0"/>
    </xf>
    <xf numFmtId="3" fontId="30" fillId="0" borderId="33" xfId="11" applyNumberFormat="1" applyFont="1" applyFill="1" applyBorder="1" applyAlignment="1">
      <alignment vertical="center"/>
    </xf>
    <xf numFmtId="3" fontId="30" fillId="0" borderId="25" xfId="11" applyNumberFormat="1" applyFont="1" applyFill="1" applyBorder="1" applyAlignment="1">
      <alignment vertical="center"/>
    </xf>
    <xf numFmtId="3" fontId="55" fillId="0" borderId="3" xfId="11" applyNumberFormat="1" applyFont="1" applyFill="1" applyBorder="1" applyAlignment="1">
      <alignment vertical="center"/>
    </xf>
    <xf numFmtId="3" fontId="53" fillId="0" borderId="25" xfId="11" applyNumberFormat="1" applyFont="1" applyFill="1" applyBorder="1" applyAlignment="1">
      <alignment horizontal="center" vertical="center"/>
    </xf>
    <xf numFmtId="3" fontId="56" fillId="0" borderId="33" xfId="11" applyNumberFormat="1" applyFont="1" applyFill="1" applyBorder="1" applyAlignment="1">
      <alignment vertical="center"/>
    </xf>
    <xf numFmtId="3" fontId="30" fillId="0" borderId="2" xfId="11" applyNumberFormat="1" applyFont="1" applyFill="1" applyBorder="1" applyAlignment="1">
      <alignment horizontal="center" vertical="center" wrapText="1"/>
    </xf>
    <xf numFmtId="3" fontId="30" fillId="0" borderId="3" xfId="11" applyNumberFormat="1" applyFont="1" applyFill="1" applyBorder="1" applyAlignment="1">
      <alignment horizontal="center" vertical="center" wrapText="1"/>
    </xf>
    <xf numFmtId="3" fontId="53" fillId="0" borderId="4" xfId="11" applyNumberFormat="1" applyFont="1" applyFill="1" applyBorder="1" applyAlignment="1">
      <alignment vertical="center" wrapText="1"/>
    </xf>
    <xf numFmtId="3" fontId="30" fillId="0" borderId="4" xfId="11" applyNumberFormat="1" applyFont="1" applyFill="1" applyBorder="1" applyAlignment="1" applyProtection="1">
      <alignment vertical="center"/>
      <protection locked="0"/>
    </xf>
    <xf numFmtId="3" fontId="53" fillId="0" borderId="4" xfId="11" applyNumberFormat="1" applyFont="1" applyFill="1" applyBorder="1" applyAlignment="1" applyProtection="1">
      <alignment vertical="center"/>
      <protection locked="0"/>
    </xf>
    <xf numFmtId="3" fontId="30" fillId="0" borderId="6" xfId="11" applyNumberFormat="1" applyFont="1" applyFill="1" applyBorder="1" applyAlignment="1">
      <alignment vertical="center"/>
    </xf>
    <xf numFmtId="3" fontId="53" fillId="0" borderId="5" xfId="11" applyNumberFormat="1" applyFont="1" applyFill="1" applyBorder="1" applyAlignment="1">
      <alignment vertical="center" wrapText="1"/>
    </xf>
    <xf numFmtId="3" fontId="30" fillId="0" borderId="5" xfId="11" applyNumberFormat="1" applyFont="1" applyFill="1" applyBorder="1" applyAlignment="1" applyProtection="1">
      <alignment vertical="center"/>
      <protection locked="0"/>
    </xf>
    <xf numFmtId="3" fontId="53" fillId="0" borderId="5" xfId="11" applyNumberFormat="1" applyFont="1" applyFill="1" applyBorder="1" applyAlignment="1" applyProtection="1">
      <alignment vertical="center"/>
      <protection locked="0"/>
    </xf>
    <xf numFmtId="3" fontId="30" fillId="0" borderId="7" xfId="11" applyNumberFormat="1" applyFont="1" applyFill="1" applyBorder="1" applyAlignment="1">
      <alignment vertical="center"/>
    </xf>
    <xf numFmtId="3" fontId="53" fillId="0" borderId="63" xfId="11" applyNumberFormat="1" applyFont="1" applyFill="1" applyBorder="1" applyAlignment="1">
      <alignment horizontal="center" vertical="center"/>
    </xf>
    <xf numFmtId="3" fontId="53" fillId="0" borderId="12" xfId="11" applyNumberFormat="1" applyFont="1" applyFill="1" applyBorder="1" applyAlignment="1">
      <alignment vertical="center" wrapText="1"/>
    </xf>
    <xf numFmtId="3" fontId="30" fillId="0" borderId="12" xfId="11" applyNumberFormat="1" applyFont="1" applyFill="1" applyBorder="1" applyAlignment="1" applyProtection="1">
      <alignment vertical="center"/>
      <protection locked="0"/>
    </xf>
    <xf numFmtId="3" fontId="53" fillId="0" borderId="12" xfId="11" applyNumberFormat="1" applyFont="1" applyFill="1" applyBorder="1" applyAlignment="1" applyProtection="1">
      <alignment vertical="center"/>
      <protection locked="0"/>
    </xf>
    <xf numFmtId="3" fontId="30" fillId="0" borderId="13" xfId="11" applyNumberFormat="1" applyFont="1" applyFill="1" applyBorder="1" applyAlignment="1">
      <alignment vertical="center"/>
    </xf>
    <xf numFmtId="3" fontId="53" fillId="0" borderId="87" xfId="11" applyNumberFormat="1" applyFont="1" applyFill="1" applyBorder="1" applyAlignment="1">
      <alignment horizontal="center" vertical="center"/>
    </xf>
    <xf numFmtId="3" fontId="53" fillId="0" borderId="8" xfId="11" applyNumberFormat="1" applyFont="1" applyFill="1" applyBorder="1" applyAlignment="1">
      <alignment vertical="center" wrapText="1"/>
    </xf>
    <xf numFmtId="3" fontId="30" fillId="0" borderId="8" xfId="11" applyNumberFormat="1" applyFont="1" applyFill="1" applyBorder="1" applyAlignment="1" applyProtection="1">
      <alignment vertical="center"/>
      <protection locked="0"/>
    </xf>
    <xf numFmtId="3" fontId="53" fillId="0" borderId="8" xfId="11" applyNumberFormat="1" applyFont="1" applyFill="1" applyBorder="1" applyAlignment="1" applyProtection="1">
      <alignment vertical="center"/>
      <protection locked="0"/>
    </xf>
    <xf numFmtId="3" fontId="30" fillId="0" borderId="20" xfId="11" applyNumberFormat="1" applyFont="1" applyFill="1" applyBorder="1" applyAlignment="1">
      <alignment vertical="center"/>
    </xf>
    <xf numFmtId="3" fontId="30" fillId="0" borderId="2" xfId="11" applyNumberFormat="1" applyFont="1" applyFill="1" applyBorder="1" applyAlignment="1">
      <alignment vertical="center"/>
    </xf>
    <xf numFmtId="3" fontId="30" fillId="0" borderId="3" xfId="11" applyNumberFormat="1" applyFont="1" applyFill="1" applyBorder="1" applyAlignment="1">
      <alignment vertical="center"/>
    </xf>
    <xf numFmtId="3" fontId="57" fillId="0" borderId="0" xfId="11" applyNumberFormat="1" applyFont="1" applyFill="1"/>
    <xf numFmtId="3" fontId="57" fillId="7" borderId="0" xfId="11" applyNumberFormat="1" applyFont="1" applyFill="1"/>
    <xf numFmtId="3" fontId="57" fillId="8" borderId="0" xfId="11" applyNumberFormat="1" applyFont="1" applyFill="1"/>
    <xf numFmtId="3" fontId="53" fillId="8" borderId="0" xfId="11" applyNumberFormat="1" applyFont="1" applyFill="1"/>
    <xf numFmtId="0" fontId="19" fillId="0" borderId="0" xfId="13" applyFont="1" applyFill="1"/>
    <xf numFmtId="0" fontId="20" fillId="0" borderId="0" xfId="13" applyFont="1" applyFill="1"/>
    <xf numFmtId="0" fontId="48" fillId="0" borderId="0" xfId="13" applyFont="1" applyFill="1"/>
    <xf numFmtId="0" fontId="20" fillId="0" borderId="0" xfId="13" applyFont="1" applyFill="1" applyAlignment="1"/>
    <xf numFmtId="0" fontId="33" fillId="0" borderId="0" xfId="13" applyFont="1" applyFill="1"/>
    <xf numFmtId="0" fontId="35" fillId="0" borderId="0" xfId="13" applyFont="1" applyFill="1"/>
    <xf numFmtId="0" fontId="52" fillId="0" borderId="0" xfId="13" applyFont="1" applyFill="1"/>
    <xf numFmtId="0" fontId="51" fillId="0" borderId="0" xfId="23" applyFont="1" applyFill="1" applyAlignment="1">
      <alignment horizontal="right"/>
    </xf>
    <xf numFmtId="0" fontId="33" fillId="0" borderId="54" xfId="13" applyFont="1" applyFill="1" applyBorder="1" applyAlignment="1">
      <alignment horizontal="center"/>
    </xf>
    <xf numFmtId="0" fontId="33" fillId="0" borderId="18" xfId="13" applyFont="1" applyFill="1" applyBorder="1"/>
    <xf numFmtId="14" fontId="35" fillId="0" borderId="18" xfId="13" applyNumberFormat="1" applyFont="1" applyFill="1" applyBorder="1"/>
    <xf numFmtId="3" fontId="52" fillId="0" borderId="55" xfId="13" applyNumberFormat="1" applyFont="1" applyFill="1" applyBorder="1"/>
    <xf numFmtId="0" fontId="33" fillId="0" borderId="18" xfId="13" applyFont="1" applyFill="1" applyBorder="1" applyAlignment="1">
      <alignment horizontal="left" vertical="top" wrapText="1"/>
    </xf>
    <xf numFmtId="49" fontId="35" fillId="0" borderId="43" xfId="13" applyNumberFormat="1" applyFont="1" applyFill="1" applyBorder="1" applyAlignment="1">
      <alignment horizontal="center"/>
    </xf>
    <xf numFmtId="0" fontId="35" fillId="0" borderId="2" xfId="13" applyFont="1" applyFill="1" applyBorder="1"/>
    <xf numFmtId="0" fontId="35" fillId="0" borderId="2" xfId="13" applyFont="1" applyFill="1" applyBorder="1" applyAlignment="1">
      <alignment horizontal="center"/>
    </xf>
    <xf numFmtId="14" fontId="35" fillId="0" borderId="2" xfId="13" applyNumberFormat="1" applyFont="1" applyFill="1" applyBorder="1" applyAlignment="1">
      <alignment horizontal="center"/>
    </xf>
    <xf numFmtId="3" fontId="35" fillId="0" borderId="56" xfId="13" applyNumberFormat="1" applyFont="1" applyFill="1" applyBorder="1"/>
    <xf numFmtId="3" fontId="51" fillId="0" borderId="56" xfId="13" applyNumberFormat="1" applyFont="1" applyFill="1" applyBorder="1"/>
    <xf numFmtId="0" fontId="33" fillId="0" borderId="18" xfId="13" applyFont="1" applyFill="1" applyBorder="1" applyAlignment="1">
      <alignment wrapText="1"/>
    </xf>
    <xf numFmtId="14" fontId="33" fillId="0" borderId="18" xfId="13" applyNumberFormat="1" applyFont="1" applyFill="1" applyBorder="1"/>
    <xf numFmtId="3" fontId="33" fillId="0" borderId="18" xfId="13" applyNumberFormat="1" applyFont="1" applyFill="1" applyBorder="1" applyAlignment="1">
      <alignment horizontal="right" wrapText="1"/>
    </xf>
    <xf numFmtId="3" fontId="52" fillId="0" borderId="55" xfId="13" applyNumberFormat="1" applyFont="1" applyFill="1" applyBorder="1" applyAlignment="1">
      <alignment horizontal="right" wrapText="1"/>
    </xf>
    <xf numFmtId="0" fontId="33" fillId="0" borderId="88" xfId="13" applyFont="1" applyFill="1" applyBorder="1" applyAlignment="1">
      <alignment horizontal="center"/>
    </xf>
    <xf numFmtId="0" fontId="33" fillId="0" borderId="15" xfId="13" applyFont="1" applyFill="1" applyBorder="1"/>
    <xf numFmtId="14" fontId="35" fillId="0" borderId="15" xfId="13" applyNumberFormat="1" applyFont="1" applyFill="1" applyBorder="1"/>
    <xf numFmtId="3" fontId="33" fillId="0" borderId="85" xfId="13" applyNumberFormat="1" applyFont="1" applyFill="1" applyBorder="1"/>
    <xf numFmtId="3" fontId="35" fillId="0" borderId="38" xfId="13" applyNumberFormat="1" applyFont="1" applyFill="1" applyBorder="1"/>
    <xf numFmtId="3" fontId="33" fillId="0" borderId="15" xfId="13" applyNumberFormat="1" applyFont="1" applyFill="1" applyBorder="1" applyAlignment="1">
      <alignment horizontal="right" wrapText="1"/>
    </xf>
    <xf numFmtId="3" fontId="52" fillId="0" borderId="85" xfId="13" applyNumberFormat="1" applyFont="1" applyFill="1" applyBorder="1" applyAlignment="1">
      <alignment horizontal="right" wrapText="1"/>
    </xf>
    <xf numFmtId="0" fontId="35" fillId="0" borderId="0" xfId="13" applyFont="1" applyFill="1" applyAlignment="1"/>
    <xf numFmtId="0" fontId="51" fillId="0" borderId="0" xfId="13" applyFont="1" applyFill="1" applyAlignment="1"/>
    <xf numFmtId="0" fontId="33" fillId="0" borderId="0" xfId="13" applyFont="1" applyFill="1" applyAlignment="1"/>
    <xf numFmtId="0" fontId="52" fillId="0" borderId="0" xfId="13" applyFont="1" applyFill="1" applyAlignment="1"/>
    <xf numFmtId="0" fontId="15" fillId="0" borderId="50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3" fontId="15" fillId="0" borderId="61" xfId="22" applyNumberFormat="1" applyFont="1" applyFill="1" applyBorder="1" applyAlignment="1">
      <alignment horizontal="center" vertical="center" wrapText="1"/>
    </xf>
    <xf numFmtId="3" fontId="15" fillId="0" borderId="22" xfId="22" applyNumberFormat="1" applyFont="1" applyFill="1" applyBorder="1" applyAlignment="1">
      <alignment horizontal="center" vertical="center" wrapText="1"/>
    </xf>
    <xf numFmtId="0" fontId="15" fillId="0" borderId="22" xfId="22" applyFont="1" applyFill="1" applyBorder="1" applyAlignment="1">
      <alignment horizontal="center" vertical="center"/>
    </xf>
    <xf numFmtId="0" fontId="15" fillId="0" borderId="23" xfId="22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top" wrapText="1"/>
    </xf>
    <xf numFmtId="0" fontId="16" fillId="0" borderId="39" xfId="0" applyFont="1" applyFill="1" applyBorder="1" applyAlignment="1">
      <alignment horizontal="center" vertical="top" wrapText="1"/>
    </xf>
    <xf numFmtId="3" fontId="16" fillId="0" borderId="91" xfId="22" applyNumberFormat="1" applyFont="1" applyFill="1" applyBorder="1" applyAlignment="1">
      <alignment horizontal="center" vertical="center" wrapText="1"/>
    </xf>
    <xf numFmtId="3" fontId="16" fillId="0" borderId="15" xfId="22" applyNumberFormat="1" applyFont="1" applyFill="1" applyBorder="1" applyAlignment="1">
      <alignment horizontal="center" vertical="center" wrapText="1"/>
    </xf>
    <xf numFmtId="0" fontId="16" fillId="0" borderId="15" xfId="22" applyFont="1" applyFill="1" applyBorder="1" applyAlignment="1">
      <alignment horizontal="center" vertical="center"/>
    </xf>
    <xf numFmtId="0" fontId="16" fillId="0" borderId="16" xfId="22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left" vertical="top" wrapText="1"/>
    </xf>
    <xf numFmtId="3" fontId="16" fillId="0" borderId="36" xfId="0" applyNumberFormat="1" applyFont="1" applyFill="1" applyBorder="1" applyAlignment="1">
      <alignment horizontal="right" vertical="top" wrapText="1"/>
    </xf>
    <xf numFmtId="3" fontId="16" fillId="0" borderId="61" xfId="0" applyNumberFormat="1" applyFont="1" applyFill="1" applyBorder="1" applyAlignment="1">
      <alignment horizontal="right" vertical="top" wrapText="1"/>
    </xf>
    <xf numFmtId="0" fontId="16" fillId="0" borderId="58" xfId="0" applyFont="1" applyFill="1" applyBorder="1" applyAlignment="1">
      <alignment horizontal="left" vertical="top" wrapText="1"/>
    </xf>
    <xf numFmtId="3" fontId="16" fillId="0" borderId="32" xfId="0" applyNumberFormat="1" applyFont="1" applyFill="1" applyBorder="1" applyAlignment="1">
      <alignment horizontal="right" vertical="top" wrapText="1"/>
    </xf>
    <xf numFmtId="3" fontId="16" fillId="0" borderId="63" xfId="0" applyNumberFormat="1" applyFont="1" applyFill="1" applyBorder="1" applyAlignment="1">
      <alignment horizontal="right" vertical="top" wrapText="1"/>
    </xf>
    <xf numFmtId="0" fontId="15" fillId="0" borderId="56" xfId="0" applyFont="1" applyFill="1" applyBorder="1" applyAlignment="1">
      <alignment horizontal="left" vertical="top" wrapText="1"/>
    </xf>
    <xf numFmtId="3" fontId="15" fillId="0" borderId="33" xfId="0" applyNumberFormat="1" applyFont="1" applyFill="1" applyBorder="1" applyAlignment="1">
      <alignment horizontal="right" vertical="top" wrapText="1"/>
    </xf>
    <xf numFmtId="3" fontId="15" fillId="0" borderId="60" xfId="0" applyNumberFormat="1" applyFont="1" applyFill="1" applyBorder="1" applyAlignment="1">
      <alignment horizontal="right" vertical="top" wrapText="1"/>
    </xf>
    <xf numFmtId="3" fontId="16" fillId="0" borderId="59" xfId="0" applyNumberFormat="1" applyFont="1" applyFill="1" applyBorder="1" applyAlignment="1">
      <alignment horizontal="right" vertical="top" wrapText="1"/>
    </xf>
    <xf numFmtId="0" fontId="15" fillId="0" borderId="55" xfId="0" applyFont="1" applyFill="1" applyBorder="1" applyAlignment="1">
      <alignment horizontal="left" vertical="top" wrapText="1"/>
    </xf>
    <xf numFmtId="3" fontId="15" fillId="0" borderId="42" xfId="0" applyNumberFormat="1" applyFont="1" applyFill="1" applyBorder="1" applyAlignment="1">
      <alignment horizontal="right" vertical="top" wrapText="1"/>
    </xf>
    <xf numFmtId="3" fontId="15" fillId="0" borderId="90" xfId="0" applyNumberFormat="1" applyFont="1" applyFill="1" applyBorder="1" applyAlignment="1">
      <alignment horizontal="right" vertical="top" wrapText="1"/>
    </xf>
    <xf numFmtId="3" fontId="19" fillId="0" borderId="0" xfId="13" applyNumberFormat="1" applyFont="1" applyFill="1"/>
    <xf numFmtId="3" fontId="35" fillId="6" borderId="0" xfId="13" applyNumberFormat="1" applyFont="1" applyFill="1"/>
    <xf numFmtId="3" fontId="35" fillId="0" borderId="0" xfId="13" applyNumberFormat="1" applyFont="1" applyFill="1" applyBorder="1"/>
    <xf numFmtId="3" fontId="51" fillId="0" borderId="0" xfId="13" applyNumberFormat="1" applyFont="1" applyFill="1"/>
    <xf numFmtId="0" fontId="51" fillId="0" borderId="0" xfId="13" applyFont="1" applyFill="1"/>
    <xf numFmtId="3" fontId="51" fillId="6" borderId="0" xfId="13" applyNumberFormat="1" applyFont="1" applyFill="1"/>
    <xf numFmtId="0" fontId="33" fillId="0" borderId="0" xfId="28" applyFont="1" applyAlignment="1">
      <alignment horizontal="left" wrapText="1"/>
    </xf>
    <xf numFmtId="164" fontId="12" fillId="0" borderId="62" xfId="11" applyNumberFormat="1" applyFont="1" applyBorder="1" applyAlignment="1"/>
    <xf numFmtId="0" fontId="21" fillId="0" borderId="45" xfId="11" applyFont="1" applyBorder="1" applyAlignment="1">
      <alignment horizontal="left" indent="1"/>
    </xf>
    <xf numFmtId="164" fontId="21" fillId="0" borderId="45" xfId="11" applyNumberFormat="1" applyFont="1" applyBorder="1" applyAlignment="1"/>
    <xf numFmtId="164" fontId="21" fillId="0" borderId="53" xfId="11" applyNumberFormat="1" applyFont="1" applyBorder="1" applyAlignment="1"/>
    <xf numFmtId="164" fontId="10" fillId="0" borderId="36" xfId="11" applyNumberFormat="1" applyFont="1" applyBorder="1" applyAlignment="1"/>
    <xf numFmtId="0" fontId="21" fillId="0" borderId="0" xfId="0" applyFont="1"/>
    <xf numFmtId="164" fontId="21" fillId="0" borderId="0" xfId="0" applyNumberFormat="1" applyFont="1"/>
    <xf numFmtId="166" fontId="21" fillId="0" borderId="0" xfId="0" applyNumberFormat="1" applyFont="1"/>
    <xf numFmtId="164" fontId="11" fillId="0" borderId="59" xfId="11" applyNumberFormat="1" applyFont="1" applyBorder="1" applyAlignment="1"/>
    <xf numFmtId="164" fontId="11" fillId="0" borderId="6" xfId="11" applyNumberFormat="1" applyFont="1" applyBorder="1" applyAlignment="1"/>
    <xf numFmtId="164" fontId="12" fillId="0" borderId="53" xfId="11" applyNumberFormat="1" applyFont="1" applyFill="1" applyBorder="1" applyAlignment="1"/>
    <xf numFmtId="164" fontId="12" fillId="0" borderId="7" xfId="11" applyNumberFormat="1" applyFont="1" applyFill="1" applyBorder="1" applyAlignment="1"/>
    <xf numFmtId="164" fontId="21" fillId="0" borderId="53" xfId="11" applyNumberFormat="1" applyFont="1" applyFill="1" applyBorder="1" applyAlignment="1"/>
    <xf numFmtId="3" fontId="33" fillId="0" borderId="55" xfId="11" applyNumberFormat="1" applyFont="1" applyFill="1" applyBorder="1"/>
    <xf numFmtId="0" fontId="12" fillId="0" borderId="0" xfId="0" applyFont="1" applyFill="1" applyBorder="1"/>
    <xf numFmtId="0" fontId="21" fillId="0" borderId="10" xfId="11" applyFont="1" applyBorder="1" applyAlignment="1" applyProtection="1">
      <alignment horizontal="left" vertical="center" indent="1"/>
      <protection locked="0"/>
    </xf>
    <xf numFmtId="10" fontId="21" fillId="0" borderId="13" xfId="36" applyNumberFormat="1" applyFont="1" applyBorder="1" applyAlignment="1" applyProtection="1">
      <alignment horizontal="center" vertical="center"/>
      <protection locked="0"/>
    </xf>
    <xf numFmtId="0" fontId="21" fillId="0" borderId="62" xfId="11" applyFont="1" applyFill="1" applyBorder="1" applyAlignment="1">
      <alignment horizontal="center" vertical="center"/>
    </xf>
    <xf numFmtId="0" fontId="21" fillId="0" borderId="11" xfId="11" applyFont="1" applyFill="1" applyBorder="1" applyAlignment="1" applyProtection="1">
      <alignment horizontal="left" vertical="center" indent="1"/>
      <protection locked="0"/>
    </xf>
    <xf numFmtId="0" fontId="21" fillId="0" borderId="53" xfId="11" applyFont="1" applyFill="1" applyBorder="1" applyAlignment="1" applyProtection="1">
      <alignment horizontal="left" vertical="center" indent="1"/>
      <protection locked="0"/>
    </xf>
    <xf numFmtId="0" fontId="21" fillId="0" borderId="62" xfId="11" applyFont="1" applyBorder="1" applyAlignment="1">
      <alignment horizontal="center" vertical="center"/>
    </xf>
    <xf numFmtId="0" fontId="21" fillId="0" borderId="53" xfId="11" applyFont="1" applyBorder="1" applyAlignment="1" applyProtection="1">
      <alignment horizontal="left" vertical="center" indent="1"/>
      <protection locked="0"/>
    </xf>
    <xf numFmtId="3" fontId="21" fillId="0" borderId="45" xfId="11" applyNumberFormat="1" applyFont="1" applyBorder="1" applyAlignment="1" applyProtection="1">
      <alignment vertical="center"/>
      <protection locked="0"/>
    </xf>
    <xf numFmtId="3" fontId="21" fillId="0" borderId="53" xfId="11" applyNumberFormat="1" applyFont="1" applyBorder="1" applyAlignment="1" applyProtection="1">
      <alignment vertical="center"/>
      <protection locked="0"/>
    </xf>
    <xf numFmtId="3" fontId="15" fillId="0" borderId="43" xfId="0" applyNumberFormat="1" applyFont="1" applyBorder="1" applyAlignment="1">
      <alignment horizontal="center"/>
    </xf>
    <xf numFmtId="49" fontId="15" fillId="0" borderId="25" xfId="0" applyNumberFormat="1" applyFont="1" applyBorder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center" vertical="center"/>
    </xf>
    <xf numFmtId="3" fontId="11" fillId="0" borderId="43" xfId="11" applyNumberFormat="1" applyFont="1" applyFill="1" applyBorder="1" applyAlignment="1">
      <alignment horizontal="center" vertical="center"/>
    </xf>
    <xf numFmtId="3" fontId="11" fillId="0" borderId="43" xfId="11" applyNumberFormat="1" applyFont="1" applyFill="1" applyBorder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49" fontId="11" fillId="0" borderId="43" xfId="11" applyNumberFormat="1" applyFont="1" applyFill="1" applyBorder="1" applyAlignment="1">
      <alignment horizontal="center" vertical="center" wrapText="1"/>
    </xf>
    <xf numFmtId="49" fontId="11" fillId="0" borderId="25" xfId="11" applyNumberFormat="1" applyFont="1" applyFill="1" applyBorder="1" applyAlignment="1">
      <alignment horizontal="center" vertical="center" wrapText="1"/>
    </xf>
    <xf numFmtId="0" fontId="11" fillId="0" borderId="56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3" fontId="11" fillId="0" borderId="89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9" fillId="0" borderId="0" xfId="11" applyNumberFormat="1" applyFont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3" fontId="52" fillId="0" borderId="0" xfId="13" applyNumberFormat="1" applyFont="1" applyAlignment="1"/>
    <xf numFmtId="3" fontId="20" fillId="0" borderId="0" xfId="13" applyNumberFormat="1" applyFont="1" applyAlignment="1">
      <alignment horizontal="center"/>
    </xf>
    <xf numFmtId="3" fontId="30" fillId="0" borderId="8" xfId="11" applyNumberFormat="1" applyFont="1" applyFill="1" applyBorder="1" applyAlignment="1">
      <alignment horizontal="center" vertical="center" wrapText="1"/>
    </xf>
    <xf numFmtId="0" fontId="12" fillId="0" borderId="19" xfId="11" applyFont="1" applyFill="1" applyBorder="1" applyAlignment="1"/>
    <xf numFmtId="3" fontId="30" fillId="0" borderId="15" xfId="11" applyNumberFormat="1" applyFont="1" applyFill="1" applyBorder="1" applyAlignment="1" applyProtection="1">
      <alignment vertical="center"/>
      <protection locked="0"/>
    </xf>
    <xf numFmtId="3" fontId="53" fillId="0" borderId="15" xfId="11" applyNumberFormat="1" applyFont="1" applyFill="1" applyBorder="1" applyAlignment="1" applyProtection="1">
      <alignment vertical="center"/>
      <protection locked="0"/>
    </xf>
    <xf numFmtId="165" fontId="11" fillId="0" borderId="89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 applyProtection="1">
      <alignment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0" xfId="11" applyNumberFormat="1" applyFont="1" applyFill="1" applyBorder="1" applyAlignment="1">
      <alignment wrapText="1"/>
    </xf>
    <xf numFmtId="49" fontId="63" fillId="0" borderId="25" xfId="11" applyNumberFormat="1" applyFont="1" applyFill="1" applyBorder="1" applyAlignment="1">
      <alignment horizontal="center" vertical="center" wrapText="1"/>
    </xf>
    <xf numFmtId="0" fontId="34" fillId="0" borderId="0" xfId="32" applyFont="1" applyAlignment="1">
      <alignment horizontal="center"/>
    </xf>
    <xf numFmtId="0" fontId="20" fillId="0" borderId="0" xfId="32" applyFont="1" applyAlignment="1">
      <alignment horizontal="center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3" xfId="0" applyNumberFormat="1" applyFont="1" applyBorder="1" applyAlignment="1">
      <alignment horizontal="center"/>
    </xf>
    <xf numFmtId="3" fontId="15" fillId="0" borderId="25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3" xfId="0" applyNumberFormat="1" applyFont="1" applyFill="1" applyBorder="1" applyAlignment="1">
      <alignment horizontal="center"/>
    </xf>
    <xf numFmtId="3" fontId="15" fillId="0" borderId="25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49" fontId="15" fillId="0" borderId="43" xfId="0" applyNumberFormat="1" applyFont="1" applyBorder="1" applyAlignment="1">
      <alignment horizontal="center"/>
    </xf>
    <xf numFmtId="49" fontId="15" fillId="0" borderId="25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9" fillId="0" borderId="0" xfId="11" applyNumberFormat="1" applyFont="1" applyAlignment="1">
      <alignment horizontal="center"/>
    </xf>
    <xf numFmtId="0" fontId="11" fillId="0" borderId="89" xfId="11" applyFont="1" applyBorder="1" applyAlignment="1">
      <alignment horizontal="center" vertical="center"/>
    </xf>
    <xf numFmtId="0" fontId="11" fillId="0" borderId="54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10" fontId="10" fillId="0" borderId="46" xfId="36" applyNumberFormat="1" applyFont="1" applyFill="1" applyBorder="1" applyAlignment="1" applyProtection="1">
      <alignment horizontal="center" vertical="center" wrapText="1"/>
    </xf>
    <xf numFmtId="10" fontId="10" fillId="0" borderId="16" xfId="36" applyNumberFormat="1" applyFont="1" applyFill="1" applyBorder="1" applyAlignment="1" applyProtection="1">
      <alignment horizontal="center" vertical="center" wrapText="1"/>
    </xf>
    <xf numFmtId="4" fontId="11" fillId="0" borderId="60" xfId="11" applyNumberFormat="1" applyFont="1" applyBorder="1" applyAlignment="1">
      <alignment horizontal="center" vertical="center" wrapText="1"/>
    </xf>
    <xf numFmtId="4" fontId="11" fillId="0" borderId="2" xfId="11" applyNumberFormat="1" applyFont="1" applyBorder="1" applyAlignment="1">
      <alignment horizontal="center" vertical="center" wrapText="1"/>
    </xf>
    <xf numFmtId="4" fontId="11" fillId="0" borderId="3" xfId="11" applyNumberFormat="1" applyFont="1" applyBorder="1" applyAlignment="1">
      <alignment horizontal="center" vertical="center" wrapText="1"/>
    </xf>
    <xf numFmtId="10" fontId="10" fillId="0" borderId="19" xfId="36" applyNumberFormat="1" applyFont="1" applyFill="1" applyBorder="1" applyAlignment="1" applyProtection="1">
      <alignment horizontal="center" vertical="center" wrapText="1"/>
    </xf>
    <xf numFmtId="3" fontId="11" fillId="0" borderId="83" xfId="31" applyNumberFormat="1" applyFont="1" applyFill="1" applyBorder="1" applyAlignment="1" applyProtection="1">
      <alignment horizontal="center" vertical="center" wrapText="1"/>
    </xf>
    <xf numFmtId="3" fontId="11" fillId="0" borderId="55" xfId="31" applyNumberFormat="1" applyFont="1" applyFill="1" applyBorder="1" applyAlignment="1" applyProtection="1">
      <alignment horizontal="center" vertical="center" wrapText="1"/>
    </xf>
    <xf numFmtId="3" fontId="11" fillId="0" borderId="89" xfId="31" applyNumberFormat="1" applyFont="1" applyFill="1" applyBorder="1" applyAlignment="1" applyProtection="1">
      <alignment horizontal="center" vertical="center" wrapText="1"/>
    </xf>
    <xf numFmtId="3" fontId="11" fillId="0" borderId="54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alignment horizontal="left" wrapText="1"/>
      <protection locked="0"/>
    </xf>
    <xf numFmtId="3" fontId="9" fillId="0" borderId="0" xfId="11" applyNumberFormat="1" applyFont="1" applyFill="1" applyAlignment="1" applyProtection="1">
      <protection locked="0"/>
    </xf>
    <xf numFmtId="0" fontId="12" fillId="0" borderId="43" xfId="11" applyFont="1" applyBorder="1" applyAlignment="1">
      <alignment horizontal="center" wrapText="1"/>
    </xf>
    <xf numFmtId="0" fontId="12" fillId="0" borderId="25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23" xfId="11" applyFont="1" applyBorder="1" applyAlignment="1">
      <alignment horizontal="center" vertical="center" wrapText="1"/>
    </xf>
    <xf numFmtId="0" fontId="12" fillId="0" borderId="58" xfId="11" applyFont="1" applyBorder="1" applyAlignment="1">
      <alignment horizontal="center" vertical="center" wrapText="1"/>
    </xf>
    <xf numFmtId="0" fontId="11" fillId="0" borderId="34" xfId="11" applyFont="1" applyBorder="1" applyAlignment="1">
      <alignment horizontal="center" vertical="center"/>
    </xf>
    <xf numFmtId="0" fontId="11" fillId="0" borderId="38" xfId="11" applyFont="1" applyBorder="1" applyAlignment="1">
      <alignment horizontal="center" vertical="center"/>
    </xf>
    <xf numFmtId="0" fontId="12" fillId="0" borderId="43" xfId="11" applyFont="1" applyBorder="1" applyAlignment="1">
      <alignment horizontal="center"/>
    </xf>
    <xf numFmtId="0" fontId="12" fillId="0" borderId="25" xfId="11" applyFont="1" applyBorder="1" applyAlignment="1">
      <alignment horizontal="center"/>
    </xf>
    <xf numFmtId="0" fontId="12" fillId="0" borderId="41" xfId="11" applyFont="1" applyBorder="1" applyAlignment="1">
      <alignment horizontal="center"/>
    </xf>
    <xf numFmtId="0" fontId="12" fillId="0" borderId="43" xfId="31" applyFont="1" applyFill="1" applyBorder="1" applyAlignment="1" applyProtection="1">
      <alignment horizontal="center" vertical="center"/>
    </xf>
    <xf numFmtId="0" fontId="12" fillId="0" borderId="25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1" fillId="0" borderId="84" xfId="31" applyFont="1" applyFill="1" applyBorder="1" applyAlignment="1" applyProtection="1">
      <alignment horizontal="center" vertical="center" wrapText="1"/>
    </xf>
    <xf numFmtId="0" fontId="11" fillId="0" borderId="91" xfId="31" applyFont="1" applyFill="1" applyBorder="1" applyAlignment="1" applyProtection="1">
      <alignment horizontal="center" vertical="center" wrapText="1"/>
    </xf>
    <xf numFmtId="0" fontId="11" fillId="0" borderId="46" xfId="31" applyFont="1" applyFill="1" applyBorder="1" applyAlignment="1" applyProtection="1">
      <alignment horizontal="center" vertical="center" wrapText="1"/>
    </xf>
    <xf numFmtId="0" fontId="11" fillId="0" borderId="16" xfId="31" applyFont="1" applyFill="1" applyBorder="1" applyAlignment="1" applyProtection="1">
      <alignment horizontal="center" vertical="center" wrapText="1"/>
    </xf>
    <xf numFmtId="0" fontId="11" fillId="0" borderId="43" xfId="31" applyFont="1" applyFill="1" applyBorder="1" applyAlignment="1" applyProtection="1">
      <alignment horizontal="center" vertical="center" wrapText="1"/>
    </xf>
    <xf numFmtId="0" fontId="11" fillId="0" borderId="25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3" fontId="11" fillId="0" borderId="43" xfId="11" applyNumberFormat="1" applyFont="1" applyFill="1" applyBorder="1" applyAlignment="1">
      <alignment horizontal="left" vertical="center" wrapText="1" indent="2"/>
    </xf>
    <xf numFmtId="3" fontId="11" fillId="0" borderId="41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8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center" vertical="center"/>
    </xf>
    <xf numFmtId="3" fontId="11" fillId="0" borderId="38" xfId="11" applyNumberFormat="1" applyFont="1" applyFill="1" applyBorder="1" applyAlignment="1">
      <alignment horizontal="center" vertical="center"/>
    </xf>
    <xf numFmtId="3" fontId="11" fillId="0" borderId="43" xfId="11" applyNumberFormat="1" applyFont="1" applyFill="1" applyBorder="1" applyAlignment="1">
      <alignment horizontal="center" vertical="center"/>
    </xf>
    <xf numFmtId="3" fontId="11" fillId="0" borderId="25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43" xfId="11" applyNumberFormat="1" applyFont="1" applyFill="1" applyBorder="1" applyAlignment="1">
      <alignment horizontal="center" vertical="center" wrapText="1"/>
    </xf>
    <xf numFmtId="3" fontId="11" fillId="0" borderId="25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3" xfId="33" applyNumberFormat="1" applyFont="1" applyFill="1" applyBorder="1" applyAlignment="1" applyProtection="1">
      <alignment horizontal="left" vertical="center" indent="1"/>
    </xf>
    <xf numFmtId="3" fontId="11" fillId="0" borderId="35" xfId="33" applyNumberFormat="1" applyFont="1" applyFill="1" applyBorder="1" applyAlignment="1" applyProtection="1">
      <alignment horizontal="left" vertical="center" indent="1"/>
    </xf>
    <xf numFmtId="3" fontId="11" fillId="0" borderId="2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3" xfId="11" applyNumberFormat="1" applyFont="1" applyFill="1" applyBorder="1" applyAlignment="1">
      <alignment horizontal="center" vertical="center" wrapText="1"/>
    </xf>
    <xf numFmtId="49" fontId="11" fillId="0" borderId="25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0" fontId="11" fillId="0" borderId="56" xfId="11" applyFont="1" applyFill="1" applyBorder="1" applyAlignment="1">
      <alignment horizontal="center" vertical="center" wrapText="1"/>
    </xf>
    <xf numFmtId="0" fontId="11" fillId="0" borderId="25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29" xfId="11" applyNumberFormat="1" applyFont="1" applyFill="1" applyBorder="1" applyAlignment="1" applyProtection="1">
      <alignment horizontal="right" wrapText="1"/>
    </xf>
    <xf numFmtId="165" fontId="11" fillId="0" borderId="43" xfId="11" applyNumberFormat="1" applyFont="1" applyFill="1" applyBorder="1" applyAlignment="1" applyProtection="1">
      <alignment horizontal="center" vertical="center" wrapText="1"/>
    </xf>
    <xf numFmtId="165" fontId="11" fillId="0" borderId="25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Fill="1" applyBorder="1" applyAlignment="1">
      <alignment horizontal="center" wrapText="1"/>
    </xf>
    <xf numFmtId="0" fontId="11" fillId="0" borderId="43" xfId="11" applyFont="1" applyFill="1" applyBorder="1" applyAlignment="1"/>
    <xf numFmtId="0" fontId="11" fillId="0" borderId="25" xfId="11" applyFont="1" applyFill="1" applyBorder="1" applyAlignment="1"/>
    <xf numFmtId="0" fontId="11" fillId="0" borderId="41" xfId="11" applyFont="1" applyFill="1" applyBorder="1" applyAlignment="1"/>
    <xf numFmtId="168" fontId="11" fillId="0" borderId="89" xfId="11" applyNumberFormat="1" applyFont="1" applyFill="1" applyBorder="1" applyAlignment="1">
      <alignment horizontal="center" vertical="center" wrapText="1"/>
    </xf>
    <xf numFmtId="168" fontId="11" fillId="0" borderId="54" xfId="11" applyNumberFormat="1" applyFont="1" applyFill="1" applyBorder="1" applyAlignment="1">
      <alignment horizontal="center" vertical="center" wrapText="1"/>
    </xf>
    <xf numFmtId="168" fontId="11" fillId="0" borderId="88" xfId="11" applyNumberFormat="1" applyFont="1" applyFill="1" applyBorder="1" applyAlignment="1">
      <alignment horizontal="center" vertical="center" wrapText="1"/>
    </xf>
    <xf numFmtId="0" fontId="11" fillId="5" borderId="89" xfId="11" applyNumberFormat="1" applyFont="1" applyFill="1" applyBorder="1" applyAlignment="1">
      <alignment horizontal="center" vertical="center" wrapText="1"/>
    </xf>
    <xf numFmtId="0" fontId="11" fillId="5" borderId="54" xfId="11" applyNumberFormat="1" applyFont="1" applyFill="1" applyBorder="1" applyAlignment="1">
      <alignment horizontal="center" vertical="center" wrapText="1"/>
    </xf>
    <xf numFmtId="0" fontId="11" fillId="5" borderId="88" xfId="11" applyNumberFormat="1" applyFont="1" applyFill="1" applyBorder="1" applyAlignment="1">
      <alignment horizontal="center" vertical="center" wrapText="1"/>
    </xf>
    <xf numFmtId="3" fontId="11" fillId="0" borderId="43" xfId="11" applyNumberFormat="1" applyFont="1" applyFill="1" applyBorder="1" applyAlignment="1">
      <alignment vertical="center" wrapText="1"/>
    </xf>
    <xf numFmtId="3" fontId="11" fillId="0" borderId="25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0" fontId="11" fillId="2" borderId="43" xfId="11" applyFont="1" applyFill="1" applyBorder="1" applyAlignment="1">
      <alignment vertical="center" wrapText="1"/>
    </xf>
    <xf numFmtId="0" fontId="11" fillId="2" borderId="25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43" xfId="11" applyFont="1" applyFill="1" applyBorder="1" applyAlignment="1"/>
    <xf numFmtId="0" fontId="11" fillId="2" borderId="25" xfId="11" applyFont="1" applyFill="1" applyBorder="1" applyAlignment="1"/>
    <xf numFmtId="0" fontId="11" fillId="2" borderId="41" xfId="11" applyFont="1" applyFill="1" applyBorder="1" applyAlignment="1"/>
    <xf numFmtId="0" fontId="11" fillId="0" borderId="43" xfId="11" applyFont="1" applyFill="1" applyBorder="1" applyAlignment="1">
      <alignment vertical="center" wrapText="1"/>
    </xf>
    <xf numFmtId="0" fontId="11" fillId="0" borderId="25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84" xfId="11" applyNumberFormat="1" applyFont="1" applyFill="1" applyBorder="1" applyAlignment="1">
      <alignment horizontal="center" vertical="center" wrapText="1"/>
    </xf>
    <xf numFmtId="0" fontId="11" fillId="0" borderId="90" xfId="11" applyNumberFormat="1" applyFont="1" applyFill="1" applyBorder="1" applyAlignment="1">
      <alignment horizontal="center" vertical="center" wrapText="1"/>
    </xf>
    <xf numFmtId="0" fontId="11" fillId="0" borderId="91" xfId="11" applyNumberFormat="1" applyFont="1" applyFill="1" applyBorder="1" applyAlignment="1">
      <alignment horizontal="center" vertical="center" wrapText="1"/>
    </xf>
    <xf numFmtId="49" fontId="11" fillId="0" borderId="46" xfId="11" applyNumberFormat="1" applyFont="1" applyFill="1" applyBorder="1" applyAlignment="1">
      <alignment horizontal="center" vertical="center" wrapText="1"/>
    </xf>
    <xf numFmtId="49" fontId="11" fillId="0" borderId="19" xfId="11" applyNumberFormat="1" applyFont="1" applyFill="1" applyBorder="1" applyAlignment="1">
      <alignment horizontal="center" vertical="center" wrapText="1"/>
    </xf>
    <xf numFmtId="49" fontId="11" fillId="0" borderId="16" xfId="11" applyNumberFormat="1" applyFont="1" applyFill="1" applyBorder="1" applyAlignment="1">
      <alignment horizontal="center" vertical="center" wrapText="1"/>
    </xf>
    <xf numFmtId="0" fontId="11" fillId="0" borderId="47" xfId="11" applyFont="1" applyFill="1" applyBorder="1" applyAlignment="1">
      <alignment horizontal="center" vertical="center" wrapText="1"/>
    </xf>
    <xf numFmtId="0" fontId="11" fillId="0" borderId="18" xfId="11" applyFont="1" applyFill="1" applyBorder="1" applyAlignment="1">
      <alignment horizontal="center" vertical="center" wrapText="1"/>
    </xf>
    <xf numFmtId="0" fontId="11" fillId="0" borderId="15" xfId="11" applyFont="1" applyFill="1" applyBorder="1" applyAlignment="1">
      <alignment horizontal="center" vertical="center" wrapText="1"/>
    </xf>
    <xf numFmtId="3" fontId="63" fillId="5" borderId="84" xfId="11" applyNumberFormat="1" applyFont="1" applyFill="1" applyBorder="1" applyAlignment="1">
      <alignment horizontal="center" vertical="center" wrapText="1"/>
    </xf>
    <xf numFmtId="3" fontId="63" fillId="5" borderId="90" xfId="11" applyNumberFormat="1" applyFont="1" applyFill="1" applyBorder="1" applyAlignment="1">
      <alignment horizontal="center" vertical="center" wrapText="1"/>
    </xf>
    <xf numFmtId="3" fontId="63" fillId="5" borderId="91" xfId="11" applyNumberFormat="1" applyFont="1" applyFill="1" applyBorder="1" applyAlignment="1">
      <alignment horizontal="center" vertical="center" wrapText="1"/>
    </xf>
    <xf numFmtId="3" fontId="11" fillId="0" borderId="89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93" xfId="11" applyNumberFormat="1" applyFont="1" applyFill="1" applyBorder="1" applyAlignment="1">
      <alignment horizontal="center" vertical="center" wrapText="1"/>
    </xf>
    <xf numFmtId="3" fontId="11" fillId="0" borderId="54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92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50" fillId="0" borderId="0" xfId="0" applyFont="1" applyFill="1"/>
    <xf numFmtId="3" fontId="35" fillId="0" borderId="93" xfId="13" applyNumberFormat="1" applyFont="1" applyFill="1" applyBorder="1" applyAlignment="1">
      <alignment horizontal="center" vertical="center" wrapText="1"/>
    </xf>
    <xf numFmtId="3" fontId="35" fillId="0" borderId="98" xfId="13" applyNumberFormat="1" applyFont="1" applyFill="1" applyBorder="1" applyAlignment="1">
      <alignment horizontal="center" vertical="center" wrapText="1"/>
    </xf>
    <xf numFmtId="3" fontId="52" fillId="0" borderId="0" xfId="13" applyNumberFormat="1" applyFont="1" applyAlignment="1"/>
    <xf numFmtId="3" fontId="19" fillId="0" borderId="0" xfId="31" applyNumberFormat="1" applyFont="1" applyFill="1" applyAlignment="1">
      <alignment horizontal="right"/>
    </xf>
    <xf numFmtId="3" fontId="20" fillId="0" borderId="0" xfId="13" applyNumberFormat="1" applyFont="1" applyAlignment="1">
      <alignment horizontal="center"/>
    </xf>
    <xf numFmtId="3" fontId="33" fillId="0" borderId="34" xfId="13" applyNumberFormat="1" applyFont="1" applyBorder="1" applyAlignment="1">
      <alignment horizontal="center" vertical="center"/>
    </xf>
    <xf numFmtId="3" fontId="33" fillId="0" borderId="38" xfId="13" applyNumberFormat="1" applyFont="1" applyBorder="1" applyAlignment="1">
      <alignment horizontal="center" vertical="center"/>
    </xf>
    <xf numFmtId="3" fontId="33" fillId="0" borderId="44" xfId="13" applyNumberFormat="1" applyFont="1" applyBorder="1" applyAlignment="1">
      <alignment horizontal="center" vertical="center"/>
    </xf>
    <xf numFmtId="3" fontId="33" fillId="0" borderId="31" xfId="13" applyNumberFormat="1" applyFont="1" applyBorder="1" applyAlignment="1">
      <alignment horizontal="center" vertical="center"/>
    </xf>
    <xf numFmtId="3" fontId="33" fillId="0" borderId="97" xfId="13" applyNumberFormat="1" applyFont="1" applyBorder="1" applyAlignment="1">
      <alignment horizontal="center" vertical="center"/>
    </xf>
    <xf numFmtId="3" fontId="33" fillId="0" borderId="34" xfId="13" applyNumberFormat="1" applyFont="1" applyBorder="1" applyAlignment="1">
      <alignment horizontal="center" vertical="center" wrapText="1"/>
    </xf>
    <xf numFmtId="3" fontId="33" fillId="0" borderId="38" xfId="13" applyNumberFormat="1" applyFont="1" applyBorder="1" applyAlignment="1">
      <alignment horizontal="center" vertical="center" wrapText="1"/>
    </xf>
    <xf numFmtId="3" fontId="35" fillId="0" borderId="34" xfId="13" applyNumberFormat="1" applyFont="1" applyFill="1" applyBorder="1" applyAlignment="1">
      <alignment horizontal="center" vertical="center" wrapText="1"/>
    </xf>
    <xf numFmtId="3" fontId="35" fillId="0" borderId="38" xfId="13" applyNumberFormat="1" applyFont="1" applyFill="1" applyBorder="1" applyAlignment="1">
      <alignment horizontal="center" vertical="center" wrapText="1"/>
    </xf>
    <xf numFmtId="3" fontId="52" fillId="0" borderId="34" xfId="13" applyNumberFormat="1" applyFont="1" applyBorder="1" applyAlignment="1">
      <alignment horizontal="center" vertical="center" wrapText="1"/>
    </xf>
    <xf numFmtId="3" fontId="52" fillId="0" borderId="38" xfId="13" applyNumberFormat="1" applyFont="1" applyBorder="1" applyAlignment="1">
      <alignment horizontal="center" vertical="center" wrapText="1"/>
    </xf>
    <xf numFmtId="49" fontId="33" fillId="0" borderId="34" xfId="13" applyNumberFormat="1" applyFont="1" applyBorder="1" applyAlignment="1">
      <alignment horizontal="center" vertical="center" wrapText="1"/>
    </xf>
    <xf numFmtId="49" fontId="33" fillId="0" borderId="38" xfId="13" applyNumberFormat="1" applyFont="1" applyBorder="1" applyAlignment="1">
      <alignment horizontal="center" vertical="center" wrapText="1"/>
    </xf>
    <xf numFmtId="3" fontId="33" fillId="0" borderId="61" xfId="13" applyNumberFormat="1" applyFont="1" applyBorder="1" applyAlignment="1">
      <alignment horizontal="center" vertical="center"/>
    </xf>
    <xf numFmtId="3" fontId="33" fillId="0" borderId="22" xfId="13" applyNumberFormat="1" applyFont="1" applyBorder="1" applyAlignment="1">
      <alignment horizontal="center" vertical="center"/>
    </xf>
    <xf numFmtId="3" fontId="33" fillId="0" borderId="23" xfId="13" applyNumberFormat="1" applyFont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center" vertical="center" wrapText="1"/>
      <protection locked="0"/>
    </xf>
    <xf numFmtId="3" fontId="4" fillId="0" borderId="0" xfId="11" applyNumberFormat="1" applyFont="1" applyFill="1" applyAlignment="1" applyProtection="1">
      <alignment horizontal="center"/>
      <protection locked="0"/>
    </xf>
    <xf numFmtId="3" fontId="30" fillId="0" borderId="43" xfId="11" applyNumberFormat="1" applyFont="1" applyFill="1" applyBorder="1" applyAlignment="1">
      <alignment horizontal="left" vertical="center" indent="1"/>
    </xf>
    <xf numFmtId="3" fontId="30" fillId="0" borderId="25" xfId="11" applyNumberFormat="1" applyFont="1" applyFill="1" applyBorder="1" applyAlignment="1">
      <alignment horizontal="left" vertical="center" indent="1"/>
    </xf>
    <xf numFmtId="3" fontId="30" fillId="0" borderId="61" xfId="11" applyNumberFormat="1" applyFont="1" applyFill="1" applyBorder="1" applyAlignment="1">
      <alignment horizontal="center" vertical="center" wrapText="1"/>
    </xf>
    <xf numFmtId="3" fontId="30" fillId="0" borderId="87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Fill="1" applyAlignment="1" applyProtection="1">
      <alignment horizontal="center"/>
      <protection locked="0"/>
    </xf>
    <xf numFmtId="3" fontId="30" fillId="0" borderId="22" xfId="11" applyNumberFormat="1" applyFont="1" applyFill="1" applyBorder="1" applyAlignment="1">
      <alignment horizontal="center" vertical="center" wrapText="1"/>
    </xf>
    <xf numFmtId="3" fontId="30" fillId="0" borderId="8" xfId="11" applyNumberFormat="1" applyFont="1" applyFill="1" applyBorder="1" applyAlignment="1">
      <alignment horizontal="center" vertical="center" wrapText="1"/>
    </xf>
    <xf numFmtId="3" fontId="30" fillId="0" borderId="22" xfId="11" applyNumberFormat="1" applyFont="1" applyFill="1" applyBorder="1" applyAlignment="1">
      <alignment horizontal="center"/>
    </xf>
    <xf numFmtId="3" fontId="30" fillId="0" borderId="23" xfId="11" applyNumberFormat="1" applyFont="1" applyFill="1" applyBorder="1" applyAlignment="1">
      <alignment horizontal="center" vertical="center" wrapText="1"/>
    </xf>
    <xf numFmtId="3" fontId="30" fillId="0" borderId="20" xfId="11" applyNumberFormat="1" applyFont="1" applyFill="1" applyBorder="1" applyAlignment="1">
      <alignment horizontal="center" vertical="center" wrapText="1"/>
    </xf>
    <xf numFmtId="3" fontId="30" fillId="0" borderId="44" xfId="11" applyNumberFormat="1" applyFont="1" applyFill="1" applyBorder="1" applyAlignment="1">
      <alignment horizontal="left" vertical="center" wrapText="1" indent="1"/>
    </xf>
    <xf numFmtId="3" fontId="30" fillId="0" borderId="31" xfId="11" applyNumberFormat="1" applyFont="1" applyFill="1" applyBorder="1" applyAlignment="1">
      <alignment horizontal="left" vertical="center" wrapText="1" indent="1"/>
    </xf>
    <xf numFmtId="3" fontId="30" fillId="0" borderId="97" xfId="11" applyNumberFormat="1" applyFont="1" applyFill="1" applyBorder="1" applyAlignment="1">
      <alignment horizontal="left" vertical="center" wrapText="1" indent="1"/>
    </xf>
    <xf numFmtId="3" fontId="30" fillId="0" borderId="1" xfId="11" applyNumberFormat="1" applyFont="1" applyFill="1" applyBorder="1" applyAlignment="1">
      <alignment horizontal="left" vertical="center" indent="1"/>
    </xf>
    <xf numFmtId="0" fontId="20" fillId="0" borderId="0" xfId="13" applyFont="1" applyFill="1" applyAlignment="1">
      <alignment horizontal="center"/>
    </xf>
    <xf numFmtId="14" fontId="19" fillId="0" borderId="0" xfId="13" applyNumberFormat="1" applyFont="1" applyFill="1" applyAlignment="1">
      <alignment horizontal="center"/>
    </xf>
    <xf numFmtId="0" fontId="19" fillId="0" borderId="0" xfId="13" applyFont="1" applyFill="1" applyAlignment="1">
      <alignment horizontal="center"/>
    </xf>
    <xf numFmtId="0" fontId="35" fillId="0" borderId="89" xfId="13" applyFont="1" applyFill="1" applyBorder="1" applyAlignment="1">
      <alignment horizontal="center" vertical="center" wrapText="1"/>
    </xf>
    <xf numFmtId="0" fontId="35" fillId="0" borderId="54" xfId="13" applyFont="1" applyFill="1" applyBorder="1" applyAlignment="1">
      <alignment horizontal="center" vertical="center" wrapText="1"/>
    </xf>
    <xf numFmtId="0" fontId="35" fillId="0" borderId="88" xfId="13" applyFont="1" applyFill="1" applyBorder="1" applyAlignment="1">
      <alignment horizontal="center" vertical="center" wrapText="1"/>
    </xf>
    <xf numFmtId="0" fontId="35" fillId="0" borderId="47" xfId="13" applyFont="1" applyFill="1" applyBorder="1" applyAlignment="1">
      <alignment horizontal="center" vertical="center" wrapText="1"/>
    </xf>
    <xf numFmtId="0" fontId="35" fillId="0" borderId="18" xfId="13" applyFont="1" applyFill="1" applyBorder="1" applyAlignment="1">
      <alignment horizontal="center" vertical="center" wrapText="1"/>
    </xf>
    <xf numFmtId="0" fontId="35" fillId="0" borderId="15" xfId="13" applyFont="1" applyFill="1" applyBorder="1" applyAlignment="1">
      <alignment horizontal="center" vertical="center" wrapText="1"/>
    </xf>
    <xf numFmtId="0" fontId="35" fillId="0" borderId="83" xfId="13" applyFont="1" applyFill="1" applyBorder="1" applyAlignment="1">
      <alignment horizontal="center" vertical="center" wrapText="1"/>
    </xf>
    <xf numFmtId="0" fontId="35" fillId="0" borderId="55" xfId="13" applyFont="1" applyFill="1" applyBorder="1" applyAlignment="1">
      <alignment horizontal="center" vertical="center" wrapText="1"/>
    </xf>
    <xf numFmtId="0" fontId="35" fillId="0" borderId="85" xfId="13" applyFont="1" applyFill="1" applyBorder="1" applyAlignment="1">
      <alignment horizontal="center" vertical="center" wrapText="1"/>
    </xf>
    <xf numFmtId="0" fontId="35" fillId="0" borderId="34" xfId="13" applyFont="1" applyFill="1" applyBorder="1" applyAlignment="1">
      <alignment horizontal="center" vertical="center" wrapText="1"/>
    </xf>
    <xf numFmtId="0" fontId="35" fillId="0" borderId="42" xfId="13" applyFont="1" applyFill="1" applyBorder="1" applyAlignment="1">
      <alignment horizontal="center" vertical="center" wrapText="1"/>
    </xf>
    <xf numFmtId="0" fontId="35" fillId="0" borderId="38" xfId="13" applyFont="1" applyFill="1" applyBorder="1" applyAlignment="1">
      <alignment horizontal="center" vertical="center" wrapText="1"/>
    </xf>
    <xf numFmtId="0" fontId="35" fillId="0" borderId="31" xfId="13" applyFont="1" applyFill="1" applyBorder="1" applyAlignment="1">
      <alignment horizontal="center" vertical="center" wrapText="1"/>
    </xf>
    <xf numFmtId="0" fontId="35" fillId="0" borderId="12" xfId="13" applyFont="1" applyFill="1" applyBorder="1" applyAlignment="1">
      <alignment horizontal="center" vertical="center" wrapText="1"/>
    </xf>
    <xf numFmtId="0" fontId="51" fillId="0" borderId="58" xfId="13" applyFont="1" applyFill="1" applyBorder="1" applyAlignment="1">
      <alignment horizontal="center" vertical="center" wrapText="1"/>
    </xf>
    <xf numFmtId="0" fontId="51" fillId="0" borderId="55" xfId="13" applyFont="1" applyFill="1" applyBorder="1" applyAlignment="1">
      <alignment horizontal="center" vertical="center" wrapText="1"/>
    </xf>
    <xf numFmtId="0" fontId="51" fillId="0" borderId="85" xfId="13" applyFont="1" applyFill="1" applyBorder="1" applyAlignment="1">
      <alignment horizontal="center" vertical="center" wrapText="1"/>
    </xf>
    <xf numFmtId="0" fontId="33" fillId="0" borderId="0" xfId="13" applyFont="1" applyFill="1" applyAlignment="1">
      <alignment vertical="top" wrapText="1"/>
    </xf>
    <xf numFmtId="3" fontId="20" fillId="0" borderId="0" xfId="13" applyNumberFormat="1" applyFont="1" applyFill="1" applyAlignment="1">
      <alignment horizontal="center"/>
    </xf>
    <xf numFmtId="0" fontId="35" fillId="0" borderId="0" xfId="13" applyFont="1" applyFill="1" applyAlignment="1">
      <alignment horizontal="center"/>
    </xf>
    <xf numFmtId="3" fontId="35" fillId="0" borderId="0" xfId="13" applyNumberFormat="1" applyFont="1" applyFill="1" applyAlignment="1">
      <alignment horizontal="center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43" xfId="11" applyFont="1" applyBorder="1" applyAlignment="1">
      <alignment horizontal="left" vertical="top" wrapText="1"/>
    </xf>
    <xf numFmtId="0" fontId="38" fillId="0" borderId="25" xfId="11" applyFont="1" applyBorder="1" applyAlignment="1">
      <alignment horizontal="left" vertical="top" wrapText="1"/>
    </xf>
    <xf numFmtId="0" fontId="37" fillId="0" borderId="45" xfId="11" applyFont="1" applyBorder="1" applyAlignment="1">
      <alignment horizontal="left" vertical="center"/>
    </xf>
    <xf numFmtId="0" fontId="37" fillId="0" borderId="27" xfId="11" applyFont="1" applyBorder="1" applyAlignment="1">
      <alignment horizontal="left" vertical="center"/>
    </xf>
    <xf numFmtId="0" fontId="38" fillId="0" borderId="43" xfId="11" applyFont="1" applyBorder="1" applyAlignment="1">
      <alignment horizontal="left"/>
    </xf>
    <xf numFmtId="0" fontId="37" fillId="0" borderId="25" xfId="11" applyFont="1" applyBorder="1" applyAlignment="1">
      <alignment horizontal="left"/>
    </xf>
    <xf numFmtId="0" fontId="37" fillId="0" borderId="45" xfId="11" applyFont="1" applyBorder="1" applyAlignment="1">
      <alignment horizontal="left"/>
    </xf>
    <xf numFmtId="0" fontId="37" fillId="0" borderId="27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30" xfId="11" applyFont="1" applyBorder="1" applyAlignment="1">
      <alignment horizontal="left"/>
    </xf>
    <xf numFmtId="0" fontId="38" fillId="0" borderId="60" xfId="11" applyFont="1" applyBorder="1" applyAlignment="1">
      <alignment horizontal="left"/>
    </xf>
    <xf numFmtId="0" fontId="38" fillId="0" borderId="56" xfId="11" applyFont="1" applyBorder="1" applyAlignment="1">
      <alignment horizontal="left"/>
    </xf>
    <xf numFmtId="0" fontId="38" fillId="0" borderId="43" xfId="11" applyFont="1" applyBorder="1" applyAlignment="1">
      <alignment horizontal="center" vertical="center" wrapText="1"/>
    </xf>
    <xf numFmtId="0" fontId="38" fillId="0" borderId="41" xfId="11" applyFont="1" applyBorder="1" applyAlignment="1">
      <alignment horizontal="center" vertical="center" wrapText="1"/>
    </xf>
    <xf numFmtId="0" fontId="38" fillId="0" borderId="43" xfId="11" applyFont="1" applyBorder="1" applyAlignment="1">
      <alignment horizontal="left" vertical="center" wrapText="1"/>
    </xf>
    <xf numFmtId="0" fontId="38" fillId="0" borderId="25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0" xfId="11" applyFont="1" applyBorder="1" applyAlignment="1">
      <alignment horizontal="center" vertical="center"/>
    </xf>
    <xf numFmtId="0" fontId="38" fillId="0" borderId="87" xfId="11" applyFont="1" applyBorder="1" applyAlignment="1">
      <alignment horizontal="center" vertical="center"/>
    </xf>
    <xf numFmtId="0" fontId="38" fillId="0" borderId="101" xfId="11" applyFont="1" applyBorder="1" applyAlignment="1">
      <alignment horizontal="center" vertical="center"/>
    </xf>
    <xf numFmtId="0" fontId="38" fillId="0" borderId="61" xfId="11" applyFont="1" applyBorder="1" applyAlignment="1">
      <alignment horizontal="center"/>
    </xf>
    <xf numFmtId="0" fontId="38" fillId="0" borderId="23" xfId="11" applyFont="1" applyBorder="1" applyAlignment="1">
      <alignment horizontal="center"/>
    </xf>
    <xf numFmtId="0" fontId="37" fillId="0" borderId="51" xfId="11" applyFont="1" applyBorder="1" applyAlignment="1">
      <alignment horizontal="left" vertical="center"/>
    </xf>
    <xf numFmtId="0" fontId="37" fillId="0" borderId="26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16" fillId="0" borderId="0" xfId="11" applyNumberFormat="1" applyFont="1" applyAlignment="1">
      <alignment horizontal="left" vertical="top" wrapText="1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center" vertical="top" wrapText="1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5" fillId="0" borderId="0" xfId="11" applyFont="1" applyAlignment="1">
      <alignment horizontal="justify" vertical="top" wrapText="1"/>
    </xf>
    <xf numFmtId="0" fontId="39" fillId="0" borderId="0" xfId="11" applyFont="1" applyAlignment="1">
      <alignment horizontal="left" vertical="top" wrapText="1"/>
    </xf>
    <xf numFmtId="0" fontId="16" fillId="0" borderId="0" xfId="11" applyNumberFormat="1" applyFont="1" applyAlignment="1">
      <alignment horizontal="left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23" xfId="11" applyFont="1" applyBorder="1" applyAlignment="1">
      <alignment horizontal="center" wrapText="1"/>
    </xf>
    <xf numFmtId="0" fontId="12" fillId="0" borderId="13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22" xfId="11" applyFont="1" applyBorder="1" applyAlignment="1">
      <alignment horizontal="center"/>
    </xf>
    <xf numFmtId="0" fontId="12" fillId="0" borderId="23" xfId="11" applyFont="1" applyBorder="1" applyAlignment="1">
      <alignment horizontal="center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.gabor/My%20Documents/Dokumentumok/PH/Besz&#225;mol&#243;2018/2018.%20&#233;vi%20z&#225;rsz&#225;mad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/My%20Documents/Dokumentumok/PH/Besz&#225;mol&#243;2014/2014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mell._Össz_Mérleg2018"/>
      <sheetName val="1.1.mell._ÖNK_Mérleg2018"/>
      <sheetName val="1.2.mell._HKÖH_Mérleg2018"/>
      <sheetName val="1.3.mell._HVÓBKI_Mérleg2018"/>
      <sheetName val="1.4.mell._HKK_Mérleg2018"/>
      <sheetName val="1.5._mell._MŐSZ_Mérleg2018"/>
      <sheetName val="1.6._mell._HVGYKCSSZ_Mérleg2018"/>
      <sheetName val="2.a.mell._MMérleg2018"/>
      <sheetName val="2.b.mell._FMérleg2018"/>
      <sheetName val="3. mell._létszám2018"/>
      <sheetName val="4. mell. EUprojektek2017"/>
      <sheetName val="5.mell_adósság2018"/>
      <sheetName val="6.mell_Többévesköt.2018"/>
      <sheetName val="7. mell_KözvetettTám2018"/>
      <sheetName val="8.mell_EIfelhterv2018"/>
      <sheetName val="9.mell_ÖsszMérleg(telj)2018"/>
      <sheetName val="10.mell_támogatások2018"/>
      <sheetName val="11.mell_felhKiad2018"/>
      <sheetName val="12.mell_céltámogatások2018"/>
      <sheetName val="13.mell_ÖNKfeladatok2018"/>
      <sheetName val="14.mell_Önk kiegészítés2018"/>
      <sheetName val="15.mell 2018K01"/>
      <sheetName val="16.mell 2018K02"/>
      <sheetName val="17.mell 2018K03"/>
      <sheetName val="18.mell 2018K04"/>
      <sheetName val="19.mell 2018K12"/>
      <sheetName val="20.mell 2018K13"/>
      <sheetName val="21.mell Vagyonkim2018"/>
      <sheetName val="22.mell Részesedések2018"/>
      <sheetName val="23.mell_Adósságáll2018"/>
      <sheetName val="24.Hitelek2018"/>
      <sheetName val="25.mell_maradvány2018"/>
      <sheetName val="26.mell_maradványfeloszt2018"/>
      <sheetName val="15.mell_Tartozások2018"/>
      <sheetName val="16.mell_Étkezésdíj2018"/>
      <sheetName val="1.függVárosüzem2018"/>
      <sheetName val="2.függ_adósság2018 (határozat)"/>
    </sheetNames>
    <sheetDataSet>
      <sheetData sheetId="0" refreshError="1"/>
      <sheetData sheetId="1">
        <row r="102">
          <cell r="F102">
            <v>0.96794256447987859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70">
          <cell r="E70">
            <v>0</v>
          </cell>
        </row>
      </sheetData>
      <sheetData sheetId="7" refreshError="1"/>
      <sheetData sheetId="8">
        <row r="33">
          <cell r="F33">
            <v>0.93308842484224486</v>
          </cell>
          <cell r="N33">
            <v>0.372068931601307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mell._Össz_Mérleg2014"/>
      <sheetName val="1.1.mell._ÖNK_Mérleg2014"/>
      <sheetName val="1.2.mell._PH_Mérleg2014"/>
      <sheetName val="1.3.mell._HVÓBKI_Mérleg2014"/>
      <sheetName val="1.4.mell._HKK_Mérleg2014"/>
      <sheetName val="1.5.mell._MŐSZ_Mérleg2014"/>
      <sheetName val="2.a.mell._MMérleg2014"/>
      <sheetName val="2.b.mell._FMérleg2014"/>
      <sheetName val="3. mell._létszám2014"/>
      <sheetName val="4. mell. EUprojektek2014"/>
      <sheetName val="5.mell_adósság2014"/>
      <sheetName val="6.mell_Többévesköt.2014"/>
      <sheetName val="7. mell_KözvetettTám2014"/>
      <sheetName val="8.mell_EIfelhterv2014"/>
      <sheetName val="9.mell_ÖsszMérleg(telj)2014"/>
      <sheetName val="10.mell_támogatások2014"/>
      <sheetName val="11.mell_felhKiad2014"/>
      <sheetName val="12.mell_céltámogatások2014"/>
      <sheetName val="13.mell_ÖNKfeladatok2014"/>
      <sheetName val="14.mell_Önk kiegészítés2014"/>
      <sheetName val="15.mell 2014K01"/>
      <sheetName val="16.mell 2014K02"/>
      <sheetName val="17.mell 2014K03"/>
      <sheetName val="18.mell 2014K04"/>
      <sheetName val="19.mell 2014K12"/>
      <sheetName val="20.mell 2014K13"/>
      <sheetName val="21.mell Vagyonkim2014"/>
      <sheetName val="22.mell Részesedések2014"/>
      <sheetName val="23.mell_Adósságáll2014"/>
      <sheetName val="24.mell Hitelek2014"/>
      <sheetName val="25.mell_maradvány2014"/>
      <sheetName val="26.mell_maradványfeloszt2014"/>
    </sheetNames>
    <sheetDataSet>
      <sheetData sheetId="0" refreshError="1"/>
      <sheetData sheetId="1" refreshError="1"/>
      <sheetData sheetId="2" refreshError="1">
        <row r="65">
          <cell r="E65">
            <v>2608911</v>
          </cell>
        </row>
        <row r="92">
          <cell r="E92">
            <v>355925</v>
          </cell>
        </row>
        <row r="165">
          <cell r="E165">
            <v>1511926</v>
          </cell>
        </row>
        <row r="192">
          <cell r="E192">
            <v>841906</v>
          </cell>
        </row>
      </sheetData>
      <sheetData sheetId="3" refreshError="1">
        <row r="65">
          <cell r="E65">
            <v>42075</v>
          </cell>
        </row>
        <row r="92">
          <cell r="E92">
            <v>258886</v>
          </cell>
        </row>
        <row r="165">
          <cell r="E165">
            <v>299391</v>
          </cell>
        </row>
      </sheetData>
      <sheetData sheetId="4" refreshError="1">
        <row r="65">
          <cell r="E65">
            <v>31566</v>
          </cell>
        </row>
        <row r="92">
          <cell r="E92">
            <v>369677</v>
          </cell>
        </row>
        <row r="165">
          <cell r="E165">
            <v>400777</v>
          </cell>
        </row>
      </sheetData>
      <sheetData sheetId="5" refreshError="1">
        <row r="65">
          <cell r="E65">
            <v>7274</v>
          </cell>
        </row>
        <row r="92">
          <cell r="E92">
            <v>71386</v>
          </cell>
        </row>
        <row r="165">
          <cell r="E165">
            <v>78096</v>
          </cell>
        </row>
      </sheetData>
      <sheetData sheetId="6" refreshError="1">
        <row r="65">
          <cell r="E65">
            <v>0</v>
          </cell>
        </row>
        <row r="92">
          <cell r="E92">
            <v>4894</v>
          </cell>
        </row>
        <row r="165">
          <cell r="E165">
            <v>4890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631" bestFit="1" customWidth="1"/>
    <col min="2" max="2" width="23.28515625" style="772" customWidth="1"/>
    <col min="3" max="3" width="89.7109375" style="632" customWidth="1"/>
    <col min="4" max="16384" width="79" style="631"/>
  </cols>
  <sheetData>
    <row r="1" spans="1:11" s="625" customFormat="1" ht="18.75">
      <c r="A1" s="1767" t="s">
        <v>828</v>
      </c>
      <c r="B1" s="1767"/>
      <c r="C1" s="1767"/>
      <c r="D1" s="624"/>
      <c r="E1" s="624"/>
      <c r="F1" s="624"/>
      <c r="G1" s="624"/>
      <c r="H1" s="624"/>
      <c r="I1" s="624"/>
      <c r="J1" s="624"/>
      <c r="K1" s="624"/>
    </row>
    <row r="2" spans="1:11" s="625" customFormat="1">
      <c r="B2" s="771"/>
      <c r="C2" s="626"/>
    </row>
    <row r="3" spans="1:11" s="625" customFormat="1" ht="15.75">
      <c r="A3" s="1768" t="s">
        <v>2649</v>
      </c>
      <c r="B3" s="1768"/>
      <c r="C3" s="1768"/>
      <c r="D3" s="624"/>
      <c r="E3" s="624"/>
      <c r="F3" s="624"/>
      <c r="G3" s="624"/>
      <c r="H3" s="624"/>
      <c r="I3" s="624"/>
      <c r="J3" s="624"/>
      <c r="K3" s="624"/>
    </row>
    <row r="4" spans="1:11" s="625" customFormat="1">
      <c r="B4" s="771"/>
      <c r="C4" s="626"/>
    </row>
    <row r="5" spans="1:11" s="625" customFormat="1">
      <c r="B5" s="627" t="s">
        <v>47</v>
      </c>
      <c r="C5" s="627" t="s">
        <v>1400</v>
      </c>
      <c r="F5" s="628"/>
      <c r="G5" s="628"/>
      <c r="H5" s="628"/>
      <c r="I5" s="628"/>
      <c r="J5" s="628"/>
      <c r="K5" s="628"/>
    </row>
    <row r="6" spans="1:11" s="625" customFormat="1">
      <c r="B6" s="627" t="s">
        <v>352</v>
      </c>
      <c r="C6" s="627" t="s">
        <v>1401</v>
      </c>
      <c r="F6" s="628"/>
      <c r="G6" s="628"/>
      <c r="H6" s="628"/>
      <c r="I6" s="628"/>
      <c r="J6" s="628"/>
      <c r="K6" s="628"/>
    </row>
    <row r="7" spans="1:11" s="625" customFormat="1">
      <c r="B7" s="627" t="s">
        <v>354</v>
      </c>
      <c r="C7" s="627" t="s">
        <v>1402</v>
      </c>
      <c r="F7" s="628"/>
      <c r="G7" s="628"/>
      <c r="H7" s="628"/>
      <c r="I7" s="628"/>
      <c r="J7" s="628"/>
      <c r="K7" s="628"/>
    </row>
    <row r="8" spans="1:11" s="625" customFormat="1">
      <c r="B8" s="627" t="s">
        <v>355</v>
      </c>
      <c r="C8" s="627" t="s">
        <v>1403</v>
      </c>
      <c r="F8" s="628"/>
      <c r="G8" s="628"/>
      <c r="H8" s="628"/>
      <c r="I8" s="628"/>
      <c r="J8" s="628"/>
      <c r="K8" s="628"/>
    </row>
    <row r="9" spans="1:11" s="625" customFormat="1">
      <c r="B9" s="627" t="s">
        <v>357</v>
      </c>
      <c r="C9" s="627" t="s">
        <v>1404</v>
      </c>
      <c r="F9" s="628"/>
      <c r="G9" s="628"/>
      <c r="H9" s="628"/>
      <c r="I9" s="628"/>
      <c r="J9" s="628"/>
      <c r="K9" s="628"/>
    </row>
    <row r="10" spans="1:11" s="625" customFormat="1">
      <c r="B10" s="627" t="s">
        <v>863</v>
      </c>
      <c r="C10" s="627" t="s">
        <v>1405</v>
      </c>
      <c r="F10" s="628"/>
      <c r="G10" s="628"/>
      <c r="H10" s="628"/>
      <c r="I10" s="628"/>
      <c r="J10" s="628"/>
      <c r="K10" s="628"/>
    </row>
    <row r="11" spans="1:11" s="625" customFormat="1">
      <c r="B11" s="627" t="s">
        <v>1068</v>
      </c>
      <c r="C11" s="627" t="s">
        <v>1406</v>
      </c>
      <c r="F11" s="628"/>
      <c r="G11" s="628"/>
      <c r="H11" s="628"/>
      <c r="I11" s="628"/>
      <c r="J11" s="628"/>
      <c r="K11" s="628"/>
    </row>
    <row r="12" spans="1:11" s="625" customFormat="1">
      <c r="B12" s="627" t="s">
        <v>387</v>
      </c>
      <c r="C12" s="627" t="s">
        <v>829</v>
      </c>
      <c r="F12" s="628"/>
      <c r="G12" s="628"/>
      <c r="H12" s="628"/>
      <c r="I12" s="628"/>
      <c r="J12" s="628"/>
      <c r="K12" s="628"/>
    </row>
    <row r="13" spans="1:11" s="625" customFormat="1">
      <c r="B13" s="627" t="s">
        <v>390</v>
      </c>
      <c r="C13" s="627" t="s">
        <v>830</v>
      </c>
      <c r="F13" s="628"/>
      <c r="G13" s="628"/>
      <c r="H13" s="628"/>
      <c r="I13" s="628"/>
      <c r="J13" s="628"/>
      <c r="K13" s="628"/>
    </row>
    <row r="14" spans="1:11" s="625" customFormat="1">
      <c r="B14" s="627" t="s">
        <v>424</v>
      </c>
      <c r="C14" s="629" t="s">
        <v>1407</v>
      </c>
      <c r="F14" s="628"/>
      <c r="G14" s="628"/>
      <c r="H14" s="628"/>
      <c r="I14" s="628"/>
      <c r="J14" s="628"/>
      <c r="K14" s="628"/>
    </row>
    <row r="15" spans="1:11" s="625" customFormat="1">
      <c r="B15" s="627" t="s">
        <v>443</v>
      </c>
      <c r="C15" s="629" t="s">
        <v>831</v>
      </c>
      <c r="F15" s="628"/>
      <c r="G15" s="628"/>
      <c r="H15" s="628"/>
      <c r="I15" s="628"/>
      <c r="J15" s="628"/>
      <c r="K15" s="628"/>
    </row>
    <row r="16" spans="1:11" s="625" customFormat="1" ht="25.5">
      <c r="B16" s="627" t="s">
        <v>455</v>
      </c>
      <c r="C16" s="627" t="s">
        <v>832</v>
      </c>
      <c r="F16" s="628"/>
    </row>
    <row r="17" spans="2:11" s="625" customFormat="1">
      <c r="B17" s="627" t="s">
        <v>490</v>
      </c>
      <c r="C17" s="627" t="s">
        <v>479</v>
      </c>
    </row>
    <row r="18" spans="2:11" s="625" customFormat="1">
      <c r="B18" s="629" t="s">
        <v>491</v>
      </c>
      <c r="C18" s="629" t="s">
        <v>1408</v>
      </c>
      <c r="F18" s="628"/>
      <c r="G18" s="628"/>
      <c r="H18" s="628"/>
      <c r="I18" s="628"/>
      <c r="J18" s="628"/>
      <c r="K18" s="628"/>
    </row>
    <row r="19" spans="2:11" s="625" customFormat="1">
      <c r="B19" s="627" t="s">
        <v>833</v>
      </c>
      <c r="C19" s="627" t="s">
        <v>2650</v>
      </c>
      <c r="F19" s="628"/>
      <c r="G19" s="628"/>
      <c r="H19" s="628"/>
      <c r="I19" s="628"/>
      <c r="J19" s="628"/>
      <c r="K19" s="628"/>
    </row>
    <row r="20" spans="2:11" s="625" customFormat="1" ht="25.5">
      <c r="B20" s="629" t="s">
        <v>428</v>
      </c>
      <c r="C20" s="627" t="s">
        <v>1409</v>
      </c>
      <c r="E20" s="628"/>
      <c r="F20" s="630"/>
      <c r="G20" s="630"/>
      <c r="H20" s="630"/>
      <c r="I20" s="630"/>
      <c r="J20" s="630"/>
      <c r="K20" s="630"/>
    </row>
    <row r="21" spans="2:11" s="625" customFormat="1" ht="25.5">
      <c r="B21" s="629" t="s">
        <v>478</v>
      </c>
      <c r="C21" s="626" t="s">
        <v>1410</v>
      </c>
      <c r="E21" s="628"/>
      <c r="F21" s="630"/>
      <c r="G21" s="630"/>
      <c r="H21" s="630"/>
      <c r="I21" s="630"/>
      <c r="J21" s="630"/>
      <c r="K21" s="630"/>
    </row>
    <row r="22" spans="2:11" s="625" customFormat="1">
      <c r="B22" s="629" t="s">
        <v>510</v>
      </c>
      <c r="C22" s="625" t="s">
        <v>1411</v>
      </c>
      <c r="E22" s="628"/>
      <c r="F22" s="630"/>
      <c r="G22" s="630"/>
      <c r="H22" s="630"/>
      <c r="I22" s="630"/>
      <c r="J22" s="630"/>
      <c r="K22" s="630"/>
    </row>
    <row r="23" spans="2:11">
      <c r="B23" s="629" t="s">
        <v>780</v>
      </c>
      <c r="C23" s="631" t="s">
        <v>1412</v>
      </c>
    </row>
    <row r="24" spans="2:11">
      <c r="B24" s="629" t="s">
        <v>742</v>
      </c>
      <c r="C24" s="631" t="s">
        <v>834</v>
      </c>
    </row>
    <row r="25" spans="2:11">
      <c r="B25" s="629" t="s">
        <v>591</v>
      </c>
      <c r="C25" s="631" t="s">
        <v>835</v>
      </c>
    </row>
    <row r="26" spans="2:11">
      <c r="B26" s="629" t="s">
        <v>781</v>
      </c>
      <c r="C26" s="631" t="s">
        <v>1560</v>
      </c>
    </row>
    <row r="27" spans="2:11">
      <c r="B27" s="629" t="s">
        <v>836</v>
      </c>
      <c r="C27" s="631" t="s">
        <v>2048</v>
      </c>
    </row>
    <row r="28" spans="2:11">
      <c r="B28" s="629" t="s">
        <v>2294</v>
      </c>
      <c r="C28" s="631" t="s">
        <v>2295</v>
      </c>
    </row>
    <row r="29" spans="2:11">
      <c r="B29" s="629" t="s">
        <v>2329</v>
      </c>
      <c r="C29" s="631" t="s">
        <v>2330</v>
      </c>
    </row>
    <row r="30" spans="2:11">
      <c r="B30" s="629" t="s">
        <v>2357</v>
      </c>
      <c r="C30" s="631" t="s">
        <v>2358</v>
      </c>
    </row>
    <row r="31" spans="2:11">
      <c r="B31" s="629" t="s">
        <v>2390</v>
      </c>
      <c r="C31" s="1710" t="s">
        <v>2391</v>
      </c>
    </row>
    <row r="32" spans="2:11">
      <c r="B32" s="629" t="s">
        <v>2436</v>
      </c>
      <c r="C32" s="632" t="s">
        <v>2651</v>
      </c>
    </row>
    <row r="33" spans="2:3" ht="25.5">
      <c r="B33" s="629" t="s">
        <v>2516</v>
      </c>
      <c r="C33" s="632" t="s">
        <v>2517</v>
      </c>
    </row>
    <row r="34" spans="2:3">
      <c r="B34" s="629" t="s">
        <v>2529</v>
      </c>
      <c r="C34" s="632" t="s">
        <v>2530</v>
      </c>
    </row>
    <row r="35" spans="2:3">
      <c r="B35" s="629" t="s">
        <v>2570</v>
      </c>
      <c r="C35" s="629" t="s">
        <v>2652</v>
      </c>
    </row>
    <row r="36" spans="2:3">
      <c r="B36" s="627" t="s">
        <v>2583</v>
      </c>
      <c r="C36" s="629" t="s">
        <v>2648</v>
      </c>
    </row>
    <row r="37" spans="2:3">
      <c r="B37" s="629" t="s">
        <v>2616</v>
      </c>
      <c r="C37" s="632" t="s">
        <v>2653</v>
      </c>
    </row>
  </sheetData>
  <mergeCells count="2">
    <mergeCell ref="A1:C1"/>
    <mergeCell ref="A3:C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39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5" width="9.28515625" style="4" customWidth="1"/>
    <col min="6" max="6" width="9.28515625" style="1305" customWidth="1"/>
    <col min="7" max="9" width="9.28515625" style="4" customWidth="1"/>
    <col min="10" max="10" width="60" style="4" customWidth="1"/>
    <col min="11" max="13" width="9.28515625" style="4" customWidth="1"/>
    <col min="14" max="14" width="9.28515625" style="1305" customWidth="1"/>
    <col min="15" max="17" width="9.28515625" style="4" customWidth="1"/>
    <col min="18" max="16384" width="9.140625" style="4"/>
  </cols>
  <sheetData>
    <row r="1" spans="1:17" s="50" customFormat="1" ht="15.75">
      <c r="F1" s="1289"/>
      <c r="N1" s="1289"/>
      <c r="Q1" s="51" t="s">
        <v>390</v>
      </c>
    </row>
    <row r="2" spans="1:17" s="50" customFormat="1" ht="15.75">
      <c r="F2" s="1289"/>
      <c r="N2" s="1289"/>
    </row>
    <row r="3" spans="1:17" s="52" customFormat="1" ht="15.75">
      <c r="A3" s="1769" t="s">
        <v>330</v>
      </c>
      <c r="B3" s="1769"/>
      <c r="C3" s="1769"/>
      <c r="D3" s="1769"/>
      <c r="E3" s="1769"/>
      <c r="F3" s="1769"/>
      <c r="G3" s="1769"/>
      <c r="H3" s="1769"/>
      <c r="I3" s="1769"/>
      <c r="J3" s="1769"/>
      <c r="K3" s="1769"/>
      <c r="L3" s="1769"/>
      <c r="M3" s="1769"/>
      <c r="N3" s="1769"/>
      <c r="O3" s="1769"/>
      <c r="P3" s="1769"/>
      <c r="Q3" s="1769"/>
    </row>
    <row r="4" spans="1:17" s="52" customFormat="1" ht="15.75">
      <c r="A4" s="1769" t="s">
        <v>1419</v>
      </c>
      <c r="B4" s="1769"/>
      <c r="C4" s="1769"/>
      <c r="D4" s="1769"/>
      <c r="E4" s="1769"/>
      <c r="F4" s="1769"/>
      <c r="G4" s="1769"/>
      <c r="H4" s="1769"/>
      <c r="I4" s="1769"/>
      <c r="J4" s="1769"/>
      <c r="K4" s="1769"/>
      <c r="L4" s="1769"/>
      <c r="M4" s="1769"/>
      <c r="N4" s="1769"/>
      <c r="O4" s="1769"/>
      <c r="P4" s="1769"/>
      <c r="Q4" s="1769"/>
    </row>
    <row r="5" spans="1:17" s="36" customFormat="1" ht="12.75" thickBot="1">
      <c r="A5" s="38"/>
      <c r="F5" s="1290"/>
      <c r="N5" s="1290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055" t="s">
        <v>1540</v>
      </c>
      <c r="D6" s="6" t="s">
        <v>1541</v>
      </c>
      <c r="E6" s="6" t="s">
        <v>2654</v>
      </c>
      <c r="F6" s="1291" t="s">
        <v>1558</v>
      </c>
      <c r="G6" s="5" t="s">
        <v>51</v>
      </c>
      <c r="H6" s="6" t="s">
        <v>52</v>
      </c>
      <c r="I6" s="7" t="s">
        <v>53</v>
      </c>
      <c r="J6" s="80" t="s">
        <v>328</v>
      </c>
      <c r="K6" s="1055" t="s">
        <v>1540</v>
      </c>
      <c r="L6" s="6" t="s">
        <v>1541</v>
      </c>
      <c r="M6" s="6" t="s">
        <v>2654</v>
      </c>
      <c r="N6" s="1291" t="s">
        <v>1558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778" t="s">
        <v>254</v>
      </c>
      <c r="D7" s="1779"/>
      <c r="E7" s="1779"/>
      <c r="F7" s="1779"/>
      <c r="G7" s="1779"/>
      <c r="H7" s="1779"/>
      <c r="I7" s="1780"/>
      <c r="J7" s="82" t="s">
        <v>360</v>
      </c>
      <c r="K7" s="1778" t="s">
        <v>361</v>
      </c>
      <c r="L7" s="1779"/>
      <c r="M7" s="1779"/>
      <c r="N7" s="1779"/>
      <c r="O7" s="1779"/>
      <c r="P7" s="1779"/>
      <c r="Q7" s="1780"/>
    </row>
    <row r="8" spans="1:17" s="3" customFormat="1" ht="12.75" thickBot="1">
      <c r="A8" s="95" t="s">
        <v>4</v>
      </c>
      <c r="B8" s="63" t="s">
        <v>401</v>
      </c>
      <c r="C8" s="401">
        <f>+C9+C11+C13+C15</f>
        <v>73726</v>
      </c>
      <c r="D8" s="1060">
        <f>+D9+D11+D13+D15</f>
        <v>267192</v>
      </c>
      <c r="E8" s="1060">
        <f>+E9+E11+E13+E15</f>
        <v>261639</v>
      </c>
      <c r="F8" s="1293">
        <f>IF(ISERROR(E8/D8),"-",E8/D8)</f>
        <v>0.97921719213150094</v>
      </c>
      <c r="G8" s="31">
        <f>+G9+G11+G13+G15</f>
        <v>260975</v>
      </c>
      <c r="H8" s="32">
        <f>+H9+H11+H13+H15</f>
        <v>664</v>
      </c>
      <c r="I8" s="33">
        <f>+I9+I11+I13+I15</f>
        <v>0</v>
      </c>
      <c r="J8" s="69" t="s">
        <v>402</v>
      </c>
      <c r="K8" s="129">
        <f>+K9+K11+K13+K15+K16</f>
        <v>503980</v>
      </c>
      <c r="L8" s="1061">
        <f>+L9+L11+L13+L15+L16</f>
        <v>1347672</v>
      </c>
      <c r="M8" s="1061">
        <f>+M9+M11+M13+M15+M16</f>
        <v>1207455</v>
      </c>
      <c r="N8" s="1293">
        <f>IF(ISERROR(M8/L8),"-",M8/L8)</f>
        <v>0.89595613769522553</v>
      </c>
      <c r="O8" s="27">
        <f>+O9+O11+O13+O15+O16</f>
        <v>1142056</v>
      </c>
      <c r="P8" s="28">
        <f>+P9+P11+P13+P15+P16</f>
        <v>65399</v>
      </c>
      <c r="Q8" s="29">
        <f>+Q9+Q11+Q13+Q15+Q16</f>
        <v>0</v>
      </c>
    </row>
    <row r="9" spans="1:17" ht="12.75" customHeight="1">
      <c r="A9" s="125" t="s">
        <v>5</v>
      </c>
      <c r="B9" s="120" t="s">
        <v>398</v>
      </c>
      <c r="C9" s="979">
        <f>+'1.mell._Össz_Mérleg2020'!C51</f>
        <v>32276</v>
      </c>
      <c r="D9" s="1167">
        <f>+'1.mell._Össz_Mérleg2020'!D51</f>
        <v>219051</v>
      </c>
      <c r="E9" s="1167">
        <f>+'1.mell._Össz_Mérleg2020'!E51</f>
        <v>219051</v>
      </c>
      <c r="F9" s="1322">
        <f>IF(ISERROR(E9/D9),"-",E9/D9)</f>
        <v>1</v>
      </c>
      <c r="G9" s="49">
        <f>+'1.mell._Össz_Mérleg2020'!G51</f>
        <v>219051</v>
      </c>
      <c r="H9" s="47">
        <f>+'1.mell._Össz_Mérleg2020'!H51</f>
        <v>0</v>
      </c>
      <c r="I9" s="48">
        <f>+'1.mell._Össz_Mérleg2020'!I51</f>
        <v>0</v>
      </c>
      <c r="J9" s="126" t="s">
        <v>403</v>
      </c>
      <c r="K9" s="979">
        <f>+'1.mell._Össz_Mérleg2020'!C150</f>
        <v>436722</v>
      </c>
      <c r="L9" s="1167">
        <f>+'1.mell._Össz_Mérleg2020'!D150</f>
        <v>807961</v>
      </c>
      <c r="M9" s="1167">
        <f>+'1.mell._Össz_Mérleg2020'!E150</f>
        <v>704564</v>
      </c>
      <c r="N9" s="1322">
        <f>IF(ISERROR(M9/L9),"-",M9/L9)</f>
        <v>0.87202723893851308</v>
      </c>
      <c r="O9" s="49">
        <f>+'1.mell._Össz_Mérleg2020'!G150</f>
        <v>639165</v>
      </c>
      <c r="P9" s="47">
        <f>+'1.mell._Össz_Mérleg2020'!H150</f>
        <v>65399</v>
      </c>
      <c r="Q9" s="48">
        <f>+'1.mell._Össz_Mérleg2020'!I150</f>
        <v>0</v>
      </c>
    </row>
    <row r="10" spans="1:17" s="13" customFormat="1" ht="24">
      <c r="A10" s="86" t="s">
        <v>348</v>
      </c>
      <c r="B10" s="134"/>
      <c r="C10" s="394"/>
      <c r="D10" s="1063"/>
      <c r="E10" s="1063"/>
      <c r="F10" s="1296"/>
      <c r="G10" s="19"/>
      <c r="H10" s="12"/>
      <c r="I10" s="15"/>
      <c r="J10" s="136" t="s">
        <v>341</v>
      </c>
      <c r="K10" s="394">
        <f>+'1.mell._Össz_Mérleg2020'!C151</f>
        <v>0</v>
      </c>
      <c r="L10" s="1063">
        <f>+'1.mell._Össz_Mérleg2020'!D151</f>
        <v>513829</v>
      </c>
      <c r="M10" s="1063">
        <f>+'1.mell._Össz_Mérleg2020'!E151</f>
        <v>513829</v>
      </c>
      <c r="N10" s="1296"/>
      <c r="O10" s="19">
        <f>+'1.mell._Össz_Mérleg2020'!G151</f>
        <v>513829</v>
      </c>
      <c r="P10" s="12">
        <f>+'1.mell._Össz_Mérleg2020'!H151</f>
        <v>0</v>
      </c>
      <c r="Q10" s="15">
        <f>+'1.mell._Össz_Mérleg2020'!I151</f>
        <v>0</v>
      </c>
    </row>
    <row r="11" spans="1:17" ht="12.75" customHeight="1">
      <c r="A11" s="85" t="s">
        <v>6</v>
      </c>
      <c r="B11" s="127" t="s">
        <v>399</v>
      </c>
      <c r="C11" s="396">
        <f>+'1.mell._Össz_Mérleg2020'!C58</f>
        <v>40350</v>
      </c>
      <c r="D11" s="1064">
        <f>+'1.mell._Össz_Mérleg2020'!D58</f>
        <v>42427</v>
      </c>
      <c r="E11" s="1064">
        <f>+'1.mell._Össz_Mérleg2020'!E58</f>
        <v>41924</v>
      </c>
      <c r="F11" s="1296">
        <f>IF(ISERROR(E11/D11),"-",E11/D11)</f>
        <v>0.98814434204633839</v>
      </c>
      <c r="G11" s="20">
        <f>+'1.mell._Össz_Mérleg2020'!G58</f>
        <v>41924</v>
      </c>
      <c r="H11" s="11">
        <f>+'1.mell._Össz_Mérleg2020'!H58</f>
        <v>0</v>
      </c>
      <c r="I11" s="16">
        <f>+'1.mell._Össz_Mérleg2020'!I58</f>
        <v>0</v>
      </c>
      <c r="J11" s="128" t="s">
        <v>404</v>
      </c>
      <c r="K11" s="396">
        <f>+'1.mell._Össz_Mérleg2020'!C159</f>
        <v>67258</v>
      </c>
      <c r="L11" s="1064">
        <f>+'1.mell._Össz_Mérleg2020'!D159</f>
        <v>539711</v>
      </c>
      <c r="M11" s="1064">
        <f>+'1.mell._Össz_Mérleg2020'!E159</f>
        <v>502891</v>
      </c>
      <c r="N11" s="1296">
        <f>IF(ISERROR(M11/L11),"-",M11/L11)</f>
        <v>0.93177830357357916</v>
      </c>
      <c r="O11" s="20">
        <f>+'1.mell._Össz_Mérleg2020'!G159</f>
        <v>502891</v>
      </c>
      <c r="P11" s="11">
        <f>+'1.mell._Össz_Mérleg2020'!H159</f>
        <v>0</v>
      </c>
      <c r="Q11" s="16">
        <f>+'1.mell._Össz_Mérleg2020'!I159</f>
        <v>0</v>
      </c>
    </row>
    <row r="12" spans="1:17" s="13" customFormat="1" ht="24">
      <c r="A12" s="86" t="s">
        <v>345</v>
      </c>
      <c r="B12" s="122"/>
      <c r="C12" s="394"/>
      <c r="D12" s="1063"/>
      <c r="E12" s="1063"/>
      <c r="F12" s="1296"/>
      <c r="G12" s="19"/>
      <c r="H12" s="12"/>
      <c r="I12" s="15"/>
      <c r="J12" s="136" t="s">
        <v>344</v>
      </c>
      <c r="K12" s="394">
        <f>+'1.mell._Össz_Mérleg2020'!C160</f>
        <v>0</v>
      </c>
      <c r="L12" s="1063">
        <f>+'1.mell._Össz_Mérleg2020'!D160</f>
        <v>423059</v>
      </c>
      <c r="M12" s="1063">
        <f>+'1.mell._Össz_Mérleg2020'!E160</f>
        <v>423059</v>
      </c>
      <c r="N12" s="1296"/>
      <c r="O12" s="19">
        <f>+'1.mell._Össz_Mérleg2020'!G160</f>
        <v>423059</v>
      </c>
      <c r="P12" s="12">
        <f>+'1.mell._Össz_Mérleg2020'!H160</f>
        <v>0</v>
      </c>
      <c r="Q12" s="15">
        <f>+'1.mell._Össz_Mérleg2020'!I160</f>
        <v>0</v>
      </c>
    </row>
    <row r="13" spans="1:17">
      <c r="A13" s="85" t="s">
        <v>3</v>
      </c>
      <c r="B13" s="127" t="s">
        <v>400</v>
      </c>
      <c r="C13" s="396">
        <f>+'1.mell._Össz_Mérleg2020'!C64</f>
        <v>1100</v>
      </c>
      <c r="D13" s="1064">
        <f>+'1.mell._Össz_Mérleg2020'!D64</f>
        <v>5714</v>
      </c>
      <c r="E13" s="1064">
        <f>+'1.mell._Össz_Mérleg2020'!E64</f>
        <v>664</v>
      </c>
      <c r="F13" s="1296">
        <f>IF(ISERROR(E13/D13),"-",E13/D13)</f>
        <v>0.11620581029051452</v>
      </c>
      <c r="G13" s="20">
        <f>+'1.mell._Össz_Mérleg2020'!G64</f>
        <v>0</v>
      </c>
      <c r="H13" s="11">
        <f>+'1.mell._Össz_Mérleg2020'!H64</f>
        <v>664</v>
      </c>
      <c r="I13" s="16">
        <f>+'1.mell._Össz_Mérleg2020'!I64</f>
        <v>0</v>
      </c>
      <c r="J13" s="128" t="s">
        <v>405</v>
      </c>
      <c r="K13" s="396">
        <f>+'1.mell._Össz_Mérleg2020'!C165</f>
        <v>0</v>
      </c>
      <c r="L13" s="1064">
        <f>+'1.mell._Össz_Mérleg2020'!D165</f>
        <v>0</v>
      </c>
      <c r="M13" s="1064">
        <f>+'1.mell._Össz_Mérleg2020'!E165</f>
        <v>0</v>
      </c>
      <c r="N13" s="1296" t="str">
        <f>IF(ISERROR(M13/L13),"-",M13/L13)</f>
        <v>-</v>
      </c>
      <c r="O13" s="20">
        <f>+'1.mell._Össz_Mérleg2020'!G165</f>
        <v>0</v>
      </c>
      <c r="P13" s="11">
        <f>+'1.mell._Össz_Mérleg2020'!H165</f>
        <v>0</v>
      </c>
      <c r="Q13" s="16">
        <f>+'1.mell._Össz_Mérleg2020'!I165</f>
        <v>0</v>
      </c>
    </row>
    <row r="14" spans="1:17" s="13" customFormat="1" ht="24">
      <c r="A14" s="86" t="s">
        <v>340</v>
      </c>
      <c r="B14" s="123"/>
      <c r="C14" s="394"/>
      <c r="D14" s="1063"/>
      <c r="E14" s="1063"/>
      <c r="F14" s="1296"/>
      <c r="G14" s="19"/>
      <c r="H14" s="12"/>
      <c r="I14" s="15"/>
      <c r="J14" s="136" t="s">
        <v>339</v>
      </c>
      <c r="K14" s="394">
        <f>+'1.mell._Össz_Mérleg2020'!C170</f>
        <v>0</v>
      </c>
      <c r="L14" s="1063">
        <f>+'1.mell._Össz_Mérleg2020'!D170</f>
        <v>0</v>
      </c>
      <c r="M14" s="1063">
        <f>+'1.mell._Össz_Mérleg2020'!E170</f>
        <v>0</v>
      </c>
      <c r="N14" s="1296"/>
      <c r="O14" s="19">
        <f>+'1.mell._Össz_Mérleg2020'!G170</f>
        <v>0</v>
      </c>
      <c r="P14" s="12">
        <f>+'1.mell._Össz_Mérleg2020'!H170</f>
        <v>0</v>
      </c>
      <c r="Q14" s="15">
        <f>+'1.mell._Össz_Mérleg2020'!I170</f>
        <v>0</v>
      </c>
    </row>
    <row r="15" spans="1:17" ht="12.75" customHeight="1">
      <c r="A15" s="85" t="s">
        <v>16</v>
      </c>
      <c r="B15" s="127"/>
      <c r="C15" s="396"/>
      <c r="D15" s="1064"/>
      <c r="E15" s="1064"/>
      <c r="F15" s="1296"/>
      <c r="G15" s="20"/>
      <c r="H15" s="11"/>
      <c r="I15" s="16"/>
      <c r="J15" s="128"/>
      <c r="K15" s="396"/>
      <c r="L15" s="1064"/>
      <c r="M15" s="1064"/>
      <c r="N15" s="1296"/>
      <c r="O15" s="20"/>
      <c r="P15" s="11"/>
      <c r="Q15" s="16"/>
    </row>
    <row r="16" spans="1:17" s="13" customFormat="1">
      <c r="A16" s="85" t="s">
        <v>15</v>
      </c>
      <c r="B16" s="127"/>
      <c r="C16" s="396"/>
      <c r="D16" s="1064"/>
      <c r="E16" s="1064"/>
      <c r="F16" s="1296"/>
      <c r="G16" s="20"/>
      <c r="H16" s="11"/>
      <c r="I16" s="16"/>
      <c r="J16" s="128"/>
      <c r="K16" s="396"/>
      <c r="L16" s="1064"/>
      <c r="M16" s="1064"/>
      <c r="N16" s="1296"/>
      <c r="O16" s="20"/>
      <c r="P16" s="11"/>
      <c r="Q16" s="16"/>
    </row>
    <row r="17" spans="1:17" s="13" customFormat="1" ht="12.75" thickBot="1">
      <c r="A17" s="90" t="s">
        <v>359</v>
      </c>
      <c r="B17" s="124"/>
      <c r="C17" s="390"/>
      <c r="D17" s="1161"/>
      <c r="E17" s="1161"/>
      <c r="F17" s="1307"/>
      <c r="G17" s="46"/>
      <c r="H17" s="41"/>
      <c r="I17" s="42"/>
      <c r="J17" s="135"/>
      <c r="K17" s="390"/>
      <c r="L17" s="1161"/>
      <c r="M17" s="1161"/>
      <c r="N17" s="1307"/>
      <c r="O17" s="46"/>
      <c r="P17" s="41"/>
      <c r="Q17" s="42"/>
    </row>
    <row r="18" spans="1:17" s="3" customFormat="1" ht="12.75" thickBot="1">
      <c r="A18" s="83" t="s">
        <v>14</v>
      </c>
      <c r="B18" s="70" t="s">
        <v>391</v>
      </c>
      <c r="C18" s="129">
        <f>+C19</f>
        <v>10000</v>
      </c>
      <c r="D18" s="1061">
        <f>+D19</f>
        <v>2653354</v>
      </c>
      <c r="E18" s="1061">
        <f>+E19</f>
        <v>2653354</v>
      </c>
      <c r="F18" s="1294">
        <f t="shared" ref="F18:F35" si="0">IF(ISERROR(E18/D18),"-",E18/D18)</f>
        <v>1</v>
      </c>
      <c r="G18" s="27">
        <f>+G19</f>
        <v>2653354</v>
      </c>
      <c r="H18" s="28">
        <f>+H19</f>
        <v>0</v>
      </c>
      <c r="I18" s="29">
        <f>+I19</f>
        <v>0</v>
      </c>
      <c r="J18" s="70" t="s">
        <v>397</v>
      </c>
      <c r="K18" s="129">
        <f>+K19</f>
        <v>0</v>
      </c>
      <c r="L18" s="1061">
        <f>+L19</f>
        <v>0</v>
      </c>
      <c r="M18" s="1061">
        <f>+M19</f>
        <v>0</v>
      </c>
      <c r="N18" s="1294" t="str">
        <f t="shared" ref="N18:N35" si="1">IF(ISERROR(M18/L18),"-",M18/L18)</f>
        <v>-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944</v>
      </c>
      <c r="C19" s="979">
        <f>+C20+C30+C31</f>
        <v>10000</v>
      </c>
      <c r="D19" s="1167">
        <f>+D20+D30+D31</f>
        <v>2653354</v>
      </c>
      <c r="E19" s="1167">
        <f>+E20+E30+E31</f>
        <v>2653354</v>
      </c>
      <c r="F19" s="1322">
        <f t="shared" si="0"/>
        <v>1</v>
      </c>
      <c r="G19" s="49">
        <f>+G20+G30+G31</f>
        <v>2653354</v>
      </c>
      <c r="H19" s="47">
        <f>+H20+H30+H31</f>
        <v>0</v>
      </c>
      <c r="I19" s="48">
        <f>+I20+I30+I31</f>
        <v>0</v>
      </c>
      <c r="J19" s="120" t="s">
        <v>945</v>
      </c>
      <c r="K19" s="979">
        <f>+K20+K30+K31</f>
        <v>0</v>
      </c>
      <c r="L19" s="1167">
        <f>+L20+L30+L31</f>
        <v>0</v>
      </c>
      <c r="M19" s="1167">
        <f>+M20+M30+M31</f>
        <v>0</v>
      </c>
      <c r="N19" s="1322" t="str">
        <f t="shared" si="1"/>
        <v>-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940</v>
      </c>
      <c r="C20" s="398">
        <f>+C21+C22+C23+C24+C25+C26+C27+C28</f>
        <v>10000</v>
      </c>
      <c r="D20" s="1062">
        <f>+D21+D22+D23+D24+D25+D26+D27+D28</f>
        <v>2653354</v>
      </c>
      <c r="E20" s="1062">
        <f>+E21+E22+E23+E24+E25+E26+E27+E28</f>
        <v>2653354</v>
      </c>
      <c r="F20" s="1295">
        <f t="shared" si="0"/>
        <v>1</v>
      </c>
      <c r="G20" s="34">
        <f>+G21+G22+G23+G24+G25+G26+G27+G28</f>
        <v>2653354</v>
      </c>
      <c r="H20" s="10">
        <f>+H21+H22+H23+H24+H25+H26+H27+H28</f>
        <v>0</v>
      </c>
      <c r="I20" s="35">
        <f>+I21+I22+I23+I24+I25+I26+I27+I28</f>
        <v>0</v>
      </c>
      <c r="J20" s="65" t="s">
        <v>941</v>
      </c>
      <c r="K20" s="398">
        <f>+K21+K22+K23+K24+K25+K26+K27+K28</f>
        <v>0</v>
      </c>
      <c r="L20" s="1062">
        <f>+L21+L22+L23+L24+L25+L26+L27+L28</f>
        <v>0</v>
      </c>
      <c r="M20" s="1062">
        <f>+M21+M22+M23+M24+M25+M26+M27+M28</f>
        <v>0</v>
      </c>
      <c r="N20" s="1295" t="str">
        <f t="shared" si="1"/>
        <v>-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362</v>
      </c>
      <c r="B21" s="66" t="s">
        <v>245</v>
      </c>
      <c r="C21" s="394">
        <f>+'1.mell._Össz_Mérleg2020'!C89</f>
        <v>10000</v>
      </c>
      <c r="D21" s="1063">
        <f>+'1.mell._Össz_Mérleg2020'!D89</f>
        <v>9322</v>
      </c>
      <c r="E21" s="1063">
        <f>+'1.mell._Össz_Mérleg2020'!E89</f>
        <v>9322</v>
      </c>
      <c r="F21" s="1296">
        <f t="shared" si="0"/>
        <v>1</v>
      </c>
      <c r="G21" s="19">
        <f>+'1.mell._Össz_Mérleg2020'!G89</f>
        <v>9322</v>
      </c>
      <c r="H21" s="12">
        <f>+'1.mell._Össz_Mérleg2020'!H89</f>
        <v>0</v>
      </c>
      <c r="I21" s="15">
        <f>+'1.mell._Össz_Mérleg2020'!I89</f>
        <v>0</v>
      </c>
      <c r="J21" s="66" t="s">
        <v>169</v>
      </c>
      <c r="K21" s="394">
        <f>+'1.mell._Össz_Mérleg2020'!C195</f>
        <v>0</v>
      </c>
      <c r="L21" s="1063">
        <f>+'1.mell._Össz_Mérleg2020'!D195</f>
        <v>0</v>
      </c>
      <c r="M21" s="1063">
        <f>+'1.mell._Össz_Mérleg2020'!E195</f>
        <v>0</v>
      </c>
      <c r="N21" s="1296" t="str">
        <f t="shared" si="1"/>
        <v>-</v>
      </c>
      <c r="O21" s="19">
        <f>+'1.mell._Össz_Mérleg2020'!G195</f>
        <v>0</v>
      </c>
      <c r="P21" s="12">
        <f>+'1.mell._Össz_Mérleg2020'!H195</f>
        <v>0</v>
      </c>
      <c r="Q21" s="15">
        <f>+'1.mell._Össz_Mérleg2020'!I195</f>
        <v>0</v>
      </c>
    </row>
    <row r="22" spans="1:17" s="13" customFormat="1">
      <c r="A22" s="86" t="s">
        <v>363</v>
      </c>
      <c r="B22" s="66" t="s">
        <v>246</v>
      </c>
      <c r="C22" s="394">
        <f>+'1.mell._Össz_Mérleg2020'!C90</f>
        <v>0</v>
      </c>
      <c r="D22" s="1063">
        <f>+'1.mell._Össz_Mérleg2020'!D90</f>
        <v>0</v>
      </c>
      <c r="E22" s="1063">
        <f>+'1.mell._Össz_Mérleg2020'!E90</f>
        <v>0</v>
      </c>
      <c r="F22" s="1296" t="str">
        <f t="shared" si="0"/>
        <v>-</v>
      </c>
      <c r="G22" s="19">
        <f>+'1.mell._Össz_Mérleg2020'!G90</f>
        <v>0</v>
      </c>
      <c r="H22" s="12">
        <f>+'1.mell._Össz_Mérleg2020'!H90</f>
        <v>0</v>
      </c>
      <c r="I22" s="15">
        <f>+'1.mell._Össz_Mérleg2020'!I90</f>
        <v>0</v>
      </c>
      <c r="J22" s="66" t="s">
        <v>170</v>
      </c>
      <c r="K22" s="394">
        <f>+'1.mell._Össz_Mérleg2020'!C196</f>
        <v>0</v>
      </c>
      <c r="L22" s="1063">
        <f>+'1.mell._Össz_Mérleg2020'!D196</f>
        <v>0</v>
      </c>
      <c r="M22" s="1063">
        <f>+'1.mell._Össz_Mérleg2020'!E196</f>
        <v>0</v>
      </c>
      <c r="N22" s="1296" t="str">
        <f t="shared" si="1"/>
        <v>-</v>
      </c>
      <c r="O22" s="19">
        <f>+'1.mell._Össz_Mérleg2020'!G196</f>
        <v>0</v>
      </c>
      <c r="P22" s="12">
        <f>+'1.mell._Össz_Mérleg2020'!H196</f>
        <v>0</v>
      </c>
      <c r="Q22" s="15">
        <f>+'1.mell._Össz_Mérleg2020'!I196</f>
        <v>0</v>
      </c>
    </row>
    <row r="23" spans="1:17" s="13" customFormat="1">
      <c r="A23" s="86" t="s">
        <v>364</v>
      </c>
      <c r="B23" s="66" t="s">
        <v>247</v>
      </c>
      <c r="C23" s="394">
        <f>+'1.mell._Össz_Mérleg2020'!C91</f>
        <v>0</v>
      </c>
      <c r="D23" s="1063">
        <f>+'1.mell._Össz_Mérleg2020'!D91</f>
        <v>2644032</v>
      </c>
      <c r="E23" s="1063">
        <f>+'1.mell._Össz_Mérleg2020'!E91</f>
        <v>2644032</v>
      </c>
      <c r="F23" s="1296">
        <f t="shared" si="0"/>
        <v>1</v>
      </c>
      <c r="G23" s="19">
        <f>+'1.mell._Össz_Mérleg2020'!G91</f>
        <v>2644032</v>
      </c>
      <c r="H23" s="12">
        <f>+'1.mell._Össz_Mérleg2020'!H91</f>
        <v>0</v>
      </c>
      <c r="I23" s="15">
        <f>+'1.mell._Össz_Mérleg2020'!I91</f>
        <v>0</v>
      </c>
      <c r="J23" s="66" t="s">
        <v>171</v>
      </c>
      <c r="K23" s="394">
        <f>+'1.mell._Össz_Mérleg2020'!C197</f>
        <v>0</v>
      </c>
      <c r="L23" s="1063">
        <f>+'1.mell._Össz_Mérleg2020'!D197</f>
        <v>0</v>
      </c>
      <c r="M23" s="1063">
        <f>+'1.mell._Össz_Mérleg2020'!E197</f>
        <v>0</v>
      </c>
      <c r="N23" s="1296" t="str">
        <f t="shared" si="1"/>
        <v>-</v>
      </c>
      <c r="O23" s="19">
        <f>+'1.mell._Össz_Mérleg2020'!G197</f>
        <v>0</v>
      </c>
      <c r="P23" s="12">
        <f>+'1.mell._Össz_Mérleg2020'!H197</f>
        <v>0</v>
      </c>
      <c r="Q23" s="15">
        <f>+'1.mell._Össz_Mérleg2020'!I197</f>
        <v>0</v>
      </c>
    </row>
    <row r="24" spans="1:17" s="13" customFormat="1">
      <c r="A24" s="86" t="s">
        <v>365</v>
      </c>
      <c r="B24" s="66" t="s">
        <v>248</v>
      </c>
      <c r="C24" s="394">
        <f>+'1.mell._Össz_Mérleg2020'!C92</f>
        <v>0</v>
      </c>
      <c r="D24" s="1063">
        <f>+'1.mell._Össz_Mérleg2020'!D92</f>
        <v>0</v>
      </c>
      <c r="E24" s="1063">
        <f>+'1.mell._Össz_Mérleg2020'!E92</f>
        <v>0</v>
      </c>
      <c r="F24" s="1296" t="str">
        <f t="shared" si="0"/>
        <v>-</v>
      </c>
      <c r="G24" s="19">
        <f>+'1.mell._Össz_Mérleg2020'!G92</f>
        <v>0</v>
      </c>
      <c r="H24" s="12">
        <f>+'1.mell._Össz_Mérleg2020'!H92</f>
        <v>0</v>
      </c>
      <c r="I24" s="15">
        <f>+'1.mell._Össz_Mérleg2020'!I92</f>
        <v>0</v>
      </c>
      <c r="J24" s="66" t="s">
        <v>172</v>
      </c>
      <c r="K24" s="394">
        <f>+'1.mell._Össz_Mérleg2020'!C198</f>
        <v>0</v>
      </c>
      <c r="L24" s="1063">
        <f>+'1.mell._Össz_Mérleg2020'!D198</f>
        <v>0</v>
      </c>
      <c r="M24" s="1063">
        <f>+'1.mell._Össz_Mérleg2020'!E198</f>
        <v>0</v>
      </c>
      <c r="N24" s="1296" t="str">
        <f t="shared" si="1"/>
        <v>-</v>
      </c>
      <c r="O24" s="19">
        <f>+'1.mell._Össz_Mérleg2020'!G198</f>
        <v>0</v>
      </c>
      <c r="P24" s="12">
        <f>+'1.mell._Össz_Mérleg2020'!H198</f>
        <v>0</v>
      </c>
      <c r="Q24" s="15">
        <f>+'1.mell._Össz_Mérleg2020'!I198</f>
        <v>0</v>
      </c>
    </row>
    <row r="25" spans="1:17" s="13" customFormat="1">
      <c r="A25" s="86" t="s">
        <v>366</v>
      </c>
      <c r="B25" s="66" t="s">
        <v>249</v>
      </c>
      <c r="C25" s="394">
        <f>+'1.mell._Össz_Mérleg2020'!C93</f>
        <v>0</v>
      </c>
      <c r="D25" s="1063">
        <f>+'1.mell._Össz_Mérleg2020'!D93</f>
        <v>0</v>
      </c>
      <c r="E25" s="1063">
        <f>+'1.mell._Össz_Mérleg2020'!E93</f>
        <v>0</v>
      </c>
      <c r="F25" s="1296" t="str">
        <f t="shared" si="0"/>
        <v>-</v>
      </c>
      <c r="G25" s="19">
        <f>+'1.mell._Össz_Mérleg2020'!G93</f>
        <v>0</v>
      </c>
      <c r="H25" s="12">
        <f>+'1.mell._Össz_Mérleg2020'!H93</f>
        <v>0</v>
      </c>
      <c r="I25" s="15">
        <f>+'1.mell._Össz_Mérleg2020'!I93</f>
        <v>0</v>
      </c>
      <c r="J25" s="66" t="s">
        <v>173</v>
      </c>
      <c r="K25" s="394">
        <f>+'1.mell._Össz_Mérleg2020'!C199</f>
        <v>0</v>
      </c>
      <c r="L25" s="1063">
        <f>+'1.mell._Össz_Mérleg2020'!D199</f>
        <v>0</v>
      </c>
      <c r="M25" s="1063">
        <f>+'1.mell._Össz_Mérleg2020'!E199</f>
        <v>0</v>
      </c>
      <c r="N25" s="1296" t="str">
        <f t="shared" si="1"/>
        <v>-</v>
      </c>
      <c r="O25" s="19">
        <f>+'1.mell._Össz_Mérleg2020'!G199</f>
        <v>0</v>
      </c>
      <c r="P25" s="12">
        <f>+'1.mell._Össz_Mérleg2020'!H199</f>
        <v>0</v>
      </c>
      <c r="Q25" s="15">
        <f>+'1.mell._Össz_Mérleg2020'!I199</f>
        <v>0</v>
      </c>
    </row>
    <row r="26" spans="1:17" s="13" customFormat="1">
      <c r="A26" s="86" t="s">
        <v>367</v>
      </c>
      <c r="B26" s="66" t="s">
        <v>250</v>
      </c>
      <c r="C26" s="394">
        <f>+'1.mell._Össz_Mérleg2020'!C94</f>
        <v>0</v>
      </c>
      <c r="D26" s="1063">
        <f>+'1.mell._Össz_Mérleg2020'!D94</f>
        <v>0</v>
      </c>
      <c r="E26" s="1063">
        <f>+'1.mell._Össz_Mérleg2020'!E94</f>
        <v>0</v>
      </c>
      <c r="F26" s="1296" t="str">
        <f t="shared" si="0"/>
        <v>-</v>
      </c>
      <c r="G26" s="19">
        <f>+'1.mell._Össz_Mérleg2020'!G94</f>
        <v>0</v>
      </c>
      <c r="H26" s="12">
        <f>+'1.mell._Össz_Mérleg2020'!H94</f>
        <v>0</v>
      </c>
      <c r="I26" s="15">
        <f>+'1.mell._Össz_Mérleg2020'!I94</f>
        <v>0</v>
      </c>
      <c r="J26" s="66" t="s">
        <v>178</v>
      </c>
      <c r="K26" s="394">
        <f>+'1.mell._Össz_Mérleg2020'!C200</f>
        <v>0</v>
      </c>
      <c r="L26" s="1063">
        <f>+'1.mell._Össz_Mérleg2020'!D200</f>
        <v>0</v>
      </c>
      <c r="M26" s="1063">
        <f>+'1.mell._Össz_Mérleg2020'!E200</f>
        <v>0</v>
      </c>
      <c r="N26" s="1296" t="str">
        <f t="shared" si="1"/>
        <v>-</v>
      </c>
      <c r="O26" s="19">
        <f>+'1.mell._Össz_Mérleg2020'!G200</f>
        <v>0</v>
      </c>
      <c r="P26" s="12">
        <f>+'1.mell._Össz_Mérleg2020'!H200</f>
        <v>0</v>
      </c>
      <c r="Q26" s="15">
        <f>+'1.mell._Össz_Mérleg2020'!I200</f>
        <v>0</v>
      </c>
    </row>
    <row r="27" spans="1:17" s="13" customFormat="1">
      <c r="A27" s="86" t="s">
        <v>368</v>
      </c>
      <c r="B27" s="66" t="s">
        <v>251</v>
      </c>
      <c r="C27" s="394">
        <f>+'1.mell._Össz_Mérleg2020'!C95</f>
        <v>0</v>
      </c>
      <c r="D27" s="1063">
        <f>+'1.mell._Össz_Mérleg2020'!D95</f>
        <v>0</v>
      </c>
      <c r="E27" s="1063">
        <f>+'1.mell._Össz_Mérleg2020'!E95</f>
        <v>0</v>
      </c>
      <c r="F27" s="1296" t="str">
        <f t="shared" si="0"/>
        <v>-</v>
      </c>
      <c r="G27" s="19">
        <f>+'1.mell._Össz_Mérleg2020'!G95</f>
        <v>0</v>
      </c>
      <c r="H27" s="12">
        <f>+'1.mell._Össz_Mérleg2020'!H95</f>
        <v>0</v>
      </c>
      <c r="I27" s="15">
        <f>+'1.mell._Össz_Mérleg2020'!I95</f>
        <v>0</v>
      </c>
      <c r="J27" s="66" t="s">
        <v>174</v>
      </c>
      <c r="K27" s="394">
        <f>+'1.mell._Össz_Mérleg2020'!C201</f>
        <v>0</v>
      </c>
      <c r="L27" s="1063">
        <f>+'1.mell._Össz_Mérleg2020'!D201</f>
        <v>0</v>
      </c>
      <c r="M27" s="1063">
        <f>+'1.mell._Össz_Mérleg2020'!E201</f>
        <v>0</v>
      </c>
      <c r="N27" s="1296" t="str">
        <f t="shared" si="1"/>
        <v>-</v>
      </c>
      <c r="O27" s="19">
        <f>+'1.mell._Össz_Mérleg2020'!G201</f>
        <v>0</v>
      </c>
      <c r="P27" s="12">
        <f>+'1.mell._Össz_Mérleg2020'!H201</f>
        <v>0</v>
      </c>
      <c r="Q27" s="15">
        <f>+'1.mell._Össz_Mérleg2020'!I201</f>
        <v>0</v>
      </c>
    </row>
    <row r="28" spans="1:17">
      <c r="A28" s="86" t="s">
        <v>369</v>
      </c>
      <c r="B28" s="66" t="s">
        <v>244</v>
      </c>
      <c r="C28" s="394">
        <f>+'1.mell._Össz_Mérleg2020'!C96</f>
        <v>0</v>
      </c>
      <c r="D28" s="1063">
        <f>+'1.mell._Össz_Mérleg2020'!D96</f>
        <v>0</v>
      </c>
      <c r="E28" s="1063">
        <f>+'1.mell._Össz_Mérleg2020'!E96</f>
        <v>0</v>
      </c>
      <c r="F28" s="1296" t="str">
        <f t="shared" si="0"/>
        <v>-</v>
      </c>
      <c r="G28" s="19">
        <f>+'1.mell._Össz_Mérleg2020'!G96</f>
        <v>0</v>
      </c>
      <c r="H28" s="12">
        <f>+'1.mell._Össz_Mérleg2020'!H96</f>
        <v>0</v>
      </c>
      <c r="I28" s="15">
        <f>+'1.mell._Össz_Mérleg2020'!I96</f>
        <v>0</v>
      </c>
      <c r="J28" s="66" t="s">
        <v>175</v>
      </c>
      <c r="K28" s="394">
        <f>+'1.mell._Össz_Mérleg2020'!C202</f>
        <v>0</v>
      </c>
      <c r="L28" s="1063">
        <f>+'1.mell._Össz_Mérleg2020'!D202</f>
        <v>0</v>
      </c>
      <c r="M28" s="1063">
        <f>+'1.mell._Össz_Mérleg2020'!E202</f>
        <v>0</v>
      </c>
      <c r="N28" s="1296" t="str">
        <f t="shared" si="1"/>
        <v>-</v>
      </c>
      <c r="O28" s="19">
        <f>+'1.mell._Össz_Mérleg2020'!G202</f>
        <v>0</v>
      </c>
      <c r="P28" s="12">
        <f>+'1.mell._Össz_Mérleg2020'!H202</f>
        <v>0</v>
      </c>
      <c r="Q28" s="15">
        <f>+'1.mell._Össz_Mérleg2020'!I202</f>
        <v>0</v>
      </c>
    </row>
    <row r="29" spans="1:17">
      <c r="A29" s="86" t="s">
        <v>939</v>
      </c>
      <c r="B29" s="66" t="s">
        <v>909</v>
      </c>
      <c r="C29" s="394">
        <f>+'1.mell._Össz_Mérleg2020'!C97</f>
        <v>0</v>
      </c>
      <c r="D29" s="1063">
        <f>+'1.mell._Össz_Mérleg2020'!D97</f>
        <v>0</v>
      </c>
      <c r="E29" s="1063">
        <f>+'1.mell._Össz_Mérleg2020'!E97</f>
        <v>0</v>
      </c>
      <c r="F29" s="1296" t="str">
        <f t="shared" si="0"/>
        <v>-</v>
      </c>
      <c r="G29" s="19">
        <f>+'1.mell._Össz_Mérleg2020'!G97</f>
        <v>0</v>
      </c>
      <c r="H29" s="12">
        <f>+'1.mell._Össz_Mérleg2020'!H97</f>
        <v>0</v>
      </c>
      <c r="I29" s="15">
        <f>+'1.mell._Össz_Mérleg2020'!I97</f>
        <v>0</v>
      </c>
      <c r="J29" s="66" t="s">
        <v>933</v>
      </c>
      <c r="K29" s="394">
        <f>+'1.mell._Össz_Mérleg2020'!C203</f>
        <v>0</v>
      </c>
      <c r="L29" s="1063">
        <f>+'1.mell._Össz_Mérleg2020'!D203</f>
        <v>0</v>
      </c>
      <c r="M29" s="1063">
        <f>+'1.mell._Össz_Mérleg2020'!E203</f>
        <v>0</v>
      </c>
      <c r="N29" s="1296" t="str">
        <f t="shared" si="1"/>
        <v>-</v>
      </c>
      <c r="O29" s="19">
        <f>+'1.mell._Össz_Mérleg2020'!G203</f>
        <v>0</v>
      </c>
      <c r="P29" s="12">
        <f>+'1.mell._Össz_Mérleg2020'!H203</f>
        <v>0</v>
      </c>
      <c r="Q29" s="15">
        <f>+'1.mell._Össz_Mérleg2020'!I203</f>
        <v>0</v>
      </c>
    </row>
    <row r="30" spans="1:17">
      <c r="A30" s="85" t="s">
        <v>67</v>
      </c>
      <c r="B30" s="67" t="s">
        <v>242</v>
      </c>
      <c r="C30" s="396">
        <f>+'1.mell._Össz_Mérleg2020'!C98</f>
        <v>0</v>
      </c>
      <c r="D30" s="1064">
        <f>+'1.mell._Össz_Mérleg2020'!D98</f>
        <v>0</v>
      </c>
      <c r="E30" s="1064">
        <f>+'1.mell._Össz_Mérleg2020'!E98</f>
        <v>0</v>
      </c>
      <c r="F30" s="1296" t="str">
        <f t="shared" si="0"/>
        <v>-</v>
      </c>
      <c r="G30" s="20">
        <f>+'1.mell._Össz_Mérleg2020'!G98</f>
        <v>0</v>
      </c>
      <c r="H30" s="11">
        <f>+'1.mell._Össz_Mérleg2020'!H98</f>
        <v>0</v>
      </c>
      <c r="I30" s="16">
        <f>+'1.mell._Össz_Mérleg2020'!I98</f>
        <v>0</v>
      </c>
      <c r="J30" s="67" t="s">
        <v>176</v>
      </c>
      <c r="K30" s="396">
        <f>+'1.mell._Össz_Mérleg2020'!C204</f>
        <v>0</v>
      </c>
      <c r="L30" s="1064">
        <f>+'1.mell._Össz_Mérleg2020'!D204</f>
        <v>0</v>
      </c>
      <c r="M30" s="1064">
        <f>+'1.mell._Össz_Mérleg2020'!E204</f>
        <v>0</v>
      </c>
      <c r="N30" s="1296" t="str">
        <f t="shared" si="1"/>
        <v>-</v>
      </c>
      <c r="O30" s="20">
        <f>+'1.mell._Össz_Mérleg2020'!G204</f>
        <v>0</v>
      </c>
      <c r="P30" s="11">
        <f>+'1.mell._Össz_Mérleg2020'!H204</f>
        <v>0</v>
      </c>
      <c r="Q30" s="16">
        <f>+'1.mell._Össz_Mérleg2020'!I204</f>
        <v>0</v>
      </c>
    </row>
    <row r="31" spans="1:17" s="3" customFormat="1">
      <c r="A31" s="78" t="s">
        <v>68</v>
      </c>
      <c r="B31" s="68" t="s">
        <v>243</v>
      </c>
      <c r="C31" s="397">
        <f>+'1.mell._Össz_Mérleg2020'!C99</f>
        <v>0</v>
      </c>
      <c r="D31" s="1065">
        <f>+'1.mell._Össz_Mérleg2020'!D99</f>
        <v>0</v>
      </c>
      <c r="E31" s="1065">
        <f>+'1.mell._Össz_Mérleg2020'!E99</f>
        <v>0</v>
      </c>
      <c r="F31" s="1298" t="str">
        <f t="shared" si="0"/>
        <v>-</v>
      </c>
      <c r="G31" s="21">
        <f>+'1.mell._Össz_Mérleg2020'!G99</f>
        <v>0</v>
      </c>
      <c r="H31" s="22">
        <f>+'1.mell._Össz_Mérleg2020'!H99</f>
        <v>0</v>
      </c>
      <c r="I31" s="23">
        <f>+'1.mell._Össz_Mérleg2020'!I99</f>
        <v>0</v>
      </c>
      <c r="J31" s="68" t="s">
        <v>177</v>
      </c>
      <c r="K31" s="397">
        <f>+'1.mell._Össz_Mérleg2020'!C205</f>
        <v>0</v>
      </c>
      <c r="L31" s="1065">
        <f>+'1.mell._Össz_Mérleg2020'!D205</f>
        <v>0</v>
      </c>
      <c r="M31" s="1065">
        <f>+'1.mell._Össz_Mérleg2020'!E205</f>
        <v>0</v>
      </c>
      <c r="N31" s="1298" t="str">
        <f t="shared" si="1"/>
        <v>-</v>
      </c>
      <c r="O31" s="21">
        <f>+'1.mell._Össz_Mérleg2020'!G205</f>
        <v>0</v>
      </c>
      <c r="P31" s="22">
        <f>+'1.mell._Össz_Mérleg2020'!H205</f>
        <v>0</v>
      </c>
      <c r="Q31" s="23">
        <f>+'1.mell._Össz_Mérleg2020'!I205</f>
        <v>0</v>
      </c>
    </row>
    <row r="32" spans="1:17" s="3" customFormat="1" ht="12.75" thickBot="1">
      <c r="A32" s="78" t="s">
        <v>229</v>
      </c>
      <c r="B32" s="68" t="s">
        <v>911</v>
      </c>
      <c r="C32" s="397">
        <f>+'1.mell._Össz_Mérleg2020'!C100</f>
        <v>0</v>
      </c>
      <c r="D32" s="1065">
        <f>+'1.mell._Össz_Mérleg2020'!D100</f>
        <v>0</v>
      </c>
      <c r="E32" s="1065">
        <f>+'1.mell._Össz_Mérleg2020'!E100</f>
        <v>0</v>
      </c>
      <c r="F32" s="1298" t="str">
        <f t="shared" si="0"/>
        <v>-</v>
      </c>
      <c r="G32" s="21">
        <f>+'1.mell._Össz_Mérleg2020'!G100</f>
        <v>0</v>
      </c>
      <c r="H32" s="22">
        <f>+'1.mell._Össz_Mérleg2020'!H100</f>
        <v>0</v>
      </c>
      <c r="I32" s="23">
        <f>+'1.mell._Össz_Mérleg2020'!I100</f>
        <v>0</v>
      </c>
      <c r="J32" s="68" t="s">
        <v>934</v>
      </c>
      <c r="K32" s="397">
        <f>+'1.mell._Össz_Mérleg2020'!C206</f>
        <v>0</v>
      </c>
      <c r="L32" s="1065">
        <f>+'1.mell._Össz_Mérleg2020'!D206</f>
        <v>0</v>
      </c>
      <c r="M32" s="1065">
        <f>+'1.mell._Össz_Mérleg2020'!E206</f>
        <v>0</v>
      </c>
      <c r="N32" s="1298" t="str">
        <f t="shared" si="1"/>
        <v>-</v>
      </c>
      <c r="O32" s="21">
        <f>+'1.mell._Össz_Mérleg2020'!G206</f>
        <v>0</v>
      </c>
      <c r="P32" s="22">
        <f>+'1.mell._Össz_Mérleg2020'!H206</f>
        <v>0</v>
      </c>
      <c r="Q32" s="23">
        <f>+'1.mell._Össz_Mérleg2020'!I206</f>
        <v>0</v>
      </c>
    </row>
    <row r="33" spans="1:17" s="3" customFormat="1" ht="12.75" thickBot="1">
      <c r="A33" s="81" t="s">
        <v>12</v>
      </c>
      <c r="B33" s="133" t="s">
        <v>392</v>
      </c>
      <c r="C33" s="401">
        <f>+C8+C18</f>
        <v>83726</v>
      </c>
      <c r="D33" s="1060">
        <f>+D8+D18</f>
        <v>2920546</v>
      </c>
      <c r="E33" s="1060">
        <f>+E8+E18</f>
        <v>2914993</v>
      </c>
      <c r="F33" s="1293">
        <f t="shared" si="0"/>
        <v>0.99809864319890873</v>
      </c>
      <c r="G33" s="132">
        <f>+G8+G18</f>
        <v>2914329</v>
      </c>
      <c r="H33" s="131">
        <f>+H8+H18</f>
        <v>664</v>
      </c>
      <c r="I33" s="130">
        <f>+I8+I18</f>
        <v>0</v>
      </c>
      <c r="J33" s="121" t="s">
        <v>396</v>
      </c>
      <c r="K33" s="129">
        <f>+K8+K18</f>
        <v>503980</v>
      </c>
      <c r="L33" s="1061">
        <f>+L8+L18</f>
        <v>1347672</v>
      </c>
      <c r="M33" s="1061">
        <f>+M8+M18</f>
        <v>1207455</v>
      </c>
      <c r="N33" s="1293">
        <f t="shared" si="1"/>
        <v>0.89595613769522553</v>
      </c>
      <c r="O33" s="27">
        <f>+O8+O18</f>
        <v>1142056</v>
      </c>
      <c r="P33" s="28">
        <f>+P8+P18</f>
        <v>65399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406</v>
      </c>
      <c r="C34" s="1168">
        <f>IF(((K8-C8)&gt;0),K8-C8,"----")</f>
        <v>430254</v>
      </c>
      <c r="D34" s="1169">
        <f>IF(((L8-D8)&gt;0),L8-D8,"----")</f>
        <v>1080480</v>
      </c>
      <c r="E34" s="1169">
        <f>IF(((M8-E8)&gt;0),M8-E8,"----")</f>
        <v>945816</v>
      </c>
      <c r="F34" s="1294">
        <f t="shared" si="0"/>
        <v>0.87536650377609948</v>
      </c>
      <c r="G34" s="139">
        <f>IF(((O8-G8)&gt;0),O8-G8,"----")</f>
        <v>881081</v>
      </c>
      <c r="H34" s="138">
        <f>IF(((P8-H8)&gt;0),P8-H8,"----")</f>
        <v>64735</v>
      </c>
      <c r="I34" s="137" t="str">
        <f>IF(((Q8-I8)&gt;0),Q8-I8,"----")</f>
        <v>----</v>
      </c>
      <c r="J34" s="69" t="s">
        <v>395</v>
      </c>
      <c r="K34" s="1168" t="str">
        <f>IF(((C8-K8)&gt;0),C8-K8,"----")</f>
        <v>----</v>
      </c>
      <c r="L34" s="1169" t="str">
        <f>IF(((D8-L8)&gt;0),D8-L8,"----")</f>
        <v>----</v>
      </c>
      <c r="M34" s="1169" t="str">
        <f>IF(((E8-M8)&gt;0),E8-M8,"----")</f>
        <v>----</v>
      </c>
      <c r="N34" s="1294" t="str">
        <f t="shared" si="1"/>
        <v>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393</v>
      </c>
      <c r="C35" s="1168" t="str">
        <f>IF(((K18-C18)&gt;0),K18-C18,"----")</f>
        <v>----</v>
      </c>
      <c r="D35" s="1169" t="str">
        <f>IF(((L18-D18)&gt;0),L18-D18,"----")</f>
        <v>----</v>
      </c>
      <c r="E35" s="1169" t="str">
        <f>IF(((M18-E18)&gt;0),M18-E18,"----")</f>
        <v>----</v>
      </c>
      <c r="F35" s="1294" t="str">
        <f t="shared" si="0"/>
        <v>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394</v>
      </c>
      <c r="K35" s="1168">
        <f>IF(((C18-K18)&gt;0),C18-K18,"----")</f>
        <v>10000</v>
      </c>
      <c r="L35" s="1169">
        <f>IF(((D18-L18)&gt;0),D18-L18,"----")</f>
        <v>2653354</v>
      </c>
      <c r="M35" s="1169">
        <f>IF(((E18-M18)&gt;0),E18-M18,"----")</f>
        <v>2653354</v>
      </c>
      <c r="N35" s="1294">
        <f t="shared" si="1"/>
        <v>1</v>
      </c>
      <c r="O35" s="139">
        <f>IF(((G18-O18)&gt;0),G18-O18,"----")</f>
        <v>2653354</v>
      </c>
      <c r="P35" s="138" t="str">
        <f>IF(((H18-P18)&gt;0),H18-P18,"----")</f>
        <v>----</v>
      </c>
      <c r="Q35" s="137" t="str">
        <f>IF(((I18-Q18)&gt;0),I18-Q18,"----")</f>
        <v>----</v>
      </c>
    </row>
    <row r="36" spans="1:17" hidden="1"/>
    <row r="37" spans="1:17" hidden="1">
      <c r="C37" s="4">
        <f>+C33+'2.a.mell._MMérleg2020'!C33</f>
        <v>4553174</v>
      </c>
      <c r="D37" s="4">
        <f>+D33+'2.a.mell._MMérleg2020'!D33</f>
        <v>5793914</v>
      </c>
      <c r="E37" s="4">
        <f>+E33+'2.a.mell._MMérleg2020'!E33</f>
        <v>5589056</v>
      </c>
      <c r="F37" s="4">
        <f>+F33+'[5]2.a.mell._MMérleg2018'!F33</f>
        <v>1.9311870680411536</v>
      </c>
      <c r="G37" s="4">
        <f>+G33+'2.a.mell._MMérleg2020'!G33</f>
        <v>5560128</v>
      </c>
      <c r="H37" s="4">
        <f>+H33+'2.a.mell._MMérleg2020'!H33</f>
        <v>28928</v>
      </c>
      <c r="I37" s="4">
        <f>+I33+'2.a.mell._MMérleg2020'!I33</f>
        <v>0</v>
      </c>
      <c r="K37" s="4">
        <f>+K33+'2.a.mell._MMérleg2020'!K33</f>
        <v>4553174</v>
      </c>
      <c r="L37" s="4">
        <f>+L33+'2.a.mell._MMérleg2020'!L33</f>
        <v>5793914</v>
      </c>
      <c r="M37" s="4">
        <f>+M33+'2.a.mell._MMérleg2020'!M33</f>
        <v>3190774</v>
      </c>
      <c r="N37" s="4">
        <f>+N33+'[5]2.a.mell._MMérleg2018'!N33</f>
        <v>1.2680250692965325</v>
      </c>
      <c r="O37" s="4">
        <f>+O33+'2.a.mell._MMérleg2020'!O33</f>
        <v>3068667</v>
      </c>
      <c r="P37" s="4">
        <f>+P33+'2.a.mell._MMérleg2020'!P33</f>
        <v>122107</v>
      </c>
      <c r="Q37" s="4">
        <f>+Q33+'2.a.mell._MMérleg2020'!Q33</f>
        <v>0</v>
      </c>
    </row>
    <row r="38" spans="1:17" hidden="1">
      <c r="C38" s="4">
        <f>+'1.mell._Össz_Mérleg2020'!C102</f>
        <v>4553174</v>
      </c>
      <c r="D38" s="4">
        <f>+'1.mell._Össz_Mérleg2020'!D102</f>
        <v>5793914</v>
      </c>
      <c r="E38" s="4">
        <f>+'1.mell._Össz_Mérleg2020'!E102</f>
        <v>5589056</v>
      </c>
      <c r="F38" s="4">
        <f>+'[5]1.mell._Össz_Mérleg2018'!F102</f>
        <v>0.96794256447987859</v>
      </c>
      <c r="G38" s="4">
        <f>+'1.mell._Össz_Mérleg2020'!G102</f>
        <v>5560128</v>
      </c>
      <c r="H38" s="4">
        <f>+'1.mell._Össz_Mérleg2020'!H102</f>
        <v>28928</v>
      </c>
      <c r="I38" s="4">
        <f>+'1.mell._Össz_Mérleg2020'!I102</f>
        <v>0</v>
      </c>
      <c r="K38" s="4">
        <f>+'1.mell._Össz_Mérleg2020'!C208</f>
        <v>4553174</v>
      </c>
      <c r="L38" s="4">
        <f>+'1.mell._Össz_Mérleg2020'!D208</f>
        <v>5793914</v>
      </c>
      <c r="M38" s="4">
        <f>+'1.mell._Össz_Mérleg2020'!E208</f>
        <v>3190774</v>
      </c>
      <c r="N38" s="4">
        <f>+'[5]1.mell._Össz_Mérleg2018'!P102</f>
        <v>0</v>
      </c>
      <c r="O38" s="4">
        <f>+'1.mell._Össz_Mérleg2020'!G208</f>
        <v>3068667</v>
      </c>
      <c r="P38" s="4">
        <f>+'1.mell._Össz_Mérleg2020'!H208</f>
        <v>122107</v>
      </c>
      <c r="Q38" s="4">
        <f>+'1.mell._Össz_Mérleg2020'!I208</f>
        <v>0</v>
      </c>
    </row>
    <row r="39" spans="1:17" hidden="1">
      <c r="C39" s="4">
        <f t="shared" ref="C39:I39" si="2">+C37-C38</f>
        <v>0</v>
      </c>
      <c r="D39" s="4">
        <f t="shared" si="2"/>
        <v>0</v>
      </c>
      <c r="E39" s="4">
        <f t="shared" si="2"/>
        <v>0</v>
      </c>
      <c r="F39" s="4">
        <f t="shared" si="2"/>
        <v>0.963244503561275</v>
      </c>
      <c r="G39" s="4">
        <f t="shared" si="2"/>
        <v>0</v>
      </c>
      <c r="H39" s="4">
        <f t="shared" si="2"/>
        <v>0</v>
      </c>
      <c r="I39" s="4">
        <f t="shared" si="2"/>
        <v>0</v>
      </c>
      <c r="K39" s="4">
        <f t="shared" ref="K39:Q39" si="3">+K37-K38</f>
        <v>0</v>
      </c>
      <c r="L39" s="4">
        <f t="shared" si="3"/>
        <v>0</v>
      </c>
      <c r="M39" s="4">
        <f t="shared" si="3"/>
        <v>0</v>
      </c>
      <c r="N39" s="4">
        <f t="shared" si="3"/>
        <v>1.2680250692965325</v>
      </c>
      <c r="O39" s="4">
        <f t="shared" si="3"/>
        <v>0</v>
      </c>
      <c r="P39" s="4">
        <f t="shared" si="3"/>
        <v>0</v>
      </c>
      <c r="Q39" s="4">
        <f t="shared" si="3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N86"/>
  <sheetViews>
    <sheetView zoomScaleNormal="100" workbookViewId="0"/>
  </sheetViews>
  <sheetFormatPr defaultRowHeight="12"/>
  <cols>
    <col min="1" max="1" width="78.5703125" style="179" bestFit="1" customWidth="1"/>
    <col min="2" max="3" width="11.7109375" style="179" customWidth="1"/>
    <col min="4" max="4" width="11.140625" style="179" bestFit="1" customWidth="1"/>
    <col min="5" max="6" width="13.140625" style="179" customWidth="1"/>
    <col min="7" max="7" width="9.140625" style="179"/>
    <col min="8" max="8" width="11.7109375" style="179" customWidth="1"/>
    <col min="9" max="9" width="11.7109375" style="425" customWidth="1"/>
    <col min="10" max="10" width="9.140625" style="179"/>
    <col min="11" max="11" width="9.140625" style="179" hidden="1" customWidth="1"/>
    <col min="12" max="12" width="9.140625" style="570" hidden="1" customWidth="1"/>
    <col min="13" max="13" width="9.140625" style="179" hidden="1" customWidth="1"/>
    <col min="14" max="16384" width="9.140625" style="179"/>
  </cols>
  <sheetData>
    <row r="1" spans="1:14" s="180" customFormat="1" ht="15.75">
      <c r="A1" s="140"/>
      <c r="B1" s="140"/>
      <c r="C1" s="140"/>
      <c r="D1" s="140"/>
      <c r="E1" s="140"/>
      <c r="F1" s="140"/>
      <c r="H1" s="140"/>
      <c r="I1" s="1323" t="s">
        <v>424</v>
      </c>
      <c r="L1" s="571"/>
    </row>
    <row r="2" spans="1:14" s="180" customFormat="1" ht="15.75">
      <c r="I2" s="562"/>
      <c r="L2" s="571"/>
    </row>
    <row r="3" spans="1:14" s="181" customFormat="1" ht="15.75">
      <c r="A3" s="1781" t="s">
        <v>330</v>
      </c>
      <c r="B3" s="1781"/>
      <c r="C3" s="1781"/>
      <c r="D3" s="1781"/>
      <c r="E3" s="1781"/>
      <c r="F3" s="1781"/>
      <c r="G3" s="1781"/>
      <c r="H3" s="1781"/>
      <c r="I3" s="1781"/>
      <c r="L3" s="572"/>
    </row>
    <row r="4" spans="1:14" s="181" customFormat="1" ht="15.75">
      <c r="A4" s="1781" t="s">
        <v>1420</v>
      </c>
      <c r="B4" s="1781"/>
      <c r="C4" s="1781"/>
      <c r="D4" s="1781"/>
      <c r="E4" s="1781"/>
      <c r="F4" s="1781"/>
      <c r="G4" s="1781"/>
      <c r="H4" s="1781"/>
      <c r="I4" s="1781"/>
      <c r="L4" s="572"/>
    </row>
    <row r="5" spans="1:14" ht="12.75" thickBot="1">
      <c r="A5" s="141"/>
      <c r="B5" s="141"/>
      <c r="C5" s="141"/>
      <c r="D5" s="141"/>
      <c r="E5" s="141"/>
      <c r="F5" s="141"/>
      <c r="G5" s="141"/>
      <c r="H5" s="141"/>
      <c r="I5" s="869"/>
    </row>
    <row r="6" spans="1:14" s="182" customFormat="1" ht="12.75" customHeight="1" thickBot="1">
      <c r="A6" s="1782" t="s">
        <v>7</v>
      </c>
      <c r="B6" s="1793" t="s">
        <v>1542</v>
      </c>
      <c r="C6" s="1791" t="s">
        <v>1543</v>
      </c>
      <c r="D6" s="1787" t="s">
        <v>1421</v>
      </c>
      <c r="E6" s="1788"/>
      <c r="F6" s="1788"/>
      <c r="G6" s="1789"/>
      <c r="H6" s="1791" t="s">
        <v>2654</v>
      </c>
      <c r="I6" s="1785" t="s">
        <v>1558</v>
      </c>
      <c r="L6" s="573"/>
    </row>
    <row r="7" spans="1:14" s="182" customFormat="1" ht="48.75" thickBot="1">
      <c r="A7" s="1783"/>
      <c r="B7" s="1794"/>
      <c r="C7" s="1792"/>
      <c r="D7" s="183" t="s">
        <v>407</v>
      </c>
      <c r="E7" s="184" t="s">
        <v>408</v>
      </c>
      <c r="F7" s="185" t="s">
        <v>409</v>
      </c>
      <c r="G7" s="186" t="s">
        <v>18</v>
      </c>
      <c r="H7" s="1792"/>
      <c r="I7" s="1790"/>
      <c r="L7" s="573"/>
    </row>
    <row r="8" spans="1:14">
      <c r="A8" s="142"/>
      <c r="B8" s="143"/>
      <c r="C8" s="1170"/>
      <c r="D8" s="143"/>
      <c r="E8" s="144"/>
      <c r="F8" s="145"/>
      <c r="G8" s="146"/>
      <c r="H8" s="1170"/>
      <c r="I8" s="1171"/>
    </row>
    <row r="9" spans="1:14">
      <c r="A9" s="147" t="s">
        <v>410</v>
      </c>
      <c r="B9" s="1719">
        <f>+B10+B11+B12+B13+B14+B15+B16</f>
        <v>1</v>
      </c>
      <c r="C9" s="1720">
        <f t="shared" ref="C9:H9" si="0">+C10+C11+C12+C13+C14+C15+C16</f>
        <v>75</v>
      </c>
      <c r="D9" s="148">
        <f t="shared" si="0"/>
        <v>1</v>
      </c>
      <c r="E9" s="149">
        <f t="shared" si="0"/>
        <v>0</v>
      </c>
      <c r="F9" s="149">
        <f t="shared" si="0"/>
        <v>74</v>
      </c>
      <c r="G9" s="150">
        <f t="shared" si="0"/>
        <v>75</v>
      </c>
      <c r="H9" s="149">
        <f t="shared" si="0"/>
        <v>52</v>
      </c>
      <c r="I9" s="1324">
        <f>IF(ISERROR(H9/C9),"-",H9/C9)</f>
        <v>0.69333333333333336</v>
      </c>
      <c r="K9" s="569">
        <f>+G9-C9</f>
        <v>0</v>
      </c>
    </row>
    <row r="10" spans="1:14">
      <c r="A10" s="769" t="s">
        <v>1210</v>
      </c>
      <c r="B10" s="153">
        <v>1</v>
      </c>
      <c r="C10" s="154">
        <v>1</v>
      </c>
      <c r="D10" s="153">
        <f>+C10</f>
        <v>1</v>
      </c>
      <c r="E10" s="154"/>
      <c r="F10" s="154"/>
      <c r="G10" s="150">
        <f>+F10+E10+D10</f>
        <v>1</v>
      </c>
      <c r="H10" s="154">
        <v>1</v>
      </c>
      <c r="I10" s="1325">
        <f t="shared" ref="I10:I71" si="1">IF(ISERROR(H10/C10),"-",H10/C10)</f>
        <v>1</v>
      </c>
      <c r="K10" s="569">
        <f t="shared" ref="K10:K21" si="2">+G10-C10</f>
        <v>0</v>
      </c>
    </row>
    <row r="11" spans="1:14">
      <c r="A11" s="769" t="s">
        <v>2657</v>
      </c>
      <c r="B11" s="153"/>
      <c r="C11" s="1721">
        <f>2+4+4+10+3</f>
        <v>23</v>
      </c>
      <c r="D11" s="153"/>
      <c r="E11" s="154"/>
      <c r="F11" s="154">
        <f t="shared" ref="F11:F16" si="3">+C11</f>
        <v>23</v>
      </c>
      <c r="G11" s="150">
        <f t="shared" ref="G11:G16" si="4">+F11+E11+D11</f>
        <v>23</v>
      </c>
      <c r="H11" s="154">
        <v>23</v>
      </c>
      <c r="I11" s="1325">
        <f t="shared" si="1"/>
        <v>1</v>
      </c>
      <c r="K11" s="569">
        <f t="shared" si="2"/>
        <v>0</v>
      </c>
      <c r="N11" s="570"/>
    </row>
    <row r="12" spans="1:14">
      <c r="A12" s="769" t="s">
        <v>2658</v>
      </c>
      <c r="B12" s="1711"/>
      <c r="C12" s="1722">
        <v>27</v>
      </c>
      <c r="D12" s="153"/>
      <c r="E12" s="154"/>
      <c r="F12" s="154">
        <f t="shared" si="3"/>
        <v>27</v>
      </c>
      <c r="G12" s="150">
        <f t="shared" si="4"/>
        <v>27</v>
      </c>
      <c r="H12" s="154">
        <v>4</v>
      </c>
      <c r="I12" s="1325">
        <f t="shared" si="1"/>
        <v>0.14814814814814814</v>
      </c>
      <c r="K12" s="569">
        <f>+G12-C12</f>
        <v>0</v>
      </c>
      <c r="N12" s="570"/>
    </row>
    <row r="13" spans="1:14" s="1716" customFormat="1">
      <c r="A13" s="1712" t="s">
        <v>2662</v>
      </c>
      <c r="B13" s="1713"/>
      <c r="C13" s="1723">
        <v>1</v>
      </c>
      <c r="D13" s="1713"/>
      <c r="E13" s="1714"/>
      <c r="F13" s="1714">
        <f t="shared" si="3"/>
        <v>1</v>
      </c>
      <c r="G13" s="1715">
        <f t="shared" si="4"/>
        <v>1</v>
      </c>
      <c r="H13" s="1714">
        <v>1</v>
      </c>
      <c r="I13" s="1325">
        <f t="shared" si="1"/>
        <v>1</v>
      </c>
      <c r="K13" s="1717">
        <f>+G13-C13</f>
        <v>0</v>
      </c>
      <c r="L13" s="1718"/>
      <c r="N13" s="1718"/>
    </row>
    <row r="14" spans="1:14" s="1716" customFormat="1">
      <c r="A14" s="1712" t="s">
        <v>2659</v>
      </c>
      <c r="B14" s="1713"/>
      <c r="C14" s="1723">
        <v>2</v>
      </c>
      <c r="D14" s="1713"/>
      <c r="E14" s="1714"/>
      <c r="F14" s="1714">
        <f t="shared" si="3"/>
        <v>2</v>
      </c>
      <c r="G14" s="1715">
        <f t="shared" si="4"/>
        <v>2</v>
      </c>
      <c r="H14" s="1714">
        <v>2</v>
      </c>
      <c r="I14" s="1325">
        <f t="shared" si="1"/>
        <v>1</v>
      </c>
      <c r="K14" s="1717">
        <f>+G14-C14</f>
        <v>0</v>
      </c>
      <c r="L14" s="1718"/>
      <c r="N14" s="1718"/>
    </row>
    <row r="15" spans="1:14" s="1716" customFormat="1">
      <c r="A15" s="1712" t="s">
        <v>2660</v>
      </c>
      <c r="B15" s="1713"/>
      <c r="C15" s="1723">
        <v>14</v>
      </c>
      <c r="D15" s="1713"/>
      <c r="E15" s="1714"/>
      <c r="F15" s="1714">
        <f t="shared" si="3"/>
        <v>14</v>
      </c>
      <c r="G15" s="1715">
        <f t="shared" si="4"/>
        <v>14</v>
      </c>
      <c r="H15" s="1714">
        <v>14</v>
      </c>
      <c r="I15" s="1325">
        <f t="shared" si="1"/>
        <v>1</v>
      </c>
      <c r="K15" s="1717">
        <f>+G15-C15</f>
        <v>0</v>
      </c>
      <c r="L15" s="1718"/>
      <c r="N15" s="1718"/>
    </row>
    <row r="16" spans="1:14" s="1716" customFormat="1">
      <c r="A16" s="1712" t="s">
        <v>2661</v>
      </c>
      <c r="B16" s="1713"/>
      <c r="C16" s="1723">
        <v>7</v>
      </c>
      <c r="D16" s="1713"/>
      <c r="E16" s="1714"/>
      <c r="F16" s="1714">
        <f t="shared" si="3"/>
        <v>7</v>
      </c>
      <c r="G16" s="1715">
        <f t="shared" si="4"/>
        <v>7</v>
      </c>
      <c r="H16" s="1714">
        <v>7</v>
      </c>
      <c r="I16" s="1325">
        <f t="shared" si="1"/>
        <v>1</v>
      </c>
      <c r="K16" s="1717">
        <f>+G16-C16</f>
        <v>0</v>
      </c>
      <c r="L16" s="1718">
        <f>+'1.1.mell._ÖNK_Mérleg2020'!E240</f>
        <v>24</v>
      </c>
      <c r="M16" s="1717">
        <f>+H13+H14+H15+H16-L16</f>
        <v>0</v>
      </c>
      <c r="N16" s="1718"/>
    </row>
    <row r="17" spans="1:14">
      <c r="A17" s="147" t="s">
        <v>411</v>
      </c>
      <c r="B17" s="148">
        <f t="shared" ref="B17:H17" si="5">+B18</f>
        <v>0</v>
      </c>
      <c r="C17" s="149">
        <f t="shared" si="5"/>
        <v>0</v>
      </c>
      <c r="D17" s="148">
        <f>+D18</f>
        <v>0</v>
      </c>
      <c r="E17" s="149">
        <f>+E18</f>
        <v>0</v>
      </c>
      <c r="F17" s="149">
        <f>+F18</f>
        <v>0</v>
      </c>
      <c r="G17" s="150">
        <f>+G18</f>
        <v>0</v>
      </c>
      <c r="H17" s="149">
        <f t="shared" si="5"/>
        <v>0</v>
      </c>
      <c r="I17" s="1326" t="str">
        <f t="shared" si="1"/>
        <v>-</v>
      </c>
      <c r="K17" s="569">
        <f t="shared" si="2"/>
        <v>0</v>
      </c>
    </row>
    <row r="18" spans="1:14">
      <c r="A18" s="813" t="s">
        <v>19</v>
      </c>
      <c r="B18" s="153"/>
      <c r="C18" s="154"/>
      <c r="D18" s="153"/>
      <c r="E18" s="154"/>
      <c r="F18" s="154"/>
      <c r="G18" s="150">
        <f>+F18+E18+D18</f>
        <v>0</v>
      </c>
      <c r="H18" s="154"/>
      <c r="I18" s="1325" t="str">
        <f t="shared" si="1"/>
        <v>-</v>
      </c>
      <c r="K18" s="569">
        <f t="shared" si="2"/>
        <v>0</v>
      </c>
    </row>
    <row r="19" spans="1:14">
      <c r="A19" s="147" t="s">
        <v>412</v>
      </c>
      <c r="B19" s="148">
        <f t="shared" ref="B19:H19" si="6">+B20</f>
        <v>0</v>
      </c>
      <c r="C19" s="149">
        <f t="shared" si="6"/>
        <v>0</v>
      </c>
      <c r="D19" s="148">
        <f>+D20</f>
        <v>0</v>
      </c>
      <c r="E19" s="149">
        <f>+E20</f>
        <v>0</v>
      </c>
      <c r="F19" s="149">
        <f>+F20</f>
        <v>0</v>
      </c>
      <c r="G19" s="150">
        <f>+G20</f>
        <v>0</v>
      </c>
      <c r="H19" s="149">
        <f t="shared" si="6"/>
        <v>0</v>
      </c>
      <c r="I19" s="1326" t="str">
        <f t="shared" si="1"/>
        <v>-</v>
      </c>
      <c r="K19" s="569">
        <f t="shared" si="2"/>
        <v>0</v>
      </c>
    </row>
    <row r="20" spans="1:14" ht="12.75" thickBot="1">
      <c r="A20" s="814" t="s">
        <v>19</v>
      </c>
      <c r="B20" s="155"/>
      <c r="C20" s="156"/>
      <c r="D20" s="155"/>
      <c r="E20" s="156"/>
      <c r="F20" s="156"/>
      <c r="G20" s="150">
        <f>+F20+E20+D20</f>
        <v>0</v>
      </c>
      <c r="H20" s="156"/>
      <c r="I20" s="1327" t="str">
        <f t="shared" si="1"/>
        <v>-</v>
      </c>
      <c r="K20" s="569">
        <f t="shared" si="2"/>
        <v>0</v>
      </c>
    </row>
    <row r="21" spans="1:14" ht="12.75" thickBot="1">
      <c r="A21" s="157" t="s">
        <v>413</v>
      </c>
      <c r="B21" s="158">
        <f t="shared" ref="B21:H21" si="7">+B9+B17+B19</f>
        <v>1</v>
      </c>
      <c r="C21" s="159">
        <f t="shared" si="7"/>
        <v>75</v>
      </c>
      <c r="D21" s="158">
        <f>+D9+D17+D19</f>
        <v>1</v>
      </c>
      <c r="E21" s="161">
        <f>+E9+E17+E19</f>
        <v>0</v>
      </c>
      <c r="F21" s="160">
        <f>+F9+F17+F19</f>
        <v>74</v>
      </c>
      <c r="G21" s="162">
        <f>+G9+G17+G19</f>
        <v>75</v>
      </c>
      <c r="H21" s="159">
        <f t="shared" si="7"/>
        <v>52</v>
      </c>
      <c r="I21" s="1328">
        <f t="shared" si="1"/>
        <v>0.69333333333333336</v>
      </c>
      <c r="K21" s="569">
        <f t="shared" si="2"/>
        <v>0</v>
      </c>
      <c r="L21" s="570">
        <f>+'1.1.mell._ÖNK_Mérleg2020'!E239</f>
        <v>52</v>
      </c>
      <c r="M21" s="569">
        <f>+H21-L21</f>
        <v>0</v>
      </c>
    </row>
    <row r="22" spans="1:14">
      <c r="A22" s="163"/>
      <c r="B22" s="164"/>
      <c r="C22" s="165"/>
      <c r="D22" s="164"/>
      <c r="E22" s="165"/>
      <c r="F22" s="165"/>
      <c r="G22" s="166"/>
      <c r="H22" s="165"/>
      <c r="I22" s="1172"/>
      <c r="K22" s="569"/>
    </row>
    <row r="23" spans="1:14">
      <c r="A23" s="147" t="s">
        <v>865</v>
      </c>
      <c r="B23" s="148">
        <f>+B24+B25+B26+B27</f>
        <v>86</v>
      </c>
      <c r="C23" s="149">
        <f t="shared" ref="C23:H23" si="8">+C24+C25+C26+C27</f>
        <v>90</v>
      </c>
      <c r="D23" s="148">
        <f t="shared" si="8"/>
        <v>43</v>
      </c>
      <c r="E23" s="149">
        <f t="shared" si="8"/>
        <v>0</v>
      </c>
      <c r="F23" s="149">
        <f t="shared" si="8"/>
        <v>47</v>
      </c>
      <c r="G23" s="150">
        <f t="shared" si="8"/>
        <v>90</v>
      </c>
      <c r="H23" s="149">
        <f t="shared" si="8"/>
        <v>87</v>
      </c>
      <c r="I23" s="1326">
        <f t="shared" si="1"/>
        <v>0.96666666666666667</v>
      </c>
      <c r="K23" s="569">
        <f t="shared" ref="K23:K33" si="9">+G23-C23</f>
        <v>0</v>
      </c>
    </row>
    <row r="24" spans="1:14">
      <c r="A24" s="769" t="s">
        <v>665</v>
      </c>
      <c r="B24" s="153">
        <v>43</v>
      </c>
      <c r="C24" s="154">
        <v>43</v>
      </c>
      <c r="D24" s="781">
        <f>+C24</f>
        <v>43</v>
      </c>
      <c r="E24" s="154"/>
      <c r="F24" s="154"/>
      <c r="G24" s="150">
        <f>+F24+E24+D24</f>
        <v>43</v>
      </c>
      <c r="H24" s="154">
        <f>37+1</f>
        <v>38</v>
      </c>
      <c r="I24" s="1325">
        <f t="shared" si="1"/>
        <v>0.88372093023255816</v>
      </c>
      <c r="K24" s="569">
        <f t="shared" si="9"/>
        <v>0</v>
      </c>
    </row>
    <row r="25" spans="1:14">
      <c r="A25" s="769" t="s">
        <v>415</v>
      </c>
      <c r="B25" s="153">
        <v>19</v>
      </c>
      <c r="C25" s="154">
        <v>19</v>
      </c>
      <c r="D25" s="153"/>
      <c r="E25" s="154"/>
      <c r="F25" s="154">
        <f>+C25</f>
        <v>19</v>
      </c>
      <c r="G25" s="150">
        <f>+F25+E25+D25</f>
        <v>19</v>
      </c>
      <c r="H25" s="154">
        <v>19</v>
      </c>
      <c r="I25" s="1325">
        <f t="shared" si="1"/>
        <v>1</v>
      </c>
      <c r="K25" s="569">
        <f t="shared" si="9"/>
        <v>0</v>
      </c>
    </row>
    <row r="26" spans="1:14">
      <c r="A26" s="769" t="s">
        <v>1036</v>
      </c>
      <c r="B26" s="153">
        <v>24</v>
      </c>
      <c r="C26" s="154">
        <v>24</v>
      </c>
      <c r="D26" s="153"/>
      <c r="E26" s="154"/>
      <c r="F26" s="154">
        <f>+C26</f>
        <v>24</v>
      </c>
      <c r="G26" s="150">
        <f>+F26+E26+D26</f>
        <v>24</v>
      </c>
      <c r="H26" s="154">
        <f>45-H25</f>
        <v>26</v>
      </c>
      <c r="I26" s="1325">
        <f t="shared" si="1"/>
        <v>1.0833333333333333</v>
      </c>
      <c r="K26" s="569">
        <f t="shared" si="9"/>
        <v>0</v>
      </c>
    </row>
    <row r="27" spans="1:14" s="1716" customFormat="1">
      <c r="A27" s="1712" t="s">
        <v>2663</v>
      </c>
      <c r="B27" s="1713"/>
      <c r="C27" s="1723">
        <v>4</v>
      </c>
      <c r="D27" s="1713"/>
      <c r="E27" s="1714"/>
      <c r="F27" s="1714">
        <f>+C27</f>
        <v>4</v>
      </c>
      <c r="G27" s="1715">
        <f>+F27+E27+D27</f>
        <v>4</v>
      </c>
      <c r="H27" s="1714">
        <v>4</v>
      </c>
      <c r="I27" s="1325">
        <f>IF(ISERROR(H27/C27),"-",H27/C27)</f>
        <v>1</v>
      </c>
      <c r="K27" s="1717">
        <f t="shared" si="9"/>
        <v>0</v>
      </c>
      <c r="L27" s="1718"/>
      <c r="N27" s="1718"/>
    </row>
    <row r="28" spans="1:14">
      <c r="A28" s="147" t="s">
        <v>866</v>
      </c>
      <c r="B28" s="148">
        <f t="shared" ref="B28:H28" si="10">+B29+B30</f>
        <v>6</v>
      </c>
      <c r="C28" s="149">
        <f t="shared" si="10"/>
        <v>6</v>
      </c>
      <c r="D28" s="148">
        <f>+D29+D30</f>
        <v>2</v>
      </c>
      <c r="E28" s="149">
        <f>+E29+E30</f>
        <v>0</v>
      </c>
      <c r="F28" s="149">
        <f>+F29+F30</f>
        <v>4</v>
      </c>
      <c r="G28" s="150">
        <f>+G29+G30</f>
        <v>6</v>
      </c>
      <c r="H28" s="149">
        <f t="shared" si="10"/>
        <v>4</v>
      </c>
      <c r="I28" s="1326">
        <f t="shared" si="1"/>
        <v>0.66666666666666663</v>
      </c>
      <c r="K28" s="569">
        <f t="shared" si="9"/>
        <v>0</v>
      </c>
    </row>
    <row r="29" spans="1:14">
      <c r="A29" s="769" t="s">
        <v>416</v>
      </c>
      <c r="B29" s="153">
        <v>4</v>
      </c>
      <c r="C29" s="154">
        <v>4</v>
      </c>
      <c r="D29" s="153"/>
      <c r="E29" s="154"/>
      <c r="F29" s="154">
        <f>+C29</f>
        <v>4</v>
      </c>
      <c r="G29" s="150">
        <f>+F29+E29+D29</f>
        <v>4</v>
      </c>
      <c r="H29" s="154">
        <v>4</v>
      </c>
      <c r="I29" s="1325">
        <f t="shared" si="1"/>
        <v>1</v>
      </c>
      <c r="K29" s="569">
        <f t="shared" si="9"/>
        <v>0</v>
      </c>
    </row>
    <row r="30" spans="1:14">
      <c r="A30" s="769" t="s">
        <v>647</v>
      </c>
      <c r="B30" s="153">
        <v>2</v>
      </c>
      <c r="C30" s="154">
        <v>2</v>
      </c>
      <c r="D30" s="153">
        <f>+C30</f>
        <v>2</v>
      </c>
      <c r="E30" s="154"/>
      <c r="F30" s="154"/>
      <c r="G30" s="150">
        <f>+F30+E30+D30</f>
        <v>2</v>
      </c>
      <c r="H30" s="154"/>
      <c r="I30" s="1325">
        <f t="shared" si="1"/>
        <v>0</v>
      </c>
      <c r="K30" s="569">
        <f t="shared" si="9"/>
        <v>0</v>
      </c>
    </row>
    <row r="31" spans="1:14">
      <c r="A31" s="147" t="s">
        <v>867</v>
      </c>
      <c r="B31" s="148">
        <f t="shared" ref="B31:H31" si="11">+B32</f>
        <v>0</v>
      </c>
      <c r="C31" s="149">
        <f t="shared" si="11"/>
        <v>0</v>
      </c>
      <c r="D31" s="148">
        <f>+D32</f>
        <v>0</v>
      </c>
      <c r="E31" s="149">
        <f>+E32</f>
        <v>0</v>
      </c>
      <c r="F31" s="149">
        <f>+F32</f>
        <v>0</v>
      </c>
      <c r="G31" s="150">
        <f>+G32</f>
        <v>0</v>
      </c>
      <c r="H31" s="149">
        <f t="shared" si="11"/>
        <v>0</v>
      </c>
      <c r="I31" s="1326" t="str">
        <f t="shared" si="1"/>
        <v>-</v>
      </c>
      <c r="K31" s="569">
        <f t="shared" si="9"/>
        <v>0</v>
      </c>
    </row>
    <row r="32" spans="1:14" ht="12.75" thickBot="1">
      <c r="A32" s="814" t="s">
        <v>19</v>
      </c>
      <c r="B32" s="155"/>
      <c r="C32" s="156"/>
      <c r="D32" s="155"/>
      <c r="E32" s="156"/>
      <c r="F32" s="156"/>
      <c r="G32" s="150">
        <f>+F32+E32+D32</f>
        <v>0</v>
      </c>
      <c r="H32" s="156"/>
      <c r="I32" s="1325" t="str">
        <f t="shared" si="1"/>
        <v>-</v>
      </c>
      <c r="K32" s="569">
        <f t="shared" si="9"/>
        <v>0</v>
      </c>
    </row>
    <row r="33" spans="1:13" ht="12.75" thickBot="1">
      <c r="A33" s="157" t="s">
        <v>868</v>
      </c>
      <c r="B33" s="158">
        <f t="shared" ref="B33:H33" si="12">+B23+B28+B31</f>
        <v>92</v>
      </c>
      <c r="C33" s="159">
        <f t="shared" si="12"/>
        <v>96</v>
      </c>
      <c r="D33" s="158">
        <f>+D23+D28+D31</f>
        <v>45</v>
      </c>
      <c r="E33" s="161">
        <f>+E23+E28+E31</f>
        <v>0</v>
      </c>
      <c r="F33" s="160">
        <f>+F23+F28+F31</f>
        <v>51</v>
      </c>
      <c r="G33" s="162">
        <f>+G23+G28+G31</f>
        <v>96</v>
      </c>
      <c r="H33" s="159">
        <f t="shared" si="12"/>
        <v>91</v>
      </c>
      <c r="I33" s="1328">
        <f t="shared" si="1"/>
        <v>0.94791666666666663</v>
      </c>
      <c r="K33" s="569">
        <f t="shared" si="9"/>
        <v>0</v>
      </c>
      <c r="L33" s="570">
        <f>+'1.2.mell._HKÖH_Mérleg2020'!E239</f>
        <v>91</v>
      </c>
      <c r="M33" s="569">
        <f>+H33-L33</f>
        <v>0</v>
      </c>
    </row>
    <row r="34" spans="1:13">
      <c r="A34" s="163"/>
      <c r="B34" s="164"/>
      <c r="C34" s="165"/>
      <c r="D34" s="164"/>
      <c r="E34" s="165"/>
      <c r="F34" s="165"/>
      <c r="G34" s="166"/>
      <c r="H34" s="165"/>
      <c r="I34" s="1172"/>
      <c r="K34" s="569"/>
    </row>
    <row r="35" spans="1:13">
      <c r="A35" s="167" t="s">
        <v>417</v>
      </c>
      <c r="B35" s="148">
        <f t="shared" ref="B35:H35" si="13">+B36+B37</f>
        <v>69</v>
      </c>
      <c r="C35" s="149">
        <f t="shared" si="13"/>
        <v>73</v>
      </c>
      <c r="D35" s="148">
        <f>+D36+D37</f>
        <v>0</v>
      </c>
      <c r="E35" s="149">
        <f>+E36+E37</f>
        <v>73</v>
      </c>
      <c r="F35" s="149">
        <f>+F36+F37</f>
        <v>0</v>
      </c>
      <c r="G35" s="150">
        <f>+G36+G37</f>
        <v>73</v>
      </c>
      <c r="H35" s="149">
        <f t="shared" si="13"/>
        <v>70</v>
      </c>
      <c r="I35" s="1326">
        <f t="shared" si="1"/>
        <v>0.95890410958904104</v>
      </c>
      <c r="K35" s="569">
        <f t="shared" ref="K35:K42" si="14">+G35-C35</f>
        <v>0</v>
      </c>
    </row>
    <row r="36" spans="1:13">
      <c r="A36" s="813" t="s">
        <v>1074</v>
      </c>
      <c r="B36" s="153">
        <v>59</v>
      </c>
      <c r="C36" s="154">
        <f>59+2</f>
        <v>61</v>
      </c>
      <c r="D36" s="153"/>
      <c r="E36" s="154">
        <f>+C36</f>
        <v>61</v>
      </c>
      <c r="F36" s="154"/>
      <c r="G36" s="150">
        <f>+F36+E36+D36</f>
        <v>61</v>
      </c>
      <c r="H36" s="154">
        <v>59</v>
      </c>
      <c r="I36" s="1325">
        <f t="shared" si="1"/>
        <v>0.96721311475409832</v>
      </c>
      <c r="K36" s="569">
        <f t="shared" si="14"/>
        <v>0</v>
      </c>
    </row>
    <row r="37" spans="1:13">
      <c r="A37" s="813" t="s">
        <v>573</v>
      </c>
      <c r="B37" s="153">
        <v>10</v>
      </c>
      <c r="C37" s="154">
        <f>10+2</f>
        <v>12</v>
      </c>
      <c r="D37" s="153"/>
      <c r="E37" s="154">
        <f>+C37</f>
        <v>12</v>
      </c>
      <c r="F37" s="154"/>
      <c r="G37" s="150">
        <f>+F37+E37+D37</f>
        <v>12</v>
      </c>
      <c r="H37" s="154">
        <v>11</v>
      </c>
      <c r="I37" s="1325">
        <f t="shared" si="1"/>
        <v>0.91666666666666663</v>
      </c>
      <c r="K37" s="569">
        <f t="shared" si="14"/>
        <v>0</v>
      </c>
    </row>
    <row r="38" spans="1:13">
      <c r="A38" s="167" t="s">
        <v>418</v>
      </c>
      <c r="B38" s="148">
        <f t="shared" ref="B38:H38" si="15">+B39</f>
        <v>0</v>
      </c>
      <c r="C38" s="149">
        <f t="shared" si="15"/>
        <v>0</v>
      </c>
      <c r="D38" s="148">
        <f>+D39</f>
        <v>0</v>
      </c>
      <c r="E38" s="149">
        <f>+E39</f>
        <v>0</v>
      </c>
      <c r="F38" s="149">
        <f>+F39</f>
        <v>0</v>
      </c>
      <c r="G38" s="150">
        <f>+G39</f>
        <v>0</v>
      </c>
      <c r="H38" s="149">
        <f t="shared" si="15"/>
        <v>0</v>
      </c>
      <c r="I38" s="1326" t="str">
        <f t="shared" si="1"/>
        <v>-</v>
      </c>
      <c r="K38" s="569">
        <f t="shared" si="14"/>
        <v>0</v>
      </c>
    </row>
    <row r="39" spans="1:13">
      <c r="A39" s="813" t="s">
        <v>19</v>
      </c>
      <c r="B39" s="153"/>
      <c r="C39" s="154"/>
      <c r="D39" s="153"/>
      <c r="E39" s="154"/>
      <c r="F39" s="154"/>
      <c r="G39" s="150">
        <f>+F39+E39+D39</f>
        <v>0</v>
      </c>
      <c r="H39" s="154"/>
      <c r="I39" s="1325" t="str">
        <f t="shared" si="1"/>
        <v>-</v>
      </c>
      <c r="K39" s="569">
        <f t="shared" si="14"/>
        <v>0</v>
      </c>
    </row>
    <row r="40" spans="1:13">
      <c r="A40" s="147" t="s">
        <v>766</v>
      </c>
      <c r="B40" s="148">
        <f t="shared" ref="B40:H40" si="16">+B41</f>
        <v>0</v>
      </c>
      <c r="C40" s="149">
        <f t="shared" si="16"/>
        <v>0</v>
      </c>
      <c r="D40" s="148">
        <f>+D41</f>
        <v>0</v>
      </c>
      <c r="E40" s="149">
        <f>+E41</f>
        <v>0</v>
      </c>
      <c r="F40" s="149">
        <f>+F41</f>
        <v>0</v>
      </c>
      <c r="G40" s="150">
        <f>+G41</f>
        <v>0</v>
      </c>
      <c r="H40" s="149">
        <f t="shared" si="16"/>
        <v>0</v>
      </c>
      <c r="I40" s="1326" t="str">
        <f t="shared" si="1"/>
        <v>-</v>
      </c>
      <c r="K40" s="569">
        <f t="shared" si="14"/>
        <v>0</v>
      </c>
    </row>
    <row r="41" spans="1:13" ht="12.75" thickBot="1">
      <c r="A41" s="813" t="s">
        <v>19</v>
      </c>
      <c r="B41" s="155"/>
      <c r="C41" s="156"/>
      <c r="D41" s="155"/>
      <c r="E41" s="156"/>
      <c r="F41" s="156"/>
      <c r="G41" s="150">
        <f>+F41+E41+D41</f>
        <v>0</v>
      </c>
      <c r="H41" s="156"/>
      <c r="I41" s="1325" t="str">
        <f t="shared" si="1"/>
        <v>-</v>
      </c>
      <c r="K41" s="569">
        <f t="shared" si="14"/>
        <v>0</v>
      </c>
    </row>
    <row r="42" spans="1:13" ht="12.75" thickBot="1">
      <c r="A42" s="157" t="s">
        <v>419</v>
      </c>
      <c r="B42" s="158">
        <f t="shared" ref="B42:H42" si="17">+B35+B38+B40</f>
        <v>69</v>
      </c>
      <c r="C42" s="159">
        <f t="shared" si="17"/>
        <v>73</v>
      </c>
      <c r="D42" s="158">
        <f>+D35+D38+D40</f>
        <v>0</v>
      </c>
      <c r="E42" s="161">
        <f>+E35+E38+E40</f>
        <v>73</v>
      </c>
      <c r="F42" s="160">
        <f>+F35+F38+F40</f>
        <v>0</v>
      </c>
      <c r="G42" s="162">
        <f>+G35+G38+G40</f>
        <v>73</v>
      </c>
      <c r="H42" s="159">
        <f t="shared" si="17"/>
        <v>70</v>
      </c>
      <c r="I42" s="1328">
        <f t="shared" si="1"/>
        <v>0.95890410958904104</v>
      </c>
      <c r="K42" s="569">
        <f t="shared" si="14"/>
        <v>0</v>
      </c>
      <c r="L42" s="570">
        <f>+'1.3.mell._HVÓBKI_Mérleg2020'!E239</f>
        <v>70</v>
      </c>
      <c r="M42" s="569">
        <f>+H42-L42</f>
        <v>0</v>
      </c>
    </row>
    <row r="43" spans="1:13">
      <c r="A43" s="163"/>
      <c r="B43" s="164"/>
      <c r="C43" s="165"/>
      <c r="D43" s="164"/>
      <c r="E43" s="168"/>
      <c r="F43" s="165"/>
      <c r="G43" s="166"/>
      <c r="H43" s="165"/>
      <c r="I43" s="1172"/>
      <c r="K43" s="569"/>
    </row>
    <row r="44" spans="1:13">
      <c r="A44" s="167" t="s">
        <v>420</v>
      </c>
      <c r="B44" s="148">
        <f t="shared" ref="B44:H44" si="18">+B45+B46+B47</f>
        <v>9</v>
      </c>
      <c r="C44" s="149">
        <f t="shared" si="18"/>
        <v>9</v>
      </c>
      <c r="D44" s="148">
        <f>+D45+D46+D47</f>
        <v>0</v>
      </c>
      <c r="E44" s="149">
        <f>+E45+E46+E47</f>
        <v>9</v>
      </c>
      <c r="F44" s="149">
        <f>+F45+F46+F47</f>
        <v>0</v>
      </c>
      <c r="G44" s="150">
        <f>+G45+G46+G47</f>
        <v>9</v>
      </c>
      <c r="H44" s="149">
        <f t="shared" si="18"/>
        <v>8</v>
      </c>
      <c r="I44" s="1326">
        <f t="shared" si="1"/>
        <v>0.88888888888888884</v>
      </c>
      <c r="K44" s="569">
        <f t="shared" ref="K44:K52" si="19">+G44-C44</f>
        <v>0</v>
      </c>
    </row>
    <row r="45" spans="1:13">
      <c r="A45" s="813" t="s">
        <v>1085</v>
      </c>
      <c r="B45" s="153">
        <v>4</v>
      </c>
      <c r="C45" s="154">
        <v>4</v>
      </c>
      <c r="D45" s="153"/>
      <c r="E45" s="154">
        <f>+C45</f>
        <v>4</v>
      </c>
      <c r="F45" s="154"/>
      <c r="G45" s="150">
        <f>+F45+E45+D45</f>
        <v>4</v>
      </c>
      <c r="H45" s="154">
        <v>3</v>
      </c>
      <c r="I45" s="1325">
        <f t="shared" si="1"/>
        <v>0.75</v>
      </c>
      <c r="K45" s="569">
        <f t="shared" si="19"/>
        <v>0</v>
      </c>
    </row>
    <row r="46" spans="1:13">
      <c r="A46" s="813" t="s">
        <v>1091</v>
      </c>
      <c r="B46" s="153">
        <v>1</v>
      </c>
      <c r="C46" s="154">
        <v>1</v>
      </c>
      <c r="D46" s="153"/>
      <c r="E46" s="154">
        <f>+C46</f>
        <v>1</v>
      </c>
      <c r="F46" s="154"/>
      <c r="G46" s="150">
        <f>+F46+E46+D46</f>
        <v>1</v>
      </c>
      <c r="H46" s="154">
        <v>1</v>
      </c>
      <c r="I46" s="1325">
        <f t="shared" si="1"/>
        <v>1</v>
      </c>
      <c r="K46" s="569">
        <f t="shared" si="19"/>
        <v>0</v>
      </c>
    </row>
    <row r="47" spans="1:13">
      <c r="A47" s="813" t="s">
        <v>1092</v>
      </c>
      <c r="B47" s="153">
        <v>4</v>
      </c>
      <c r="C47" s="154">
        <v>4</v>
      </c>
      <c r="D47" s="153"/>
      <c r="E47" s="154">
        <f>+C47</f>
        <v>4</v>
      </c>
      <c r="F47" s="154"/>
      <c r="G47" s="150">
        <f>+F47+E47+D47</f>
        <v>4</v>
      </c>
      <c r="H47" s="154">
        <v>4</v>
      </c>
      <c r="I47" s="1325">
        <f t="shared" si="1"/>
        <v>1</v>
      </c>
      <c r="K47" s="569">
        <f t="shared" si="19"/>
        <v>0</v>
      </c>
    </row>
    <row r="48" spans="1:13">
      <c r="A48" s="167" t="s">
        <v>421</v>
      </c>
      <c r="B48" s="148">
        <f t="shared" ref="B48:H48" si="20">+B49</f>
        <v>0</v>
      </c>
      <c r="C48" s="149">
        <f t="shared" si="20"/>
        <v>0</v>
      </c>
      <c r="D48" s="148">
        <f>+D49</f>
        <v>0</v>
      </c>
      <c r="E48" s="149">
        <f>+E49</f>
        <v>0</v>
      </c>
      <c r="F48" s="149">
        <f>+F49</f>
        <v>0</v>
      </c>
      <c r="G48" s="150">
        <f>+G49</f>
        <v>0</v>
      </c>
      <c r="H48" s="149">
        <f t="shared" si="20"/>
        <v>0</v>
      </c>
      <c r="I48" s="1326" t="str">
        <f t="shared" si="1"/>
        <v>-</v>
      </c>
      <c r="K48" s="569">
        <f t="shared" si="19"/>
        <v>0</v>
      </c>
    </row>
    <row r="49" spans="1:13">
      <c r="A49" s="813" t="s">
        <v>19</v>
      </c>
      <c r="B49" s="153"/>
      <c r="C49" s="154"/>
      <c r="D49" s="153"/>
      <c r="E49" s="154"/>
      <c r="F49" s="154"/>
      <c r="G49" s="150">
        <f>+F49+E49+D49</f>
        <v>0</v>
      </c>
      <c r="H49" s="154"/>
      <c r="I49" s="1325" t="str">
        <f t="shared" si="1"/>
        <v>-</v>
      </c>
      <c r="K49" s="569">
        <f t="shared" si="19"/>
        <v>0</v>
      </c>
    </row>
    <row r="50" spans="1:13">
      <c r="A50" s="147" t="s">
        <v>767</v>
      </c>
      <c r="B50" s="148">
        <f t="shared" ref="B50:H50" si="21">+B51</f>
        <v>0</v>
      </c>
      <c r="C50" s="149">
        <f t="shared" si="21"/>
        <v>0</v>
      </c>
      <c r="D50" s="148">
        <f>+D51</f>
        <v>0</v>
      </c>
      <c r="E50" s="149">
        <f>+E51</f>
        <v>0</v>
      </c>
      <c r="F50" s="149">
        <f>+F51</f>
        <v>0</v>
      </c>
      <c r="G50" s="150">
        <f>+G51</f>
        <v>0</v>
      </c>
      <c r="H50" s="149">
        <f t="shared" si="21"/>
        <v>0</v>
      </c>
      <c r="I50" s="1326" t="str">
        <f t="shared" si="1"/>
        <v>-</v>
      </c>
      <c r="K50" s="569">
        <f t="shared" si="19"/>
        <v>0</v>
      </c>
    </row>
    <row r="51" spans="1:13" ht="12.75" thickBot="1">
      <c r="A51" s="813" t="s">
        <v>19</v>
      </c>
      <c r="B51" s="155"/>
      <c r="C51" s="156"/>
      <c r="D51" s="155"/>
      <c r="E51" s="156"/>
      <c r="F51" s="156"/>
      <c r="G51" s="150">
        <f>+F51+E51+D51</f>
        <v>0</v>
      </c>
      <c r="H51" s="156"/>
      <c r="I51" s="1325" t="str">
        <f t="shared" si="1"/>
        <v>-</v>
      </c>
      <c r="K51" s="569">
        <f t="shared" si="19"/>
        <v>0</v>
      </c>
    </row>
    <row r="52" spans="1:13" ht="12.75" thickBot="1">
      <c r="A52" s="169" t="s">
        <v>422</v>
      </c>
      <c r="B52" s="158">
        <f t="shared" ref="B52:H52" si="22">+B44+B48+B50</f>
        <v>9</v>
      </c>
      <c r="C52" s="159">
        <f t="shared" si="22"/>
        <v>9</v>
      </c>
      <c r="D52" s="158">
        <f>+D44+D48+D50</f>
        <v>0</v>
      </c>
      <c r="E52" s="161">
        <f>+E44+E48+E50</f>
        <v>9</v>
      </c>
      <c r="F52" s="160">
        <f>+F44+F48+F50</f>
        <v>0</v>
      </c>
      <c r="G52" s="162">
        <f>+G44+G48+G50</f>
        <v>9</v>
      </c>
      <c r="H52" s="159">
        <f t="shared" si="22"/>
        <v>8</v>
      </c>
      <c r="I52" s="1328">
        <f t="shared" si="1"/>
        <v>0.88888888888888884</v>
      </c>
      <c r="K52" s="569">
        <f t="shared" si="19"/>
        <v>0</v>
      </c>
      <c r="L52" s="570">
        <f>+'1.4.mell._HKK_Mérleg2020'!E239</f>
        <v>8</v>
      </c>
      <c r="M52" s="569">
        <f>+H52-L52</f>
        <v>0</v>
      </c>
    </row>
    <row r="53" spans="1:13" s="425" customFormat="1">
      <c r="A53" s="675"/>
      <c r="B53" s="676"/>
      <c r="C53" s="168"/>
      <c r="D53" s="676"/>
      <c r="E53" s="168"/>
      <c r="F53" s="168"/>
      <c r="G53" s="677"/>
      <c r="H53" s="168"/>
      <c r="I53" s="1173"/>
      <c r="K53" s="678"/>
      <c r="L53" s="679"/>
    </row>
    <row r="54" spans="1:13" s="425" customFormat="1">
      <c r="A54" s="680" t="s">
        <v>856</v>
      </c>
      <c r="B54" s="148">
        <f t="shared" ref="B54:H54" si="23">+B55</f>
        <v>0</v>
      </c>
      <c r="C54" s="149">
        <f t="shared" si="23"/>
        <v>0</v>
      </c>
      <c r="D54" s="148">
        <f>+D55</f>
        <v>0</v>
      </c>
      <c r="E54" s="149">
        <f>+E55</f>
        <v>0</v>
      </c>
      <c r="F54" s="149">
        <f>+F55</f>
        <v>0</v>
      </c>
      <c r="G54" s="150">
        <f>+G55</f>
        <v>0</v>
      </c>
      <c r="H54" s="149">
        <f t="shared" si="23"/>
        <v>0</v>
      </c>
      <c r="I54" s="1326" t="str">
        <f t="shared" si="1"/>
        <v>-</v>
      </c>
      <c r="K54" s="569">
        <f>+G54-C54</f>
        <v>0</v>
      </c>
      <c r="L54" s="570"/>
      <c r="M54" s="179"/>
    </row>
    <row r="55" spans="1:13">
      <c r="A55" s="813" t="s">
        <v>19</v>
      </c>
      <c r="B55" s="153"/>
      <c r="C55" s="154"/>
      <c r="D55" s="153"/>
      <c r="E55" s="154"/>
      <c r="F55" s="154"/>
      <c r="G55" s="150">
        <f>+F55+E55+D55</f>
        <v>0</v>
      </c>
      <c r="H55" s="154"/>
      <c r="I55" s="1325" t="str">
        <f t="shared" si="1"/>
        <v>-</v>
      </c>
      <c r="K55" s="569">
        <f>+G55-C55</f>
        <v>0</v>
      </c>
    </row>
    <row r="56" spans="1:13" s="425" customFormat="1">
      <c r="A56" s="680" t="s">
        <v>857</v>
      </c>
      <c r="B56" s="148">
        <f t="shared" ref="B56:H56" si="24">+B57</f>
        <v>3</v>
      </c>
      <c r="C56" s="149">
        <f t="shared" si="24"/>
        <v>3</v>
      </c>
      <c r="D56" s="148">
        <f>+D57</f>
        <v>0</v>
      </c>
      <c r="E56" s="149">
        <f>+E57</f>
        <v>3</v>
      </c>
      <c r="F56" s="149">
        <f>+F57</f>
        <v>0</v>
      </c>
      <c r="G56" s="150">
        <f>+G57</f>
        <v>3</v>
      </c>
      <c r="H56" s="149">
        <f t="shared" si="24"/>
        <v>3</v>
      </c>
      <c r="I56" s="1326">
        <f t="shared" si="1"/>
        <v>1</v>
      </c>
      <c r="K56" s="569">
        <f>+G56-C56</f>
        <v>0</v>
      </c>
      <c r="L56" s="570"/>
      <c r="M56" s="179"/>
    </row>
    <row r="57" spans="1:13">
      <c r="A57" s="813" t="s">
        <v>1071</v>
      </c>
      <c r="B57" s="153">
        <v>3</v>
      </c>
      <c r="C57" s="154">
        <v>3</v>
      </c>
      <c r="D57" s="153"/>
      <c r="E57" s="154">
        <f>+C57</f>
        <v>3</v>
      </c>
      <c r="F57" s="154"/>
      <c r="G57" s="150">
        <f>+F57+E57+D57</f>
        <v>3</v>
      </c>
      <c r="H57" s="154">
        <v>3</v>
      </c>
      <c r="I57" s="1325">
        <f t="shared" si="1"/>
        <v>1</v>
      </c>
      <c r="K57" s="569">
        <f>+G57-C57</f>
        <v>0</v>
      </c>
    </row>
    <row r="58" spans="1:13" s="425" customFormat="1">
      <c r="A58" s="147" t="s">
        <v>884</v>
      </c>
      <c r="B58" s="148">
        <f t="shared" ref="B58:H58" si="25">+B59</f>
        <v>0</v>
      </c>
      <c r="C58" s="149">
        <f t="shared" si="25"/>
        <v>0</v>
      </c>
      <c r="D58" s="148">
        <f>+D59</f>
        <v>0</v>
      </c>
      <c r="E58" s="149">
        <f>+E59</f>
        <v>0</v>
      </c>
      <c r="F58" s="149">
        <f>+F59</f>
        <v>0</v>
      </c>
      <c r="G58" s="150">
        <f>+G59</f>
        <v>0</v>
      </c>
      <c r="H58" s="149">
        <f t="shared" si="25"/>
        <v>0</v>
      </c>
      <c r="I58" s="1326" t="str">
        <f t="shared" si="1"/>
        <v>-</v>
      </c>
      <c r="K58" s="569"/>
      <c r="L58" s="570"/>
      <c r="M58" s="179"/>
    </row>
    <row r="59" spans="1:13" ht="12.75" thickBot="1">
      <c r="A59" s="813" t="s">
        <v>19</v>
      </c>
      <c r="B59" s="155"/>
      <c r="C59" s="156"/>
      <c r="D59" s="155"/>
      <c r="E59" s="156"/>
      <c r="F59" s="156"/>
      <c r="G59" s="150">
        <f>+F59+E59+D59</f>
        <v>0</v>
      </c>
      <c r="H59" s="156"/>
      <c r="I59" s="1325" t="str">
        <f t="shared" si="1"/>
        <v>-</v>
      </c>
      <c r="K59" s="569">
        <f>+G59-C59</f>
        <v>0</v>
      </c>
    </row>
    <row r="60" spans="1:13" s="425" customFormat="1" ht="12.75" thickBot="1">
      <c r="A60" s="169" t="s">
        <v>858</v>
      </c>
      <c r="B60" s="158">
        <f t="shared" ref="B60:H60" si="26">+B54+B56+B58</f>
        <v>3</v>
      </c>
      <c r="C60" s="159">
        <f t="shared" si="26"/>
        <v>3</v>
      </c>
      <c r="D60" s="158">
        <f>+D54+D56+D58</f>
        <v>0</v>
      </c>
      <c r="E60" s="161">
        <f>+E54+E56+E58</f>
        <v>3</v>
      </c>
      <c r="F60" s="160">
        <f>+F54+F56+F58</f>
        <v>0</v>
      </c>
      <c r="G60" s="162">
        <f>+G54+G56+G58</f>
        <v>3</v>
      </c>
      <c r="H60" s="159">
        <f t="shared" si="26"/>
        <v>3</v>
      </c>
      <c r="I60" s="1328">
        <f t="shared" si="1"/>
        <v>1</v>
      </c>
      <c r="K60" s="569">
        <f>+G60-C60</f>
        <v>0</v>
      </c>
      <c r="L60" s="570">
        <f>+'1.5._mell._MŐSZ_Mérleg2020'!E239</f>
        <v>3</v>
      </c>
      <c r="M60" s="569">
        <f>+H60-L60</f>
        <v>0</v>
      </c>
    </row>
    <row r="61" spans="1:13">
      <c r="A61" s="163"/>
      <c r="B61" s="164"/>
      <c r="C61" s="165"/>
      <c r="D61" s="164"/>
      <c r="E61" s="165"/>
      <c r="F61" s="165"/>
      <c r="G61" s="166"/>
      <c r="H61" s="165"/>
      <c r="I61" s="1172"/>
      <c r="K61" s="569"/>
    </row>
    <row r="62" spans="1:13">
      <c r="A62" s="167" t="s">
        <v>1094</v>
      </c>
      <c r="B62" s="148">
        <f t="shared" ref="B62:H62" si="27">+B63+B64</f>
        <v>22</v>
      </c>
      <c r="C62" s="149">
        <f t="shared" si="27"/>
        <v>22</v>
      </c>
      <c r="D62" s="148">
        <f>+D63+D64</f>
        <v>0</v>
      </c>
      <c r="E62" s="149">
        <f>+E63+E64</f>
        <v>22</v>
      </c>
      <c r="F62" s="149">
        <f>+F63+F64</f>
        <v>0</v>
      </c>
      <c r="G62" s="150">
        <f>+G63+G64</f>
        <v>22</v>
      </c>
      <c r="H62" s="149">
        <f t="shared" si="27"/>
        <v>21</v>
      </c>
      <c r="I62" s="1326">
        <f t="shared" si="1"/>
        <v>0.95454545454545459</v>
      </c>
      <c r="K62" s="569">
        <f t="shared" ref="K62:K69" si="28">+G62-C62</f>
        <v>0</v>
      </c>
    </row>
    <row r="63" spans="1:13">
      <c r="A63" s="813" t="s">
        <v>1021</v>
      </c>
      <c r="B63" s="153">
        <v>8</v>
      </c>
      <c r="C63" s="154">
        <v>8</v>
      </c>
      <c r="D63" s="153"/>
      <c r="E63" s="154">
        <f>+C63</f>
        <v>8</v>
      </c>
      <c r="F63" s="154"/>
      <c r="G63" s="150">
        <f>+F63+E63+D63</f>
        <v>8</v>
      </c>
      <c r="H63" s="154">
        <v>7</v>
      </c>
      <c r="I63" s="1325">
        <f t="shared" si="1"/>
        <v>0.875</v>
      </c>
      <c r="K63" s="569">
        <f t="shared" si="28"/>
        <v>0</v>
      </c>
    </row>
    <row r="64" spans="1:13">
      <c r="A64" s="813" t="s">
        <v>1022</v>
      </c>
      <c r="B64" s="153">
        <v>14</v>
      </c>
      <c r="C64" s="154">
        <v>14</v>
      </c>
      <c r="D64" s="153"/>
      <c r="E64" s="154">
        <f>+C64</f>
        <v>14</v>
      </c>
      <c r="F64" s="154"/>
      <c r="G64" s="150">
        <f>+F64+E64+D64</f>
        <v>14</v>
      </c>
      <c r="H64" s="154">
        <v>14</v>
      </c>
      <c r="I64" s="1325">
        <f t="shared" si="1"/>
        <v>1</v>
      </c>
      <c r="K64" s="569">
        <f t="shared" si="28"/>
        <v>0</v>
      </c>
    </row>
    <row r="65" spans="1:13">
      <c r="A65" s="167" t="s">
        <v>1095</v>
      </c>
      <c r="B65" s="148">
        <f t="shared" ref="B65:H65" si="29">+B66</f>
        <v>0</v>
      </c>
      <c r="C65" s="149">
        <f t="shared" si="29"/>
        <v>0</v>
      </c>
      <c r="D65" s="148">
        <f>+D66</f>
        <v>0</v>
      </c>
      <c r="E65" s="149">
        <f>+E66</f>
        <v>0</v>
      </c>
      <c r="F65" s="149">
        <f>+F66</f>
        <v>0</v>
      </c>
      <c r="G65" s="150">
        <f>+G66</f>
        <v>0</v>
      </c>
      <c r="H65" s="149">
        <f t="shared" si="29"/>
        <v>0</v>
      </c>
      <c r="I65" s="1326" t="str">
        <f t="shared" si="1"/>
        <v>-</v>
      </c>
      <c r="K65" s="569">
        <f t="shared" si="28"/>
        <v>0</v>
      </c>
    </row>
    <row r="66" spans="1:13">
      <c r="A66" s="813" t="s">
        <v>19</v>
      </c>
      <c r="B66" s="153"/>
      <c r="C66" s="154"/>
      <c r="D66" s="153"/>
      <c r="E66" s="154"/>
      <c r="F66" s="154"/>
      <c r="G66" s="150">
        <f>+F66+E66+D66</f>
        <v>0</v>
      </c>
      <c r="H66" s="154"/>
      <c r="I66" s="1325" t="str">
        <f t="shared" si="1"/>
        <v>-</v>
      </c>
      <c r="K66" s="569">
        <f t="shared" si="28"/>
        <v>0</v>
      </c>
    </row>
    <row r="67" spans="1:13">
      <c r="A67" s="147" t="s">
        <v>1096</v>
      </c>
      <c r="B67" s="148">
        <f t="shared" ref="B67:H67" si="30">+B68</f>
        <v>0</v>
      </c>
      <c r="C67" s="149">
        <f t="shared" si="30"/>
        <v>0</v>
      </c>
      <c r="D67" s="148">
        <f>+D68</f>
        <v>0</v>
      </c>
      <c r="E67" s="149">
        <f>+E68</f>
        <v>0</v>
      </c>
      <c r="F67" s="149">
        <f>+F68</f>
        <v>0</v>
      </c>
      <c r="G67" s="150">
        <f>+G68</f>
        <v>0</v>
      </c>
      <c r="H67" s="149">
        <f t="shared" si="30"/>
        <v>0</v>
      </c>
      <c r="I67" s="1326" t="str">
        <f t="shared" si="1"/>
        <v>-</v>
      </c>
      <c r="K67" s="569">
        <f t="shared" si="28"/>
        <v>0</v>
      </c>
    </row>
    <row r="68" spans="1:13" ht="12.75" thickBot="1">
      <c r="A68" s="813" t="s">
        <v>19</v>
      </c>
      <c r="B68" s="155"/>
      <c r="C68" s="156"/>
      <c r="D68" s="155"/>
      <c r="E68" s="156"/>
      <c r="F68" s="156"/>
      <c r="G68" s="150">
        <f>+F68+E68+D68</f>
        <v>0</v>
      </c>
      <c r="H68" s="156"/>
      <c r="I68" s="1325" t="str">
        <f t="shared" si="1"/>
        <v>-</v>
      </c>
      <c r="K68" s="569">
        <f t="shared" si="28"/>
        <v>0</v>
      </c>
    </row>
    <row r="69" spans="1:13" ht="12.75" thickBot="1">
      <c r="A69" s="157" t="s">
        <v>1097</v>
      </c>
      <c r="B69" s="158">
        <f t="shared" ref="B69:H69" si="31">+B62+B65+B67</f>
        <v>22</v>
      </c>
      <c r="C69" s="159">
        <f t="shared" si="31"/>
        <v>22</v>
      </c>
      <c r="D69" s="158">
        <f>+D62+D65+D67</f>
        <v>0</v>
      </c>
      <c r="E69" s="161">
        <f>+E62+E65+E67</f>
        <v>22</v>
      </c>
      <c r="F69" s="160">
        <f>+F62+F65+F67</f>
        <v>0</v>
      </c>
      <c r="G69" s="162">
        <f>+G62+G65+G67</f>
        <v>22</v>
      </c>
      <c r="H69" s="159">
        <f t="shared" si="31"/>
        <v>21</v>
      </c>
      <c r="I69" s="1328">
        <f t="shared" si="1"/>
        <v>0.95454545454545459</v>
      </c>
      <c r="K69" s="569">
        <f t="shared" si="28"/>
        <v>0</v>
      </c>
      <c r="L69" s="570">
        <f>+'1.6._mell._HVGYKCSSZ_Mérleg2020'!E239</f>
        <v>21</v>
      </c>
      <c r="M69" s="569">
        <f>+H69-L69</f>
        <v>0</v>
      </c>
    </row>
    <row r="70" spans="1:13" ht="12.75" thickBot="1">
      <c r="A70" s="170"/>
      <c r="B70" s="151"/>
      <c r="C70" s="152"/>
      <c r="D70" s="151"/>
      <c r="E70" s="171"/>
      <c r="F70" s="152"/>
      <c r="G70" s="150"/>
      <c r="H70" s="152"/>
      <c r="I70" s="1174"/>
      <c r="K70" s="569"/>
    </row>
    <row r="71" spans="1:13" ht="12.75" thickBot="1">
      <c r="A71" s="172" t="s">
        <v>427</v>
      </c>
      <c r="B71" s="158">
        <f t="shared" ref="B71:H71" si="32">+B21+B33+B42+B60+B52+B69</f>
        <v>196</v>
      </c>
      <c r="C71" s="159">
        <f t="shared" si="32"/>
        <v>278</v>
      </c>
      <c r="D71" s="158">
        <f>+D21+D33+D42+D60+D52+D69</f>
        <v>46</v>
      </c>
      <c r="E71" s="161">
        <f>+E21+E33+E42+E60+E52+E69</f>
        <v>107</v>
      </c>
      <c r="F71" s="159">
        <f>+F21+F33+F42+F60+F52+F69</f>
        <v>125</v>
      </c>
      <c r="G71" s="162">
        <f>+G21+G33+G42+G60+G52+G69</f>
        <v>278</v>
      </c>
      <c r="H71" s="159">
        <f t="shared" si="32"/>
        <v>245</v>
      </c>
      <c r="I71" s="1328">
        <f t="shared" si="1"/>
        <v>0.88129496402877694</v>
      </c>
      <c r="K71" s="569">
        <f>+G71-C71</f>
        <v>0</v>
      </c>
      <c r="L71" s="570">
        <f>+'1.mell._Össz_Mérleg2020'!E239</f>
        <v>245</v>
      </c>
      <c r="M71" s="569">
        <f>+H71-L71</f>
        <v>0</v>
      </c>
    </row>
    <row r="72" spans="1:13">
      <c r="A72" s="141"/>
      <c r="B72" s="141"/>
      <c r="C72" s="141"/>
      <c r="D72" s="141"/>
      <c r="E72" s="141"/>
      <c r="F72" s="141"/>
      <c r="G72" s="141"/>
      <c r="H72" s="141"/>
      <c r="I72" s="869"/>
      <c r="K72" s="569"/>
    </row>
    <row r="73" spans="1:13" ht="15.75">
      <c r="A73" s="1784" t="s">
        <v>423</v>
      </c>
      <c r="B73" s="1784"/>
      <c r="C73" s="1784"/>
      <c r="D73" s="1784"/>
      <c r="E73" s="1784"/>
      <c r="F73" s="1784"/>
      <c r="G73" s="1784"/>
      <c r="H73" s="1784"/>
      <c r="I73" s="1784"/>
      <c r="K73" s="569"/>
    </row>
    <row r="74" spans="1:13" ht="12.75" thickBot="1">
      <c r="A74" s="141"/>
      <c r="B74" s="141"/>
      <c r="C74" s="141"/>
      <c r="D74" s="141"/>
      <c r="E74" s="141"/>
      <c r="F74" s="141"/>
      <c r="G74" s="141"/>
      <c r="H74" s="141"/>
      <c r="I74" s="869"/>
      <c r="K74" s="569"/>
    </row>
    <row r="75" spans="1:13" s="182" customFormat="1" ht="12.75" customHeight="1" thickBot="1">
      <c r="A75" s="1782" t="s">
        <v>7</v>
      </c>
      <c r="B75" s="1793" t="s">
        <v>1542</v>
      </c>
      <c r="C75" s="1791" t="s">
        <v>1543</v>
      </c>
      <c r="D75" s="1787" t="s">
        <v>1421</v>
      </c>
      <c r="E75" s="1788"/>
      <c r="F75" s="1788"/>
      <c r="G75" s="1789"/>
      <c r="H75" s="1791" t="s">
        <v>2654</v>
      </c>
      <c r="I75" s="1785" t="s">
        <v>1558</v>
      </c>
      <c r="K75" s="569"/>
      <c r="L75" s="573"/>
    </row>
    <row r="76" spans="1:13" s="182" customFormat="1" ht="48.75" thickBot="1">
      <c r="A76" s="1783"/>
      <c r="B76" s="1794"/>
      <c r="C76" s="1792"/>
      <c r="D76" s="183" t="s">
        <v>407</v>
      </c>
      <c r="E76" s="184" t="s">
        <v>408</v>
      </c>
      <c r="F76" s="185" t="s">
        <v>409</v>
      </c>
      <c r="G76" s="186" t="s">
        <v>18</v>
      </c>
      <c r="H76" s="1792"/>
      <c r="I76" s="1786"/>
      <c r="K76" s="569"/>
      <c r="L76" s="573"/>
    </row>
    <row r="77" spans="1:13">
      <c r="A77" s="142"/>
      <c r="B77" s="173"/>
      <c r="C77" s="1177"/>
      <c r="D77" s="173"/>
      <c r="E77" s="174"/>
      <c r="F77" s="175"/>
      <c r="G77" s="176"/>
      <c r="H77" s="1177"/>
      <c r="I77" s="1175"/>
      <c r="K77" s="569"/>
    </row>
    <row r="78" spans="1:13">
      <c r="A78" s="147" t="s">
        <v>410</v>
      </c>
      <c r="B78" s="148">
        <f t="shared" ref="B78:H78" si="33">+B79+B80+B81</f>
        <v>148</v>
      </c>
      <c r="C78" s="149">
        <f t="shared" si="33"/>
        <v>159</v>
      </c>
      <c r="D78" s="148">
        <f>+D79+D80+D81</f>
        <v>0</v>
      </c>
      <c r="E78" s="149">
        <f>+E79+E80+E81</f>
        <v>0</v>
      </c>
      <c r="F78" s="149">
        <f>+F79+F80+F81</f>
        <v>159</v>
      </c>
      <c r="G78" s="150">
        <f>+G79+G80+G81</f>
        <v>159</v>
      </c>
      <c r="H78" s="149">
        <f t="shared" si="33"/>
        <v>106</v>
      </c>
      <c r="I78" s="1326">
        <f>IF(ISERROR(H78/C78),"-",H78/C78)</f>
        <v>0.66666666666666663</v>
      </c>
      <c r="K78" s="569">
        <f>+G78-C78</f>
        <v>0</v>
      </c>
    </row>
    <row r="79" spans="1:13">
      <c r="A79" s="768" t="s">
        <v>708</v>
      </c>
      <c r="B79" s="931"/>
      <c r="C79" s="1178"/>
      <c r="D79" s="151"/>
      <c r="E79" s="152"/>
      <c r="F79" s="152">
        <f>+C79</f>
        <v>0</v>
      </c>
      <c r="G79" s="150">
        <f>+D79+E79+F79</f>
        <v>0</v>
      </c>
      <c r="H79" s="1178"/>
      <c r="I79" s="1325" t="str">
        <f>IF(ISERROR(H79/C79),"-",H79/C79)</f>
        <v>-</v>
      </c>
      <c r="K79" s="569">
        <f>+G79-C79</f>
        <v>0</v>
      </c>
    </row>
    <row r="80" spans="1:13">
      <c r="A80" s="769" t="s">
        <v>711</v>
      </c>
      <c r="B80" s="153">
        <v>105</v>
      </c>
      <c r="C80" s="154">
        <v>105</v>
      </c>
      <c r="D80" s="153"/>
      <c r="E80" s="154"/>
      <c r="F80" s="152">
        <f>+C80</f>
        <v>105</v>
      </c>
      <c r="G80" s="150">
        <f>+D80+E80+F80</f>
        <v>105</v>
      </c>
      <c r="H80" s="154">
        <v>62</v>
      </c>
      <c r="I80" s="1325">
        <f>IF(ISERROR(H80/C80),"-",H80/C80)</f>
        <v>0.59047619047619049</v>
      </c>
      <c r="K80" s="569">
        <f>+G80-C80</f>
        <v>0</v>
      </c>
    </row>
    <row r="81" spans="1:13" ht="12.75" thickBot="1">
      <c r="A81" s="770" t="s">
        <v>714</v>
      </c>
      <c r="B81" s="177">
        <v>43</v>
      </c>
      <c r="C81" s="178">
        <v>54</v>
      </c>
      <c r="D81" s="177"/>
      <c r="E81" s="178"/>
      <c r="F81" s="152">
        <f>+C81</f>
        <v>54</v>
      </c>
      <c r="G81" s="150">
        <f>+D81+E81+F81</f>
        <v>54</v>
      </c>
      <c r="H81" s="178">
        <v>44</v>
      </c>
      <c r="I81" s="1325">
        <f>IF(ISERROR(H81/C81),"-",H81/C81)</f>
        <v>0.81481481481481477</v>
      </c>
      <c r="K81" s="569">
        <f>+G81-C81</f>
        <v>0</v>
      </c>
    </row>
    <row r="82" spans="1:13" ht="12.75" thickBot="1">
      <c r="A82" s="157" t="s">
        <v>413</v>
      </c>
      <c r="B82" s="158">
        <f t="shared" ref="B82:H82" si="34">+B78</f>
        <v>148</v>
      </c>
      <c r="C82" s="159">
        <f t="shared" si="34"/>
        <v>159</v>
      </c>
      <c r="D82" s="158">
        <f>+D78</f>
        <v>0</v>
      </c>
      <c r="E82" s="159">
        <f>+E78</f>
        <v>0</v>
      </c>
      <c r="F82" s="159">
        <f>+F78</f>
        <v>159</v>
      </c>
      <c r="G82" s="162">
        <f>+G78</f>
        <v>159</v>
      </c>
      <c r="H82" s="159">
        <f t="shared" si="34"/>
        <v>106</v>
      </c>
      <c r="I82" s="1328">
        <f>IF(ISERROR(H82/C82),"-",H82/C82)</f>
        <v>0.66666666666666663</v>
      </c>
      <c r="K82" s="569">
        <f>+G82-C82</f>
        <v>0</v>
      </c>
      <c r="L82" s="570">
        <f>+'1.1.mell._ÖNK_Mérleg2020'!E241</f>
        <v>106</v>
      </c>
      <c r="M82" s="570">
        <f>+H82-L82</f>
        <v>0</v>
      </c>
    </row>
    <row r="83" spans="1:13" ht="12.75" thickBot="1">
      <c r="A83" s="157"/>
      <c r="B83" s="158"/>
      <c r="C83" s="159"/>
      <c r="D83" s="158"/>
      <c r="E83" s="159"/>
      <c r="F83" s="159"/>
      <c r="G83" s="162"/>
      <c r="H83" s="159"/>
      <c r="I83" s="160"/>
      <c r="K83" s="569"/>
    </row>
    <row r="84" spans="1:13" ht="12.75" thickBot="1">
      <c r="A84" s="172" t="s">
        <v>426</v>
      </c>
      <c r="B84" s="158">
        <f t="shared" ref="B84:H84" si="35">+B82</f>
        <v>148</v>
      </c>
      <c r="C84" s="159">
        <f t="shared" si="35"/>
        <v>159</v>
      </c>
      <c r="D84" s="158">
        <f>+D82</f>
        <v>0</v>
      </c>
      <c r="E84" s="161">
        <f>+E82</f>
        <v>0</v>
      </c>
      <c r="F84" s="159">
        <f>+F82</f>
        <v>159</v>
      </c>
      <c r="G84" s="162">
        <f>+G82</f>
        <v>159</v>
      </c>
      <c r="H84" s="159">
        <f t="shared" si="35"/>
        <v>106</v>
      </c>
      <c r="I84" s="1328">
        <f>IF(ISERROR(H84/C84),"-",H84/C84)</f>
        <v>0.66666666666666663</v>
      </c>
      <c r="K84" s="569">
        <f>+G84-C84</f>
        <v>0</v>
      </c>
      <c r="L84" s="570">
        <f>+'1.mell._Össz_Mérleg2020'!E241</f>
        <v>106</v>
      </c>
      <c r="M84" s="570">
        <f>+H84-L84</f>
        <v>0</v>
      </c>
    </row>
    <row r="85" spans="1:13" ht="12.75" thickBot="1">
      <c r="I85" s="179"/>
      <c r="K85" s="569"/>
    </row>
    <row r="86" spans="1:13" s="182" customFormat="1" ht="12.75" thickBot="1">
      <c r="A86" s="187" t="s">
        <v>425</v>
      </c>
      <c r="B86" s="1176">
        <f t="shared" ref="B86:H86" si="36">+B71+B84</f>
        <v>344</v>
      </c>
      <c r="C86" s="1179">
        <f t="shared" si="36"/>
        <v>437</v>
      </c>
      <c r="D86" s="1176">
        <f>+D71+D84</f>
        <v>46</v>
      </c>
      <c r="E86" s="567">
        <f>+E71+E84</f>
        <v>107</v>
      </c>
      <c r="F86" s="1329">
        <f>+F71+F84</f>
        <v>284</v>
      </c>
      <c r="G86" s="566">
        <f>+G71+G84</f>
        <v>437</v>
      </c>
      <c r="H86" s="567">
        <f t="shared" si="36"/>
        <v>351</v>
      </c>
      <c r="I86" s="1328">
        <f>IF(ISERROR(H86/C86),"-",H86/C86)</f>
        <v>0.80320366132723109</v>
      </c>
      <c r="K86" s="569">
        <f>+G86-C86</f>
        <v>0</v>
      </c>
      <c r="L86" s="570">
        <f>+'1.mell._Össz_Mérleg2020'!E242</f>
        <v>351</v>
      </c>
      <c r="M86" s="570">
        <f>+H86-L86</f>
        <v>0</v>
      </c>
    </row>
  </sheetData>
  <mergeCells count="15">
    <mergeCell ref="H75:H76"/>
    <mergeCell ref="C6:C7"/>
    <mergeCell ref="C75:C76"/>
    <mergeCell ref="B6:B7"/>
    <mergeCell ref="B75:B76"/>
    <mergeCell ref="A4:I4"/>
    <mergeCell ref="A3:I3"/>
    <mergeCell ref="A75:A76"/>
    <mergeCell ref="A73:I73"/>
    <mergeCell ref="I75:I76"/>
    <mergeCell ref="D75:G75"/>
    <mergeCell ref="A6:A7"/>
    <mergeCell ref="D6:G6"/>
    <mergeCell ref="I6:I7"/>
    <mergeCell ref="H6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AG362"/>
  <sheetViews>
    <sheetView zoomScaleNormal="100" workbookViewId="0"/>
  </sheetViews>
  <sheetFormatPr defaultRowHeight="12"/>
  <cols>
    <col min="1" max="1" width="50.7109375" style="864" customWidth="1"/>
    <col min="2" max="10" width="10.7109375" style="864" customWidth="1"/>
    <col min="11" max="11" width="10.7109375" style="866" customWidth="1"/>
    <col min="12" max="12" width="50.7109375" style="864" customWidth="1"/>
    <col min="13" max="22" width="10.7109375" style="864" customWidth="1"/>
    <col min="23" max="23" width="9.140625" style="864" hidden="1" customWidth="1"/>
    <col min="24" max="24" width="9.7109375" style="864" hidden="1" customWidth="1"/>
    <col min="25" max="26" width="9.140625" style="864" hidden="1" customWidth="1"/>
    <col min="27" max="27" width="9.7109375" style="864" hidden="1" customWidth="1"/>
    <col min="28" max="30" width="9.140625" style="864" hidden="1" customWidth="1"/>
    <col min="31" max="33" width="0" style="864" hidden="1" customWidth="1"/>
    <col min="34" max="16384" width="9.140625" style="864"/>
  </cols>
  <sheetData>
    <row r="1" spans="1:22" s="856" customFormat="1" ht="15.75">
      <c r="A1" s="561"/>
      <c r="B1" s="561"/>
      <c r="C1" s="561"/>
      <c r="D1" s="561"/>
      <c r="E1" s="561"/>
      <c r="F1" s="561"/>
      <c r="G1" s="561"/>
      <c r="H1" s="561"/>
      <c r="I1" s="561"/>
      <c r="J1" s="561"/>
      <c r="K1" s="766"/>
      <c r="L1" s="561"/>
      <c r="M1" s="561"/>
      <c r="N1" s="561"/>
      <c r="O1" s="561"/>
      <c r="P1" s="561"/>
      <c r="Q1" s="561"/>
      <c r="S1" s="188"/>
      <c r="T1" s="188"/>
      <c r="U1" s="188" t="s">
        <v>443</v>
      </c>
      <c r="V1" s="188"/>
    </row>
    <row r="2" spans="1:22" s="856" customFormat="1" ht="15.75">
      <c r="A2" s="561"/>
      <c r="B2" s="561"/>
      <c r="C2" s="561"/>
      <c r="D2" s="561"/>
      <c r="E2" s="561"/>
      <c r="F2" s="561"/>
      <c r="G2" s="561"/>
      <c r="H2" s="561"/>
      <c r="I2" s="561"/>
      <c r="J2" s="561"/>
      <c r="K2" s="766"/>
      <c r="L2" s="561"/>
      <c r="M2" s="561"/>
      <c r="N2" s="561"/>
      <c r="O2" s="561"/>
      <c r="P2" s="561"/>
      <c r="Q2" s="561"/>
      <c r="R2" s="188"/>
      <c r="S2" s="188"/>
      <c r="T2" s="188"/>
      <c r="U2" s="188"/>
      <c r="V2" s="188"/>
    </row>
    <row r="3" spans="1:22" s="856" customFormat="1" ht="15.75">
      <c r="A3" s="1795" t="s">
        <v>454</v>
      </c>
      <c r="B3" s="1795"/>
      <c r="C3" s="1795"/>
      <c r="D3" s="1795"/>
      <c r="E3" s="1795"/>
      <c r="F3" s="1795"/>
      <c r="G3" s="1795"/>
      <c r="H3" s="1795"/>
      <c r="I3" s="1795"/>
      <c r="J3" s="1795"/>
      <c r="K3" s="1795"/>
      <c r="L3" s="1795"/>
      <c r="M3" s="1795"/>
      <c r="N3" s="1795"/>
      <c r="O3" s="1795"/>
      <c r="P3" s="1795"/>
      <c r="Q3" s="1795"/>
      <c r="R3" s="1795"/>
      <c r="S3" s="1795"/>
      <c r="T3" s="1795"/>
      <c r="U3" s="1795"/>
      <c r="V3" s="1739"/>
    </row>
    <row r="4" spans="1:22" s="856" customFormat="1" ht="15.75">
      <c r="K4" s="857"/>
    </row>
    <row r="5" spans="1:22" s="856" customFormat="1" ht="15.75">
      <c r="A5" s="189" t="s">
        <v>429</v>
      </c>
      <c r="B5" s="1798" t="s">
        <v>1485</v>
      </c>
      <c r="C5" s="1798"/>
      <c r="D5" s="1798"/>
      <c r="E5" s="1798"/>
      <c r="F5" s="1798"/>
      <c r="G5" s="1798"/>
      <c r="H5" s="1798"/>
      <c r="I5" s="1798"/>
      <c r="J5" s="1798"/>
      <c r="K5" s="766"/>
      <c r="L5" s="189" t="s">
        <v>430</v>
      </c>
      <c r="M5" s="1798" t="s">
        <v>1101</v>
      </c>
      <c r="N5" s="1798"/>
      <c r="O5" s="1798"/>
      <c r="P5" s="1798"/>
      <c r="Q5" s="1798"/>
      <c r="R5" s="1798"/>
      <c r="S5" s="1798"/>
      <c r="T5" s="1798"/>
      <c r="U5" s="1798"/>
      <c r="V5" s="1737"/>
    </row>
    <row r="6" spans="1:22" s="856" customFormat="1" ht="15.75" customHeight="1">
      <c r="A6" s="1796" t="s">
        <v>1486</v>
      </c>
      <c r="B6" s="1796"/>
      <c r="C6" s="1796"/>
      <c r="D6" s="1796"/>
      <c r="E6" s="1796"/>
      <c r="F6" s="1796"/>
      <c r="G6" s="1796"/>
      <c r="H6" s="1796"/>
      <c r="I6" s="1796"/>
      <c r="J6" s="1796"/>
      <c r="K6" s="766"/>
      <c r="L6" s="1796" t="s">
        <v>1102</v>
      </c>
      <c r="M6" s="1796"/>
      <c r="N6" s="1796"/>
      <c r="O6" s="1796"/>
      <c r="P6" s="1796"/>
      <c r="Q6" s="1796"/>
      <c r="R6" s="1796"/>
      <c r="S6" s="1796"/>
      <c r="T6" s="1796"/>
      <c r="U6" s="1796"/>
      <c r="V6" s="1738"/>
    </row>
    <row r="7" spans="1:22" s="856" customFormat="1" ht="15.75">
      <c r="A7" s="1795" t="s">
        <v>1105</v>
      </c>
      <c r="B7" s="1795"/>
      <c r="C7" s="1795"/>
      <c r="D7" s="1795"/>
      <c r="E7" s="1795"/>
      <c r="F7" s="1795"/>
      <c r="G7" s="1795"/>
      <c r="H7" s="1795"/>
      <c r="I7" s="1795"/>
      <c r="J7" s="1795"/>
      <c r="K7" s="766"/>
      <c r="L7" s="1795" t="s">
        <v>1105</v>
      </c>
      <c r="M7" s="1795"/>
      <c r="N7" s="1795"/>
      <c r="O7" s="1795"/>
      <c r="P7" s="1795"/>
      <c r="Q7" s="1795"/>
      <c r="R7" s="1795"/>
      <c r="S7" s="1795"/>
      <c r="T7" s="1795"/>
      <c r="U7" s="1795"/>
      <c r="V7" s="1739"/>
    </row>
    <row r="8" spans="1:22" s="859" customFormat="1" ht="12.75" thickBot="1">
      <c r="A8" s="858"/>
      <c r="B8" s="858"/>
      <c r="C8" s="858"/>
      <c r="D8" s="858"/>
      <c r="E8" s="858"/>
      <c r="F8" s="858"/>
      <c r="G8" s="858"/>
      <c r="H8" s="858"/>
      <c r="J8" s="234" t="s">
        <v>280</v>
      </c>
      <c r="K8" s="860"/>
      <c r="L8" s="858"/>
      <c r="M8" s="858"/>
      <c r="R8" s="858"/>
      <c r="S8" s="858"/>
      <c r="U8" s="234" t="s">
        <v>280</v>
      </c>
      <c r="V8" s="846"/>
    </row>
    <row r="9" spans="1:22" s="862" customFormat="1" ht="36.75" thickBot="1">
      <c r="A9" s="388" t="s">
        <v>431</v>
      </c>
      <c r="B9" s="389" t="s">
        <v>1422</v>
      </c>
      <c r="C9" s="1055" t="s">
        <v>1540</v>
      </c>
      <c r="D9" s="6" t="s">
        <v>1541</v>
      </c>
      <c r="E9" s="6" t="s">
        <v>2654</v>
      </c>
      <c r="F9" s="1330" t="s">
        <v>1558</v>
      </c>
      <c r="G9" s="369" t="s">
        <v>460</v>
      </c>
      <c r="H9" s="370" t="s">
        <v>461</v>
      </c>
      <c r="I9" s="370" t="s">
        <v>1423</v>
      </c>
      <c r="J9" s="1741" t="s">
        <v>18</v>
      </c>
      <c r="K9" s="861"/>
      <c r="L9" s="388" t="s">
        <v>431</v>
      </c>
      <c r="M9" s="389" t="s">
        <v>1422</v>
      </c>
      <c r="N9" s="1055" t="s">
        <v>1540</v>
      </c>
      <c r="O9" s="6" t="s">
        <v>1541</v>
      </c>
      <c r="P9" s="6" t="s">
        <v>2654</v>
      </c>
      <c r="Q9" s="1330" t="s">
        <v>1558</v>
      </c>
      <c r="R9" s="369" t="s">
        <v>460</v>
      </c>
      <c r="S9" s="370" t="s">
        <v>461</v>
      </c>
      <c r="T9" s="370" t="s">
        <v>1423</v>
      </c>
      <c r="U9" s="1741" t="s">
        <v>18</v>
      </c>
      <c r="V9" s="847"/>
    </row>
    <row r="10" spans="1:22">
      <c r="A10" s="197" t="s">
        <v>432</v>
      </c>
      <c r="B10" s="198">
        <f>+B27-B15-B14-B13-B12</f>
        <v>-2825</v>
      </c>
      <c r="C10" s="1180">
        <f t="shared" ref="C10:J10" si="0">+C27-C15-C14-C13-C12</f>
        <v>2826</v>
      </c>
      <c r="D10" s="200">
        <f>+D27-D15-D14-D13-D12</f>
        <v>1567</v>
      </c>
      <c r="E10" s="200">
        <f>+E27-E15-E14-E13-E12</f>
        <v>1567</v>
      </c>
      <c r="F10" s="1331">
        <f t="shared" ref="F10:F16" si="1">IF(ISERROR(E10/D10),"-",E10/D10)</f>
        <v>1</v>
      </c>
      <c r="G10" s="199">
        <f t="shared" si="0"/>
        <v>1258</v>
      </c>
      <c r="H10" s="200">
        <f t="shared" si="0"/>
        <v>0</v>
      </c>
      <c r="I10" s="200">
        <f t="shared" si="0"/>
        <v>0</v>
      </c>
      <c r="J10" s="201">
        <f t="shared" si="0"/>
        <v>0</v>
      </c>
      <c r="K10" s="863"/>
      <c r="L10" s="197" t="s">
        <v>432</v>
      </c>
      <c r="M10" s="198">
        <f t="shared" ref="M10:U10" si="2">+M27-M15-M14-M13-M12</f>
        <v>-189309</v>
      </c>
      <c r="N10" s="1180">
        <f t="shared" si="2"/>
        <v>188134</v>
      </c>
      <c r="O10" s="200">
        <f>+O27-O15-O14-O13-O12</f>
        <v>2235</v>
      </c>
      <c r="P10" s="200">
        <f>+P27-P15-P14-P13-P12</f>
        <v>2235</v>
      </c>
      <c r="Q10" s="1331">
        <f t="shared" ref="Q10:Q16" si="3">IF(ISERROR(P10/O10),"-",P10/O10)</f>
        <v>1</v>
      </c>
      <c r="R10" s="199">
        <f t="shared" si="2"/>
        <v>187074</v>
      </c>
      <c r="S10" s="200">
        <f t="shared" si="2"/>
        <v>0</v>
      </c>
      <c r="T10" s="200">
        <f t="shared" si="2"/>
        <v>0</v>
      </c>
      <c r="U10" s="201">
        <f t="shared" si="2"/>
        <v>0</v>
      </c>
      <c r="V10" s="191"/>
    </row>
    <row r="11" spans="1:22">
      <c r="A11" s="202" t="s">
        <v>433</v>
      </c>
      <c r="B11" s="203"/>
      <c r="C11" s="1181"/>
      <c r="D11" s="205"/>
      <c r="E11" s="205"/>
      <c r="F11" s="1332" t="str">
        <f t="shared" si="1"/>
        <v>-</v>
      </c>
      <c r="G11" s="204"/>
      <c r="H11" s="205"/>
      <c r="I11" s="205"/>
      <c r="J11" s="206">
        <f>+B11+IF(D11&lt;=E11,E11,D11)+G11+H11+I11</f>
        <v>0</v>
      </c>
      <c r="K11" s="863"/>
      <c r="L11" s="202" t="s">
        <v>433</v>
      </c>
      <c r="M11" s="203"/>
      <c r="N11" s="1181"/>
      <c r="O11" s="205"/>
      <c r="P11" s="205"/>
      <c r="Q11" s="1332" t="str">
        <f t="shared" si="3"/>
        <v>-</v>
      </c>
      <c r="R11" s="204"/>
      <c r="S11" s="205"/>
      <c r="T11" s="205"/>
      <c r="U11" s="206">
        <f>+M11+IF(O11&lt;=P11,P11,O11)+R11+S11+T11</f>
        <v>0</v>
      </c>
      <c r="V11" s="848"/>
    </row>
    <row r="12" spans="1:22">
      <c r="A12" s="207" t="s">
        <v>434</v>
      </c>
      <c r="B12" s="208">
        <v>3073</v>
      </c>
      <c r="C12" s="1182"/>
      <c r="D12" s="210"/>
      <c r="E12" s="210"/>
      <c r="F12" s="1332" t="str">
        <f t="shared" si="1"/>
        <v>-</v>
      </c>
      <c r="G12" s="209"/>
      <c r="H12" s="210"/>
      <c r="I12" s="210"/>
      <c r="J12" s="211">
        <f>+B12+IF(D12&lt;=E12,E12,D12)+G12+H12+I12</f>
        <v>3073</v>
      </c>
      <c r="K12" s="863"/>
      <c r="L12" s="207" t="s">
        <v>434</v>
      </c>
      <c r="M12" s="208">
        <v>205000</v>
      </c>
      <c r="N12" s="1182"/>
      <c r="O12" s="210"/>
      <c r="P12" s="210"/>
      <c r="Q12" s="1332" t="str">
        <f t="shared" si="3"/>
        <v>-</v>
      </c>
      <c r="R12" s="209"/>
      <c r="S12" s="210"/>
      <c r="T12" s="210"/>
      <c r="U12" s="211">
        <f>+M12+IF(O12&lt;=P12,P12,O12)+R12+S12+T12</f>
        <v>205000</v>
      </c>
      <c r="V12" s="191"/>
    </row>
    <row r="13" spans="1:22">
      <c r="A13" s="207" t="s">
        <v>435</v>
      </c>
      <c r="B13" s="208"/>
      <c r="C13" s="1182"/>
      <c r="D13" s="210"/>
      <c r="E13" s="210"/>
      <c r="F13" s="1332" t="str">
        <f t="shared" si="1"/>
        <v>-</v>
      </c>
      <c r="G13" s="209"/>
      <c r="H13" s="210"/>
      <c r="I13" s="210"/>
      <c r="J13" s="211">
        <f>+B13+IF(D13&lt;=E13,E13,D13)+G13+H13+I13</f>
        <v>0</v>
      </c>
      <c r="K13" s="863"/>
      <c r="L13" s="207" t="s">
        <v>435</v>
      </c>
      <c r="M13" s="208"/>
      <c r="N13" s="1182"/>
      <c r="O13" s="210"/>
      <c r="P13" s="210"/>
      <c r="Q13" s="1332" t="str">
        <f t="shared" si="3"/>
        <v>-</v>
      </c>
      <c r="R13" s="209"/>
      <c r="S13" s="210"/>
      <c r="T13" s="210"/>
      <c r="U13" s="211">
        <f>+M13+IF(O13&lt;=P13,P13,O13)+R13+S13+T13</f>
        <v>0</v>
      </c>
      <c r="V13" s="191"/>
    </row>
    <row r="14" spans="1:22">
      <c r="A14" s="207" t="s">
        <v>436</v>
      </c>
      <c r="B14" s="208"/>
      <c r="C14" s="1182"/>
      <c r="D14" s="210"/>
      <c r="E14" s="210"/>
      <c r="F14" s="1332" t="str">
        <f t="shared" si="1"/>
        <v>-</v>
      </c>
      <c r="G14" s="209"/>
      <c r="H14" s="210"/>
      <c r="I14" s="210"/>
      <c r="J14" s="211">
        <f>+B14+IF(D14&lt;=E14,E14,D14)+G14+H14+I14</f>
        <v>0</v>
      </c>
      <c r="K14" s="863"/>
      <c r="L14" s="207" t="s">
        <v>436</v>
      </c>
      <c r="M14" s="208"/>
      <c r="N14" s="1182"/>
      <c r="O14" s="210"/>
      <c r="P14" s="210"/>
      <c r="Q14" s="1332" t="str">
        <f t="shared" si="3"/>
        <v>-</v>
      </c>
      <c r="R14" s="209"/>
      <c r="S14" s="210"/>
      <c r="T14" s="210"/>
      <c r="U14" s="211">
        <f>+M14+IF(O14&lt;=P14,P14,O14)+R14+S14+T14</f>
        <v>0</v>
      </c>
      <c r="V14" s="191"/>
    </row>
    <row r="15" spans="1:22" ht="12.75" thickBot="1">
      <c r="A15" s="207" t="s">
        <v>437</v>
      </c>
      <c r="B15" s="208"/>
      <c r="C15" s="1182"/>
      <c r="D15" s="210"/>
      <c r="E15" s="210"/>
      <c r="F15" s="1332" t="str">
        <f t="shared" si="1"/>
        <v>-</v>
      </c>
      <c r="G15" s="209"/>
      <c r="H15" s="210"/>
      <c r="I15" s="210"/>
      <c r="J15" s="211">
        <f>+B15+IF(D15&lt;=E15,E15,D15)+G15+H15+I15</f>
        <v>0</v>
      </c>
      <c r="K15" s="863"/>
      <c r="L15" s="207" t="s">
        <v>437</v>
      </c>
      <c r="M15" s="208"/>
      <c r="N15" s="1182"/>
      <c r="O15" s="210"/>
      <c r="P15" s="210"/>
      <c r="Q15" s="1332" t="str">
        <f t="shared" si="3"/>
        <v>-</v>
      </c>
      <c r="R15" s="209"/>
      <c r="S15" s="210"/>
      <c r="T15" s="210"/>
      <c r="U15" s="211">
        <f>+M15+IF(O15&lt;=P15,P15,O15)+R15+S15+T15</f>
        <v>0</v>
      </c>
      <c r="V15" s="191"/>
    </row>
    <row r="16" spans="1:22" ht="12.75" thickBot="1">
      <c r="A16" s="190" t="s">
        <v>438</v>
      </c>
      <c r="B16" s="212">
        <f>+B10+B12+B13+B14+B15</f>
        <v>248</v>
      </c>
      <c r="C16" s="1183">
        <f t="shared" ref="C16:J16" si="4">+C10+C12+C13+C14+C15</f>
        <v>2826</v>
      </c>
      <c r="D16" s="212">
        <f>+D10+D12+D13+D14+D15</f>
        <v>1567</v>
      </c>
      <c r="E16" s="212">
        <f>+E10+E12+E13+E14+E15</f>
        <v>1567</v>
      </c>
      <c r="F16" s="1333">
        <f t="shared" si="1"/>
        <v>1</v>
      </c>
      <c r="G16" s="214">
        <f t="shared" si="4"/>
        <v>1258</v>
      </c>
      <c r="H16" s="212">
        <f t="shared" si="4"/>
        <v>0</v>
      </c>
      <c r="I16" s="212">
        <f t="shared" si="4"/>
        <v>0</v>
      </c>
      <c r="J16" s="213">
        <f t="shared" si="4"/>
        <v>3073</v>
      </c>
      <c r="K16" s="863"/>
      <c r="L16" s="190" t="s">
        <v>438</v>
      </c>
      <c r="M16" s="212">
        <f t="shared" ref="M16:U16" si="5">+M10+M12+M13+M14+M15</f>
        <v>15691</v>
      </c>
      <c r="N16" s="1183">
        <f t="shared" si="5"/>
        <v>188134</v>
      </c>
      <c r="O16" s="212">
        <f>+O10+O12+O13+O14+O15</f>
        <v>2235</v>
      </c>
      <c r="P16" s="212">
        <f>+P10+P12+P13+P14+P15</f>
        <v>2235</v>
      </c>
      <c r="Q16" s="1333">
        <f t="shared" si="3"/>
        <v>1</v>
      </c>
      <c r="R16" s="214">
        <f t="shared" si="5"/>
        <v>187074</v>
      </c>
      <c r="S16" s="212">
        <f t="shared" si="5"/>
        <v>0</v>
      </c>
      <c r="T16" s="212">
        <f t="shared" si="5"/>
        <v>0</v>
      </c>
      <c r="U16" s="213">
        <f t="shared" si="5"/>
        <v>205000</v>
      </c>
      <c r="V16" s="191"/>
    </row>
    <row r="17" spans="1:27" ht="12.75" thickBot="1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863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</row>
    <row r="18" spans="1:27" s="862" customFormat="1" ht="36.75" thickBot="1">
      <c r="A18" s="388" t="s">
        <v>439</v>
      </c>
      <c r="B18" s="389" t="s">
        <v>1422</v>
      </c>
      <c r="C18" s="1055" t="s">
        <v>1540</v>
      </c>
      <c r="D18" s="6" t="s">
        <v>1541</v>
      </c>
      <c r="E18" s="6" t="s">
        <v>2654</v>
      </c>
      <c r="F18" s="1330" t="s">
        <v>1558</v>
      </c>
      <c r="G18" s="369" t="s">
        <v>460</v>
      </c>
      <c r="H18" s="370" t="s">
        <v>461</v>
      </c>
      <c r="I18" s="370" t="s">
        <v>1423</v>
      </c>
      <c r="J18" s="1741" t="s">
        <v>18</v>
      </c>
      <c r="K18" s="865"/>
      <c r="L18" s="388" t="s">
        <v>439</v>
      </c>
      <c r="M18" s="389" t="s">
        <v>1422</v>
      </c>
      <c r="N18" s="1055" t="s">
        <v>1540</v>
      </c>
      <c r="O18" s="6" t="s">
        <v>1541</v>
      </c>
      <c r="P18" s="6" t="s">
        <v>2654</v>
      </c>
      <c r="Q18" s="1330" t="s">
        <v>1558</v>
      </c>
      <c r="R18" s="369" t="s">
        <v>460</v>
      </c>
      <c r="S18" s="370" t="s">
        <v>461</v>
      </c>
      <c r="T18" s="370" t="s">
        <v>1423</v>
      </c>
      <c r="U18" s="1741" t="s">
        <v>18</v>
      </c>
      <c r="V18" s="847"/>
    </row>
    <row r="19" spans="1:27">
      <c r="A19" s="197" t="s">
        <v>445</v>
      </c>
      <c r="B19" s="198"/>
      <c r="C19" s="1180"/>
      <c r="D19" s="200">
        <v>343</v>
      </c>
      <c r="E19" s="1190">
        <v>343</v>
      </c>
      <c r="F19" s="1331">
        <f t="shared" ref="F19:F27" si="6">IF(ISERROR(E19/D19),"-",E19/D19)</f>
        <v>1</v>
      </c>
      <c r="G19" s="199"/>
      <c r="H19" s="200"/>
      <c r="I19" s="200"/>
      <c r="J19" s="201">
        <f t="shared" ref="J19:J26" si="7">+B19+IF(D19&lt;=E19,E19,D19)+G19+H19+I19</f>
        <v>343</v>
      </c>
      <c r="K19" s="863"/>
      <c r="L19" s="197" t="s">
        <v>445</v>
      </c>
      <c r="M19" s="198"/>
      <c r="N19" s="1180"/>
      <c r="O19" s="200"/>
      <c r="P19" s="1190"/>
      <c r="Q19" s="1331" t="str">
        <f t="shared" ref="Q19:Q27" si="8">IF(ISERROR(P19/O19),"-",P19/O19)</f>
        <v>-</v>
      </c>
      <c r="R19" s="199"/>
      <c r="S19" s="200"/>
      <c r="T19" s="200"/>
      <c r="U19" s="201">
        <f t="shared" ref="U19:U26" si="9">+M19+IF(O19&lt;=P19,P19,O19)+R19+S19+T19</f>
        <v>0</v>
      </c>
      <c r="V19" s="191"/>
    </row>
    <row r="20" spans="1:27">
      <c r="A20" s="216" t="s">
        <v>446</v>
      </c>
      <c r="B20" s="208"/>
      <c r="C20" s="1182"/>
      <c r="D20" s="210">
        <v>17</v>
      </c>
      <c r="E20" s="1191">
        <v>17</v>
      </c>
      <c r="F20" s="1332">
        <f t="shared" si="6"/>
        <v>1</v>
      </c>
      <c r="G20" s="209"/>
      <c r="H20" s="210"/>
      <c r="I20" s="210"/>
      <c r="J20" s="211">
        <f t="shared" si="7"/>
        <v>17</v>
      </c>
      <c r="K20" s="863"/>
      <c r="L20" s="216" t="s">
        <v>446</v>
      </c>
      <c r="M20" s="208"/>
      <c r="N20" s="1182"/>
      <c r="O20" s="210"/>
      <c r="P20" s="1191"/>
      <c r="Q20" s="1332" t="str">
        <f t="shared" si="8"/>
        <v>-</v>
      </c>
      <c r="R20" s="209"/>
      <c r="S20" s="210"/>
      <c r="T20" s="210"/>
      <c r="U20" s="211">
        <f t="shared" si="9"/>
        <v>0</v>
      </c>
      <c r="V20" s="191"/>
    </row>
    <row r="21" spans="1:27">
      <c r="A21" s="207" t="s">
        <v>447</v>
      </c>
      <c r="B21" s="208">
        <v>248</v>
      </c>
      <c r="C21" s="1182"/>
      <c r="D21" s="210">
        <v>1207</v>
      </c>
      <c r="E21" s="1191">
        <v>1207</v>
      </c>
      <c r="F21" s="1332">
        <f t="shared" si="6"/>
        <v>1</v>
      </c>
      <c r="G21" s="209"/>
      <c r="H21" s="210"/>
      <c r="I21" s="210"/>
      <c r="J21" s="211">
        <f t="shared" si="7"/>
        <v>1455</v>
      </c>
      <c r="K21" s="863"/>
      <c r="L21" s="207" t="s">
        <v>447</v>
      </c>
      <c r="M21" s="208">
        <f>9030+1537</f>
        <v>10567</v>
      </c>
      <c r="N21" s="1182"/>
      <c r="O21" s="210">
        <v>2032</v>
      </c>
      <c r="P21" s="1191">
        <v>2032</v>
      </c>
      <c r="Q21" s="1332">
        <f t="shared" si="8"/>
        <v>1</v>
      </c>
      <c r="R21" s="209"/>
      <c r="S21" s="210"/>
      <c r="T21" s="210"/>
      <c r="U21" s="211">
        <f t="shared" si="9"/>
        <v>12599</v>
      </c>
      <c r="V21" s="191"/>
    </row>
    <row r="22" spans="1:27">
      <c r="A22" s="207" t="s">
        <v>448</v>
      </c>
      <c r="B22" s="208"/>
      <c r="C22" s="1182"/>
      <c r="D22" s="210"/>
      <c r="E22" s="1191"/>
      <c r="F22" s="1332" t="str">
        <f t="shared" si="6"/>
        <v>-</v>
      </c>
      <c r="G22" s="209"/>
      <c r="H22" s="210"/>
      <c r="I22" s="210"/>
      <c r="J22" s="211">
        <f t="shared" si="7"/>
        <v>0</v>
      </c>
      <c r="K22" s="863"/>
      <c r="L22" s="207" t="s">
        <v>448</v>
      </c>
      <c r="M22" s="208"/>
      <c r="N22" s="1182"/>
      <c r="O22" s="210"/>
      <c r="P22" s="1191"/>
      <c r="Q22" s="1332" t="str">
        <f t="shared" si="8"/>
        <v>-</v>
      </c>
      <c r="R22" s="209"/>
      <c r="S22" s="210"/>
      <c r="T22" s="210"/>
      <c r="U22" s="211">
        <f t="shared" si="9"/>
        <v>0</v>
      </c>
      <c r="V22" s="191"/>
    </row>
    <row r="23" spans="1:27">
      <c r="A23" s="217" t="s">
        <v>449</v>
      </c>
      <c r="B23" s="218"/>
      <c r="C23" s="1182">
        <v>2826</v>
      </c>
      <c r="D23" s="210">
        <v>0</v>
      </c>
      <c r="E23" s="1191"/>
      <c r="F23" s="1332" t="str">
        <f t="shared" si="6"/>
        <v>-</v>
      </c>
      <c r="G23" s="209">
        <v>1258</v>
      </c>
      <c r="H23" s="210"/>
      <c r="I23" s="210"/>
      <c r="J23" s="211">
        <f t="shared" si="7"/>
        <v>1258</v>
      </c>
      <c r="L23" s="217" t="s">
        <v>449</v>
      </c>
      <c r="M23" s="218"/>
      <c r="N23" s="1182">
        <v>188134</v>
      </c>
      <c r="O23" s="210">
        <v>203</v>
      </c>
      <c r="P23" s="1191">
        <v>203</v>
      </c>
      <c r="Q23" s="1332">
        <f t="shared" si="8"/>
        <v>1</v>
      </c>
      <c r="R23" s="209">
        <v>187074</v>
      </c>
      <c r="S23" s="210"/>
      <c r="T23" s="210"/>
      <c r="U23" s="211">
        <f t="shared" si="9"/>
        <v>187277</v>
      </c>
      <c r="V23" s="191"/>
      <c r="X23" s="863"/>
      <c r="AA23" s="863"/>
    </row>
    <row r="24" spans="1:27">
      <c r="A24" s="217" t="s">
        <v>450</v>
      </c>
      <c r="B24" s="218"/>
      <c r="C24" s="1182"/>
      <c r="D24" s="210"/>
      <c r="E24" s="1191"/>
      <c r="F24" s="1332" t="str">
        <f t="shared" si="6"/>
        <v>-</v>
      </c>
      <c r="G24" s="209"/>
      <c r="H24" s="210"/>
      <c r="I24" s="210"/>
      <c r="J24" s="211">
        <f t="shared" si="7"/>
        <v>0</v>
      </c>
      <c r="L24" s="217" t="s">
        <v>450</v>
      </c>
      <c r="M24" s="218">
        <v>5124</v>
      </c>
      <c r="N24" s="1182"/>
      <c r="O24" s="210"/>
      <c r="P24" s="1191"/>
      <c r="Q24" s="1332" t="str">
        <f t="shared" si="8"/>
        <v>-</v>
      </c>
      <c r="R24" s="209"/>
      <c r="S24" s="210"/>
      <c r="T24" s="210"/>
      <c r="U24" s="211">
        <f t="shared" si="9"/>
        <v>5124</v>
      </c>
      <c r="V24" s="191"/>
      <c r="X24" s="863"/>
      <c r="AA24" s="863"/>
    </row>
    <row r="25" spans="1:27">
      <c r="A25" s="219" t="s">
        <v>451</v>
      </c>
      <c r="B25" s="220"/>
      <c r="C25" s="1184"/>
      <c r="D25" s="222"/>
      <c r="E25" s="1192"/>
      <c r="F25" s="1334" t="str">
        <f t="shared" si="6"/>
        <v>-</v>
      </c>
      <c r="G25" s="221"/>
      <c r="H25" s="222"/>
      <c r="I25" s="222"/>
      <c r="J25" s="211">
        <f t="shared" si="7"/>
        <v>0</v>
      </c>
      <c r="L25" s="219" t="s">
        <v>451</v>
      </c>
      <c r="M25" s="220"/>
      <c r="N25" s="1184"/>
      <c r="O25" s="222"/>
      <c r="P25" s="1192"/>
      <c r="Q25" s="1334" t="str">
        <f t="shared" si="8"/>
        <v>-</v>
      </c>
      <c r="R25" s="221"/>
      <c r="S25" s="222"/>
      <c r="T25" s="222"/>
      <c r="U25" s="211">
        <f t="shared" si="9"/>
        <v>0</v>
      </c>
      <c r="V25" s="191"/>
      <c r="X25" s="863"/>
      <c r="AA25" s="863"/>
    </row>
    <row r="26" spans="1:27" ht="12.75" thickBot="1">
      <c r="A26" s="219" t="s">
        <v>452</v>
      </c>
      <c r="B26" s="220"/>
      <c r="C26" s="1184"/>
      <c r="D26" s="222"/>
      <c r="E26" s="1192"/>
      <c r="F26" s="1334" t="str">
        <f t="shared" si="6"/>
        <v>-</v>
      </c>
      <c r="G26" s="221"/>
      <c r="H26" s="222"/>
      <c r="I26" s="222"/>
      <c r="J26" s="211">
        <f t="shared" si="7"/>
        <v>0</v>
      </c>
      <c r="L26" s="219" t="s">
        <v>452</v>
      </c>
      <c r="M26" s="220"/>
      <c r="N26" s="1184"/>
      <c r="O26" s="222"/>
      <c r="P26" s="1192"/>
      <c r="Q26" s="1334" t="str">
        <f t="shared" si="8"/>
        <v>-</v>
      </c>
      <c r="R26" s="221"/>
      <c r="S26" s="222"/>
      <c r="T26" s="222"/>
      <c r="U26" s="211">
        <f t="shared" si="9"/>
        <v>0</v>
      </c>
      <c r="V26" s="191"/>
      <c r="X26" s="863"/>
      <c r="AA26" s="863"/>
    </row>
    <row r="27" spans="1:27" ht="12.75" thickBot="1">
      <c r="A27" s="190" t="s">
        <v>453</v>
      </c>
      <c r="B27" s="212">
        <f>+B19+B20+B21+B22+B23+B24+B25+B26</f>
        <v>248</v>
      </c>
      <c r="C27" s="1183">
        <f t="shared" ref="C27:J27" si="10">+C19+C20+C21+C22+C23+C24+C25+C26</f>
        <v>2826</v>
      </c>
      <c r="D27" s="212">
        <f>+D19+D20+D21+D22+D23+D24+D25+D26</f>
        <v>1567</v>
      </c>
      <c r="E27" s="1185">
        <f>+E19+E20+E21+E22+E23+E24+E25+E26</f>
        <v>1567</v>
      </c>
      <c r="F27" s="1333">
        <f t="shared" si="6"/>
        <v>1</v>
      </c>
      <c r="G27" s="214">
        <f t="shared" si="10"/>
        <v>1258</v>
      </c>
      <c r="H27" s="212">
        <f t="shared" si="10"/>
        <v>0</v>
      </c>
      <c r="I27" s="212">
        <f t="shared" si="10"/>
        <v>0</v>
      </c>
      <c r="J27" s="213">
        <f t="shared" si="10"/>
        <v>3073</v>
      </c>
      <c r="L27" s="190" t="s">
        <v>453</v>
      </c>
      <c r="M27" s="212">
        <f t="shared" ref="M27:U27" si="11">+M19+M20+M21+M22+M23+M24+M25+M26</f>
        <v>15691</v>
      </c>
      <c r="N27" s="1183">
        <f t="shared" si="11"/>
        <v>188134</v>
      </c>
      <c r="O27" s="212">
        <f>+O19+O20+O21+O22+O23+O24+O25+O26</f>
        <v>2235</v>
      </c>
      <c r="P27" s="1185">
        <f>+P19+P20+P21+P22+P23+P24+P25+P26</f>
        <v>2235</v>
      </c>
      <c r="Q27" s="1333">
        <f t="shared" si="8"/>
        <v>1</v>
      </c>
      <c r="R27" s="214">
        <f t="shared" si="11"/>
        <v>187074</v>
      </c>
      <c r="S27" s="212">
        <f t="shared" si="11"/>
        <v>0</v>
      </c>
      <c r="T27" s="212">
        <f t="shared" si="11"/>
        <v>0</v>
      </c>
      <c r="U27" s="213">
        <f t="shared" si="11"/>
        <v>205000</v>
      </c>
      <c r="V27" s="191"/>
      <c r="X27" s="863"/>
      <c r="AA27" s="863"/>
    </row>
    <row r="28" spans="1:27">
      <c r="X28" s="866"/>
      <c r="AA28" s="866"/>
    </row>
    <row r="29" spans="1:27">
      <c r="X29" s="866"/>
      <c r="AA29" s="866"/>
    </row>
    <row r="30" spans="1:27" s="856" customFormat="1" ht="15.75">
      <c r="A30" s="189" t="s">
        <v>441</v>
      </c>
      <c r="B30" s="1800" t="s">
        <v>1104</v>
      </c>
      <c r="C30" s="1800"/>
      <c r="D30" s="1800"/>
      <c r="E30" s="1800"/>
      <c r="F30" s="1800"/>
      <c r="G30" s="1800"/>
      <c r="H30" s="1800"/>
      <c r="I30" s="1800"/>
      <c r="J30" s="1800"/>
      <c r="K30" s="766"/>
      <c r="L30" s="189" t="s">
        <v>442</v>
      </c>
      <c r="M30" s="1798" t="s">
        <v>1347</v>
      </c>
      <c r="N30" s="1798"/>
      <c r="O30" s="1798"/>
      <c r="P30" s="1798"/>
      <c r="Q30" s="1798"/>
      <c r="R30" s="1798"/>
      <c r="S30" s="1798"/>
      <c r="T30" s="1798"/>
      <c r="U30" s="1798"/>
      <c r="V30" s="1737"/>
    </row>
    <row r="31" spans="1:27" s="856" customFormat="1" ht="15.75" customHeight="1">
      <c r="A31" s="1796" t="s">
        <v>1103</v>
      </c>
      <c r="B31" s="1796"/>
      <c r="C31" s="1796"/>
      <c r="D31" s="1796"/>
      <c r="E31" s="1796"/>
      <c r="F31" s="1796"/>
      <c r="G31" s="1796"/>
      <c r="H31" s="1796"/>
      <c r="I31" s="1796"/>
      <c r="J31" s="1796"/>
      <c r="K31" s="766"/>
      <c r="L31" s="1796" t="s">
        <v>1348</v>
      </c>
      <c r="M31" s="1796"/>
      <c r="N31" s="1796"/>
      <c r="O31" s="1796"/>
      <c r="P31" s="1796"/>
      <c r="Q31" s="1796"/>
      <c r="R31" s="1796"/>
      <c r="S31" s="1796"/>
      <c r="T31" s="1796"/>
      <c r="U31" s="1796"/>
      <c r="V31" s="1738"/>
    </row>
    <row r="32" spans="1:27" s="856" customFormat="1" ht="15.75">
      <c r="A32" s="1795" t="s">
        <v>1105</v>
      </c>
      <c r="B32" s="1795"/>
      <c r="C32" s="1795"/>
      <c r="D32" s="1795"/>
      <c r="E32" s="1795"/>
      <c r="F32" s="1795"/>
      <c r="G32" s="1795"/>
      <c r="H32" s="1795"/>
      <c r="I32" s="1795"/>
      <c r="J32" s="1795"/>
      <c r="K32" s="766"/>
      <c r="L32" s="1795" t="s">
        <v>1105</v>
      </c>
      <c r="M32" s="1795"/>
      <c r="N32" s="1795"/>
      <c r="O32" s="1795"/>
      <c r="P32" s="1795"/>
      <c r="Q32" s="1795"/>
      <c r="R32" s="1795"/>
      <c r="S32" s="1795"/>
      <c r="T32" s="1795"/>
      <c r="U32" s="1795"/>
      <c r="V32" s="1739"/>
    </row>
    <row r="33" spans="1:22" s="859" customFormat="1" ht="12.75" thickBot="1">
      <c r="A33" s="858"/>
      <c r="B33" s="858"/>
      <c r="G33" s="858"/>
      <c r="H33" s="858"/>
      <c r="J33" s="234" t="s">
        <v>280</v>
      </c>
      <c r="K33" s="860"/>
      <c r="L33" s="858"/>
      <c r="M33" s="858"/>
      <c r="N33" s="858"/>
      <c r="O33" s="858"/>
      <c r="P33" s="858"/>
      <c r="Q33" s="858"/>
      <c r="R33" s="858"/>
      <c r="S33" s="858"/>
      <c r="U33" s="234" t="s">
        <v>280</v>
      </c>
      <c r="V33" s="846"/>
    </row>
    <row r="34" spans="1:22" s="862" customFormat="1" ht="36.75" thickBot="1">
      <c r="A34" s="388" t="s">
        <v>431</v>
      </c>
      <c r="B34" s="389" t="s">
        <v>1422</v>
      </c>
      <c r="C34" s="1055" t="s">
        <v>1540</v>
      </c>
      <c r="D34" s="6" t="s">
        <v>1541</v>
      </c>
      <c r="E34" s="6" t="s">
        <v>2654</v>
      </c>
      <c r="F34" s="1330" t="s">
        <v>1558</v>
      </c>
      <c r="G34" s="369" t="s">
        <v>460</v>
      </c>
      <c r="H34" s="370" t="s">
        <v>461</v>
      </c>
      <c r="I34" s="370" t="s">
        <v>1423</v>
      </c>
      <c r="J34" s="1741" t="s">
        <v>18</v>
      </c>
      <c r="K34" s="861"/>
      <c r="L34" s="388" t="s">
        <v>431</v>
      </c>
      <c r="M34" s="389" t="s">
        <v>1422</v>
      </c>
      <c r="N34" s="1055" t="s">
        <v>1540</v>
      </c>
      <c r="O34" s="6" t="s">
        <v>1541</v>
      </c>
      <c r="P34" s="6" t="s">
        <v>2654</v>
      </c>
      <c r="Q34" s="1330" t="s">
        <v>1558</v>
      </c>
      <c r="R34" s="369" t="s">
        <v>460</v>
      </c>
      <c r="S34" s="370" t="s">
        <v>461</v>
      </c>
      <c r="T34" s="370" t="s">
        <v>1423</v>
      </c>
      <c r="U34" s="1741" t="s">
        <v>18</v>
      </c>
      <c r="V34" s="847"/>
    </row>
    <row r="35" spans="1:22">
      <c r="A35" s="197" t="s">
        <v>432</v>
      </c>
      <c r="B35" s="198">
        <f t="shared" ref="B35:J35" si="12">+B52-B40-B39-B38-B37</f>
        <v>-177292</v>
      </c>
      <c r="C35" s="1180">
        <f t="shared" si="12"/>
        <v>177292</v>
      </c>
      <c r="D35" s="200">
        <f>+D52-D40-D39-D38-D37</f>
        <v>0</v>
      </c>
      <c r="E35" s="200">
        <f>+E52-E40-E39-E38-E37</f>
        <v>0</v>
      </c>
      <c r="F35" s="1331" t="str">
        <f t="shared" ref="F35:F41" si="13">IF(ISERROR(E35/D35),"-",E35/D35)</f>
        <v>-</v>
      </c>
      <c r="G35" s="199">
        <f t="shared" si="12"/>
        <v>177292</v>
      </c>
      <c r="H35" s="200">
        <f t="shared" si="12"/>
        <v>0</v>
      </c>
      <c r="I35" s="200">
        <f t="shared" si="12"/>
        <v>0</v>
      </c>
      <c r="J35" s="201">
        <f t="shared" si="12"/>
        <v>0</v>
      </c>
      <c r="K35" s="863"/>
      <c r="L35" s="197" t="s">
        <v>432</v>
      </c>
      <c r="M35" s="198">
        <f t="shared" ref="M35:U35" si="14">+M52-M40-M39-M38-M37</f>
        <v>-587082</v>
      </c>
      <c r="N35" s="1180">
        <f t="shared" si="14"/>
        <v>587082</v>
      </c>
      <c r="O35" s="200">
        <f>+O52-O40-O39-O38-O37</f>
        <v>6146</v>
      </c>
      <c r="P35" s="200">
        <f>+P52-P40-P39-P38-P37</f>
        <v>6146</v>
      </c>
      <c r="Q35" s="1331">
        <f t="shared" ref="Q35:Q41" si="15">IF(ISERROR(P35/O35),"-",P35/O35)</f>
        <v>1</v>
      </c>
      <c r="R35" s="199">
        <f t="shared" si="14"/>
        <v>580936</v>
      </c>
      <c r="S35" s="200">
        <f t="shared" si="14"/>
        <v>0</v>
      </c>
      <c r="T35" s="200">
        <f t="shared" si="14"/>
        <v>0</v>
      </c>
      <c r="U35" s="201">
        <f t="shared" si="14"/>
        <v>0</v>
      </c>
      <c r="V35" s="191"/>
    </row>
    <row r="36" spans="1:22">
      <c r="A36" s="202" t="s">
        <v>433</v>
      </c>
      <c r="B36" s="203"/>
      <c r="C36" s="1181"/>
      <c r="D36" s="205"/>
      <c r="E36" s="205"/>
      <c r="F36" s="1332" t="str">
        <f t="shared" si="13"/>
        <v>-</v>
      </c>
      <c r="G36" s="204"/>
      <c r="H36" s="205"/>
      <c r="I36" s="205"/>
      <c r="J36" s="206">
        <f>+B36+IF(D36&lt;=E36,E36,D36)+G36+H36+I36</f>
        <v>0</v>
      </c>
      <c r="K36" s="863"/>
      <c r="L36" s="202" t="s">
        <v>433</v>
      </c>
      <c r="M36" s="203"/>
      <c r="N36" s="1181"/>
      <c r="O36" s="205"/>
      <c r="P36" s="205"/>
      <c r="Q36" s="1332" t="str">
        <f t="shared" si="15"/>
        <v>-</v>
      </c>
      <c r="R36" s="204"/>
      <c r="S36" s="205"/>
      <c r="T36" s="205"/>
      <c r="U36" s="206">
        <f>+M36+IF(O36&lt;=P36,P36,O36)+R36+S36+T36</f>
        <v>0</v>
      </c>
      <c r="V36" s="848"/>
    </row>
    <row r="37" spans="1:22">
      <c r="A37" s="207" t="s">
        <v>434</v>
      </c>
      <c r="B37" s="208">
        <v>177292</v>
      </c>
      <c r="C37" s="1182"/>
      <c r="D37" s="210"/>
      <c r="E37" s="210"/>
      <c r="F37" s="1332" t="str">
        <f t="shared" si="13"/>
        <v>-</v>
      </c>
      <c r="G37" s="209"/>
      <c r="H37" s="210"/>
      <c r="I37" s="210"/>
      <c r="J37" s="211">
        <f>+B37+IF(D37&lt;=E37,E37,D37)+G37+H37+I37</f>
        <v>177292</v>
      </c>
      <c r="K37" s="863"/>
      <c r="L37" s="207" t="s">
        <v>434</v>
      </c>
      <c r="M37" s="208">
        <f>438917+177800</f>
        <v>616717</v>
      </c>
      <c r="N37" s="1182"/>
      <c r="O37" s="210"/>
      <c r="P37" s="210"/>
      <c r="Q37" s="1332" t="str">
        <f t="shared" si="15"/>
        <v>-</v>
      </c>
      <c r="R37" s="209"/>
      <c r="S37" s="210"/>
      <c r="T37" s="210"/>
      <c r="U37" s="211">
        <f>+M37+IF(O37&lt;=P37,P37,O37)+R37+S37+T37</f>
        <v>616717</v>
      </c>
      <c r="V37" s="191"/>
    </row>
    <row r="38" spans="1:22">
      <c r="A38" s="207" t="s">
        <v>435</v>
      </c>
      <c r="B38" s="208"/>
      <c r="C38" s="1182"/>
      <c r="D38" s="210"/>
      <c r="E38" s="210"/>
      <c r="F38" s="1332" t="str">
        <f t="shared" si="13"/>
        <v>-</v>
      </c>
      <c r="G38" s="209"/>
      <c r="H38" s="210"/>
      <c r="I38" s="210"/>
      <c r="J38" s="211">
        <f>+B38+IF(D38&lt;=E38,E38,D38)+G38+H38+I38</f>
        <v>0</v>
      </c>
      <c r="K38" s="863"/>
      <c r="L38" s="207" t="s">
        <v>435</v>
      </c>
      <c r="M38" s="208"/>
      <c r="N38" s="1182"/>
      <c r="O38" s="210"/>
      <c r="P38" s="210"/>
      <c r="Q38" s="1332" t="str">
        <f t="shared" si="15"/>
        <v>-</v>
      </c>
      <c r="R38" s="209"/>
      <c r="S38" s="210"/>
      <c r="T38" s="210"/>
      <c r="U38" s="211">
        <f>+M38+IF(O38&lt;=P38,P38,O38)+R38+S38+T38</f>
        <v>0</v>
      </c>
      <c r="V38" s="191"/>
    </row>
    <row r="39" spans="1:22">
      <c r="A39" s="207" t="s">
        <v>436</v>
      </c>
      <c r="B39" s="208"/>
      <c r="C39" s="1182"/>
      <c r="D39" s="210"/>
      <c r="E39" s="210"/>
      <c r="F39" s="1332" t="str">
        <f t="shared" si="13"/>
        <v>-</v>
      </c>
      <c r="G39" s="209"/>
      <c r="H39" s="210"/>
      <c r="I39" s="210"/>
      <c r="J39" s="211">
        <f>+B39+IF(D39&lt;=E39,E39,D39)+G39+H39+I39</f>
        <v>0</v>
      </c>
      <c r="K39" s="863"/>
      <c r="L39" s="207" t="s">
        <v>436</v>
      </c>
      <c r="M39" s="208"/>
      <c r="N39" s="1182"/>
      <c r="O39" s="210"/>
      <c r="P39" s="210"/>
      <c r="Q39" s="1332" t="str">
        <f t="shared" si="15"/>
        <v>-</v>
      </c>
      <c r="R39" s="209"/>
      <c r="S39" s="210"/>
      <c r="T39" s="210"/>
      <c r="U39" s="211">
        <f>+M39+IF(O39&lt;=P39,P39,O39)+R39+S39+T39</f>
        <v>0</v>
      </c>
      <c r="V39" s="191"/>
    </row>
    <row r="40" spans="1:22" ht="12.75" thickBot="1">
      <c r="A40" s="207" t="s">
        <v>437</v>
      </c>
      <c r="B40" s="208"/>
      <c r="C40" s="1182"/>
      <c r="D40" s="210"/>
      <c r="E40" s="210"/>
      <c r="F40" s="1332" t="str">
        <f t="shared" si="13"/>
        <v>-</v>
      </c>
      <c r="G40" s="209"/>
      <c r="H40" s="210"/>
      <c r="I40" s="210"/>
      <c r="J40" s="211">
        <f>+B40+IF(D40&lt;=E40,E40,D40)+G40+H40+I40</f>
        <v>0</v>
      </c>
      <c r="K40" s="863"/>
      <c r="L40" s="207" t="s">
        <v>437</v>
      </c>
      <c r="M40" s="208"/>
      <c r="N40" s="1182"/>
      <c r="O40" s="210"/>
      <c r="P40" s="210"/>
      <c r="Q40" s="1332" t="str">
        <f t="shared" si="15"/>
        <v>-</v>
      </c>
      <c r="R40" s="209"/>
      <c r="S40" s="210"/>
      <c r="T40" s="210"/>
      <c r="U40" s="211">
        <f>+M40+IF(O40&lt;=P40,P40,O40)+R40+S40+T40</f>
        <v>0</v>
      </c>
      <c r="V40" s="191"/>
    </row>
    <row r="41" spans="1:22" ht="12.75" thickBot="1">
      <c r="A41" s="190" t="s">
        <v>438</v>
      </c>
      <c r="B41" s="212">
        <f t="shared" ref="B41:J41" si="16">+B35+B37+B38+B39+B40</f>
        <v>0</v>
      </c>
      <c r="C41" s="1183">
        <f t="shared" si="16"/>
        <v>177292</v>
      </c>
      <c r="D41" s="212">
        <f>+D35+D37+D38+D39+D40</f>
        <v>0</v>
      </c>
      <c r="E41" s="212">
        <f>+E35+E37+E38+E39+E40</f>
        <v>0</v>
      </c>
      <c r="F41" s="1333" t="str">
        <f t="shared" si="13"/>
        <v>-</v>
      </c>
      <c r="G41" s="214">
        <f t="shared" si="16"/>
        <v>177292</v>
      </c>
      <c r="H41" s="212">
        <f t="shared" si="16"/>
        <v>0</v>
      </c>
      <c r="I41" s="212">
        <f t="shared" si="16"/>
        <v>0</v>
      </c>
      <c r="J41" s="213">
        <f t="shared" si="16"/>
        <v>177292</v>
      </c>
      <c r="K41" s="863"/>
      <c r="L41" s="190" t="s">
        <v>438</v>
      </c>
      <c r="M41" s="212">
        <f t="shared" ref="M41:U41" si="17">+M35+M37+M38+M39+M40</f>
        <v>29635</v>
      </c>
      <c r="N41" s="1183">
        <f t="shared" si="17"/>
        <v>587082</v>
      </c>
      <c r="O41" s="212">
        <f>+O35+O37+O38+O39+O40</f>
        <v>6146</v>
      </c>
      <c r="P41" s="212">
        <f>+P35+P37+P38+P39+P40</f>
        <v>6146</v>
      </c>
      <c r="Q41" s="1333">
        <f t="shared" si="15"/>
        <v>1</v>
      </c>
      <c r="R41" s="214">
        <f t="shared" si="17"/>
        <v>580936</v>
      </c>
      <c r="S41" s="212">
        <f t="shared" si="17"/>
        <v>0</v>
      </c>
      <c r="T41" s="212">
        <f t="shared" si="17"/>
        <v>0</v>
      </c>
      <c r="U41" s="213">
        <f t="shared" si="17"/>
        <v>616717</v>
      </c>
      <c r="V41" s="191"/>
    </row>
    <row r="42" spans="1:22" ht="12.75" thickBot="1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863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</row>
    <row r="43" spans="1:22" s="862" customFormat="1" ht="36.75" thickBot="1">
      <c r="A43" s="388" t="s">
        <v>439</v>
      </c>
      <c r="B43" s="389" t="s">
        <v>1422</v>
      </c>
      <c r="C43" s="1055" t="s">
        <v>1540</v>
      </c>
      <c r="D43" s="6" t="s">
        <v>1541</v>
      </c>
      <c r="E43" s="6" t="s">
        <v>2654</v>
      </c>
      <c r="F43" s="1330" t="s">
        <v>1558</v>
      </c>
      <c r="G43" s="369" t="s">
        <v>460</v>
      </c>
      <c r="H43" s="370" t="s">
        <v>461</v>
      </c>
      <c r="I43" s="370" t="s">
        <v>1423</v>
      </c>
      <c r="J43" s="1741" t="s">
        <v>18</v>
      </c>
      <c r="K43" s="865"/>
      <c r="L43" s="388" t="s">
        <v>439</v>
      </c>
      <c r="M43" s="389" t="s">
        <v>1422</v>
      </c>
      <c r="N43" s="1055" t="s">
        <v>1540</v>
      </c>
      <c r="O43" s="6" t="s">
        <v>1541</v>
      </c>
      <c r="P43" s="6" t="s">
        <v>2654</v>
      </c>
      <c r="Q43" s="1330" t="s">
        <v>1558</v>
      </c>
      <c r="R43" s="369" t="s">
        <v>460</v>
      </c>
      <c r="S43" s="370" t="s">
        <v>461</v>
      </c>
      <c r="T43" s="370" t="s">
        <v>1423</v>
      </c>
      <c r="U43" s="1741" t="s">
        <v>18</v>
      </c>
      <c r="V43" s="847"/>
    </row>
    <row r="44" spans="1:22">
      <c r="A44" s="197" t="s">
        <v>445</v>
      </c>
      <c r="B44" s="198"/>
      <c r="C44" s="1180"/>
      <c r="D44" s="200"/>
      <c r="E44" s="1190"/>
      <c r="F44" s="1331" t="str">
        <f t="shared" ref="F44:F52" si="18">IF(ISERROR(E44/D44),"-",E44/D44)</f>
        <v>-</v>
      </c>
      <c r="G44" s="199"/>
      <c r="H44" s="200"/>
      <c r="I44" s="200"/>
      <c r="J44" s="201">
        <f t="shared" ref="J44:J51" si="19">+B44+IF(D44&lt;=E44,E44,D44)+G44+H44+I44</f>
        <v>0</v>
      </c>
      <c r="K44" s="863"/>
      <c r="L44" s="197" t="s">
        <v>445</v>
      </c>
      <c r="M44" s="198"/>
      <c r="N44" s="1180"/>
      <c r="O44" s="200"/>
      <c r="P44" s="1190"/>
      <c r="Q44" s="1331" t="str">
        <f t="shared" ref="Q44:Q52" si="20">IF(ISERROR(P44/O44),"-",P44/O44)</f>
        <v>-</v>
      </c>
      <c r="R44" s="199"/>
      <c r="S44" s="200"/>
      <c r="T44" s="200"/>
      <c r="U44" s="201">
        <f t="shared" ref="U44:U51" si="21">+M44+IF(O44&lt;=P44,P44,O44)+R44+S44+T44</f>
        <v>0</v>
      </c>
      <c r="V44" s="191"/>
    </row>
    <row r="45" spans="1:22">
      <c r="A45" s="216" t="s">
        <v>446</v>
      </c>
      <c r="B45" s="208"/>
      <c r="C45" s="1182"/>
      <c r="D45" s="210"/>
      <c r="E45" s="1191"/>
      <c r="F45" s="1332" t="str">
        <f t="shared" si="18"/>
        <v>-</v>
      </c>
      <c r="G45" s="209"/>
      <c r="H45" s="210"/>
      <c r="I45" s="210"/>
      <c r="J45" s="211">
        <f t="shared" si="19"/>
        <v>0</v>
      </c>
      <c r="K45" s="863"/>
      <c r="L45" s="216" t="s">
        <v>446</v>
      </c>
      <c r="M45" s="208"/>
      <c r="N45" s="1182"/>
      <c r="O45" s="210"/>
      <c r="P45" s="1191"/>
      <c r="Q45" s="1332" t="str">
        <f t="shared" si="20"/>
        <v>-</v>
      </c>
      <c r="R45" s="209"/>
      <c r="S45" s="210"/>
      <c r="T45" s="210"/>
      <c r="U45" s="211">
        <f t="shared" si="21"/>
        <v>0</v>
      </c>
      <c r="V45" s="191"/>
    </row>
    <row r="46" spans="1:22">
      <c r="A46" s="207" t="s">
        <v>447</v>
      </c>
      <c r="B46" s="208"/>
      <c r="C46" s="1182"/>
      <c r="D46" s="210"/>
      <c r="E46" s="1191"/>
      <c r="F46" s="1332" t="str">
        <f t="shared" si="18"/>
        <v>-</v>
      </c>
      <c r="G46" s="209"/>
      <c r="H46" s="210"/>
      <c r="I46" s="210"/>
      <c r="J46" s="211">
        <f t="shared" si="19"/>
        <v>0</v>
      </c>
      <c r="K46" s="863"/>
      <c r="L46" s="207" t="s">
        <v>447</v>
      </c>
      <c r="M46" s="208">
        <v>14224</v>
      </c>
      <c r="N46" s="1182"/>
      <c r="O46" s="210">
        <v>6146</v>
      </c>
      <c r="P46" s="1191">
        <v>6146</v>
      </c>
      <c r="Q46" s="1332">
        <f t="shared" si="20"/>
        <v>1</v>
      </c>
      <c r="R46" s="209"/>
      <c r="S46" s="210"/>
      <c r="T46" s="210"/>
      <c r="U46" s="211">
        <f t="shared" si="21"/>
        <v>20370</v>
      </c>
      <c r="V46" s="191"/>
    </row>
    <row r="47" spans="1:22">
      <c r="A47" s="207" t="s">
        <v>448</v>
      </c>
      <c r="B47" s="208"/>
      <c r="C47" s="1182"/>
      <c r="D47" s="210"/>
      <c r="E47" s="1191"/>
      <c r="F47" s="1332" t="str">
        <f t="shared" si="18"/>
        <v>-</v>
      </c>
      <c r="G47" s="209"/>
      <c r="H47" s="210"/>
      <c r="I47" s="210"/>
      <c r="J47" s="211">
        <f t="shared" si="19"/>
        <v>0</v>
      </c>
      <c r="K47" s="863"/>
      <c r="L47" s="207" t="s">
        <v>448</v>
      </c>
      <c r="M47" s="208"/>
      <c r="N47" s="1182"/>
      <c r="O47" s="210"/>
      <c r="P47" s="1191"/>
      <c r="Q47" s="1332" t="str">
        <f t="shared" si="20"/>
        <v>-</v>
      </c>
      <c r="R47" s="209"/>
      <c r="S47" s="210"/>
      <c r="T47" s="210"/>
      <c r="U47" s="211">
        <f t="shared" si="21"/>
        <v>0</v>
      </c>
      <c r="V47" s="191"/>
    </row>
    <row r="48" spans="1:22">
      <c r="A48" s="217" t="s">
        <v>449</v>
      </c>
      <c r="B48" s="218"/>
      <c r="C48" s="1182">
        <v>177292</v>
      </c>
      <c r="D48" s="210">
        <v>0</v>
      </c>
      <c r="E48" s="1191"/>
      <c r="F48" s="1332" t="str">
        <f t="shared" si="18"/>
        <v>-</v>
      </c>
      <c r="G48" s="209">
        <v>177292</v>
      </c>
      <c r="H48" s="210"/>
      <c r="I48" s="210"/>
      <c r="J48" s="211">
        <f t="shared" si="19"/>
        <v>177292</v>
      </c>
      <c r="K48" s="863"/>
      <c r="L48" s="217" t="s">
        <v>449</v>
      </c>
      <c r="M48" s="218"/>
      <c r="N48" s="1182">
        <v>587082</v>
      </c>
      <c r="O48" s="210">
        <v>0</v>
      </c>
      <c r="P48" s="1191"/>
      <c r="Q48" s="1332" t="str">
        <f t="shared" si="20"/>
        <v>-</v>
      </c>
      <c r="R48" s="209">
        <v>580936</v>
      </c>
      <c r="S48" s="210"/>
      <c r="T48" s="210"/>
      <c r="U48" s="211">
        <f t="shared" si="21"/>
        <v>580936</v>
      </c>
      <c r="V48" s="191"/>
    </row>
    <row r="49" spans="1:28">
      <c r="A49" s="217" t="s">
        <v>450</v>
      </c>
      <c r="B49" s="218"/>
      <c r="C49" s="1182"/>
      <c r="D49" s="210"/>
      <c r="E49" s="1191"/>
      <c r="F49" s="1332" t="str">
        <f t="shared" si="18"/>
        <v>-</v>
      </c>
      <c r="G49" s="209"/>
      <c r="H49" s="210"/>
      <c r="I49" s="210"/>
      <c r="J49" s="211">
        <f t="shared" si="19"/>
        <v>0</v>
      </c>
      <c r="K49" s="863"/>
      <c r="L49" s="217" t="s">
        <v>450</v>
      </c>
      <c r="M49" s="218">
        <v>15411</v>
      </c>
      <c r="N49" s="1182"/>
      <c r="O49" s="210"/>
      <c r="P49" s="1191"/>
      <c r="Q49" s="1332" t="str">
        <f t="shared" si="20"/>
        <v>-</v>
      </c>
      <c r="R49" s="209"/>
      <c r="S49" s="210"/>
      <c r="T49" s="210"/>
      <c r="U49" s="211">
        <f t="shared" si="21"/>
        <v>15411</v>
      </c>
      <c r="V49" s="191"/>
    </row>
    <row r="50" spans="1:28">
      <c r="A50" s="219" t="s">
        <v>451</v>
      </c>
      <c r="B50" s="220"/>
      <c r="C50" s="1184"/>
      <c r="D50" s="222"/>
      <c r="E50" s="1192"/>
      <c r="F50" s="1334" t="str">
        <f t="shared" si="18"/>
        <v>-</v>
      </c>
      <c r="G50" s="221"/>
      <c r="H50" s="222"/>
      <c r="I50" s="222"/>
      <c r="J50" s="211">
        <f t="shared" si="19"/>
        <v>0</v>
      </c>
      <c r="K50" s="863"/>
      <c r="L50" s="219" t="s">
        <v>451</v>
      </c>
      <c r="M50" s="220"/>
      <c r="N50" s="1184"/>
      <c r="O50" s="222"/>
      <c r="P50" s="1192"/>
      <c r="Q50" s="1334" t="str">
        <f t="shared" si="20"/>
        <v>-</v>
      </c>
      <c r="R50" s="221"/>
      <c r="S50" s="222"/>
      <c r="T50" s="222"/>
      <c r="U50" s="211">
        <f t="shared" si="21"/>
        <v>0</v>
      </c>
      <c r="V50" s="191"/>
    </row>
    <row r="51" spans="1:28" ht="12.75" thickBot="1">
      <c r="A51" s="219" t="s">
        <v>452</v>
      </c>
      <c r="B51" s="220"/>
      <c r="C51" s="1184"/>
      <c r="D51" s="222"/>
      <c r="E51" s="1192"/>
      <c r="F51" s="1334" t="str">
        <f t="shared" si="18"/>
        <v>-</v>
      </c>
      <c r="G51" s="221"/>
      <c r="H51" s="222"/>
      <c r="I51" s="222"/>
      <c r="J51" s="211">
        <f t="shared" si="19"/>
        <v>0</v>
      </c>
      <c r="K51" s="863"/>
      <c r="L51" s="219" t="s">
        <v>452</v>
      </c>
      <c r="M51" s="220"/>
      <c r="N51" s="1184"/>
      <c r="O51" s="222"/>
      <c r="P51" s="1192"/>
      <c r="Q51" s="1334" t="str">
        <f t="shared" si="20"/>
        <v>-</v>
      </c>
      <c r="R51" s="221"/>
      <c r="S51" s="222"/>
      <c r="T51" s="222"/>
      <c r="U51" s="211">
        <f t="shared" si="21"/>
        <v>0</v>
      </c>
      <c r="V51" s="191"/>
    </row>
    <row r="52" spans="1:28" ht="12.75" thickBot="1">
      <c r="A52" s="190" t="s">
        <v>453</v>
      </c>
      <c r="B52" s="212">
        <f t="shared" ref="B52:J52" si="22">+B44+B45+B46+B47+B48+B49+B50+B51</f>
        <v>0</v>
      </c>
      <c r="C52" s="1183">
        <f t="shared" si="22"/>
        <v>177292</v>
      </c>
      <c r="D52" s="212">
        <f>+D44+D45+D46+D47+D48+D49+D50+D51</f>
        <v>0</v>
      </c>
      <c r="E52" s="1185">
        <f>+E44+E45+E46+E47+E48+E49+E50+E51</f>
        <v>0</v>
      </c>
      <c r="F52" s="1333" t="str">
        <f t="shared" si="18"/>
        <v>-</v>
      </c>
      <c r="G52" s="214">
        <f t="shared" si="22"/>
        <v>177292</v>
      </c>
      <c r="H52" s="212">
        <f t="shared" si="22"/>
        <v>0</v>
      </c>
      <c r="I52" s="212">
        <f t="shared" si="22"/>
        <v>0</v>
      </c>
      <c r="J52" s="213">
        <f t="shared" si="22"/>
        <v>177292</v>
      </c>
      <c r="L52" s="190" t="s">
        <v>453</v>
      </c>
      <c r="M52" s="212">
        <f t="shared" ref="M52:U52" si="23">+M44+M45+M46+M47+M48+M49+M50+M51</f>
        <v>29635</v>
      </c>
      <c r="N52" s="1183">
        <f t="shared" si="23"/>
        <v>587082</v>
      </c>
      <c r="O52" s="212">
        <f>+O44+O45+O46+O47+O48+O49+O50+O51</f>
        <v>6146</v>
      </c>
      <c r="P52" s="1185">
        <f>+P44+P45+P46+P47+P48+P49+P50+P51</f>
        <v>6146</v>
      </c>
      <c r="Q52" s="1333">
        <f t="shared" si="20"/>
        <v>1</v>
      </c>
      <c r="R52" s="214">
        <f t="shared" si="23"/>
        <v>580936</v>
      </c>
      <c r="S52" s="212">
        <f t="shared" si="23"/>
        <v>0</v>
      </c>
      <c r="T52" s="212">
        <f t="shared" si="23"/>
        <v>0</v>
      </c>
      <c r="U52" s="213">
        <f t="shared" si="23"/>
        <v>616717</v>
      </c>
      <c r="V52" s="191"/>
      <c r="X52" s="863"/>
      <c r="AA52" s="863"/>
    </row>
    <row r="53" spans="1:28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863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</row>
    <row r="54" spans="1:28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863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</row>
    <row r="55" spans="1:28" s="856" customFormat="1" ht="15.75">
      <c r="A55" s="189" t="s">
        <v>1179</v>
      </c>
      <c r="B55" s="1798" t="s">
        <v>1181</v>
      </c>
      <c r="C55" s="1798"/>
      <c r="D55" s="1798"/>
      <c r="E55" s="1798"/>
      <c r="F55" s="1798"/>
      <c r="G55" s="1798"/>
      <c r="H55" s="1798"/>
      <c r="I55" s="1798"/>
      <c r="J55" s="1798"/>
      <c r="K55" s="766"/>
      <c r="L55" s="189" t="s">
        <v>1180</v>
      </c>
      <c r="M55" s="1798" t="s">
        <v>1184</v>
      </c>
      <c r="N55" s="1798"/>
      <c r="O55" s="1798"/>
      <c r="P55" s="1798"/>
      <c r="Q55" s="1798"/>
      <c r="R55" s="1798"/>
      <c r="S55" s="1798"/>
      <c r="T55" s="1798"/>
      <c r="U55" s="1798"/>
      <c r="V55" s="1737"/>
    </row>
    <row r="56" spans="1:28" s="856" customFormat="1" ht="31.5" customHeight="1">
      <c r="A56" s="1796" t="s">
        <v>1182</v>
      </c>
      <c r="B56" s="1796"/>
      <c r="C56" s="1796"/>
      <c r="D56" s="1796"/>
      <c r="E56" s="1796"/>
      <c r="F56" s="1796"/>
      <c r="G56" s="1796"/>
      <c r="H56" s="1796"/>
      <c r="I56" s="1796"/>
      <c r="J56" s="1796"/>
      <c r="K56" s="766"/>
      <c r="L56" s="1796" t="s">
        <v>1187</v>
      </c>
      <c r="M56" s="1796"/>
      <c r="N56" s="1796"/>
      <c r="O56" s="1796"/>
      <c r="P56" s="1796"/>
      <c r="Q56" s="1796"/>
      <c r="R56" s="1796"/>
      <c r="S56" s="1796"/>
      <c r="T56" s="1796"/>
      <c r="U56" s="1796"/>
      <c r="V56" s="1738"/>
    </row>
    <row r="57" spans="1:28" s="856" customFormat="1" ht="15.75">
      <c r="A57" s="1795" t="s">
        <v>1105</v>
      </c>
      <c r="B57" s="1795"/>
      <c r="C57" s="1795"/>
      <c r="D57" s="1795"/>
      <c r="E57" s="1795"/>
      <c r="F57" s="1795"/>
      <c r="G57" s="1795"/>
      <c r="H57" s="1795"/>
      <c r="I57" s="1795"/>
      <c r="J57" s="1795"/>
      <c r="K57" s="766"/>
      <c r="L57" s="1795" t="s">
        <v>1105</v>
      </c>
      <c r="M57" s="1795"/>
      <c r="N57" s="1795"/>
      <c r="O57" s="1795"/>
      <c r="P57" s="1795"/>
      <c r="Q57" s="1795"/>
      <c r="R57" s="1795"/>
      <c r="S57" s="1795"/>
      <c r="T57" s="1795"/>
      <c r="U57" s="1795"/>
      <c r="V57" s="1739"/>
    </row>
    <row r="58" spans="1:28" s="859" customFormat="1" ht="12.75" thickBot="1">
      <c r="A58" s="858"/>
      <c r="B58" s="858"/>
      <c r="G58" s="858"/>
      <c r="H58" s="858"/>
      <c r="J58" s="234" t="s">
        <v>280</v>
      </c>
      <c r="K58" s="860"/>
      <c r="L58" s="858"/>
      <c r="M58" s="858"/>
      <c r="N58" s="858"/>
      <c r="O58" s="858"/>
      <c r="P58" s="858"/>
      <c r="Q58" s="858"/>
      <c r="R58" s="858"/>
      <c r="S58" s="858"/>
      <c r="U58" s="234" t="s">
        <v>280</v>
      </c>
      <c r="V58" s="846"/>
    </row>
    <row r="59" spans="1:28" s="862" customFormat="1" ht="36.75" thickBot="1">
      <c r="A59" s="388" t="s">
        <v>431</v>
      </c>
      <c r="B59" s="389" t="s">
        <v>1422</v>
      </c>
      <c r="C59" s="1055" t="s">
        <v>1540</v>
      </c>
      <c r="D59" s="6" t="s">
        <v>1541</v>
      </c>
      <c r="E59" s="6" t="s">
        <v>2654</v>
      </c>
      <c r="F59" s="1330" t="s">
        <v>1558</v>
      </c>
      <c r="G59" s="369" t="s">
        <v>460</v>
      </c>
      <c r="H59" s="370" t="s">
        <v>461</v>
      </c>
      <c r="I59" s="370" t="s">
        <v>1423</v>
      </c>
      <c r="J59" s="1741" t="s">
        <v>18</v>
      </c>
      <c r="K59" s="861"/>
      <c r="L59" s="388" t="s">
        <v>431</v>
      </c>
      <c r="M59" s="389" t="s">
        <v>1422</v>
      </c>
      <c r="N59" s="1055" t="s">
        <v>1540</v>
      </c>
      <c r="O59" s="6" t="s">
        <v>1541</v>
      </c>
      <c r="P59" s="6" t="s">
        <v>2654</v>
      </c>
      <c r="Q59" s="1330" t="s">
        <v>1558</v>
      </c>
      <c r="R59" s="369" t="s">
        <v>460</v>
      </c>
      <c r="S59" s="370" t="s">
        <v>461</v>
      </c>
      <c r="T59" s="370" t="s">
        <v>1423</v>
      </c>
      <c r="U59" s="1741" t="s">
        <v>18</v>
      </c>
      <c r="V59" s="847"/>
    </row>
    <row r="60" spans="1:28">
      <c r="A60" s="197" t="s">
        <v>432</v>
      </c>
      <c r="B60" s="198">
        <f t="shared" ref="B60:J60" si="24">+B77-B65-B64-B63-B62</f>
        <v>-264717</v>
      </c>
      <c r="C60" s="1180">
        <f t="shared" si="24"/>
        <v>256470</v>
      </c>
      <c r="D60" s="200">
        <f>+D77-D65-D64-D63-D62</f>
        <v>157145</v>
      </c>
      <c r="E60" s="200">
        <f>+E77-E65-E64-E63-E62</f>
        <v>157145</v>
      </c>
      <c r="F60" s="1331">
        <f t="shared" ref="F60:F66" si="25">IF(ISERROR(E60/D60),"-",E60/D60)</f>
        <v>1</v>
      </c>
      <c r="G60" s="199">
        <f t="shared" si="24"/>
        <v>107572</v>
      </c>
      <c r="H60" s="200">
        <f t="shared" si="24"/>
        <v>0</v>
      </c>
      <c r="I60" s="200">
        <f t="shared" si="24"/>
        <v>0</v>
      </c>
      <c r="J60" s="201">
        <f t="shared" si="24"/>
        <v>0</v>
      </c>
      <c r="K60" s="863"/>
      <c r="L60" s="197" t="s">
        <v>432</v>
      </c>
      <c r="M60" s="198">
        <f t="shared" ref="M60:U60" si="26">+M77-M65-M64-M63-M62</f>
        <v>-740</v>
      </c>
      <c r="N60" s="1180">
        <f t="shared" si="26"/>
        <v>0</v>
      </c>
      <c r="O60" s="200">
        <f>+O77-O65-O64-O63-O62</f>
        <v>0</v>
      </c>
      <c r="P60" s="200">
        <f>+P77-P65-P64-P63-P62</f>
        <v>0</v>
      </c>
      <c r="Q60" s="1331" t="str">
        <f t="shared" ref="Q60:Q66" si="27">IF(ISERROR(P60/O60),"-",P60/O60)</f>
        <v>-</v>
      </c>
      <c r="R60" s="199">
        <f t="shared" si="26"/>
        <v>0</v>
      </c>
      <c r="S60" s="200">
        <f t="shared" si="26"/>
        <v>0</v>
      </c>
      <c r="T60" s="200">
        <f t="shared" si="26"/>
        <v>0</v>
      </c>
      <c r="U60" s="201">
        <f t="shared" si="26"/>
        <v>-740</v>
      </c>
      <c r="V60" s="191"/>
    </row>
    <row r="61" spans="1:28">
      <c r="A61" s="202" t="s">
        <v>433</v>
      </c>
      <c r="B61" s="203"/>
      <c r="C61" s="1181"/>
      <c r="D61" s="205"/>
      <c r="E61" s="205"/>
      <c r="F61" s="1332" t="str">
        <f t="shared" si="25"/>
        <v>-</v>
      </c>
      <c r="G61" s="204"/>
      <c r="H61" s="205"/>
      <c r="I61" s="205"/>
      <c r="J61" s="206">
        <f>+B61+IF(D61&lt;=E61,E61,D61)+G61+H61+I61</f>
        <v>0</v>
      </c>
      <c r="K61" s="863"/>
      <c r="L61" s="202" t="s">
        <v>433</v>
      </c>
      <c r="M61" s="203"/>
      <c r="N61" s="1181"/>
      <c r="O61" s="205"/>
      <c r="P61" s="205"/>
      <c r="Q61" s="1332" t="str">
        <f t="shared" si="27"/>
        <v>-</v>
      </c>
      <c r="R61" s="204"/>
      <c r="S61" s="205"/>
      <c r="T61" s="205"/>
      <c r="U61" s="206">
        <f>+M61+IF(O61&lt;=P61,P61,O61)+R61+S61+T61</f>
        <v>0</v>
      </c>
      <c r="V61" s="848"/>
      <c r="W61" s="118"/>
      <c r="Z61" s="118"/>
    </row>
    <row r="62" spans="1:28">
      <c r="A62" s="207" t="s">
        <v>434</v>
      </c>
      <c r="B62" s="208">
        <v>289000</v>
      </c>
      <c r="C62" s="1182"/>
      <c r="D62" s="210"/>
      <c r="E62" s="210"/>
      <c r="F62" s="1332" t="str">
        <f t="shared" si="25"/>
        <v>-</v>
      </c>
      <c r="G62" s="209"/>
      <c r="H62" s="210"/>
      <c r="I62" s="210"/>
      <c r="J62" s="211">
        <f>+B62+IF(D62&lt;=E62,E62,D62)+G62+H62+I62</f>
        <v>289000</v>
      </c>
      <c r="K62" s="863"/>
      <c r="L62" s="207" t="s">
        <v>434</v>
      </c>
      <c r="M62" s="208">
        <v>147830</v>
      </c>
      <c r="N62" s="1182"/>
      <c r="O62" s="210"/>
      <c r="P62" s="210"/>
      <c r="Q62" s="1332" t="str">
        <f t="shared" si="27"/>
        <v>-</v>
      </c>
      <c r="R62" s="209"/>
      <c r="S62" s="210"/>
      <c r="T62" s="210"/>
      <c r="U62" s="211">
        <f>+M62+IF(O62&lt;=P62,P62,O62)+R62+S62+T62</f>
        <v>147830</v>
      </c>
      <c r="V62" s="191"/>
      <c r="W62" s="118"/>
      <c r="X62" s="118"/>
      <c r="Y62" s="118"/>
      <c r="Z62" s="118"/>
      <c r="AA62" s="118"/>
      <c r="AB62" s="118"/>
    </row>
    <row r="63" spans="1:28">
      <c r="A63" s="207" t="s">
        <v>435</v>
      </c>
      <c r="B63" s="208"/>
      <c r="C63" s="1182"/>
      <c r="D63" s="210"/>
      <c r="E63" s="210"/>
      <c r="F63" s="1332" t="str">
        <f t="shared" si="25"/>
        <v>-</v>
      </c>
      <c r="G63" s="209"/>
      <c r="H63" s="210"/>
      <c r="I63" s="210"/>
      <c r="J63" s="211">
        <f>+B63+IF(D63&lt;=E63,E63,D63)+G63+H63+I63</f>
        <v>0</v>
      </c>
      <c r="K63" s="863"/>
      <c r="L63" s="207" t="s">
        <v>435</v>
      </c>
      <c r="M63" s="208"/>
      <c r="N63" s="1182"/>
      <c r="O63" s="210"/>
      <c r="P63" s="210"/>
      <c r="Q63" s="1332" t="str">
        <f t="shared" si="27"/>
        <v>-</v>
      </c>
      <c r="R63" s="209"/>
      <c r="S63" s="210"/>
      <c r="T63" s="210"/>
      <c r="U63" s="211">
        <f>+M63+IF(O63&lt;=P63,P63,O63)+R63+S63+T63</f>
        <v>0</v>
      </c>
      <c r="V63" s="191"/>
      <c r="W63" s="118"/>
      <c r="Z63" s="118"/>
    </row>
    <row r="64" spans="1:28">
      <c r="A64" s="207" t="s">
        <v>436</v>
      </c>
      <c r="B64" s="208"/>
      <c r="C64" s="1182"/>
      <c r="D64" s="210"/>
      <c r="E64" s="210"/>
      <c r="F64" s="1332" t="str">
        <f t="shared" si="25"/>
        <v>-</v>
      </c>
      <c r="G64" s="209"/>
      <c r="H64" s="210"/>
      <c r="I64" s="210"/>
      <c r="J64" s="211">
        <f>+B64+IF(D64&lt;=E64,E64,D64)+G64+H64+I64</f>
        <v>0</v>
      </c>
      <c r="K64" s="863"/>
      <c r="L64" s="207" t="s">
        <v>436</v>
      </c>
      <c r="M64" s="208"/>
      <c r="N64" s="1182"/>
      <c r="O64" s="210"/>
      <c r="P64" s="210"/>
      <c r="Q64" s="1332" t="str">
        <f t="shared" si="27"/>
        <v>-</v>
      </c>
      <c r="R64" s="209"/>
      <c r="S64" s="210"/>
      <c r="T64" s="210"/>
      <c r="U64" s="211">
        <f>+M64+IF(O64&lt;=P64,P64,O64)+R64+S64+T64</f>
        <v>0</v>
      </c>
      <c r="V64" s="191"/>
      <c r="W64" s="118"/>
      <c r="Z64" s="118"/>
    </row>
    <row r="65" spans="1:28" ht="12.75" thickBot="1">
      <c r="A65" s="207" t="s">
        <v>437</v>
      </c>
      <c r="B65" s="208"/>
      <c r="C65" s="1182"/>
      <c r="D65" s="210"/>
      <c r="E65" s="210"/>
      <c r="F65" s="1332" t="str">
        <f t="shared" si="25"/>
        <v>-</v>
      </c>
      <c r="G65" s="209"/>
      <c r="H65" s="210"/>
      <c r="I65" s="210"/>
      <c r="J65" s="211">
        <f>+B65+IF(D65&lt;=E65,E65,D65)+G65+H65+I65</f>
        <v>0</v>
      </c>
      <c r="K65" s="863"/>
      <c r="L65" s="207" t="s">
        <v>437</v>
      </c>
      <c r="M65" s="208"/>
      <c r="N65" s="1182"/>
      <c r="O65" s="210"/>
      <c r="P65" s="210"/>
      <c r="Q65" s="1332" t="str">
        <f t="shared" si="27"/>
        <v>-</v>
      </c>
      <c r="R65" s="209"/>
      <c r="S65" s="210"/>
      <c r="T65" s="210"/>
      <c r="U65" s="211">
        <f>+M65+IF(O65&lt;=P65,P65,O65)+R65+S65+T65</f>
        <v>0</v>
      </c>
      <c r="V65" s="191"/>
      <c r="W65" s="118"/>
      <c r="Z65" s="118"/>
    </row>
    <row r="66" spans="1:28" ht="12.75" thickBot="1">
      <c r="A66" s="190" t="s">
        <v>438</v>
      </c>
      <c r="B66" s="212">
        <f t="shared" ref="B66:J66" si="28">+B60+B62+B63+B64+B65</f>
        <v>24283</v>
      </c>
      <c r="C66" s="1183">
        <f t="shared" si="28"/>
        <v>256470</v>
      </c>
      <c r="D66" s="212">
        <f>+D60+D62+D63+D64+D65</f>
        <v>157145</v>
      </c>
      <c r="E66" s="212">
        <f>+E60+E62+E63+E64+E65</f>
        <v>157145</v>
      </c>
      <c r="F66" s="1333">
        <f t="shared" si="25"/>
        <v>1</v>
      </c>
      <c r="G66" s="214">
        <f t="shared" si="28"/>
        <v>107572</v>
      </c>
      <c r="H66" s="212">
        <f t="shared" si="28"/>
        <v>0</v>
      </c>
      <c r="I66" s="212">
        <f t="shared" si="28"/>
        <v>0</v>
      </c>
      <c r="J66" s="213">
        <f t="shared" si="28"/>
        <v>289000</v>
      </c>
      <c r="K66" s="863"/>
      <c r="L66" s="190" t="s">
        <v>438</v>
      </c>
      <c r="M66" s="212">
        <f t="shared" ref="M66:U66" si="29">+M60+M62+M63+M64+M65</f>
        <v>147090</v>
      </c>
      <c r="N66" s="1183">
        <f t="shared" si="29"/>
        <v>0</v>
      </c>
      <c r="O66" s="212">
        <f>+O60+O62+O63+O64+O65</f>
        <v>0</v>
      </c>
      <c r="P66" s="212">
        <f>+P60+P62+P63+P64+P65</f>
        <v>0</v>
      </c>
      <c r="Q66" s="1333" t="str">
        <f t="shared" si="27"/>
        <v>-</v>
      </c>
      <c r="R66" s="214">
        <f t="shared" si="29"/>
        <v>0</v>
      </c>
      <c r="S66" s="212">
        <f t="shared" si="29"/>
        <v>0</v>
      </c>
      <c r="T66" s="212">
        <f t="shared" si="29"/>
        <v>0</v>
      </c>
      <c r="U66" s="213">
        <f t="shared" si="29"/>
        <v>147090</v>
      </c>
      <c r="V66" s="191"/>
    </row>
    <row r="67" spans="1:28" ht="12.75" thickBot="1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863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</row>
    <row r="68" spans="1:28" s="862" customFormat="1" ht="36.75" thickBot="1">
      <c r="A68" s="388" t="s">
        <v>439</v>
      </c>
      <c r="B68" s="389" t="s">
        <v>1422</v>
      </c>
      <c r="C68" s="1055" t="s">
        <v>1540</v>
      </c>
      <c r="D68" s="6" t="s">
        <v>1541</v>
      </c>
      <c r="E68" s="6" t="s">
        <v>2654</v>
      </c>
      <c r="F68" s="1330" t="s">
        <v>1558</v>
      </c>
      <c r="G68" s="369" t="s">
        <v>460</v>
      </c>
      <c r="H68" s="370" t="s">
        <v>461</v>
      </c>
      <c r="I68" s="370" t="s">
        <v>1423</v>
      </c>
      <c r="J68" s="1741" t="s">
        <v>18</v>
      </c>
      <c r="K68" s="865"/>
      <c r="L68" s="388" t="s">
        <v>439</v>
      </c>
      <c r="M68" s="389" t="s">
        <v>1422</v>
      </c>
      <c r="N68" s="1055" t="s">
        <v>1540</v>
      </c>
      <c r="O68" s="6" t="s">
        <v>1541</v>
      </c>
      <c r="P68" s="6" t="s">
        <v>2654</v>
      </c>
      <c r="Q68" s="1330" t="s">
        <v>1558</v>
      </c>
      <c r="R68" s="369" t="s">
        <v>460</v>
      </c>
      <c r="S68" s="370" t="s">
        <v>461</v>
      </c>
      <c r="T68" s="370" t="s">
        <v>1423</v>
      </c>
      <c r="U68" s="1741" t="s">
        <v>18</v>
      </c>
      <c r="V68" s="847"/>
    </row>
    <row r="69" spans="1:28">
      <c r="A69" s="197" t="s">
        <v>445</v>
      </c>
      <c r="B69" s="198"/>
      <c r="C69" s="1180"/>
      <c r="D69" s="200"/>
      <c r="E69" s="1190"/>
      <c r="F69" s="1331" t="str">
        <f t="shared" ref="F69:F77" si="30">IF(ISERROR(E69/D69),"-",E69/D69)</f>
        <v>-</v>
      </c>
      <c r="G69" s="199"/>
      <c r="H69" s="200"/>
      <c r="I69" s="200"/>
      <c r="J69" s="201">
        <f t="shared" ref="J69:J76" si="31">+B69+IF(D69&lt;=E69,E69,D69)+G69+H69+I69</f>
        <v>0</v>
      </c>
      <c r="K69" s="863"/>
      <c r="L69" s="197" t="s">
        <v>445</v>
      </c>
      <c r="M69" s="198"/>
      <c r="N69" s="1180"/>
      <c r="O69" s="200"/>
      <c r="P69" s="1190"/>
      <c r="Q69" s="1331" t="str">
        <f t="shared" ref="Q69:Q77" si="32">IF(ISERROR(P69/O69),"-",P69/O69)</f>
        <v>-</v>
      </c>
      <c r="R69" s="199"/>
      <c r="S69" s="200"/>
      <c r="T69" s="200"/>
      <c r="U69" s="201">
        <f t="shared" ref="U69:U76" si="33">+M69+IF(O69&lt;=P69,P69,O69)+R69+S69+T69</f>
        <v>0</v>
      </c>
      <c r="V69" s="191"/>
      <c r="W69" s="118"/>
      <c r="X69" s="118"/>
      <c r="Y69" s="118"/>
      <c r="Z69" s="118"/>
      <c r="AA69" s="118"/>
      <c r="AB69" s="118"/>
    </row>
    <row r="70" spans="1:28">
      <c r="A70" s="216" t="s">
        <v>446</v>
      </c>
      <c r="B70" s="208"/>
      <c r="C70" s="1182"/>
      <c r="D70" s="210"/>
      <c r="E70" s="1191"/>
      <c r="F70" s="1332" t="str">
        <f t="shared" si="30"/>
        <v>-</v>
      </c>
      <c r="G70" s="209"/>
      <c r="H70" s="210"/>
      <c r="I70" s="210"/>
      <c r="J70" s="211">
        <f t="shared" si="31"/>
        <v>0</v>
      </c>
      <c r="K70" s="863"/>
      <c r="L70" s="216" t="s">
        <v>446</v>
      </c>
      <c r="M70" s="208"/>
      <c r="N70" s="1182"/>
      <c r="O70" s="210"/>
      <c r="P70" s="1191"/>
      <c r="Q70" s="1332" t="str">
        <f t="shared" si="32"/>
        <v>-</v>
      </c>
      <c r="R70" s="209"/>
      <c r="S70" s="210"/>
      <c r="T70" s="210"/>
      <c r="U70" s="211">
        <f t="shared" si="33"/>
        <v>0</v>
      </c>
      <c r="V70" s="191"/>
      <c r="W70" s="118"/>
      <c r="X70" s="118"/>
      <c r="Y70" s="118"/>
      <c r="Z70" s="118"/>
      <c r="AA70" s="118"/>
      <c r="AB70" s="118"/>
    </row>
    <row r="71" spans="1:28">
      <c r="A71" s="207" t="s">
        <v>447</v>
      </c>
      <c r="B71" s="208">
        <f>11800+3815</f>
        <v>15615</v>
      </c>
      <c r="C71" s="1182"/>
      <c r="D71" s="210">
        <v>23891</v>
      </c>
      <c r="E71" s="1191">
        <f>23891-1+1</f>
        <v>23891</v>
      </c>
      <c r="F71" s="1332">
        <f t="shared" si="30"/>
        <v>1</v>
      </c>
      <c r="G71" s="209"/>
      <c r="H71" s="210"/>
      <c r="I71" s="210"/>
      <c r="J71" s="211">
        <f t="shared" si="31"/>
        <v>39506</v>
      </c>
      <c r="K71" s="863"/>
      <c r="L71" s="207" t="s">
        <v>447</v>
      </c>
      <c r="M71" s="208">
        <f>7022+489</f>
        <v>7511</v>
      </c>
      <c r="N71" s="1182"/>
      <c r="O71" s="210"/>
      <c r="P71" s="1191"/>
      <c r="Q71" s="1332" t="str">
        <f t="shared" si="32"/>
        <v>-</v>
      </c>
      <c r="R71" s="209"/>
      <c r="S71" s="210"/>
      <c r="T71" s="210"/>
      <c r="U71" s="211">
        <f t="shared" si="33"/>
        <v>7511</v>
      </c>
      <c r="V71" s="191"/>
      <c r="W71" s="118"/>
      <c r="X71" s="118"/>
      <c r="Y71" s="118"/>
      <c r="Z71" s="118"/>
      <c r="AA71" s="118"/>
      <c r="AB71" s="118"/>
    </row>
    <row r="72" spans="1:28">
      <c r="A72" s="207" t="s">
        <v>448</v>
      </c>
      <c r="B72" s="208"/>
      <c r="C72" s="1182"/>
      <c r="D72" s="210"/>
      <c r="E72" s="1191"/>
      <c r="F72" s="1332" t="str">
        <f t="shared" si="30"/>
        <v>-</v>
      </c>
      <c r="G72" s="209"/>
      <c r="H72" s="210"/>
      <c r="I72" s="210"/>
      <c r="J72" s="211">
        <f t="shared" si="31"/>
        <v>0</v>
      </c>
      <c r="K72" s="863"/>
      <c r="L72" s="207" t="s">
        <v>448</v>
      </c>
      <c r="M72" s="208"/>
      <c r="N72" s="1182"/>
      <c r="O72" s="210"/>
      <c r="P72" s="1191"/>
      <c r="Q72" s="1332" t="str">
        <f t="shared" si="32"/>
        <v>-</v>
      </c>
      <c r="R72" s="209"/>
      <c r="S72" s="210"/>
      <c r="T72" s="210"/>
      <c r="U72" s="211">
        <f t="shared" si="33"/>
        <v>0</v>
      </c>
      <c r="V72" s="191"/>
      <c r="W72" s="118"/>
      <c r="Y72" s="118"/>
      <c r="Z72" s="118"/>
      <c r="AB72" s="118"/>
    </row>
    <row r="73" spans="1:28">
      <c r="A73" s="217" t="s">
        <v>449</v>
      </c>
      <c r="B73" s="218"/>
      <c r="C73" s="1182">
        <v>256470</v>
      </c>
      <c r="D73" s="210">
        <v>0</v>
      </c>
      <c r="E73" s="1191"/>
      <c r="F73" s="1332" t="str">
        <f t="shared" si="30"/>
        <v>-</v>
      </c>
      <c r="G73" s="209">
        <v>107572</v>
      </c>
      <c r="H73" s="210"/>
      <c r="I73" s="210"/>
      <c r="J73" s="211">
        <f t="shared" si="31"/>
        <v>107572</v>
      </c>
      <c r="K73" s="863"/>
      <c r="L73" s="217" t="s">
        <v>449</v>
      </c>
      <c r="M73" s="218">
        <v>19</v>
      </c>
      <c r="N73" s="1182"/>
      <c r="O73" s="210"/>
      <c r="P73" s="1191"/>
      <c r="Q73" s="1332" t="str">
        <f t="shared" si="32"/>
        <v>-</v>
      </c>
      <c r="R73" s="209"/>
      <c r="S73" s="210"/>
      <c r="T73" s="210"/>
      <c r="U73" s="211">
        <f t="shared" si="33"/>
        <v>19</v>
      </c>
      <c r="V73" s="191"/>
      <c r="W73" s="118"/>
      <c r="X73" s="118"/>
      <c r="Y73" s="118"/>
      <c r="Z73" s="118"/>
      <c r="AA73" s="118"/>
      <c r="AB73" s="118"/>
    </row>
    <row r="74" spans="1:28">
      <c r="A74" s="217" t="s">
        <v>450</v>
      </c>
      <c r="B74" s="218"/>
      <c r="C74" s="1182"/>
      <c r="D74" s="210"/>
      <c r="E74" s="1191"/>
      <c r="F74" s="1332" t="str">
        <f t="shared" si="30"/>
        <v>-</v>
      </c>
      <c r="G74" s="209"/>
      <c r="H74" s="210"/>
      <c r="I74" s="210"/>
      <c r="J74" s="211">
        <f t="shared" si="31"/>
        <v>0</v>
      </c>
      <c r="K74" s="863"/>
      <c r="L74" s="217" t="s">
        <v>450</v>
      </c>
      <c r="M74" s="218">
        <v>6696</v>
      </c>
      <c r="N74" s="1182"/>
      <c r="O74" s="210"/>
      <c r="P74" s="1191"/>
      <c r="Q74" s="1332" t="str">
        <f t="shared" si="32"/>
        <v>-</v>
      </c>
      <c r="R74" s="209"/>
      <c r="S74" s="210"/>
      <c r="T74" s="210"/>
      <c r="U74" s="211">
        <f t="shared" si="33"/>
        <v>6696</v>
      </c>
      <c r="V74" s="191"/>
      <c r="W74" s="118"/>
      <c r="X74" s="118"/>
      <c r="Y74" s="118"/>
      <c r="Z74" s="118"/>
      <c r="AA74" s="118"/>
      <c r="AB74" s="118"/>
    </row>
    <row r="75" spans="1:28">
      <c r="A75" s="219" t="s">
        <v>451</v>
      </c>
      <c r="B75" s="220">
        <v>8668</v>
      </c>
      <c r="C75" s="1184"/>
      <c r="D75" s="222">
        <v>133254</v>
      </c>
      <c r="E75" s="1192">
        <v>133254</v>
      </c>
      <c r="F75" s="1334">
        <f t="shared" si="30"/>
        <v>1</v>
      </c>
      <c r="G75" s="221"/>
      <c r="H75" s="222"/>
      <c r="I75" s="222"/>
      <c r="J75" s="211">
        <f t="shared" si="31"/>
        <v>141922</v>
      </c>
      <c r="K75" s="863"/>
      <c r="L75" s="219" t="s">
        <v>451</v>
      </c>
      <c r="M75" s="220">
        <v>132864</v>
      </c>
      <c r="N75" s="1184"/>
      <c r="O75" s="222"/>
      <c r="P75" s="1192"/>
      <c r="Q75" s="1334" t="str">
        <f t="shared" si="32"/>
        <v>-</v>
      </c>
      <c r="R75" s="221"/>
      <c r="S75" s="222"/>
      <c r="T75" s="222"/>
      <c r="U75" s="211">
        <f t="shared" si="33"/>
        <v>132864</v>
      </c>
      <c r="V75" s="191"/>
      <c r="W75" s="118"/>
      <c r="X75" s="118"/>
      <c r="Y75" s="118"/>
      <c r="Z75" s="118"/>
      <c r="AA75" s="118"/>
      <c r="AB75" s="118"/>
    </row>
    <row r="76" spans="1:28" ht="12.75" thickBot="1">
      <c r="A76" s="219" t="s">
        <v>452</v>
      </c>
      <c r="B76" s="220"/>
      <c r="C76" s="1184"/>
      <c r="D76" s="222"/>
      <c r="E76" s="1192"/>
      <c r="F76" s="1334" t="str">
        <f t="shared" si="30"/>
        <v>-</v>
      </c>
      <c r="G76" s="221"/>
      <c r="H76" s="222"/>
      <c r="I76" s="222"/>
      <c r="J76" s="211">
        <f t="shared" si="31"/>
        <v>0</v>
      </c>
      <c r="K76" s="863"/>
      <c r="L76" s="219" t="s">
        <v>452</v>
      </c>
      <c r="M76" s="220"/>
      <c r="N76" s="1184"/>
      <c r="O76" s="222"/>
      <c r="P76" s="1192"/>
      <c r="Q76" s="1334" t="str">
        <f t="shared" si="32"/>
        <v>-</v>
      </c>
      <c r="R76" s="221"/>
      <c r="S76" s="222"/>
      <c r="T76" s="222"/>
      <c r="U76" s="211">
        <f t="shared" si="33"/>
        <v>0</v>
      </c>
      <c r="V76" s="191"/>
      <c r="W76" s="118"/>
      <c r="X76" s="118"/>
      <c r="Y76" s="118"/>
      <c r="Z76" s="118"/>
      <c r="AA76" s="118"/>
      <c r="AB76" s="118"/>
    </row>
    <row r="77" spans="1:28" ht="12.75" thickBot="1">
      <c r="A77" s="190" t="s">
        <v>453</v>
      </c>
      <c r="B77" s="212">
        <f t="shared" ref="B77:J77" si="34">+B69+B70+B71+B72+B73+B74+B75+B76</f>
        <v>24283</v>
      </c>
      <c r="C77" s="1183">
        <f t="shared" si="34"/>
        <v>256470</v>
      </c>
      <c r="D77" s="212">
        <f>+D69+D70+D71+D72+D73+D74+D75+D76</f>
        <v>157145</v>
      </c>
      <c r="E77" s="1185">
        <f>+E69+E70+E71+E72+E73+E74+E75+E76</f>
        <v>157145</v>
      </c>
      <c r="F77" s="1333">
        <f t="shared" si="30"/>
        <v>1</v>
      </c>
      <c r="G77" s="214">
        <f t="shared" si="34"/>
        <v>107572</v>
      </c>
      <c r="H77" s="212">
        <f t="shared" si="34"/>
        <v>0</v>
      </c>
      <c r="I77" s="212">
        <f t="shared" si="34"/>
        <v>0</v>
      </c>
      <c r="J77" s="213">
        <f t="shared" si="34"/>
        <v>289000</v>
      </c>
      <c r="L77" s="190" t="s">
        <v>453</v>
      </c>
      <c r="M77" s="212">
        <f t="shared" ref="M77:U77" si="35">+M69+M70+M71+M72+M73+M74+M75+M76</f>
        <v>147090</v>
      </c>
      <c r="N77" s="1183">
        <f t="shared" si="35"/>
        <v>0</v>
      </c>
      <c r="O77" s="212">
        <f>+O69+O70+O71+O72+O73+O74+O75+O76</f>
        <v>0</v>
      </c>
      <c r="P77" s="1185">
        <f>+P69+P70+P71+P72+P73+P74+P75+P76</f>
        <v>0</v>
      </c>
      <c r="Q77" s="1333" t="str">
        <f t="shared" si="32"/>
        <v>-</v>
      </c>
      <c r="R77" s="214">
        <f t="shared" si="35"/>
        <v>0</v>
      </c>
      <c r="S77" s="212">
        <f t="shared" si="35"/>
        <v>0</v>
      </c>
      <c r="T77" s="212">
        <f t="shared" si="35"/>
        <v>0</v>
      </c>
      <c r="U77" s="213">
        <f t="shared" si="35"/>
        <v>147090</v>
      </c>
      <c r="V77" s="191"/>
      <c r="X77" s="863"/>
      <c r="AA77" s="863"/>
    </row>
    <row r="78" spans="1:28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863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</row>
    <row r="79" spans="1:28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863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</row>
    <row r="80" spans="1:28" s="856" customFormat="1" ht="15.75">
      <c r="A80" s="189" t="s">
        <v>1183</v>
      </c>
      <c r="B80" s="1798" t="s">
        <v>1186</v>
      </c>
      <c r="C80" s="1798"/>
      <c r="D80" s="1798"/>
      <c r="E80" s="1798"/>
      <c r="F80" s="1798"/>
      <c r="G80" s="1798"/>
      <c r="H80" s="1798"/>
      <c r="I80" s="1798"/>
      <c r="J80" s="1798"/>
      <c r="K80" s="766"/>
      <c r="L80" s="189" t="s">
        <v>1185</v>
      </c>
      <c r="M80" s="1798" t="s">
        <v>2737</v>
      </c>
      <c r="N80" s="1798"/>
      <c r="O80" s="1798"/>
      <c r="P80" s="1798"/>
      <c r="Q80" s="1798"/>
      <c r="R80" s="1798"/>
      <c r="S80" s="1798"/>
      <c r="T80" s="1798"/>
      <c r="U80" s="1798"/>
      <c r="V80" s="1737"/>
    </row>
    <row r="81" spans="1:28" s="856" customFormat="1" ht="15.75" customHeight="1">
      <c r="A81" s="1796" t="s">
        <v>1188</v>
      </c>
      <c r="B81" s="1796"/>
      <c r="C81" s="1796"/>
      <c r="D81" s="1796"/>
      <c r="E81" s="1796"/>
      <c r="F81" s="1796"/>
      <c r="G81" s="1796"/>
      <c r="H81" s="1796"/>
      <c r="I81" s="1796"/>
      <c r="J81" s="1796"/>
      <c r="K81" s="766"/>
      <c r="L81" s="1796" t="s">
        <v>2738</v>
      </c>
      <c r="M81" s="1796"/>
      <c r="N81" s="1796"/>
      <c r="O81" s="1796"/>
      <c r="P81" s="1796"/>
      <c r="Q81" s="1796"/>
      <c r="R81" s="1796"/>
      <c r="S81" s="1796"/>
      <c r="T81" s="1796"/>
      <c r="U81" s="1796"/>
      <c r="V81" s="1738"/>
    </row>
    <row r="82" spans="1:28" s="856" customFormat="1" ht="15.75">
      <c r="A82" s="1795" t="s">
        <v>1105</v>
      </c>
      <c r="B82" s="1795"/>
      <c r="C82" s="1795"/>
      <c r="D82" s="1795"/>
      <c r="E82" s="1795"/>
      <c r="F82" s="1795"/>
      <c r="G82" s="1795"/>
      <c r="H82" s="1795"/>
      <c r="I82" s="1795"/>
      <c r="J82" s="1795"/>
      <c r="K82" s="766"/>
      <c r="L82" s="1795" t="s">
        <v>1105</v>
      </c>
      <c r="M82" s="1795"/>
      <c r="N82" s="1795"/>
      <c r="O82" s="1795"/>
      <c r="P82" s="1795"/>
      <c r="Q82" s="1795"/>
      <c r="R82" s="1795"/>
      <c r="S82" s="1795"/>
      <c r="T82" s="1795"/>
      <c r="U82" s="1795"/>
      <c r="V82" s="1739"/>
    </row>
    <row r="83" spans="1:28" s="859" customFormat="1" ht="12.75" thickBot="1">
      <c r="A83" s="858"/>
      <c r="B83" s="858"/>
      <c r="G83" s="858"/>
      <c r="H83" s="858"/>
      <c r="J83" s="234" t="s">
        <v>280</v>
      </c>
      <c r="K83" s="860"/>
      <c r="L83" s="858"/>
      <c r="M83" s="858"/>
      <c r="N83" s="858"/>
      <c r="O83" s="858"/>
      <c r="P83" s="858"/>
      <c r="Q83" s="858"/>
      <c r="R83" s="858"/>
      <c r="S83" s="858"/>
      <c r="U83" s="234" t="s">
        <v>280</v>
      </c>
      <c r="V83" s="846"/>
    </row>
    <row r="84" spans="1:28" s="862" customFormat="1" ht="36.75" thickBot="1">
      <c r="A84" s="388" t="s">
        <v>431</v>
      </c>
      <c r="B84" s="389" t="s">
        <v>1422</v>
      </c>
      <c r="C84" s="1055" t="s">
        <v>1540</v>
      </c>
      <c r="D84" s="6" t="s">
        <v>1541</v>
      </c>
      <c r="E84" s="6" t="s">
        <v>2654</v>
      </c>
      <c r="F84" s="1330" t="s">
        <v>1558</v>
      </c>
      <c r="G84" s="369" t="s">
        <v>460</v>
      </c>
      <c r="H84" s="370" t="s">
        <v>461</v>
      </c>
      <c r="I84" s="370" t="s">
        <v>1423</v>
      </c>
      <c r="J84" s="1741" t="s">
        <v>18</v>
      </c>
      <c r="K84" s="861"/>
      <c r="L84" s="388" t="s">
        <v>431</v>
      </c>
      <c r="M84" s="389" t="s">
        <v>1422</v>
      </c>
      <c r="N84" s="1055" t="s">
        <v>1540</v>
      </c>
      <c r="O84" s="6" t="s">
        <v>1541</v>
      </c>
      <c r="P84" s="6" t="s">
        <v>2654</v>
      </c>
      <c r="Q84" s="1330" t="s">
        <v>1558</v>
      </c>
      <c r="R84" s="369" t="s">
        <v>460</v>
      </c>
      <c r="S84" s="370" t="s">
        <v>461</v>
      </c>
      <c r="T84" s="370" t="s">
        <v>1423</v>
      </c>
      <c r="U84" s="1741" t="s">
        <v>18</v>
      </c>
      <c r="V84" s="847"/>
    </row>
    <row r="85" spans="1:28">
      <c r="A85" s="197" t="s">
        <v>432</v>
      </c>
      <c r="B85" s="198">
        <f t="shared" ref="B85:J85" si="36">+B102-B90-B89-B88-B87</f>
        <v>-135585</v>
      </c>
      <c r="C85" s="1180">
        <f t="shared" si="36"/>
        <v>69873</v>
      </c>
      <c r="D85" s="200">
        <f>+D102-D90-D89-D88-D87</f>
        <v>126901</v>
      </c>
      <c r="E85" s="200">
        <f>+E102-E90-E89-E88-E87</f>
        <v>126901</v>
      </c>
      <c r="F85" s="1331">
        <f t="shared" ref="F85:F91" si="37">IF(ISERROR(E85/D85),"-",E85/D85)</f>
        <v>1</v>
      </c>
      <c r="G85" s="199">
        <f t="shared" si="36"/>
        <v>8684</v>
      </c>
      <c r="H85" s="200">
        <f t="shared" si="36"/>
        <v>0</v>
      </c>
      <c r="I85" s="200">
        <f t="shared" si="36"/>
        <v>0</v>
      </c>
      <c r="J85" s="201">
        <f t="shared" si="36"/>
        <v>0</v>
      </c>
      <c r="K85" s="863"/>
      <c r="L85" s="197" t="s">
        <v>432</v>
      </c>
      <c r="M85" s="198">
        <f t="shared" ref="M85:U85" si="38">+M102-M90-M89-M88-M87</f>
        <v>0</v>
      </c>
      <c r="N85" s="1180">
        <f t="shared" si="38"/>
        <v>0</v>
      </c>
      <c r="O85" s="200">
        <f>+O102-O90-O89-O88-O87</f>
        <v>-13530</v>
      </c>
      <c r="P85" s="200">
        <f>+P102-P90-P89-P88-P87</f>
        <v>-13530</v>
      </c>
      <c r="Q85" s="1331">
        <f t="shared" ref="Q85:Q91" si="39">IF(ISERROR(P85/O85),"-",P85/O85)</f>
        <v>1</v>
      </c>
      <c r="R85" s="199">
        <f t="shared" si="38"/>
        <v>13530</v>
      </c>
      <c r="S85" s="200">
        <f t="shared" si="38"/>
        <v>0</v>
      </c>
      <c r="T85" s="200">
        <f t="shared" si="38"/>
        <v>0</v>
      </c>
      <c r="U85" s="201">
        <f t="shared" si="38"/>
        <v>0</v>
      </c>
      <c r="V85" s="191"/>
    </row>
    <row r="86" spans="1:28">
      <c r="A86" s="202" t="s">
        <v>433</v>
      </c>
      <c r="B86" s="203"/>
      <c r="C86" s="1181"/>
      <c r="D86" s="205"/>
      <c r="E86" s="205"/>
      <c r="F86" s="1332" t="str">
        <f t="shared" si="37"/>
        <v>-</v>
      </c>
      <c r="G86" s="204"/>
      <c r="H86" s="205"/>
      <c r="I86" s="205"/>
      <c r="J86" s="206">
        <f>+B86+IF(D86&lt;=E86,E86,D86)+G86+H86+I86</f>
        <v>0</v>
      </c>
      <c r="K86" s="863"/>
      <c r="L86" s="202" t="s">
        <v>433</v>
      </c>
      <c r="M86" s="203"/>
      <c r="N86" s="1181"/>
      <c r="O86" s="205"/>
      <c r="P86" s="205"/>
      <c r="Q86" s="1332" t="str">
        <f t="shared" si="39"/>
        <v>-</v>
      </c>
      <c r="R86" s="204"/>
      <c r="S86" s="205"/>
      <c r="T86" s="205"/>
      <c r="U86" s="206">
        <f>+M86+IF(O86&lt;=P86,P86,O86)+R86+S86+T86</f>
        <v>0</v>
      </c>
      <c r="V86" s="848"/>
      <c r="W86" s="118"/>
      <c r="Z86" s="118"/>
    </row>
    <row r="87" spans="1:28">
      <c r="A87" s="207" t="s">
        <v>434</v>
      </c>
      <c r="B87" s="208">
        <v>470000</v>
      </c>
      <c r="C87" s="1182"/>
      <c r="D87" s="210"/>
      <c r="E87" s="210"/>
      <c r="F87" s="1332" t="str">
        <f t="shared" si="37"/>
        <v>-</v>
      </c>
      <c r="G87" s="209"/>
      <c r="H87" s="210"/>
      <c r="I87" s="210"/>
      <c r="J87" s="211">
        <f>+B87+IF(D87&lt;=E87,E87,D87)+G87+H87+I87</f>
        <v>470000</v>
      </c>
      <c r="K87" s="863"/>
      <c r="L87" s="207" t="s">
        <v>434</v>
      </c>
      <c r="M87" s="208"/>
      <c r="N87" s="1182"/>
      <c r="O87" s="210">
        <v>16882</v>
      </c>
      <c r="P87" s="210">
        <v>16882</v>
      </c>
      <c r="Q87" s="1332">
        <f t="shared" si="39"/>
        <v>1</v>
      </c>
      <c r="R87" s="209"/>
      <c r="S87" s="210"/>
      <c r="T87" s="210"/>
      <c r="U87" s="211">
        <f>+M87+IF(O87&lt;=P87,P87,O87)+R87+S87+T87</f>
        <v>16882</v>
      </c>
      <c r="V87" s="191"/>
      <c r="W87" s="118"/>
      <c r="X87" s="118"/>
      <c r="Y87" s="118"/>
      <c r="Z87" s="118"/>
      <c r="AA87" s="118"/>
      <c r="AB87" s="118"/>
    </row>
    <row r="88" spans="1:28">
      <c r="A88" s="207" t="s">
        <v>435</v>
      </c>
      <c r="B88" s="208"/>
      <c r="C88" s="1182"/>
      <c r="D88" s="210"/>
      <c r="E88" s="210"/>
      <c r="F88" s="1332" t="str">
        <f t="shared" si="37"/>
        <v>-</v>
      </c>
      <c r="G88" s="209"/>
      <c r="H88" s="210"/>
      <c r="I88" s="210"/>
      <c r="J88" s="211">
        <f>+B88+IF(D88&lt;=E88,E88,D88)+G88+H88+I88</f>
        <v>0</v>
      </c>
      <c r="K88" s="863"/>
      <c r="L88" s="207" t="s">
        <v>435</v>
      </c>
      <c r="M88" s="208"/>
      <c r="N88" s="1182"/>
      <c r="O88" s="210"/>
      <c r="P88" s="210"/>
      <c r="Q88" s="1332" t="str">
        <f t="shared" si="39"/>
        <v>-</v>
      </c>
      <c r="R88" s="209"/>
      <c r="S88" s="210"/>
      <c r="T88" s="210"/>
      <c r="U88" s="211">
        <f>+M88+IF(O88&lt;=P88,P88,O88)+R88+S88+T88</f>
        <v>0</v>
      </c>
      <c r="V88" s="191"/>
      <c r="W88" s="118"/>
      <c r="Z88" s="118"/>
    </row>
    <row r="89" spans="1:28">
      <c r="A89" s="207" t="s">
        <v>436</v>
      </c>
      <c r="B89" s="208"/>
      <c r="C89" s="1182"/>
      <c r="D89" s="210"/>
      <c r="E89" s="210"/>
      <c r="F89" s="1332" t="str">
        <f t="shared" si="37"/>
        <v>-</v>
      </c>
      <c r="G89" s="209"/>
      <c r="H89" s="210"/>
      <c r="I89" s="210"/>
      <c r="J89" s="211">
        <f>+B89+IF(D89&lt;=E89,E89,D89)+G89+H89+I89</f>
        <v>0</v>
      </c>
      <c r="K89" s="863"/>
      <c r="L89" s="207" t="s">
        <v>436</v>
      </c>
      <c r="M89" s="208"/>
      <c r="N89" s="1182"/>
      <c r="O89" s="210"/>
      <c r="P89" s="210"/>
      <c r="Q89" s="1332" t="str">
        <f t="shared" si="39"/>
        <v>-</v>
      </c>
      <c r="R89" s="209"/>
      <c r="S89" s="210"/>
      <c r="T89" s="210"/>
      <c r="U89" s="211">
        <f>+M89+IF(O89&lt;=P89,P89,O89)+R89+S89+T89</f>
        <v>0</v>
      </c>
      <c r="V89" s="191"/>
      <c r="W89" s="118"/>
      <c r="Z89" s="118"/>
    </row>
    <row r="90" spans="1:28" ht="12.75" thickBot="1">
      <c r="A90" s="207" t="s">
        <v>437</v>
      </c>
      <c r="B90" s="208"/>
      <c r="C90" s="1182"/>
      <c r="D90" s="210"/>
      <c r="E90" s="210"/>
      <c r="F90" s="1332" t="str">
        <f t="shared" si="37"/>
        <v>-</v>
      </c>
      <c r="G90" s="209"/>
      <c r="H90" s="210"/>
      <c r="I90" s="210"/>
      <c r="J90" s="211">
        <f>+B90+IF(D90&lt;=E90,E90,D90)+G90+H90+I90</f>
        <v>0</v>
      </c>
      <c r="K90" s="863"/>
      <c r="L90" s="207" t="s">
        <v>437</v>
      </c>
      <c r="M90" s="208"/>
      <c r="N90" s="1182"/>
      <c r="O90" s="210"/>
      <c r="P90" s="210"/>
      <c r="Q90" s="1332" t="str">
        <f t="shared" si="39"/>
        <v>-</v>
      </c>
      <c r="R90" s="209"/>
      <c r="S90" s="210"/>
      <c r="T90" s="210"/>
      <c r="U90" s="211">
        <f>+M90+IF(O90&lt;=P90,P90,O90)+R90+S90+T90</f>
        <v>0</v>
      </c>
      <c r="V90" s="191"/>
      <c r="W90" s="118"/>
      <c r="Z90" s="118"/>
    </row>
    <row r="91" spans="1:28" ht="12.75" thickBot="1">
      <c r="A91" s="190" t="s">
        <v>438</v>
      </c>
      <c r="B91" s="212">
        <f t="shared" ref="B91:J91" si="40">+B85+B87+B88+B89+B90</f>
        <v>334415</v>
      </c>
      <c r="C91" s="1183">
        <f t="shared" si="40"/>
        <v>69873</v>
      </c>
      <c r="D91" s="212">
        <f>+D85+D87+D88+D89+D90</f>
        <v>126901</v>
      </c>
      <c r="E91" s="212">
        <f>+E85+E87+E88+E89+E90</f>
        <v>126901</v>
      </c>
      <c r="F91" s="1333">
        <f t="shared" si="37"/>
        <v>1</v>
      </c>
      <c r="G91" s="214">
        <f t="shared" si="40"/>
        <v>8684</v>
      </c>
      <c r="H91" s="212">
        <f t="shared" si="40"/>
        <v>0</v>
      </c>
      <c r="I91" s="212">
        <f t="shared" si="40"/>
        <v>0</v>
      </c>
      <c r="J91" s="213">
        <f t="shared" si="40"/>
        <v>470000</v>
      </c>
      <c r="K91" s="863"/>
      <c r="L91" s="190" t="s">
        <v>438</v>
      </c>
      <c r="M91" s="212">
        <f t="shared" ref="M91:U91" si="41">+M85+M87+M88+M89+M90</f>
        <v>0</v>
      </c>
      <c r="N91" s="1183">
        <f t="shared" si="41"/>
        <v>0</v>
      </c>
      <c r="O91" s="212">
        <f>+O85+O87+O88+O89+O90</f>
        <v>3352</v>
      </c>
      <c r="P91" s="212">
        <f>+P85+P87+P88+P89+P90</f>
        <v>3352</v>
      </c>
      <c r="Q91" s="1333">
        <f t="shared" si="39"/>
        <v>1</v>
      </c>
      <c r="R91" s="214">
        <f t="shared" si="41"/>
        <v>13530</v>
      </c>
      <c r="S91" s="212">
        <f t="shared" si="41"/>
        <v>0</v>
      </c>
      <c r="T91" s="212">
        <f t="shared" si="41"/>
        <v>0</v>
      </c>
      <c r="U91" s="213">
        <f t="shared" si="41"/>
        <v>16882</v>
      </c>
      <c r="V91" s="191"/>
    </row>
    <row r="92" spans="1:28" ht="12.75" thickBot="1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863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</row>
    <row r="93" spans="1:28" s="862" customFormat="1" ht="36.75" thickBot="1">
      <c r="A93" s="388" t="s">
        <v>439</v>
      </c>
      <c r="B93" s="389" t="s">
        <v>1422</v>
      </c>
      <c r="C93" s="1055" t="s">
        <v>1540</v>
      </c>
      <c r="D93" s="6" t="s">
        <v>1541</v>
      </c>
      <c r="E93" s="6" t="s">
        <v>2654</v>
      </c>
      <c r="F93" s="1330" t="s">
        <v>1558</v>
      </c>
      <c r="G93" s="369" t="s">
        <v>460</v>
      </c>
      <c r="H93" s="370" t="s">
        <v>461</v>
      </c>
      <c r="I93" s="370" t="s">
        <v>1423</v>
      </c>
      <c r="J93" s="1741" t="s">
        <v>18</v>
      </c>
      <c r="K93" s="865"/>
      <c r="L93" s="388" t="s">
        <v>439</v>
      </c>
      <c r="M93" s="389" t="s">
        <v>1422</v>
      </c>
      <c r="N93" s="1055" t="s">
        <v>1540</v>
      </c>
      <c r="O93" s="6" t="s">
        <v>1541</v>
      </c>
      <c r="P93" s="6" t="s">
        <v>2654</v>
      </c>
      <c r="Q93" s="1330" t="s">
        <v>1558</v>
      </c>
      <c r="R93" s="369" t="s">
        <v>460</v>
      </c>
      <c r="S93" s="370" t="s">
        <v>461</v>
      </c>
      <c r="T93" s="370" t="s">
        <v>1423</v>
      </c>
      <c r="U93" s="1741" t="s">
        <v>18</v>
      </c>
      <c r="V93" s="847"/>
    </row>
    <row r="94" spans="1:28">
      <c r="A94" s="197" t="s">
        <v>445</v>
      </c>
      <c r="B94" s="198"/>
      <c r="C94" s="1180"/>
      <c r="D94" s="200"/>
      <c r="E94" s="1190"/>
      <c r="F94" s="1331" t="str">
        <f t="shared" ref="F94:F102" si="42">IF(ISERROR(E94/D94),"-",E94/D94)</f>
        <v>-</v>
      </c>
      <c r="G94" s="199"/>
      <c r="H94" s="200"/>
      <c r="I94" s="200"/>
      <c r="J94" s="201">
        <f t="shared" ref="J94:J101" si="43">+B94+IF(D94&lt;=E94,E94,D94)+G94+H94+I94</f>
        <v>0</v>
      </c>
      <c r="K94" s="863"/>
      <c r="L94" s="197" t="s">
        <v>445</v>
      </c>
      <c r="M94" s="198"/>
      <c r="N94" s="1180"/>
      <c r="O94" s="200">
        <v>2880</v>
      </c>
      <c r="P94" s="1190">
        <v>2880</v>
      </c>
      <c r="Q94" s="1331">
        <f t="shared" ref="Q94:Q102" si="44">IF(ISERROR(P94/O94),"-",P94/O94)</f>
        <v>1</v>
      </c>
      <c r="R94" s="199"/>
      <c r="S94" s="200"/>
      <c r="T94" s="200"/>
      <c r="U94" s="201">
        <f t="shared" ref="U94:U101" si="45">+M94+IF(O94&lt;=P94,P94,O94)+R94+S94+T94</f>
        <v>2880</v>
      </c>
      <c r="V94" s="191"/>
      <c r="W94" s="118"/>
      <c r="X94" s="118"/>
      <c r="Y94" s="118"/>
      <c r="Z94" s="118"/>
      <c r="AA94" s="118"/>
      <c r="AB94" s="118"/>
    </row>
    <row r="95" spans="1:28">
      <c r="A95" s="216" t="s">
        <v>446</v>
      </c>
      <c r="B95" s="208"/>
      <c r="C95" s="1182"/>
      <c r="D95" s="210"/>
      <c r="E95" s="1191"/>
      <c r="F95" s="1332" t="str">
        <f t="shared" si="42"/>
        <v>-</v>
      </c>
      <c r="G95" s="209"/>
      <c r="H95" s="210"/>
      <c r="I95" s="210"/>
      <c r="J95" s="211">
        <f t="shared" si="43"/>
        <v>0</v>
      </c>
      <c r="K95" s="863"/>
      <c r="L95" s="216" t="s">
        <v>446</v>
      </c>
      <c r="M95" s="208"/>
      <c r="N95" s="1182"/>
      <c r="O95" s="210">
        <v>472</v>
      </c>
      <c r="P95" s="1191">
        <v>472</v>
      </c>
      <c r="Q95" s="1332">
        <f t="shared" si="44"/>
        <v>1</v>
      </c>
      <c r="R95" s="209"/>
      <c r="S95" s="210"/>
      <c r="T95" s="210"/>
      <c r="U95" s="211">
        <f t="shared" si="45"/>
        <v>472</v>
      </c>
      <c r="V95" s="191"/>
      <c r="W95" s="118"/>
      <c r="X95" s="118"/>
      <c r="Y95" s="118"/>
      <c r="Z95" s="118"/>
      <c r="AA95" s="118"/>
      <c r="AB95" s="118"/>
    </row>
    <row r="96" spans="1:28">
      <c r="A96" s="207" t="s">
        <v>447</v>
      </c>
      <c r="B96" s="208">
        <f>19536+5556</f>
        <v>25092</v>
      </c>
      <c r="C96" s="1182"/>
      <c r="D96" s="210">
        <v>2350</v>
      </c>
      <c r="E96" s="1191">
        <v>2350</v>
      </c>
      <c r="F96" s="1332">
        <f t="shared" si="42"/>
        <v>1</v>
      </c>
      <c r="G96" s="209"/>
      <c r="H96" s="210"/>
      <c r="I96" s="210"/>
      <c r="J96" s="211">
        <f t="shared" si="43"/>
        <v>27442</v>
      </c>
      <c r="K96" s="863"/>
      <c r="L96" s="207" t="s">
        <v>447</v>
      </c>
      <c r="M96" s="208"/>
      <c r="N96" s="1182"/>
      <c r="O96" s="210"/>
      <c r="P96" s="1191"/>
      <c r="Q96" s="1332" t="str">
        <f t="shared" si="44"/>
        <v>-</v>
      </c>
      <c r="R96" s="209"/>
      <c r="S96" s="210"/>
      <c r="T96" s="210"/>
      <c r="U96" s="211">
        <f t="shared" si="45"/>
        <v>0</v>
      </c>
      <c r="V96" s="191"/>
      <c r="W96" s="118"/>
      <c r="X96" s="118"/>
      <c r="Y96" s="118"/>
      <c r="Z96" s="118"/>
      <c r="AA96" s="118"/>
      <c r="AB96" s="118"/>
    </row>
    <row r="97" spans="1:28">
      <c r="A97" s="207" t="s">
        <v>448</v>
      </c>
      <c r="B97" s="208"/>
      <c r="C97" s="1182"/>
      <c r="D97" s="210"/>
      <c r="E97" s="1191"/>
      <c r="F97" s="1332" t="str">
        <f t="shared" si="42"/>
        <v>-</v>
      </c>
      <c r="G97" s="209"/>
      <c r="H97" s="210"/>
      <c r="I97" s="210"/>
      <c r="J97" s="211">
        <f t="shared" si="43"/>
        <v>0</v>
      </c>
      <c r="K97" s="863"/>
      <c r="L97" s="207" t="s">
        <v>448</v>
      </c>
      <c r="M97" s="208"/>
      <c r="N97" s="1182"/>
      <c r="O97" s="210"/>
      <c r="P97" s="1191"/>
      <c r="Q97" s="1332" t="str">
        <f t="shared" si="44"/>
        <v>-</v>
      </c>
      <c r="R97" s="209"/>
      <c r="S97" s="210"/>
      <c r="T97" s="210"/>
      <c r="U97" s="211">
        <f t="shared" si="45"/>
        <v>0</v>
      </c>
      <c r="V97" s="191"/>
      <c r="W97" s="118"/>
      <c r="Y97" s="118"/>
      <c r="Z97" s="118"/>
      <c r="AB97" s="118"/>
    </row>
    <row r="98" spans="1:28">
      <c r="A98" s="217" t="s">
        <v>449</v>
      </c>
      <c r="B98" s="218"/>
      <c r="C98" s="1182">
        <v>69873</v>
      </c>
      <c r="D98" s="210">
        <v>0</v>
      </c>
      <c r="E98" s="1191"/>
      <c r="F98" s="1332" t="str">
        <f t="shared" si="42"/>
        <v>-</v>
      </c>
      <c r="G98" s="209">
        <v>8684</v>
      </c>
      <c r="H98" s="210"/>
      <c r="I98" s="210"/>
      <c r="J98" s="211">
        <f t="shared" si="43"/>
        <v>8684</v>
      </c>
      <c r="K98" s="863"/>
      <c r="L98" s="217" t="s">
        <v>449</v>
      </c>
      <c r="M98" s="218"/>
      <c r="N98" s="1182"/>
      <c r="O98" s="210"/>
      <c r="P98" s="1191"/>
      <c r="Q98" s="1332" t="str">
        <f t="shared" si="44"/>
        <v>-</v>
      </c>
      <c r="R98" s="209">
        <v>13530</v>
      </c>
      <c r="S98" s="210"/>
      <c r="T98" s="210"/>
      <c r="U98" s="211">
        <f t="shared" si="45"/>
        <v>13530</v>
      </c>
      <c r="V98" s="191"/>
      <c r="W98" s="118"/>
      <c r="X98" s="118"/>
      <c r="Y98" s="118"/>
      <c r="Z98" s="118"/>
      <c r="AA98" s="118"/>
      <c r="AB98" s="118"/>
    </row>
    <row r="99" spans="1:28">
      <c r="A99" s="217" t="s">
        <v>450</v>
      </c>
      <c r="B99" s="218">
        <v>309323</v>
      </c>
      <c r="C99" s="1182"/>
      <c r="D99" s="210"/>
      <c r="E99" s="1191"/>
      <c r="F99" s="1332" t="str">
        <f t="shared" si="42"/>
        <v>-</v>
      </c>
      <c r="G99" s="209"/>
      <c r="H99" s="210"/>
      <c r="I99" s="210"/>
      <c r="J99" s="211">
        <f t="shared" si="43"/>
        <v>309323</v>
      </c>
      <c r="K99" s="863"/>
      <c r="L99" s="217" t="s">
        <v>450</v>
      </c>
      <c r="M99" s="218"/>
      <c r="N99" s="1182"/>
      <c r="O99" s="210"/>
      <c r="P99" s="1191"/>
      <c r="Q99" s="1332" t="str">
        <f t="shared" si="44"/>
        <v>-</v>
      </c>
      <c r="R99" s="209"/>
      <c r="S99" s="210"/>
      <c r="T99" s="210"/>
      <c r="U99" s="211">
        <f t="shared" si="45"/>
        <v>0</v>
      </c>
      <c r="V99" s="191"/>
      <c r="W99" s="118"/>
      <c r="X99" s="118"/>
      <c r="Y99" s="118"/>
      <c r="Z99" s="118"/>
      <c r="AA99" s="118"/>
      <c r="AB99" s="118"/>
    </row>
    <row r="100" spans="1:28">
      <c r="A100" s="219" t="s">
        <v>451</v>
      </c>
      <c r="B100" s="220"/>
      <c r="C100" s="1184"/>
      <c r="D100" s="222">
        <v>124551</v>
      </c>
      <c r="E100" s="1192">
        <v>124551</v>
      </c>
      <c r="F100" s="1334">
        <f t="shared" si="42"/>
        <v>1</v>
      </c>
      <c r="G100" s="221"/>
      <c r="H100" s="222"/>
      <c r="I100" s="222"/>
      <c r="J100" s="211">
        <f t="shared" si="43"/>
        <v>124551</v>
      </c>
      <c r="K100" s="863"/>
      <c r="L100" s="219" t="s">
        <v>451</v>
      </c>
      <c r="M100" s="220"/>
      <c r="N100" s="1184"/>
      <c r="O100" s="222"/>
      <c r="P100" s="1192"/>
      <c r="Q100" s="1334" t="str">
        <f t="shared" si="44"/>
        <v>-</v>
      </c>
      <c r="R100" s="209"/>
      <c r="S100" s="222"/>
      <c r="T100" s="222"/>
      <c r="U100" s="211">
        <f t="shared" si="45"/>
        <v>0</v>
      </c>
      <c r="V100" s="191"/>
      <c r="W100" s="118"/>
      <c r="X100" s="118"/>
      <c r="Y100" s="118"/>
      <c r="Z100" s="118"/>
      <c r="AA100" s="118"/>
      <c r="AB100" s="118"/>
    </row>
    <row r="101" spans="1:28" ht="12.75" thickBot="1">
      <c r="A101" s="219" t="s">
        <v>452</v>
      </c>
      <c r="B101" s="220"/>
      <c r="C101" s="1184"/>
      <c r="D101" s="222"/>
      <c r="E101" s="1192"/>
      <c r="F101" s="1334" t="str">
        <f t="shared" si="42"/>
        <v>-</v>
      </c>
      <c r="G101" s="221"/>
      <c r="H101" s="222"/>
      <c r="I101" s="222"/>
      <c r="J101" s="211">
        <f t="shared" si="43"/>
        <v>0</v>
      </c>
      <c r="K101" s="863"/>
      <c r="L101" s="219" t="s">
        <v>452</v>
      </c>
      <c r="M101" s="220"/>
      <c r="N101" s="1184"/>
      <c r="O101" s="222"/>
      <c r="P101" s="1192"/>
      <c r="Q101" s="1334" t="str">
        <f t="shared" si="44"/>
        <v>-</v>
      </c>
      <c r="R101" s="221"/>
      <c r="S101" s="222"/>
      <c r="T101" s="222"/>
      <c r="U101" s="211">
        <f t="shared" si="45"/>
        <v>0</v>
      </c>
      <c r="V101" s="191"/>
      <c r="W101" s="118"/>
      <c r="X101" s="118"/>
      <c r="Y101" s="118"/>
      <c r="Z101" s="118"/>
      <c r="AA101" s="118"/>
      <c r="AB101" s="118"/>
    </row>
    <row r="102" spans="1:28" ht="12.75" thickBot="1">
      <c r="A102" s="190" t="s">
        <v>453</v>
      </c>
      <c r="B102" s="212">
        <f t="shared" ref="B102:J102" si="46">+B94+B95+B96+B97+B98+B99+B100+B101</f>
        <v>334415</v>
      </c>
      <c r="C102" s="1183">
        <f t="shared" si="46"/>
        <v>69873</v>
      </c>
      <c r="D102" s="212">
        <f>+D94+D95+D96+D97+D98+D99+D100+D101</f>
        <v>126901</v>
      </c>
      <c r="E102" s="1185">
        <f>+E94+E95+E96+E97+E98+E99+E100+E101</f>
        <v>126901</v>
      </c>
      <c r="F102" s="1333">
        <f t="shared" si="42"/>
        <v>1</v>
      </c>
      <c r="G102" s="214">
        <f t="shared" si="46"/>
        <v>8684</v>
      </c>
      <c r="H102" s="212">
        <f t="shared" si="46"/>
        <v>0</v>
      </c>
      <c r="I102" s="212">
        <f t="shared" si="46"/>
        <v>0</v>
      </c>
      <c r="J102" s="213">
        <f t="shared" si="46"/>
        <v>470000</v>
      </c>
      <c r="L102" s="190" t="s">
        <v>453</v>
      </c>
      <c r="M102" s="212">
        <f t="shared" ref="M102:U102" si="47">+M94+M95+M96+M97+M98+M99+M100+M101</f>
        <v>0</v>
      </c>
      <c r="N102" s="1183">
        <f t="shared" si="47"/>
        <v>0</v>
      </c>
      <c r="O102" s="212">
        <f>+O94+O95+O96+O97+O98+O99+O100+O101</f>
        <v>3352</v>
      </c>
      <c r="P102" s="1185">
        <f>+P94+P95+P96+P97+P98+P99+P100+P101</f>
        <v>3352</v>
      </c>
      <c r="Q102" s="1333">
        <f t="shared" si="44"/>
        <v>1</v>
      </c>
      <c r="R102" s="214">
        <f t="shared" si="47"/>
        <v>13530</v>
      </c>
      <c r="S102" s="212">
        <f t="shared" si="47"/>
        <v>0</v>
      </c>
      <c r="T102" s="212">
        <f t="shared" si="47"/>
        <v>0</v>
      </c>
      <c r="U102" s="213">
        <f t="shared" si="47"/>
        <v>16882</v>
      </c>
      <c r="V102" s="191"/>
      <c r="X102" s="863"/>
      <c r="AA102" s="863"/>
    </row>
    <row r="103" spans="1:28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863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</row>
    <row r="104" spans="1:28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863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</row>
    <row r="105" spans="1:28" s="856" customFormat="1" ht="15.75">
      <c r="A105" s="189" t="s">
        <v>1189</v>
      </c>
      <c r="B105" s="1737" t="s">
        <v>1193</v>
      </c>
      <c r="C105" s="1737"/>
      <c r="D105" s="1737"/>
      <c r="E105" s="1737"/>
      <c r="F105" s="1737"/>
      <c r="G105" s="1737"/>
      <c r="H105" s="1737"/>
      <c r="I105" s="1737"/>
      <c r="J105" s="1737"/>
      <c r="K105" s="766"/>
      <c r="L105" s="189" t="s">
        <v>1190</v>
      </c>
      <c r="M105" s="1737" t="s">
        <v>1195</v>
      </c>
      <c r="N105" s="1737"/>
      <c r="O105" s="1737"/>
      <c r="P105" s="1737"/>
      <c r="Q105" s="1737"/>
      <c r="R105" s="1737"/>
      <c r="S105" s="1737"/>
      <c r="T105" s="1737"/>
      <c r="U105" s="1737"/>
      <c r="V105" s="1737"/>
    </row>
    <row r="106" spans="1:28" s="856" customFormat="1" ht="15.75" customHeight="1">
      <c r="A106" s="1796" t="s">
        <v>1196</v>
      </c>
      <c r="B106" s="1796"/>
      <c r="C106" s="1796"/>
      <c r="D106" s="1796"/>
      <c r="E106" s="1796"/>
      <c r="F106" s="1796"/>
      <c r="G106" s="1796"/>
      <c r="H106" s="1796"/>
      <c r="I106" s="1796"/>
      <c r="J106" s="1796"/>
      <c r="K106" s="766"/>
      <c r="L106" s="1796" t="s">
        <v>1197</v>
      </c>
      <c r="M106" s="1796"/>
      <c r="N106" s="1796"/>
      <c r="O106" s="1796"/>
      <c r="P106" s="1796"/>
      <c r="Q106" s="1796"/>
      <c r="R106" s="1796"/>
      <c r="S106" s="1796"/>
      <c r="T106" s="1796"/>
      <c r="U106" s="1796"/>
      <c r="V106" s="1738"/>
    </row>
    <row r="107" spans="1:28" s="856" customFormat="1" ht="15.75">
      <c r="A107" s="1795" t="s">
        <v>1105</v>
      </c>
      <c r="B107" s="1795"/>
      <c r="C107" s="1795"/>
      <c r="D107" s="1795"/>
      <c r="E107" s="1795"/>
      <c r="F107" s="1795"/>
      <c r="G107" s="1795"/>
      <c r="H107" s="1795"/>
      <c r="I107" s="1795"/>
      <c r="J107" s="1795"/>
      <c r="K107" s="766"/>
      <c r="L107" s="1795" t="s">
        <v>1105</v>
      </c>
      <c r="M107" s="1795"/>
      <c r="N107" s="1795"/>
      <c r="O107" s="1795"/>
      <c r="P107" s="1795"/>
      <c r="Q107" s="1795"/>
      <c r="R107" s="1795"/>
      <c r="S107" s="1795"/>
      <c r="T107" s="1795"/>
      <c r="U107" s="1795"/>
      <c r="V107" s="1739"/>
    </row>
    <row r="108" spans="1:28" s="859" customFormat="1" ht="12.75" thickBot="1">
      <c r="A108" s="858"/>
      <c r="B108" s="858"/>
      <c r="G108" s="858"/>
      <c r="H108" s="858"/>
      <c r="J108" s="234" t="s">
        <v>280</v>
      </c>
      <c r="K108" s="860"/>
      <c r="L108" s="858"/>
      <c r="M108" s="858"/>
      <c r="N108" s="858"/>
      <c r="O108" s="858"/>
      <c r="P108" s="858"/>
      <c r="Q108" s="858"/>
      <c r="R108" s="858"/>
      <c r="S108" s="858"/>
      <c r="U108" s="234" t="s">
        <v>280</v>
      </c>
      <c r="V108" s="846"/>
    </row>
    <row r="109" spans="1:28" s="862" customFormat="1" ht="36.75" thickBot="1">
      <c r="A109" s="388" t="s">
        <v>431</v>
      </c>
      <c r="B109" s="389" t="s">
        <v>1422</v>
      </c>
      <c r="C109" s="1055" t="s">
        <v>1540</v>
      </c>
      <c r="D109" s="6" t="s">
        <v>1541</v>
      </c>
      <c r="E109" s="6" t="s">
        <v>2654</v>
      </c>
      <c r="F109" s="1330" t="s">
        <v>1558</v>
      </c>
      <c r="G109" s="369" t="s">
        <v>460</v>
      </c>
      <c r="H109" s="370" t="s">
        <v>461</v>
      </c>
      <c r="I109" s="370" t="s">
        <v>1423</v>
      </c>
      <c r="J109" s="1741" t="s">
        <v>18</v>
      </c>
      <c r="K109" s="861"/>
      <c r="L109" s="388" t="s">
        <v>431</v>
      </c>
      <c r="M109" s="389" t="s">
        <v>1422</v>
      </c>
      <c r="N109" s="1055" t="s">
        <v>1540</v>
      </c>
      <c r="O109" s="6" t="s">
        <v>1541</v>
      </c>
      <c r="P109" s="6" t="s">
        <v>2654</v>
      </c>
      <c r="Q109" s="1330" t="s">
        <v>1558</v>
      </c>
      <c r="R109" s="369" t="s">
        <v>460</v>
      </c>
      <c r="S109" s="370" t="s">
        <v>461</v>
      </c>
      <c r="T109" s="370" t="s">
        <v>1423</v>
      </c>
      <c r="U109" s="1741" t="s">
        <v>18</v>
      </c>
      <c r="V109" s="847"/>
    </row>
    <row r="110" spans="1:28">
      <c r="A110" s="197" t="s">
        <v>432</v>
      </c>
      <c r="B110" s="198">
        <f t="shared" ref="B110:J110" si="48">+B127-B115-B114-B113-B112</f>
        <v>-1654</v>
      </c>
      <c r="C110" s="1180">
        <f t="shared" si="48"/>
        <v>1211</v>
      </c>
      <c r="D110" s="200">
        <f>+D127-D115-D114-D113-D112</f>
        <v>1042</v>
      </c>
      <c r="E110" s="200">
        <f>+E127-E115-E114-E113-E112</f>
        <v>1042</v>
      </c>
      <c r="F110" s="1331">
        <f t="shared" ref="F110:F116" si="49">IF(ISERROR(E110/D110),"-",E110/D110)</f>
        <v>1</v>
      </c>
      <c r="G110" s="199">
        <f t="shared" si="48"/>
        <v>612</v>
      </c>
      <c r="H110" s="200">
        <f t="shared" si="48"/>
        <v>0</v>
      </c>
      <c r="I110" s="200">
        <f t="shared" si="48"/>
        <v>0</v>
      </c>
      <c r="J110" s="201">
        <f t="shared" si="48"/>
        <v>0</v>
      </c>
      <c r="K110" s="863"/>
      <c r="L110" s="197" t="s">
        <v>432</v>
      </c>
      <c r="M110" s="198">
        <f t="shared" ref="M110:U110" si="50">+M127-M115-M114-M113-M112</f>
        <v>-35318</v>
      </c>
      <c r="N110" s="1180">
        <f t="shared" si="50"/>
        <v>35880</v>
      </c>
      <c r="O110" s="200">
        <f>+O127-O115-O114-O113-O112</f>
        <v>24156</v>
      </c>
      <c r="P110" s="200">
        <f>+P127-P115-P114-P113-P112</f>
        <v>24156</v>
      </c>
      <c r="Q110" s="1331">
        <f t="shared" ref="Q110:Q116" si="51">IF(ISERROR(P110/O110),"-",P110/O110)</f>
        <v>1</v>
      </c>
      <c r="R110" s="199">
        <f t="shared" si="50"/>
        <v>11162</v>
      </c>
      <c r="S110" s="200">
        <f t="shared" si="50"/>
        <v>0</v>
      </c>
      <c r="T110" s="200">
        <f t="shared" si="50"/>
        <v>0</v>
      </c>
      <c r="U110" s="201">
        <f t="shared" si="50"/>
        <v>0</v>
      </c>
      <c r="V110" s="191"/>
    </row>
    <row r="111" spans="1:28">
      <c r="A111" s="202" t="s">
        <v>433</v>
      </c>
      <c r="B111" s="203"/>
      <c r="C111" s="1181"/>
      <c r="D111" s="205"/>
      <c r="E111" s="205"/>
      <c r="F111" s="1332" t="str">
        <f t="shared" si="49"/>
        <v>-</v>
      </c>
      <c r="G111" s="204"/>
      <c r="H111" s="205"/>
      <c r="I111" s="205"/>
      <c r="J111" s="206">
        <f>+B111+IF(D111&lt;=E111,E111,D111)+G111+H111+I111</f>
        <v>0</v>
      </c>
      <c r="K111" s="863"/>
      <c r="L111" s="202" t="s">
        <v>433</v>
      </c>
      <c r="M111" s="203"/>
      <c r="N111" s="1181"/>
      <c r="O111" s="205"/>
      <c r="P111" s="205"/>
      <c r="Q111" s="1332" t="str">
        <f t="shared" si="51"/>
        <v>-</v>
      </c>
      <c r="R111" s="204"/>
      <c r="S111" s="205"/>
      <c r="T111" s="205"/>
      <c r="U111" s="206">
        <f>+M111+IF(O111&lt;=P111,P111,O111)+R111+S111+T111</f>
        <v>0</v>
      </c>
      <c r="V111" s="848"/>
      <c r="W111" s="118"/>
      <c r="Z111" s="118"/>
    </row>
    <row r="112" spans="1:28">
      <c r="A112" s="207" t="s">
        <v>434</v>
      </c>
      <c r="B112" s="208">
        <v>16553</v>
      </c>
      <c r="C112" s="1182"/>
      <c r="D112" s="210"/>
      <c r="E112" s="210"/>
      <c r="F112" s="1332" t="str">
        <f t="shared" si="49"/>
        <v>-</v>
      </c>
      <c r="G112" s="209"/>
      <c r="H112" s="210"/>
      <c r="I112" s="210"/>
      <c r="J112" s="211">
        <f>+B112+IF(D112&lt;=E112,E112,D112)+G112+H112+I112</f>
        <v>16553</v>
      </c>
      <c r="K112" s="863"/>
      <c r="L112" s="207" t="s">
        <v>434</v>
      </c>
      <c r="M112" s="208">
        <v>420000</v>
      </c>
      <c r="N112" s="1182"/>
      <c r="O112" s="210"/>
      <c r="P112" s="210"/>
      <c r="Q112" s="1332" t="str">
        <f t="shared" si="51"/>
        <v>-</v>
      </c>
      <c r="R112" s="209"/>
      <c r="S112" s="210"/>
      <c r="T112" s="210"/>
      <c r="U112" s="211">
        <f>+M112+IF(O112&lt;=P112,P112,O112)+R112+S112+T112</f>
        <v>420000</v>
      </c>
      <c r="V112" s="191"/>
      <c r="W112" s="118"/>
      <c r="X112" s="118"/>
      <c r="Y112" s="118"/>
      <c r="Z112" s="118"/>
      <c r="AA112" s="118"/>
      <c r="AB112" s="118"/>
    </row>
    <row r="113" spans="1:28">
      <c r="A113" s="207" t="s">
        <v>435</v>
      </c>
      <c r="B113" s="208"/>
      <c r="C113" s="1182"/>
      <c r="D113" s="210"/>
      <c r="E113" s="210"/>
      <c r="F113" s="1332" t="str">
        <f t="shared" si="49"/>
        <v>-</v>
      </c>
      <c r="G113" s="209"/>
      <c r="H113" s="210"/>
      <c r="I113" s="210"/>
      <c r="J113" s="211">
        <f>+B113+IF(D113&lt;=E113,E113,D113)+G113+H113+I113</f>
        <v>0</v>
      </c>
      <c r="K113" s="863"/>
      <c r="L113" s="207" t="s">
        <v>435</v>
      </c>
      <c r="M113" s="208"/>
      <c r="N113" s="1182"/>
      <c r="O113" s="210"/>
      <c r="P113" s="210"/>
      <c r="Q113" s="1332" t="str">
        <f t="shared" si="51"/>
        <v>-</v>
      </c>
      <c r="R113" s="209"/>
      <c r="S113" s="210"/>
      <c r="T113" s="210"/>
      <c r="U113" s="211">
        <f>+M113+IF(O113&lt;=P113,P113,O113)+R113+S113+T113</f>
        <v>0</v>
      </c>
      <c r="V113" s="191"/>
      <c r="W113" s="118"/>
      <c r="Z113" s="118"/>
    </row>
    <row r="114" spans="1:28">
      <c r="A114" s="207" t="s">
        <v>436</v>
      </c>
      <c r="B114" s="208"/>
      <c r="C114" s="1182"/>
      <c r="D114" s="210"/>
      <c r="E114" s="210"/>
      <c r="F114" s="1332" t="str">
        <f t="shared" si="49"/>
        <v>-</v>
      </c>
      <c r="G114" s="209"/>
      <c r="H114" s="210"/>
      <c r="I114" s="210"/>
      <c r="J114" s="211">
        <f>+B114+IF(D114&lt;=E114,E114,D114)+G114+H114+I114</f>
        <v>0</v>
      </c>
      <c r="K114" s="863"/>
      <c r="L114" s="207" t="s">
        <v>436</v>
      </c>
      <c r="M114" s="208"/>
      <c r="N114" s="1182"/>
      <c r="O114" s="210"/>
      <c r="P114" s="210"/>
      <c r="Q114" s="1332" t="str">
        <f t="shared" si="51"/>
        <v>-</v>
      </c>
      <c r="R114" s="209"/>
      <c r="S114" s="210"/>
      <c r="T114" s="210"/>
      <c r="U114" s="211">
        <f>+M114+IF(O114&lt;=P114,P114,O114)+R114+S114+T114</f>
        <v>0</v>
      </c>
      <c r="V114" s="191"/>
      <c r="W114" s="118"/>
      <c r="Z114" s="118"/>
    </row>
    <row r="115" spans="1:28" ht="12.75" thickBot="1">
      <c r="A115" s="207" t="s">
        <v>437</v>
      </c>
      <c r="B115" s="208"/>
      <c r="C115" s="1182"/>
      <c r="D115" s="210"/>
      <c r="E115" s="210"/>
      <c r="F115" s="1332" t="str">
        <f t="shared" si="49"/>
        <v>-</v>
      </c>
      <c r="G115" s="209"/>
      <c r="H115" s="210"/>
      <c r="I115" s="210"/>
      <c r="J115" s="211">
        <f>+B115+IF(D115&lt;=E115,E115,D115)+G115+H115+I115</f>
        <v>0</v>
      </c>
      <c r="K115" s="863"/>
      <c r="L115" s="207" t="s">
        <v>437</v>
      </c>
      <c r="M115" s="208"/>
      <c r="N115" s="1182"/>
      <c r="O115" s="210"/>
      <c r="P115" s="210"/>
      <c r="Q115" s="1332" t="str">
        <f t="shared" si="51"/>
        <v>-</v>
      </c>
      <c r="R115" s="209"/>
      <c r="S115" s="210"/>
      <c r="T115" s="210"/>
      <c r="U115" s="211">
        <f>+M115+IF(O115&lt;=P115,P115,O115)+R115+S115+T115</f>
        <v>0</v>
      </c>
      <c r="V115" s="191"/>
      <c r="W115" s="118"/>
      <c r="Z115" s="118"/>
    </row>
    <row r="116" spans="1:28" ht="12.75" thickBot="1">
      <c r="A116" s="190" t="s">
        <v>438</v>
      </c>
      <c r="B116" s="212">
        <f t="shared" ref="B116:J116" si="52">+B110+B112+B113+B114+B115</f>
        <v>14899</v>
      </c>
      <c r="C116" s="1183">
        <f t="shared" si="52"/>
        <v>1211</v>
      </c>
      <c r="D116" s="212">
        <f>+D110+D112+D113+D114+D115</f>
        <v>1042</v>
      </c>
      <c r="E116" s="212">
        <f>+E110+E112+E113+E114+E115</f>
        <v>1042</v>
      </c>
      <c r="F116" s="1333">
        <f t="shared" si="49"/>
        <v>1</v>
      </c>
      <c r="G116" s="214">
        <f t="shared" si="52"/>
        <v>612</v>
      </c>
      <c r="H116" s="212">
        <f t="shared" si="52"/>
        <v>0</v>
      </c>
      <c r="I116" s="212">
        <f t="shared" si="52"/>
        <v>0</v>
      </c>
      <c r="J116" s="213">
        <f t="shared" si="52"/>
        <v>16553</v>
      </c>
      <c r="K116" s="863"/>
      <c r="L116" s="190" t="s">
        <v>438</v>
      </c>
      <c r="M116" s="212">
        <f t="shared" ref="M116:U116" si="53">+M110+M112+M113+M114+M115</f>
        <v>384682</v>
      </c>
      <c r="N116" s="1183">
        <f t="shared" si="53"/>
        <v>35880</v>
      </c>
      <c r="O116" s="212">
        <f>+O110+O112+O113+O114+O115</f>
        <v>24156</v>
      </c>
      <c r="P116" s="212">
        <f>+P110+P112+P113+P114+P115</f>
        <v>24156</v>
      </c>
      <c r="Q116" s="1333">
        <f t="shared" si="51"/>
        <v>1</v>
      </c>
      <c r="R116" s="214">
        <f t="shared" si="53"/>
        <v>11162</v>
      </c>
      <c r="S116" s="212">
        <f t="shared" si="53"/>
        <v>0</v>
      </c>
      <c r="T116" s="212">
        <f t="shared" si="53"/>
        <v>0</v>
      </c>
      <c r="U116" s="213">
        <f t="shared" si="53"/>
        <v>420000</v>
      </c>
      <c r="V116" s="191"/>
    </row>
    <row r="117" spans="1:28" ht="12.75" thickBot="1">
      <c r="A117" s="215"/>
      <c r="B117" s="215"/>
      <c r="C117" s="215"/>
      <c r="D117" s="215"/>
      <c r="E117" s="215"/>
      <c r="F117" s="215"/>
      <c r="G117" s="215"/>
      <c r="H117" s="215"/>
      <c r="I117" s="215"/>
      <c r="J117" s="215"/>
      <c r="K117" s="863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</row>
    <row r="118" spans="1:28" s="862" customFormat="1" ht="36.75" thickBot="1">
      <c r="A118" s="388" t="s">
        <v>439</v>
      </c>
      <c r="B118" s="389" t="s">
        <v>1422</v>
      </c>
      <c r="C118" s="1055" t="s">
        <v>1540</v>
      </c>
      <c r="D118" s="6" t="s">
        <v>1541</v>
      </c>
      <c r="E118" s="6" t="s">
        <v>2654</v>
      </c>
      <c r="F118" s="1330" t="s">
        <v>1558</v>
      </c>
      <c r="G118" s="369" t="s">
        <v>460</v>
      </c>
      <c r="H118" s="370" t="s">
        <v>461</v>
      </c>
      <c r="I118" s="370" t="s">
        <v>1423</v>
      </c>
      <c r="J118" s="1741" t="s">
        <v>18</v>
      </c>
      <c r="K118" s="865"/>
      <c r="L118" s="388" t="s">
        <v>439</v>
      </c>
      <c r="M118" s="389" t="s">
        <v>1422</v>
      </c>
      <c r="N118" s="1055" t="s">
        <v>1540</v>
      </c>
      <c r="O118" s="6" t="s">
        <v>1541</v>
      </c>
      <c r="P118" s="6" t="s">
        <v>2654</v>
      </c>
      <c r="Q118" s="1330" t="s">
        <v>1558</v>
      </c>
      <c r="R118" s="369" t="s">
        <v>460</v>
      </c>
      <c r="S118" s="370" t="s">
        <v>461</v>
      </c>
      <c r="T118" s="370" t="s">
        <v>1423</v>
      </c>
      <c r="U118" s="1741" t="s">
        <v>18</v>
      </c>
      <c r="V118" s="847"/>
    </row>
    <row r="119" spans="1:28">
      <c r="A119" s="197" t="s">
        <v>445</v>
      </c>
      <c r="B119" s="198">
        <f>3341+3338</f>
        <v>6679</v>
      </c>
      <c r="C119" s="1180"/>
      <c r="D119" s="200">
        <v>900</v>
      </c>
      <c r="E119" s="1190">
        <v>900</v>
      </c>
      <c r="F119" s="1331">
        <f t="shared" ref="F119:F127" si="54">IF(ISERROR(E119/D119),"-",E119/D119)</f>
        <v>1</v>
      </c>
      <c r="G119" s="199"/>
      <c r="H119" s="200"/>
      <c r="I119" s="200"/>
      <c r="J119" s="201">
        <f t="shared" ref="J119:J126" si="55">+B119+IF(D119&lt;=E119,E119,D119)+G119+H119+I119</f>
        <v>7579</v>
      </c>
      <c r="K119" s="863"/>
      <c r="L119" s="197" t="s">
        <v>445</v>
      </c>
      <c r="M119" s="198"/>
      <c r="N119" s="1180"/>
      <c r="O119" s="200">
        <v>1681</v>
      </c>
      <c r="P119" s="1190">
        <v>1681</v>
      </c>
      <c r="Q119" s="1331">
        <f t="shared" ref="Q119:Q127" si="56">IF(ISERROR(P119/O119),"-",P119/O119)</f>
        <v>1</v>
      </c>
      <c r="R119" s="199"/>
      <c r="S119" s="200"/>
      <c r="T119" s="200"/>
      <c r="U119" s="201">
        <f t="shared" ref="U119:U126" si="57">+M119+IF(O119&lt;=P119,P119,O119)+R119+S119+T119</f>
        <v>1681</v>
      </c>
      <c r="V119" s="191"/>
      <c r="W119" s="118"/>
      <c r="X119" s="118"/>
      <c r="Y119" s="118"/>
      <c r="Z119" s="118"/>
      <c r="AA119" s="118"/>
      <c r="AB119" s="118"/>
    </row>
    <row r="120" spans="1:28">
      <c r="A120" s="216" t="s">
        <v>446</v>
      </c>
      <c r="B120" s="208">
        <f>474+598</f>
        <v>1072</v>
      </c>
      <c r="C120" s="1182"/>
      <c r="D120" s="210">
        <v>142</v>
      </c>
      <c r="E120" s="1191">
        <v>142</v>
      </c>
      <c r="F120" s="1332">
        <f t="shared" si="54"/>
        <v>1</v>
      </c>
      <c r="G120" s="209"/>
      <c r="H120" s="210"/>
      <c r="I120" s="210"/>
      <c r="J120" s="211">
        <f t="shared" si="55"/>
        <v>1214</v>
      </c>
      <c r="K120" s="863"/>
      <c r="L120" s="216" t="s">
        <v>446</v>
      </c>
      <c r="M120" s="208"/>
      <c r="N120" s="1182"/>
      <c r="O120" s="210">
        <v>315</v>
      </c>
      <c r="P120" s="1191">
        <v>315</v>
      </c>
      <c r="Q120" s="1332">
        <f t="shared" si="56"/>
        <v>1</v>
      </c>
      <c r="R120" s="209"/>
      <c r="S120" s="210"/>
      <c r="T120" s="210"/>
      <c r="U120" s="211">
        <f t="shared" si="57"/>
        <v>315</v>
      </c>
      <c r="V120" s="191"/>
      <c r="W120" s="118"/>
      <c r="X120" s="118"/>
      <c r="Y120" s="118"/>
      <c r="Z120" s="118"/>
      <c r="AA120" s="118"/>
      <c r="AB120" s="118"/>
    </row>
    <row r="121" spans="1:28">
      <c r="A121" s="207" t="s">
        <v>447</v>
      </c>
      <c r="B121" s="208">
        <f>7049+99</f>
        <v>7148</v>
      </c>
      <c r="C121" s="1182"/>
      <c r="D121" s="210"/>
      <c r="E121" s="1191"/>
      <c r="F121" s="1332" t="str">
        <f t="shared" si="54"/>
        <v>-</v>
      </c>
      <c r="G121" s="209"/>
      <c r="H121" s="210"/>
      <c r="I121" s="210"/>
      <c r="J121" s="211">
        <f t="shared" si="55"/>
        <v>7148</v>
      </c>
      <c r="K121" s="863"/>
      <c r="L121" s="207" t="s">
        <v>447</v>
      </c>
      <c r="M121" s="208">
        <f>13633+74356</f>
        <v>87989</v>
      </c>
      <c r="N121" s="1182"/>
      <c r="O121" s="210">
        <v>22160</v>
      </c>
      <c r="P121" s="1191">
        <v>22160</v>
      </c>
      <c r="Q121" s="1332">
        <f t="shared" si="56"/>
        <v>1</v>
      </c>
      <c r="R121" s="209"/>
      <c r="S121" s="210"/>
      <c r="T121" s="210"/>
      <c r="U121" s="211">
        <f t="shared" si="57"/>
        <v>110149</v>
      </c>
      <c r="V121" s="191"/>
      <c r="W121" s="118"/>
      <c r="X121" s="118"/>
      <c r="Y121" s="118"/>
      <c r="Z121" s="118"/>
      <c r="AA121" s="118"/>
      <c r="AB121" s="118"/>
    </row>
    <row r="122" spans="1:28">
      <c r="A122" s="207" t="s">
        <v>448</v>
      </c>
      <c r="B122" s="208"/>
      <c r="C122" s="1182"/>
      <c r="D122" s="210"/>
      <c r="E122" s="1191"/>
      <c r="F122" s="1332" t="str">
        <f t="shared" si="54"/>
        <v>-</v>
      </c>
      <c r="G122" s="209"/>
      <c r="H122" s="210"/>
      <c r="I122" s="210"/>
      <c r="J122" s="211">
        <f t="shared" si="55"/>
        <v>0</v>
      </c>
      <c r="K122" s="863"/>
      <c r="L122" s="207" t="s">
        <v>448</v>
      </c>
      <c r="M122" s="208"/>
      <c r="N122" s="1182"/>
      <c r="O122" s="210"/>
      <c r="P122" s="1191"/>
      <c r="Q122" s="1332" t="str">
        <f t="shared" si="56"/>
        <v>-</v>
      </c>
      <c r="R122" s="209"/>
      <c r="S122" s="210"/>
      <c r="T122" s="210"/>
      <c r="U122" s="211">
        <f t="shared" si="57"/>
        <v>0</v>
      </c>
      <c r="V122" s="191"/>
      <c r="W122" s="118"/>
      <c r="Y122" s="118"/>
      <c r="Z122" s="118"/>
      <c r="AB122" s="118"/>
    </row>
    <row r="123" spans="1:28">
      <c r="A123" s="217" t="s">
        <v>449</v>
      </c>
      <c r="B123" s="218"/>
      <c r="C123" s="1182">
        <v>1211</v>
      </c>
      <c r="D123" s="210">
        <v>0</v>
      </c>
      <c r="E123" s="1191"/>
      <c r="F123" s="1332" t="str">
        <f t="shared" si="54"/>
        <v>-</v>
      </c>
      <c r="G123" s="209">
        <v>612</v>
      </c>
      <c r="H123" s="210"/>
      <c r="I123" s="210"/>
      <c r="J123" s="211">
        <f t="shared" si="55"/>
        <v>612</v>
      </c>
      <c r="K123" s="863"/>
      <c r="L123" s="217" t="s">
        <v>449</v>
      </c>
      <c r="M123" s="218"/>
      <c r="N123" s="1182">
        <v>35880</v>
      </c>
      <c r="O123" s="210">
        <v>0</v>
      </c>
      <c r="P123" s="1191"/>
      <c r="Q123" s="1332" t="str">
        <f t="shared" si="56"/>
        <v>-</v>
      </c>
      <c r="R123" s="209">
        <v>11162</v>
      </c>
      <c r="S123" s="210"/>
      <c r="T123" s="210"/>
      <c r="U123" s="211">
        <f t="shared" si="57"/>
        <v>11162</v>
      </c>
      <c r="V123" s="191"/>
      <c r="W123" s="118"/>
      <c r="X123" s="118"/>
      <c r="Y123" s="118"/>
      <c r="Z123" s="118"/>
      <c r="AA123" s="118"/>
      <c r="AB123" s="118"/>
    </row>
    <row r="124" spans="1:28">
      <c r="A124" s="217" t="s">
        <v>450</v>
      </c>
      <c r="B124" s="218"/>
      <c r="C124" s="1182"/>
      <c r="D124" s="210"/>
      <c r="E124" s="1191"/>
      <c r="F124" s="1332" t="str">
        <f t="shared" si="54"/>
        <v>-</v>
      </c>
      <c r="G124" s="209"/>
      <c r="H124" s="210"/>
      <c r="I124" s="210"/>
      <c r="J124" s="211">
        <f t="shared" si="55"/>
        <v>0</v>
      </c>
      <c r="K124" s="863"/>
      <c r="L124" s="217" t="s">
        <v>450</v>
      </c>
      <c r="M124" s="218">
        <f>7620+289073</f>
        <v>296693</v>
      </c>
      <c r="N124" s="1182"/>
      <c r="O124" s="210"/>
      <c r="P124" s="1191"/>
      <c r="Q124" s="1332" t="str">
        <f t="shared" si="56"/>
        <v>-</v>
      </c>
      <c r="R124" s="209"/>
      <c r="S124" s="210"/>
      <c r="T124" s="210"/>
      <c r="U124" s="211">
        <f t="shared" si="57"/>
        <v>296693</v>
      </c>
      <c r="V124" s="191"/>
      <c r="W124" s="118"/>
      <c r="X124" s="118"/>
      <c r="Y124" s="118"/>
      <c r="Z124" s="118"/>
      <c r="AA124" s="118"/>
      <c r="AB124" s="118"/>
    </row>
    <row r="125" spans="1:28">
      <c r="A125" s="219" t="s">
        <v>451</v>
      </c>
      <c r="B125" s="220"/>
      <c r="C125" s="1184"/>
      <c r="D125" s="222"/>
      <c r="E125" s="1192"/>
      <c r="F125" s="1334" t="str">
        <f t="shared" si="54"/>
        <v>-</v>
      </c>
      <c r="G125" s="221"/>
      <c r="H125" s="222"/>
      <c r="I125" s="222"/>
      <c r="J125" s="211">
        <f t="shared" si="55"/>
        <v>0</v>
      </c>
      <c r="K125" s="863"/>
      <c r="L125" s="219" t="s">
        <v>451</v>
      </c>
      <c r="M125" s="220"/>
      <c r="N125" s="1184"/>
      <c r="O125" s="222"/>
      <c r="P125" s="1192"/>
      <c r="Q125" s="1334" t="str">
        <f t="shared" si="56"/>
        <v>-</v>
      </c>
      <c r="R125" s="209"/>
      <c r="S125" s="222"/>
      <c r="T125" s="222"/>
      <c r="U125" s="211">
        <f t="shared" si="57"/>
        <v>0</v>
      </c>
      <c r="V125" s="191"/>
      <c r="W125" s="118"/>
      <c r="X125" s="118"/>
      <c r="Y125" s="118"/>
      <c r="Z125" s="118"/>
      <c r="AA125" s="118"/>
      <c r="AB125" s="118"/>
    </row>
    <row r="126" spans="1:28" ht="12.75" thickBot="1">
      <c r="A126" s="219" t="s">
        <v>452</v>
      </c>
      <c r="B126" s="220"/>
      <c r="C126" s="1184"/>
      <c r="D126" s="222"/>
      <c r="E126" s="1192"/>
      <c r="F126" s="1334" t="str">
        <f t="shared" si="54"/>
        <v>-</v>
      </c>
      <c r="G126" s="221"/>
      <c r="H126" s="222"/>
      <c r="I126" s="222"/>
      <c r="J126" s="211">
        <f t="shared" si="55"/>
        <v>0</v>
      </c>
      <c r="K126" s="863"/>
      <c r="L126" s="219" t="s">
        <v>452</v>
      </c>
      <c r="M126" s="220"/>
      <c r="N126" s="1184"/>
      <c r="O126" s="222"/>
      <c r="P126" s="1192"/>
      <c r="Q126" s="1334" t="str">
        <f t="shared" si="56"/>
        <v>-</v>
      </c>
      <c r="R126" s="221"/>
      <c r="S126" s="222"/>
      <c r="T126" s="222"/>
      <c r="U126" s="211">
        <f t="shared" si="57"/>
        <v>0</v>
      </c>
      <c r="V126" s="191"/>
      <c r="W126" s="118"/>
      <c r="X126" s="118"/>
      <c r="Y126" s="118"/>
      <c r="Z126" s="118"/>
      <c r="AA126" s="118"/>
      <c r="AB126" s="118"/>
    </row>
    <row r="127" spans="1:28" ht="12.75" thickBot="1">
      <c r="A127" s="190" t="s">
        <v>453</v>
      </c>
      <c r="B127" s="212">
        <f t="shared" ref="B127:J127" si="58">+B119+B120+B121+B122+B123+B124+B125+B126</f>
        <v>14899</v>
      </c>
      <c r="C127" s="1183">
        <f t="shared" si="58"/>
        <v>1211</v>
      </c>
      <c r="D127" s="212">
        <f>+D119+D120+D121+D122+D123+D124+D125+D126</f>
        <v>1042</v>
      </c>
      <c r="E127" s="1185">
        <f>+E119+E120+E121+E122+E123+E124+E125+E126</f>
        <v>1042</v>
      </c>
      <c r="F127" s="1333">
        <f t="shared" si="54"/>
        <v>1</v>
      </c>
      <c r="G127" s="214">
        <f t="shared" si="58"/>
        <v>612</v>
      </c>
      <c r="H127" s="212">
        <f t="shared" si="58"/>
        <v>0</v>
      </c>
      <c r="I127" s="212">
        <f t="shared" si="58"/>
        <v>0</v>
      </c>
      <c r="J127" s="213">
        <f t="shared" si="58"/>
        <v>16553</v>
      </c>
      <c r="L127" s="190" t="s">
        <v>453</v>
      </c>
      <c r="M127" s="212">
        <f t="shared" ref="M127:U127" si="59">+M119+M120+M121+M122+M123+M124+M125+M126</f>
        <v>384682</v>
      </c>
      <c r="N127" s="1183">
        <f t="shared" si="59"/>
        <v>35880</v>
      </c>
      <c r="O127" s="212">
        <f>+O119+O120+O121+O122+O123+O124+O125+O126</f>
        <v>24156</v>
      </c>
      <c r="P127" s="1185">
        <f>+P119+P120+P121+P122+P123+P124+P125+P126</f>
        <v>24156</v>
      </c>
      <c r="Q127" s="1333">
        <f t="shared" si="56"/>
        <v>1</v>
      </c>
      <c r="R127" s="214">
        <f t="shared" si="59"/>
        <v>11162</v>
      </c>
      <c r="S127" s="212">
        <f t="shared" si="59"/>
        <v>0</v>
      </c>
      <c r="T127" s="212">
        <f t="shared" si="59"/>
        <v>0</v>
      </c>
      <c r="U127" s="213">
        <f t="shared" si="59"/>
        <v>420000</v>
      </c>
      <c r="V127" s="191"/>
      <c r="X127" s="863"/>
      <c r="AA127" s="863"/>
    </row>
    <row r="128" spans="1:28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863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</row>
    <row r="130" spans="1:28" s="856" customFormat="1" ht="15.75">
      <c r="A130" s="189" t="s">
        <v>1192</v>
      </c>
      <c r="B130" s="1798" t="s">
        <v>1199</v>
      </c>
      <c r="C130" s="1798"/>
      <c r="D130" s="1798"/>
      <c r="E130" s="1798"/>
      <c r="F130" s="1798"/>
      <c r="G130" s="1798"/>
      <c r="H130" s="1798"/>
      <c r="I130" s="1798"/>
      <c r="J130" s="1798"/>
      <c r="K130" s="766"/>
      <c r="L130" s="189" t="s">
        <v>1194</v>
      </c>
      <c r="M130" s="1798" t="s">
        <v>1201</v>
      </c>
      <c r="N130" s="1798"/>
      <c r="O130" s="1798"/>
      <c r="P130" s="1798"/>
      <c r="Q130" s="1798"/>
      <c r="R130" s="1798"/>
      <c r="S130" s="1798"/>
      <c r="T130" s="1798"/>
      <c r="U130" s="1798"/>
      <c r="V130" s="1737"/>
    </row>
    <row r="131" spans="1:28" s="856" customFormat="1" ht="15.75" customHeight="1">
      <c r="A131" s="1796" t="s">
        <v>1202</v>
      </c>
      <c r="B131" s="1796"/>
      <c r="C131" s="1796"/>
      <c r="D131" s="1796"/>
      <c r="E131" s="1796"/>
      <c r="F131" s="1796"/>
      <c r="G131" s="1796"/>
      <c r="H131" s="1796"/>
      <c r="I131" s="1796"/>
      <c r="J131" s="1796"/>
      <c r="K131" s="766"/>
      <c r="L131" s="1796" t="s">
        <v>1203</v>
      </c>
      <c r="M131" s="1796"/>
      <c r="N131" s="1796"/>
      <c r="O131" s="1796"/>
      <c r="P131" s="1796"/>
      <c r="Q131" s="1796"/>
      <c r="R131" s="1796"/>
      <c r="S131" s="1796"/>
      <c r="T131" s="1796"/>
      <c r="U131" s="1796"/>
      <c r="V131" s="1738"/>
    </row>
    <row r="132" spans="1:28" s="856" customFormat="1" ht="15.75">
      <c r="A132" s="1795" t="s">
        <v>1105</v>
      </c>
      <c r="B132" s="1795"/>
      <c r="C132" s="1795"/>
      <c r="D132" s="1795"/>
      <c r="E132" s="1795"/>
      <c r="F132" s="1795"/>
      <c r="G132" s="1795"/>
      <c r="H132" s="1795"/>
      <c r="I132" s="1795"/>
      <c r="J132" s="1795"/>
      <c r="K132" s="766"/>
      <c r="L132" s="1795" t="s">
        <v>1204</v>
      </c>
      <c r="M132" s="1795"/>
      <c r="N132" s="1795"/>
      <c r="O132" s="1795"/>
      <c r="P132" s="1795"/>
      <c r="Q132" s="1795"/>
      <c r="R132" s="1795"/>
      <c r="S132" s="1795"/>
      <c r="T132" s="1795"/>
      <c r="U132" s="1795"/>
      <c r="V132" s="1739"/>
    </row>
    <row r="133" spans="1:28" s="859" customFormat="1" ht="12.75" thickBot="1">
      <c r="A133" s="858"/>
      <c r="B133" s="858"/>
      <c r="G133" s="858"/>
      <c r="H133" s="858"/>
      <c r="J133" s="234" t="s">
        <v>280</v>
      </c>
      <c r="K133" s="860"/>
      <c r="L133" s="858"/>
      <c r="M133" s="858"/>
      <c r="N133" s="858"/>
      <c r="O133" s="858"/>
      <c r="P133" s="858"/>
      <c r="Q133" s="858"/>
      <c r="R133" s="858"/>
      <c r="S133" s="858"/>
      <c r="U133" s="234" t="s">
        <v>280</v>
      </c>
      <c r="V133" s="846"/>
    </row>
    <row r="134" spans="1:28" s="862" customFormat="1" ht="36.75" thickBot="1">
      <c r="A134" s="388" t="s">
        <v>431</v>
      </c>
      <c r="B134" s="389" t="s">
        <v>1422</v>
      </c>
      <c r="C134" s="1055" t="s">
        <v>1540</v>
      </c>
      <c r="D134" s="6" t="s">
        <v>1541</v>
      </c>
      <c r="E134" s="6" t="s">
        <v>2654</v>
      </c>
      <c r="F134" s="1330" t="s">
        <v>1558</v>
      </c>
      <c r="G134" s="369" t="s">
        <v>460</v>
      </c>
      <c r="H134" s="370" t="s">
        <v>461</v>
      </c>
      <c r="I134" s="370" t="s">
        <v>1423</v>
      </c>
      <c r="J134" s="1741" t="s">
        <v>18</v>
      </c>
      <c r="K134" s="861"/>
      <c r="L134" s="388" t="s">
        <v>431</v>
      </c>
      <c r="M134" s="389" t="s">
        <v>1422</v>
      </c>
      <c r="N134" s="1055" t="s">
        <v>1540</v>
      </c>
      <c r="O134" s="6" t="s">
        <v>1541</v>
      </c>
      <c r="P134" s="6" t="s">
        <v>2654</v>
      </c>
      <c r="Q134" s="1330" t="s">
        <v>1558</v>
      </c>
      <c r="R134" s="369" t="s">
        <v>460</v>
      </c>
      <c r="S134" s="370" t="s">
        <v>461</v>
      </c>
      <c r="T134" s="370" t="s">
        <v>1423</v>
      </c>
      <c r="U134" s="1741" t="s">
        <v>18</v>
      </c>
      <c r="V134" s="847"/>
    </row>
    <row r="135" spans="1:28">
      <c r="A135" s="197" t="s">
        <v>432</v>
      </c>
      <c r="B135" s="198">
        <f t="shared" ref="B135:J135" si="60">+B152-B140-B139-B138-B137</f>
        <v>-30075</v>
      </c>
      <c r="C135" s="1180">
        <f t="shared" si="60"/>
        <v>30074</v>
      </c>
      <c r="D135" s="200">
        <f>+D152-D140-D139-D138-D137</f>
        <v>15002</v>
      </c>
      <c r="E135" s="200">
        <f>+E152-E140-E139-E138-E137</f>
        <v>15002</v>
      </c>
      <c r="F135" s="1331">
        <f t="shared" ref="F135:F141" si="61">IF(ISERROR(E135/D135),"-",E135/D135)</f>
        <v>1</v>
      </c>
      <c r="G135" s="199">
        <f t="shared" si="60"/>
        <v>2200</v>
      </c>
      <c r="H135" s="200">
        <f t="shared" si="60"/>
        <v>0</v>
      </c>
      <c r="I135" s="200">
        <f t="shared" si="60"/>
        <v>0</v>
      </c>
      <c r="J135" s="201">
        <f t="shared" si="60"/>
        <v>-12873</v>
      </c>
      <c r="K135" s="863"/>
      <c r="L135" s="197" t="s">
        <v>432</v>
      </c>
      <c r="M135" s="198">
        <f t="shared" ref="M135:U135" si="62">+M152-M140-M139-M138-M137</f>
        <v>32863</v>
      </c>
      <c r="N135" s="1180">
        <f t="shared" si="62"/>
        <v>195124</v>
      </c>
      <c r="O135" s="200">
        <f>+O152-O140-O139-O138-O137</f>
        <v>332537</v>
      </c>
      <c r="P135" s="200">
        <f>+P152-P140-P139-P138-P137</f>
        <v>332537</v>
      </c>
      <c r="Q135" s="1331">
        <f t="shared" ref="Q135:Q141" si="63">IF(ISERROR(P135/O135),"-",P135/O135)</f>
        <v>1</v>
      </c>
      <c r="R135" s="199">
        <f t="shared" si="62"/>
        <v>-365400</v>
      </c>
      <c r="S135" s="200">
        <f t="shared" si="62"/>
        <v>0</v>
      </c>
      <c r="T135" s="200">
        <f t="shared" si="62"/>
        <v>0</v>
      </c>
      <c r="U135" s="201">
        <f t="shared" si="62"/>
        <v>0</v>
      </c>
      <c r="V135" s="191"/>
    </row>
    <row r="136" spans="1:28">
      <c r="A136" s="202" t="s">
        <v>433</v>
      </c>
      <c r="B136" s="203"/>
      <c r="C136" s="1181"/>
      <c r="D136" s="205"/>
      <c r="E136" s="205"/>
      <c r="F136" s="1332" t="str">
        <f t="shared" si="61"/>
        <v>-</v>
      </c>
      <c r="G136" s="204"/>
      <c r="H136" s="205"/>
      <c r="I136" s="205"/>
      <c r="J136" s="206">
        <f>+B136+IF(D136&lt;=E136,E136,D136)+G136+H136+I136</f>
        <v>0</v>
      </c>
      <c r="K136" s="863"/>
      <c r="L136" s="202" t="s">
        <v>433</v>
      </c>
      <c r="M136" s="203"/>
      <c r="N136" s="1181"/>
      <c r="O136" s="205"/>
      <c r="P136" s="205"/>
      <c r="Q136" s="1332" t="str">
        <f t="shared" si="63"/>
        <v>-</v>
      </c>
      <c r="R136" s="204"/>
      <c r="S136" s="205"/>
      <c r="T136" s="205"/>
      <c r="U136" s="206">
        <f>+M136+IF(O136&lt;=P136,P136,O136)+R136+S136+T136</f>
        <v>0</v>
      </c>
      <c r="V136" s="848"/>
      <c r="W136" s="118"/>
      <c r="Z136" s="118"/>
    </row>
    <row r="137" spans="1:28">
      <c r="A137" s="207" t="s">
        <v>434</v>
      </c>
      <c r="B137" s="208">
        <v>62642</v>
      </c>
      <c r="C137" s="1182"/>
      <c r="D137" s="210"/>
      <c r="E137" s="210"/>
      <c r="F137" s="1332" t="str">
        <f t="shared" si="61"/>
        <v>-</v>
      </c>
      <c r="G137" s="209"/>
      <c r="H137" s="210"/>
      <c r="I137" s="210"/>
      <c r="J137" s="211">
        <f>+B137+IF(D137&lt;=E137,E137,D137)+G137+H137+I137</f>
        <v>62642</v>
      </c>
      <c r="K137" s="863"/>
      <c r="L137" s="207" t="s">
        <v>434</v>
      </c>
      <c r="M137" s="208">
        <v>342083</v>
      </c>
      <c r="N137" s="1182"/>
      <c r="O137" s="210">
        <v>105307</v>
      </c>
      <c r="P137" s="210">
        <v>105307</v>
      </c>
      <c r="Q137" s="1332">
        <f t="shared" si="63"/>
        <v>1</v>
      </c>
      <c r="R137" s="209">
        <v>785320</v>
      </c>
      <c r="S137" s="210"/>
      <c r="T137" s="210"/>
      <c r="U137" s="211">
        <f>+M137+IF(O137&lt;=P137,P137,O137)+R137+S137+T137</f>
        <v>1232710</v>
      </c>
      <c r="V137" s="191"/>
      <c r="W137" s="118"/>
      <c r="X137" s="118"/>
      <c r="Y137" s="118"/>
      <c r="Z137" s="118"/>
      <c r="AA137" s="118"/>
      <c r="AB137" s="118"/>
    </row>
    <row r="138" spans="1:28">
      <c r="A138" s="207" t="s">
        <v>435</v>
      </c>
      <c r="B138" s="208"/>
      <c r="C138" s="1182"/>
      <c r="D138" s="210"/>
      <c r="E138" s="210"/>
      <c r="F138" s="1332" t="str">
        <f t="shared" si="61"/>
        <v>-</v>
      </c>
      <c r="G138" s="209"/>
      <c r="H138" s="210"/>
      <c r="I138" s="210"/>
      <c r="J138" s="211">
        <f>+B138+IF(D138&lt;=E138,E138,D138)+G138+H138+I138</f>
        <v>0</v>
      </c>
      <c r="K138" s="863"/>
      <c r="L138" s="207" t="s">
        <v>435</v>
      </c>
      <c r="M138" s="208"/>
      <c r="N138" s="1182"/>
      <c r="O138" s="210"/>
      <c r="P138" s="210"/>
      <c r="Q138" s="1332" t="str">
        <f t="shared" si="63"/>
        <v>-</v>
      </c>
      <c r="R138" s="209"/>
      <c r="S138" s="210"/>
      <c r="T138" s="210"/>
      <c r="U138" s="211">
        <f>+M138+IF(O138&lt;=P138,P138,O138)+R138+S138+T138</f>
        <v>0</v>
      </c>
      <c r="V138" s="191"/>
      <c r="W138" s="118"/>
      <c r="Z138" s="118"/>
    </row>
    <row r="139" spans="1:28">
      <c r="A139" s="207" t="s">
        <v>436</v>
      </c>
      <c r="B139" s="208"/>
      <c r="C139" s="1182"/>
      <c r="D139" s="210"/>
      <c r="E139" s="210"/>
      <c r="F139" s="1332" t="str">
        <f t="shared" si="61"/>
        <v>-</v>
      </c>
      <c r="G139" s="209"/>
      <c r="H139" s="210"/>
      <c r="I139" s="210"/>
      <c r="J139" s="211">
        <f>+B139+IF(D139&lt;=E139,E139,D139)+G139+H139+I139</f>
        <v>0</v>
      </c>
      <c r="K139" s="863"/>
      <c r="L139" s="207" t="s">
        <v>436</v>
      </c>
      <c r="M139" s="208"/>
      <c r="N139" s="1182"/>
      <c r="O139" s="210"/>
      <c r="P139" s="210"/>
      <c r="Q139" s="1332" t="str">
        <f t="shared" si="63"/>
        <v>-</v>
      </c>
      <c r="R139" s="209"/>
      <c r="S139" s="210"/>
      <c r="T139" s="210"/>
      <c r="U139" s="211">
        <f>+M139+IF(O139&lt;=P139,P139,O139)+R139+S139+T139</f>
        <v>0</v>
      </c>
      <c r="V139" s="191"/>
      <c r="W139" s="118"/>
      <c r="Z139" s="118"/>
    </row>
    <row r="140" spans="1:28" ht="12.75" thickBot="1">
      <c r="A140" s="207" t="s">
        <v>437</v>
      </c>
      <c r="B140" s="208"/>
      <c r="C140" s="1182"/>
      <c r="D140" s="210">
        <v>12873</v>
      </c>
      <c r="E140" s="210">
        <v>12873</v>
      </c>
      <c r="F140" s="1332">
        <f t="shared" si="61"/>
        <v>1</v>
      </c>
      <c r="G140" s="209"/>
      <c r="H140" s="210"/>
      <c r="I140" s="210"/>
      <c r="J140" s="211">
        <f>+B140+IF(D140&lt;=E140,E140,D140)+G140+H140+I140</f>
        <v>12873</v>
      </c>
      <c r="K140" s="863"/>
      <c r="L140" s="207" t="s">
        <v>437</v>
      </c>
      <c r="M140" s="208"/>
      <c r="N140" s="1182"/>
      <c r="O140" s="210"/>
      <c r="P140" s="210"/>
      <c r="Q140" s="1332" t="str">
        <f t="shared" si="63"/>
        <v>-</v>
      </c>
      <c r="R140" s="209"/>
      <c r="S140" s="210"/>
      <c r="T140" s="210"/>
      <c r="U140" s="211">
        <f>+M140+IF(O140&lt;=P140,P140,O140)+R140+S140+T140</f>
        <v>0</v>
      </c>
      <c r="V140" s="191"/>
      <c r="W140" s="118"/>
      <c r="Z140" s="118"/>
    </row>
    <row r="141" spans="1:28" ht="12.75" thickBot="1">
      <c r="A141" s="190" t="s">
        <v>438</v>
      </c>
      <c r="B141" s="212">
        <f t="shared" ref="B141:J141" si="64">+B135+B137+B138+B139+B140</f>
        <v>32567</v>
      </c>
      <c r="C141" s="1183">
        <f t="shared" si="64"/>
        <v>30074</v>
      </c>
      <c r="D141" s="212">
        <f>+D135+D137+D138+D139+D140</f>
        <v>27875</v>
      </c>
      <c r="E141" s="212">
        <f>+E135+E137+E138+E139+E140</f>
        <v>27875</v>
      </c>
      <c r="F141" s="1333">
        <f t="shared" si="61"/>
        <v>1</v>
      </c>
      <c r="G141" s="214">
        <f t="shared" si="64"/>
        <v>2200</v>
      </c>
      <c r="H141" s="212">
        <f t="shared" si="64"/>
        <v>0</v>
      </c>
      <c r="I141" s="212">
        <f t="shared" si="64"/>
        <v>0</v>
      </c>
      <c r="J141" s="213">
        <f t="shared" si="64"/>
        <v>62642</v>
      </c>
      <c r="K141" s="863"/>
      <c r="L141" s="190" t="s">
        <v>438</v>
      </c>
      <c r="M141" s="212">
        <f t="shared" ref="M141:U141" si="65">+M135+M137+M138+M139+M140</f>
        <v>374946</v>
      </c>
      <c r="N141" s="1183">
        <f t="shared" si="65"/>
        <v>195124</v>
      </c>
      <c r="O141" s="212">
        <f>+O135+O137+O138+O139+O140</f>
        <v>437844</v>
      </c>
      <c r="P141" s="212">
        <f>+P135+P137+P138+P139+P140</f>
        <v>437844</v>
      </c>
      <c r="Q141" s="1333">
        <f t="shared" si="63"/>
        <v>1</v>
      </c>
      <c r="R141" s="214">
        <f t="shared" si="65"/>
        <v>419920</v>
      </c>
      <c r="S141" s="212">
        <f t="shared" si="65"/>
        <v>0</v>
      </c>
      <c r="T141" s="212">
        <f t="shared" si="65"/>
        <v>0</v>
      </c>
      <c r="U141" s="213">
        <f t="shared" si="65"/>
        <v>1232710</v>
      </c>
      <c r="V141" s="191"/>
    </row>
    <row r="142" spans="1:28" ht="12.75" thickBot="1">
      <c r="A142" s="215"/>
      <c r="B142" s="215"/>
      <c r="C142" s="215"/>
      <c r="D142" s="215"/>
      <c r="E142" s="215"/>
      <c r="F142" s="215"/>
      <c r="G142" s="215"/>
      <c r="H142" s="215"/>
      <c r="I142" s="215"/>
      <c r="J142" s="215"/>
      <c r="K142" s="863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</row>
    <row r="143" spans="1:28" s="862" customFormat="1" ht="36.75" thickBot="1">
      <c r="A143" s="388" t="s">
        <v>439</v>
      </c>
      <c r="B143" s="389" t="s">
        <v>1422</v>
      </c>
      <c r="C143" s="1055" t="s">
        <v>1540</v>
      </c>
      <c r="D143" s="6" t="s">
        <v>1541</v>
      </c>
      <c r="E143" s="6" t="s">
        <v>2654</v>
      </c>
      <c r="F143" s="1330" t="s">
        <v>1558</v>
      </c>
      <c r="G143" s="369" t="s">
        <v>460</v>
      </c>
      <c r="H143" s="370" t="s">
        <v>461</v>
      </c>
      <c r="I143" s="370" t="s">
        <v>1423</v>
      </c>
      <c r="J143" s="1741" t="s">
        <v>18</v>
      </c>
      <c r="K143" s="865"/>
      <c r="L143" s="388" t="s">
        <v>439</v>
      </c>
      <c r="M143" s="389" t="s">
        <v>1422</v>
      </c>
      <c r="N143" s="1055" t="s">
        <v>1540</v>
      </c>
      <c r="O143" s="6" t="s">
        <v>1541</v>
      </c>
      <c r="P143" s="6" t="s">
        <v>2654</v>
      </c>
      <c r="Q143" s="1330" t="s">
        <v>1558</v>
      </c>
      <c r="R143" s="369" t="s">
        <v>460</v>
      </c>
      <c r="S143" s="370" t="s">
        <v>461</v>
      </c>
      <c r="T143" s="370" t="s">
        <v>1423</v>
      </c>
      <c r="U143" s="1741" t="s">
        <v>18</v>
      </c>
      <c r="V143" s="847"/>
    </row>
    <row r="144" spans="1:28">
      <c r="A144" s="197" t="s">
        <v>445</v>
      </c>
      <c r="B144" s="198"/>
      <c r="C144" s="1180"/>
      <c r="D144" s="200"/>
      <c r="E144" s="1190"/>
      <c r="F144" s="1331" t="str">
        <f t="shared" ref="F144:F152" si="66">IF(ISERROR(E144/D144),"-",E144/D144)</f>
        <v>-</v>
      </c>
      <c r="G144" s="199"/>
      <c r="H144" s="200"/>
      <c r="I144" s="200"/>
      <c r="J144" s="201">
        <f t="shared" ref="J144:J151" si="67">+B144+IF(D144&lt;=E144,E144,D144)+G144+H144+I144</f>
        <v>0</v>
      </c>
      <c r="K144" s="863"/>
      <c r="L144" s="197" t="s">
        <v>445</v>
      </c>
      <c r="M144" s="198"/>
      <c r="N144" s="1180"/>
      <c r="O144" s="200"/>
      <c r="P144" s="1190"/>
      <c r="Q144" s="1331" t="str">
        <f t="shared" ref="Q144:Q152" si="68">IF(ISERROR(P144/O144),"-",P144/O144)</f>
        <v>-</v>
      </c>
      <c r="R144" s="199"/>
      <c r="S144" s="200"/>
      <c r="T144" s="200"/>
      <c r="U144" s="201">
        <f t="shared" ref="U144:U151" si="69">+M144+IF(O144&lt;=P144,P144,O144)+R144+S144+T144</f>
        <v>0</v>
      </c>
      <c r="V144" s="191"/>
      <c r="W144" s="118"/>
      <c r="X144" s="118"/>
      <c r="Y144" s="118"/>
      <c r="Z144" s="118"/>
      <c r="AA144" s="118"/>
      <c r="AB144" s="118"/>
    </row>
    <row r="145" spans="1:28">
      <c r="A145" s="216" t="s">
        <v>446</v>
      </c>
      <c r="B145" s="208"/>
      <c r="C145" s="1182"/>
      <c r="D145" s="210"/>
      <c r="E145" s="1191"/>
      <c r="F145" s="1332" t="str">
        <f t="shared" si="66"/>
        <v>-</v>
      </c>
      <c r="G145" s="209"/>
      <c r="H145" s="210"/>
      <c r="I145" s="210"/>
      <c r="J145" s="211">
        <f t="shared" si="67"/>
        <v>0</v>
      </c>
      <c r="K145" s="863"/>
      <c r="L145" s="216" t="s">
        <v>446</v>
      </c>
      <c r="M145" s="208"/>
      <c r="N145" s="1182"/>
      <c r="O145" s="210"/>
      <c r="P145" s="1191"/>
      <c r="Q145" s="1332" t="str">
        <f t="shared" si="68"/>
        <v>-</v>
      </c>
      <c r="R145" s="209"/>
      <c r="S145" s="210"/>
      <c r="T145" s="210"/>
      <c r="U145" s="211">
        <f t="shared" si="69"/>
        <v>0</v>
      </c>
      <c r="V145" s="191"/>
      <c r="W145" s="118"/>
      <c r="X145" s="118"/>
      <c r="Y145" s="118"/>
      <c r="Z145" s="118"/>
      <c r="AA145" s="118"/>
      <c r="AB145" s="118"/>
    </row>
    <row r="146" spans="1:28">
      <c r="A146" s="207" t="s">
        <v>447</v>
      </c>
      <c r="B146" s="208">
        <f>2283+468</f>
        <v>2751</v>
      </c>
      <c r="C146" s="1182"/>
      <c r="D146" s="210"/>
      <c r="E146" s="1191"/>
      <c r="F146" s="1332" t="str">
        <f t="shared" si="66"/>
        <v>-</v>
      </c>
      <c r="G146" s="209"/>
      <c r="H146" s="210"/>
      <c r="I146" s="210"/>
      <c r="J146" s="211">
        <f t="shared" si="67"/>
        <v>2751</v>
      </c>
      <c r="K146" s="863"/>
      <c r="L146" s="207" t="s">
        <v>447</v>
      </c>
      <c r="M146" s="208"/>
      <c r="N146" s="1182"/>
      <c r="O146" s="210"/>
      <c r="P146" s="1191"/>
      <c r="Q146" s="1332" t="str">
        <f t="shared" si="68"/>
        <v>-</v>
      </c>
      <c r="R146" s="209"/>
      <c r="S146" s="210"/>
      <c r="T146" s="210"/>
      <c r="U146" s="211">
        <f t="shared" si="69"/>
        <v>0</v>
      </c>
      <c r="V146" s="191"/>
      <c r="W146" s="118"/>
      <c r="X146" s="118"/>
      <c r="Y146" s="118"/>
      <c r="Z146" s="118"/>
      <c r="AA146" s="118"/>
      <c r="AB146" s="118"/>
    </row>
    <row r="147" spans="1:28">
      <c r="A147" s="207" t="s">
        <v>448</v>
      </c>
      <c r="B147" s="208"/>
      <c r="C147" s="1182"/>
      <c r="D147" s="210"/>
      <c r="E147" s="1191"/>
      <c r="F147" s="1332" t="str">
        <f t="shared" si="66"/>
        <v>-</v>
      </c>
      <c r="G147" s="209"/>
      <c r="H147" s="210"/>
      <c r="I147" s="210"/>
      <c r="J147" s="211">
        <f t="shared" si="67"/>
        <v>0</v>
      </c>
      <c r="K147" s="863"/>
      <c r="L147" s="207" t="s">
        <v>448</v>
      </c>
      <c r="M147" s="208"/>
      <c r="N147" s="1182"/>
      <c r="O147" s="210"/>
      <c r="P147" s="1191"/>
      <c r="Q147" s="1332" t="str">
        <f t="shared" si="68"/>
        <v>-</v>
      </c>
      <c r="R147" s="209"/>
      <c r="S147" s="210"/>
      <c r="T147" s="210"/>
      <c r="U147" s="211">
        <f t="shared" si="69"/>
        <v>0</v>
      </c>
      <c r="V147" s="191"/>
      <c r="W147" s="118"/>
      <c r="Y147" s="118"/>
      <c r="Z147" s="118"/>
      <c r="AB147" s="118"/>
    </row>
    <row r="148" spans="1:28">
      <c r="A148" s="217" t="s">
        <v>449</v>
      </c>
      <c r="B148" s="218"/>
      <c r="C148" s="1182">
        <v>30074</v>
      </c>
      <c r="D148" s="210">
        <v>0</v>
      </c>
      <c r="E148" s="1191"/>
      <c r="F148" s="1332" t="str">
        <f t="shared" si="66"/>
        <v>-</v>
      </c>
      <c r="G148" s="209">
        <v>2200</v>
      </c>
      <c r="H148" s="210"/>
      <c r="I148" s="210"/>
      <c r="J148" s="211">
        <f t="shared" si="67"/>
        <v>2200</v>
      </c>
      <c r="K148" s="863"/>
      <c r="L148" s="217" t="s">
        <v>449</v>
      </c>
      <c r="M148" s="218"/>
      <c r="N148" s="1182">
        <v>195124</v>
      </c>
      <c r="O148" s="210">
        <v>0</v>
      </c>
      <c r="P148" s="1191"/>
      <c r="Q148" s="1332" t="str">
        <f t="shared" si="68"/>
        <v>-</v>
      </c>
      <c r="R148" s="209">
        <v>419920</v>
      </c>
      <c r="S148" s="210"/>
      <c r="T148" s="210"/>
      <c r="U148" s="211">
        <f t="shared" si="69"/>
        <v>419920</v>
      </c>
      <c r="V148" s="191"/>
      <c r="W148" s="118"/>
      <c r="X148" s="118"/>
      <c r="Y148" s="118"/>
      <c r="Z148" s="118"/>
      <c r="AA148" s="118"/>
      <c r="AB148" s="118"/>
    </row>
    <row r="149" spans="1:28">
      <c r="A149" s="217" t="s">
        <v>450</v>
      </c>
      <c r="B149" s="218"/>
      <c r="C149" s="1182"/>
      <c r="D149" s="210"/>
      <c r="E149" s="1191"/>
      <c r="F149" s="1332" t="str">
        <f t="shared" si="66"/>
        <v>-</v>
      </c>
      <c r="G149" s="209"/>
      <c r="H149" s="210"/>
      <c r="I149" s="210"/>
      <c r="J149" s="211">
        <f t="shared" si="67"/>
        <v>0</v>
      </c>
      <c r="K149" s="863"/>
      <c r="L149" s="217" t="s">
        <v>450</v>
      </c>
      <c r="M149" s="218">
        <v>374946</v>
      </c>
      <c r="N149" s="1182"/>
      <c r="O149" s="210">
        <v>437844</v>
      </c>
      <c r="P149" s="1191">
        <v>437844</v>
      </c>
      <c r="Q149" s="1332">
        <f t="shared" si="68"/>
        <v>1</v>
      </c>
      <c r="R149" s="209"/>
      <c r="S149" s="210"/>
      <c r="T149" s="210"/>
      <c r="U149" s="211">
        <f t="shared" si="69"/>
        <v>812790</v>
      </c>
      <c r="V149" s="191"/>
      <c r="W149" s="118"/>
      <c r="X149" s="118"/>
      <c r="Y149" s="118"/>
      <c r="Z149" s="118"/>
      <c r="AA149" s="118"/>
      <c r="AB149" s="118"/>
    </row>
    <row r="150" spans="1:28">
      <c r="A150" s="219" t="s">
        <v>451</v>
      </c>
      <c r="B150" s="220">
        <f>2567+27249</f>
        <v>29816</v>
      </c>
      <c r="C150" s="1184"/>
      <c r="D150" s="222">
        <v>27875</v>
      </c>
      <c r="E150" s="1192">
        <v>27875</v>
      </c>
      <c r="F150" s="1334">
        <f t="shared" si="66"/>
        <v>1</v>
      </c>
      <c r="G150" s="221"/>
      <c r="H150" s="222"/>
      <c r="I150" s="222"/>
      <c r="J150" s="211">
        <f t="shared" si="67"/>
        <v>57691</v>
      </c>
      <c r="K150" s="863"/>
      <c r="L150" s="219" t="s">
        <v>451</v>
      </c>
      <c r="M150" s="220"/>
      <c r="N150" s="1184"/>
      <c r="O150" s="222"/>
      <c r="P150" s="1192"/>
      <c r="Q150" s="1334" t="str">
        <f t="shared" si="68"/>
        <v>-</v>
      </c>
      <c r="R150" s="209"/>
      <c r="S150" s="222"/>
      <c r="T150" s="222"/>
      <c r="U150" s="211">
        <f t="shared" si="69"/>
        <v>0</v>
      </c>
      <c r="V150" s="191"/>
      <c r="W150" s="118"/>
      <c r="X150" s="118"/>
      <c r="Y150" s="118"/>
      <c r="Z150" s="118"/>
      <c r="AA150" s="118"/>
      <c r="AB150" s="118"/>
    </row>
    <row r="151" spans="1:28" ht="12.75" thickBot="1">
      <c r="A151" s="219" t="s">
        <v>452</v>
      </c>
      <c r="B151" s="220"/>
      <c r="C151" s="1184"/>
      <c r="D151" s="222"/>
      <c r="E151" s="1192"/>
      <c r="F151" s="1334" t="str">
        <f t="shared" si="66"/>
        <v>-</v>
      </c>
      <c r="G151" s="221"/>
      <c r="H151" s="222"/>
      <c r="I151" s="222"/>
      <c r="J151" s="211">
        <f t="shared" si="67"/>
        <v>0</v>
      </c>
      <c r="K151" s="863"/>
      <c r="L151" s="219" t="s">
        <v>452</v>
      </c>
      <c r="M151" s="220"/>
      <c r="N151" s="1184"/>
      <c r="O151" s="222"/>
      <c r="P151" s="1192"/>
      <c r="Q151" s="1334" t="str">
        <f t="shared" si="68"/>
        <v>-</v>
      </c>
      <c r="R151" s="221"/>
      <c r="S151" s="222"/>
      <c r="T151" s="222"/>
      <c r="U151" s="211">
        <f t="shared" si="69"/>
        <v>0</v>
      </c>
      <c r="V151" s="191"/>
      <c r="W151" s="118"/>
      <c r="X151" s="118"/>
      <c r="Y151" s="118"/>
      <c r="Z151" s="118"/>
      <c r="AA151" s="118"/>
      <c r="AB151" s="118"/>
    </row>
    <row r="152" spans="1:28" ht="12.75" thickBot="1">
      <c r="A152" s="190" t="s">
        <v>453</v>
      </c>
      <c r="B152" s="212">
        <f t="shared" ref="B152:J152" si="70">+B144+B145+B146+B147+B148+B149+B150+B151</f>
        <v>32567</v>
      </c>
      <c r="C152" s="1183">
        <f t="shared" si="70"/>
        <v>30074</v>
      </c>
      <c r="D152" s="212">
        <f>+D144+D145+D146+D147+D148+D149+D150+D151</f>
        <v>27875</v>
      </c>
      <c r="E152" s="1185">
        <f>+E144+E145+E146+E147+E148+E149+E150+E151</f>
        <v>27875</v>
      </c>
      <c r="F152" s="1333">
        <f t="shared" si="66"/>
        <v>1</v>
      </c>
      <c r="G152" s="214">
        <f t="shared" si="70"/>
        <v>2200</v>
      </c>
      <c r="H152" s="212">
        <f t="shared" si="70"/>
        <v>0</v>
      </c>
      <c r="I152" s="212">
        <f t="shared" si="70"/>
        <v>0</v>
      </c>
      <c r="J152" s="213">
        <f t="shared" si="70"/>
        <v>62642</v>
      </c>
      <c r="L152" s="190" t="s">
        <v>453</v>
      </c>
      <c r="M152" s="212">
        <f t="shared" ref="M152:U152" si="71">+M144+M145+M146+M147+M148+M149+M150+M151</f>
        <v>374946</v>
      </c>
      <c r="N152" s="1183">
        <f t="shared" si="71"/>
        <v>195124</v>
      </c>
      <c r="O152" s="212">
        <f>+O144+O145+O146+O147+O148+O149+O150+O151</f>
        <v>437844</v>
      </c>
      <c r="P152" s="1185">
        <f>+P144+P145+P146+P147+P148+P149+P150+P151</f>
        <v>437844</v>
      </c>
      <c r="Q152" s="1333">
        <f t="shared" si="68"/>
        <v>1</v>
      </c>
      <c r="R152" s="214">
        <f t="shared" si="71"/>
        <v>419920</v>
      </c>
      <c r="S152" s="212">
        <f t="shared" si="71"/>
        <v>0</v>
      </c>
      <c r="T152" s="212">
        <f t="shared" si="71"/>
        <v>0</v>
      </c>
      <c r="U152" s="213">
        <f t="shared" si="71"/>
        <v>1232710</v>
      </c>
      <c r="V152" s="191"/>
      <c r="X152" s="863"/>
      <c r="AA152" s="863"/>
    </row>
    <row r="153" spans="1:28">
      <c r="A153" s="191"/>
      <c r="B153" s="191"/>
      <c r="C153" s="191"/>
      <c r="D153" s="191"/>
      <c r="E153" s="191"/>
      <c r="F153" s="191"/>
      <c r="G153" s="191"/>
      <c r="H153" s="191"/>
      <c r="I153" s="191"/>
      <c r="J153" s="191"/>
      <c r="K153" s="863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</row>
    <row r="155" spans="1:28" s="856" customFormat="1" ht="15.75">
      <c r="A155" s="189" t="s">
        <v>1198</v>
      </c>
      <c r="B155" s="1737" t="s">
        <v>1191</v>
      </c>
      <c r="C155" s="1737"/>
      <c r="D155" s="1737"/>
      <c r="E155" s="1737"/>
      <c r="F155" s="1737"/>
      <c r="G155" s="1737"/>
      <c r="H155" s="1737"/>
      <c r="I155" s="1737"/>
      <c r="J155" s="1737"/>
      <c r="K155" s="766"/>
      <c r="L155" s="189" t="s">
        <v>1200</v>
      </c>
      <c r="M155" s="1737" t="s">
        <v>1494</v>
      </c>
      <c r="N155" s="1737"/>
      <c r="O155" s="1737"/>
      <c r="P155" s="1737"/>
      <c r="Q155" s="1737"/>
      <c r="R155" s="1737"/>
      <c r="S155" s="1737"/>
      <c r="T155" s="1737"/>
      <c r="U155" s="1737"/>
      <c r="V155" s="1737"/>
    </row>
    <row r="156" spans="1:28" s="856" customFormat="1" ht="15.75" customHeight="1">
      <c r="A156" s="1796" t="s">
        <v>1394</v>
      </c>
      <c r="B156" s="1796"/>
      <c r="C156" s="1796"/>
      <c r="D156" s="1796"/>
      <c r="E156" s="1796"/>
      <c r="F156" s="1796"/>
      <c r="G156" s="1796"/>
      <c r="H156" s="1796"/>
      <c r="I156" s="1796"/>
      <c r="J156" s="1796"/>
      <c r="K156" s="766"/>
      <c r="L156" s="1796" t="s">
        <v>1395</v>
      </c>
      <c r="M156" s="1796"/>
      <c r="N156" s="1796"/>
      <c r="O156" s="1796"/>
      <c r="P156" s="1796"/>
      <c r="Q156" s="1796"/>
      <c r="R156" s="1796"/>
      <c r="S156" s="1796"/>
      <c r="T156" s="1796"/>
      <c r="U156" s="1796"/>
      <c r="V156" s="1738"/>
    </row>
    <row r="157" spans="1:28" s="856" customFormat="1" ht="15.75">
      <c r="A157" s="1795" t="s">
        <v>1105</v>
      </c>
      <c r="B157" s="1795"/>
      <c r="C157" s="1795"/>
      <c r="D157" s="1795"/>
      <c r="E157" s="1795"/>
      <c r="F157" s="1795"/>
      <c r="G157" s="1795"/>
      <c r="H157" s="1795"/>
      <c r="I157" s="1795"/>
      <c r="J157" s="1795"/>
      <c r="K157" s="766"/>
      <c r="L157" s="1795" t="s">
        <v>1105</v>
      </c>
      <c r="M157" s="1795"/>
      <c r="N157" s="1795"/>
      <c r="O157" s="1795"/>
      <c r="P157" s="1795"/>
      <c r="Q157" s="1795"/>
      <c r="R157" s="1795"/>
      <c r="S157" s="1795"/>
      <c r="T157" s="1795"/>
      <c r="U157" s="1795"/>
      <c r="V157" s="1739"/>
    </row>
    <row r="158" spans="1:28" s="859" customFormat="1" ht="12.75" thickBot="1">
      <c r="A158" s="858"/>
      <c r="B158" s="858"/>
      <c r="G158" s="858"/>
      <c r="H158" s="858"/>
      <c r="J158" s="234" t="s">
        <v>280</v>
      </c>
      <c r="K158" s="860"/>
      <c r="L158" s="858"/>
      <c r="M158" s="858"/>
      <c r="N158" s="858"/>
      <c r="O158" s="858"/>
      <c r="P158" s="858"/>
      <c r="Q158" s="858"/>
      <c r="R158" s="858"/>
      <c r="S158" s="858"/>
      <c r="U158" s="234" t="s">
        <v>280</v>
      </c>
      <c r="V158" s="846"/>
    </row>
    <row r="159" spans="1:28" s="862" customFormat="1" ht="36.75" thickBot="1">
      <c r="A159" s="388" t="s">
        <v>431</v>
      </c>
      <c r="B159" s="389" t="s">
        <v>1422</v>
      </c>
      <c r="C159" s="1055" t="s">
        <v>1540</v>
      </c>
      <c r="D159" s="6" t="s">
        <v>1541</v>
      </c>
      <c r="E159" s="6" t="s">
        <v>2654</v>
      </c>
      <c r="F159" s="1330" t="s">
        <v>1558</v>
      </c>
      <c r="G159" s="369" t="s">
        <v>460</v>
      </c>
      <c r="H159" s="370" t="s">
        <v>461</v>
      </c>
      <c r="I159" s="370" t="s">
        <v>1423</v>
      </c>
      <c r="J159" s="1741" t="s">
        <v>18</v>
      </c>
      <c r="K159" s="861"/>
      <c r="L159" s="388" t="s">
        <v>431</v>
      </c>
      <c r="M159" s="389" t="s">
        <v>1422</v>
      </c>
      <c r="N159" s="1055" t="s">
        <v>1540</v>
      </c>
      <c r="O159" s="6" t="s">
        <v>1541</v>
      </c>
      <c r="P159" s="6" t="s">
        <v>2654</v>
      </c>
      <c r="Q159" s="1330" t="s">
        <v>1558</v>
      </c>
      <c r="R159" s="369" t="s">
        <v>460</v>
      </c>
      <c r="S159" s="370" t="s">
        <v>461</v>
      </c>
      <c r="T159" s="370" t="s">
        <v>1423</v>
      </c>
      <c r="U159" s="1741" t="s">
        <v>18</v>
      </c>
      <c r="V159" s="847"/>
    </row>
    <row r="160" spans="1:28">
      <c r="A160" s="197" t="s">
        <v>432</v>
      </c>
      <c r="B160" s="198">
        <f t="shared" ref="B160:J160" si="72">+B177-B165-B164-B163-B162</f>
        <v>-4759</v>
      </c>
      <c r="C160" s="1180">
        <f t="shared" si="72"/>
        <v>4509</v>
      </c>
      <c r="D160" s="200">
        <f>+D177-D165-D164-D163-D162</f>
        <v>6281</v>
      </c>
      <c r="E160" s="200">
        <f>+E177-E165-E164-E163-E162</f>
        <v>6281</v>
      </c>
      <c r="F160" s="1331">
        <f t="shared" ref="F160:F166" si="73">IF(ISERROR(E160/D160),"-",E160/D160)</f>
        <v>1</v>
      </c>
      <c r="G160" s="199">
        <f t="shared" si="72"/>
        <v>0</v>
      </c>
      <c r="H160" s="200">
        <f t="shared" si="72"/>
        <v>0</v>
      </c>
      <c r="I160" s="200">
        <f t="shared" si="72"/>
        <v>0</v>
      </c>
      <c r="J160" s="201">
        <f t="shared" si="72"/>
        <v>1522</v>
      </c>
      <c r="K160" s="863"/>
      <c r="L160" s="197" t="s">
        <v>432</v>
      </c>
      <c r="M160" s="198">
        <f t="shared" ref="M160:U160" si="74">+M177-M165-M164-M163-M162</f>
        <v>-40360</v>
      </c>
      <c r="N160" s="1180">
        <f t="shared" si="74"/>
        <v>40360</v>
      </c>
      <c r="O160" s="200">
        <f>+O177-O165-O164-O163-O162</f>
        <v>2565</v>
      </c>
      <c r="P160" s="200">
        <f>+P177-P165-P164-P163-P162</f>
        <v>2565</v>
      </c>
      <c r="Q160" s="1331">
        <f t="shared" ref="Q160:Q166" si="75">IF(ISERROR(P160/O160),"-",P160/O160)</f>
        <v>1</v>
      </c>
      <c r="R160" s="199">
        <f t="shared" si="74"/>
        <v>37795</v>
      </c>
      <c r="S160" s="200">
        <f t="shared" si="74"/>
        <v>0</v>
      </c>
      <c r="T160" s="200">
        <f t="shared" si="74"/>
        <v>0</v>
      </c>
      <c r="U160" s="201">
        <f t="shared" si="74"/>
        <v>0</v>
      </c>
      <c r="V160" s="191"/>
    </row>
    <row r="161" spans="1:28">
      <c r="A161" s="202" t="s">
        <v>433</v>
      </c>
      <c r="B161" s="203"/>
      <c r="C161" s="1181"/>
      <c r="D161" s="205"/>
      <c r="E161" s="205"/>
      <c r="F161" s="1332" t="str">
        <f t="shared" si="73"/>
        <v>-</v>
      </c>
      <c r="G161" s="204"/>
      <c r="H161" s="205"/>
      <c r="I161" s="205"/>
      <c r="J161" s="206">
        <f>+B161+IF(D161&lt;=E161,E161,D161)+G161+H161+I161</f>
        <v>0</v>
      </c>
      <c r="K161" s="863"/>
      <c r="L161" s="202" t="s">
        <v>433</v>
      </c>
      <c r="M161" s="203"/>
      <c r="N161" s="1181"/>
      <c r="O161" s="205"/>
      <c r="P161" s="205"/>
      <c r="Q161" s="1332" t="str">
        <f t="shared" si="75"/>
        <v>-</v>
      </c>
      <c r="R161" s="204"/>
      <c r="S161" s="205"/>
      <c r="T161" s="205"/>
      <c r="U161" s="206">
        <f>+M161+IF(O161&lt;=P161,P161,O161)+R161+S161+T161</f>
        <v>0</v>
      </c>
      <c r="V161" s="848"/>
      <c r="W161" s="118"/>
      <c r="Z161" s="118"/>
    </row>
    <row r="162" spans="1:28">
      <c r="A162" s="207" t="s">
        <v>434</v>
      </c>
      <c r="B162" s="208">
        <v>34604</v>
      </c>
      <c r="C162" s="1182"/>
      <c r="D162" s="210"/>
      <c r="E162" s="210"/>
      <c r="F162" s="1332" t="str">
        <f t="shared" si="73"/>
        <v>-</v>
      </c>
      <c r="G162" s="209"/>
      <c r="H162" s="210"/>
      <c r="I162" s="210"/>
      <c r="J162" s="211">
        <f>+B162+IF(D162&lt;=E162,E162,D162)+G162+H162+I162</f>
        <v>34604</v>
      </c>
      <c r="K162" s="863"/>
      <c r="L162" s="207" t="s">
        <v>434</v>
      </c>
      <c r="M162" s="208">
        <v>109516</v>
      </c>
      <c r="N162" s="1182"/>
      <c r="O162" s="210"/>
      <c r="P162" s="210"/>
      <c r="Q162" s="1332" t="str">
        <f t="shared" si="75"/>
        <v>-</v>
      </c>
      <c r="R162" s="209"/>
      <c r="S162" s="210"/>
      <c r="T162" s="210"/>
      <c r="U162" s="211">
        <f>+M162+IF(O162&lt;=P162,P162,O162)+R162+S162+T162</f>
        <v>109516</v>
      </c>
      <c r="V162" s="191"/>
      <c r="W162" s="118"/>
      <c r="X162" s="118"/>
      <c r="Y162" s="118"/>
      <c r="Z162" s="118"/>
      <c r="AA162" s="118"/>
      <c r="AB162" s="118"/>
    </row>
    <row r="163" spans="1:28">
      <c r="A163" s="207" t="s">
        <v>435</v>
      </c>
      <c r="B163" s="208"/>
      <c r="C163" s="1182"/>
      <c r="D163" s="210"/>
      <c r="E163" s="210"/>
      <c r="F163" s="1332" t="str">
        <f t="shared" si="73"/>
        <v>-</v>
      </c>
      <c r="G163" s="209"/>
      <c r="H163" s="210"/>
      <c r="I163" s="210"/>
      <c r="J163" s="211">
        <f>+B163+IF(D163&lt;=E163,E163,D163)+G163+H163+I163</f>
        <v>0</v>
      </c>
      <c r="K163" s="863"/>
      <c r="L163" s="207" t="s">
        <v>435</v>
      </c>
      <c r="M163" s="208"/>
      <c r="N163" s="1182"/>
      <c r="O163" s="210"/>
      <c r="P163" s="210"/>
      <c r="Q163" s="1332" t="str">
        <f t="shared" si="75"/>
        <v>-</v>
      </c>
      <c r="R163" s="209"/>
      <c r="S163" s="210"/>
      <c r="T163" s="210"/>
      <c r="U163" s="211">
        <f>+M163+IF(O163&lt;=P163,P163,O163)+R163+S163+T163</f>
        <v>0</v>
      </c>
      <c r="V163" s="191"/>
      <c r="W163" s="118"/>
      <c r="Z163" s="118"/>
    </row>
    <row r="164" spans="1:28">
      <c r="A164" s="207" t="s">
        <v>436</v>
      </c>
      <c r="B164" s="208"/>
      <c r="C164" s="1182"/>
      <c r="D164" s="210"/>
      <c r="E164" s="210"/>
      <c r="F164" s="1332" t="str">
        <f t="shared" si="73"/>
        <v>-</v>
      </c>
      <c r="G164" s="209"/>
      <c r="H164" s="210"/>
      <c r="I164" s="210"/>
      <c r="J164" s="211">
        <f>+B164+IF(D164&lt;=E164,E164,D164)+G164+H164+I164</f>
        <v>0</v>
      </c>
      <c r="K164" s="863"/>
      <c r="L164" s="207" t="s">
        <v>436</v>
      </c>
      <c r="M164" s="208"/>
      <c r="N164" s="1182"/>
      <c r="O164" s="210"/>
      <c r="P164" s="210"/>
      <c r="Q164" s="1332" t="str">
        <f t="shared" si="75"/>
        <v>-</v>
      </c>
      <c r="R164" s="209"/>
      <c r="S164" s="210"/>
      <c r="T164" s="210"/>
      <c r="U164" s="211">
        <f>+M164+IF(O164&lt;=P164,P164,O164)+R164+S164+T164</f>
        <v>0</v>
      </c>
      <c r="V164" s="191"/>
      <c r="W164" s="118"/>
      <c r="Z164" s="118"/>
    </row>
    <row r="165" spans="1:28" ht="12.75" thickBot="1">
      <c r="A165" s="207" t="s">
        <v>437</v>
      </c>
      <c r="B165" s="208"/>
      <c r="C165" s="1182"/>
      <c r="D165" s="210"/>
      <c r="E165" s="210"/>
      <c r="F165" s="1332" t="str">
        <f t="shared" si="73"/>
        <v>-</v>
      </c>
      <c r="G165" s="209"/>
      <c r="H165" s="210"/>
      <c r="I165" s="210"/>
      <c r="J165" s="211">
        <f>+B165+IF(D165&lt;=E165,E165,D165)+G165+H165+I165</f>
        <v>0</v>
      </c>
      <c r="K165" s="863"/>
      <c r="L165" s="207" t="s">
        <v>437</v>
      </c>
      <c r="M165" s="208"/>
      <c r="N165" s="1182"/>
      <c r="O165" s="210"/>
      <c r="P165" s="210"/>
      <c r="Q165" s="1332" t="str">
        <f t="shared" si="75"/>
        <v>-</v>
      </c>
      <c r="R165" s="209"/>
      <c r="S165" s="210"/>
      <c r="T165" s="210"/>
      <c r="U165" s="211">
        <f>+M165+IF(O165&lt;=P165,P165,O165)+R165+S165+T165</f>
        <v>0</v>
      </c>
      <c r="V165" s="191"/>
      <c r="W165" s="118"/>
      <c r="Z165" s="118"/>
    </row>
    <row r="166" spans="1:28" ht="12.75" thickBot="1">
      <c r="A166" s="190" t="s">
        <v>438</v>
      </c>
      <c r="B166" s="212">
        <f t="shared" ref="B166:J166" si="76">+B160+B162+B163+B164+B165</f>
        <v>29845</v>
      </c>
      <c r="C166" s="1183">
        <f t="shared" si="76"/>
        <v>4509</v>
      </c>
      <c r="D166" s="212">
        <f>+D160+D162+D163+D164+D165</f>
        <v>6281</v>
      </c>
      <c r="E166" s="212">
        <f>+E160+E162+E163+E164+E165</f>
        <v>6281</v>
      </c>
      <c r="F166" s="1333">
        <f t="shared" si="73"/>
        <v>1</v>
      </c>
      <c r="G166" s="214">
        <f t="shared" si="76"/>
        <v>0</v>
      </c>
      <c r="H166" s="212">
        <f t="shared" si="76"/>
        <v>0</v>
      </c>
      <c r="I166" s="212">
        <f t="shared" si="76"/>
        <v>0</v>
      </c>
      <c r="J166" s="213">
        <f t="shared" si="76"/>
        <v>36126</v>
      </c>
      <c r="K166" s="863"/>
      <c r="L166" s="190" t="s">
        <v>438</v>
      </c>
      <c r="M166" s="212">
        <f t="shared" ref="M166:U166" si="77">+M160+M162+M163+M164+M165</f>
        <v>69156</v>
      </c>
      <c r="N166" s="1183">
        <f t="shared" si="77"/>
        <v>40360</v>
      </c>
      <c r="O166" s="212">
        <f>+O160+O162+O163+O164+O165</f>
        <v>2565</v>
      </c>
      <c r="P166" s="212">
        <f>+P160+P162+P163+P164+P165</f>
        <v>2565</v>
      </c>
      <c r="Q166" s="1333">
        <f t="shared" si="75"/>
        <v>1</v>
      </c>
      <c r="R166" s="214">
        <f t="shared" si="77"/>
        <v>37795</v>
      </c>
      <c r="S166" s="212">
        <f t="shared" si="77"/>
        <v>0</v>
      </c>
      <c r="T166" s="212">
        <f t="shared" si="77"/>
        <v>0</v>
      </c>
      <c r="U166" s="213">
        <f t="shared" si="77"/>
        <v>109516</v>
      </c>
      <c r="V166" s="191"/>
    </row>
    <row r="167" spans="1:28" ht="12.75" thickBot="1">
      <c r="A167" s="215"/>
      <c r="B167" s="215"/>
      <c r="C167" s="215"/>
      <c r="D167" s="215"/>
      <c r="E167" s="215"/>
      <c r="F167" s="215"/>
      <c r="G167" s="215"/>
      <c r="H167" s="215"/>
      <c r="I167" s="215"/>
      <c r="J167" s="215"/>
      <c r="K167" s="863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</row>
    <row r="168" spans="1:28" s="862" customFormat="1" ht="36.75" thickBot="1">
      <c r="A168" s="388" t="s">
        <v>439</v>
      </c>
      <c r="B168" s="389" t="s">
        <v>1422</v>
      </c>
      <c r="C168" s="1055" t="s">
        <v>1540</v>
      </c>
      <c r="D168" s="6" t="s">
        <v>1541</v>
      </c>
      <c r="E168" s="6" t="s">
        <v>2654</v>
      </c>
      <c r="F168" s="1330" t="s">
        <v>1558</v>
      </c>
      <c r="G168" s="369" t="s">
        <v>460</v>
      </c>
      <c r="H168" s="370" t="s">
        <v>461</v>
      </c>
      <c r="I168" s="370" t="s">
        <v>1423</v>
      </c>
      <c r="J168" s="1741" t="s">
        <v>18</v>
      </c>
      <c r="K168" s="865"/>
      <c r="L168" s="388" t="s">
        <v>439</v>
      </c>
      <c r="M168" s="389" t="s">
        <v>1422</v>
      </c>
      <c r="N168" s="1055" t="s">
        <v>1540</v>
      </c>
      <c r="O168" s="6" t="s">
        <v>1541</v>
      </c>
      <c r="P168" s="6" t="s">
        <v>2654</v>
      </c>
      <c r="Q168" s="1330" t="s">
        <v>1558</v>
      </c>
      <c r="R168" s="369" t="s">
        <v>460</v>
      </c>
      <c r="S168" s="370" t="s">
        <v>461</v>
      </c>
      <c r="T168" s="370" t="s">
        <v>1423</v>
      </c>
      <c r="U168" s="1741" t="s">
        <v>18</v>
      </c>
      <c r="V168" s="847"/>
    </row>
    <row r="169" spans="1:28">
      <c r="A169" s="197" t="s">
        <v>445</v>
      </c>
      <c r="B169" s="198">
        <f>6354+6529</f>
        <v>12883</v>
      </c>
      <c r="C169" s="1180"/>
      <c r="D169" s="200">
        <v>3467</v>
      </c>
      <c r="E169" s="1190">
        <v>3467</v>
      </c>
      <c r="F169" s="1331">
        <f t="shared" ref="F169:F177" si="78">IF(ISERROR(E169/D169),"-",E169/D169)</f>
        <v>1</v>
      </c>
      <c r="G169" s="199"/>
      <c r="H169" s="200"/>
      <c r="I169" s="200"/>
      <c r="J169" s="201">
        <f t="shared" ref="J169:J176" si="79">+B169+IF(D169&lt;=E169,E169,D169)+G169+H169+I169</f>
        <v>16350</v>
      </c>
      <c r="K169" s="863"/>
      <c r="L169" s="197" t="s">
        <v>445</v>
      </c>
      <c r="M169" s="198"/>
      <c r="N169" s="1180"/>
      <c r="O169" s="200"/>
      <c r="P169" s="1190"/>
      <c r="Q169" s="1331" t="str">
        <f t="shared" ref="Q169:Q177" si="80">IF(ISERROR(P169/O169),"-",P169/O169)</f>
        <v>-</v>
      </c>
      <c r="R169" s="199"/>
      <c r="S169" s="200"/>
      <c r="T169" s="200"/>
      <c r="U169" s="201">
        <f t="shared" ref="U169:U176" si="81">+M169+IF(O169&lt;=P169,P169,O169)+R169+S169+T169</f>
        <v>0</v>
      </c>
      <c r="V169" s="191"/>
      <c r="W169" s="118"/>
      <c r="X169" s="118"/>
      <c r="Y169" s="118"/>
      <c r="Z169" s="118"/>
      <c r="AA169" s="118"/>
      <c r="AB169" s="118"/>
    </row>
    <row r="170" spans="1:28">
      <c r="A170" s="216" t="s">
        <v>446</v>
      </c>
      <c r="B170" s="208">
        <f>1078+1167</f>
        <v>2245</v>
      </c>
      <c r="C170" s="1182"/>
      <c r="D170" s="210">
        <v>531</v>
      </c>
      <c r="E170" s="1191">
        <v>531</v>
      </c>
      <c r="F170" s="1332">
        <f t="shared" si="78"/>
        <v>1</v>
      </c>
      <c r="G170" s="209"/>
      <c r="H170" s="210"/>
      <c r="I170" s="210"/>
      <c r="J170" s="211">
        <f t="shared" si="79"/>
        <v>2776</v>
      </c>
      <c r="K170" s="863"/>
      <c r="L170" s="216" t="s">
        <v>446</v>
      </c>
      <c r="M170" s="208"/>
      <c r="N170" s="1182"/>
      <c r="O170" s="210"/>
      <c r="P170" s="1191"/>
      <c r="Q170" s="1332" t="str">
        <f t="shared" si="80"/>
        <v>-</v>
      </c>
      <c r="R170" s="209"/>
      <c r="S170" s="210"/>
      <c r="T170" s="210"/>
      <c r="U170" s="211">
        <f t="shared" si="81"/>
        <v>0</v>
      </c>
      <c r="V170" s="191"/>
      <c r="W170" s="118"/>
      <c r="X170" s="118"/>
      <c r="Y170" s="118"/>
      <c r="Z170" s="118"/>
      <c r="AA170" s="118"/>
      <c r="AB170" s="118"/>
    </row>
    <row r="171" spans="1:28">
      <c r="A171" s="207" t="s">
        <v>447</v>
      </c>
      <c r="B171" s="208">
        <f>7856+6861</f>
        <v>14717</v>
      </c>
      <c r="C171" s="1182"/>
      <c r="D171" s="210">
        <v>2283</v>
      </c>
      <c r="E171" s="1191">
        <v>2283</v>
      </c>
      <c r="F171" s="1332">
        <f t="shared" si="78"/>
        <v>1</v>
      </c>
      <c r="G171" s="209"/>
      <c r="H171" s="210"/>
      <c r="I171" s="210"/>
      <c r="J171" s="211">
        <f t="shared" si="79"/>
        <v>17000</v>
      </c>
      <c r="K171" s="863"/>
      <c r="L171" s="207" t="s">
        <v>447</v>
      </c>
      <c r="M171" s="208">
        <f>44291+8865</f>
        <v>53156</v>
      </c>
      <c r="N171" s="1182"/>
      <c r="O171" s="210">
        <v>2565</v>
      </c>
      <c r="P171" s="1191">
        <v>2565</v>
      </c>
      <c r="Q171" s="1332">
        <f t="shared" si="80"/>
        <v>1</v>
      </c>
      <c r="R171" s="209"/>
      <c r="S171" s="210"/>
      <c r="T171" s="210"/>
      <c r="U171" s="211">
        <f t="shared" si="81"/>
        <v>55721</v>
      </c>
      <c r="V171" s="191"/>
      <c r="W171" s="118"/>
      <c r="X171" s="118"/>
      <c r="Y171" s="118"/>
      <c r="Z171" s="118"/>
      <c r="AA171" s="118"/>
      <c r="AB171" s="118"/>
    </row>
    <row r="172" spans="1:28">
      <c r="A172" s="207" t="s">
        <v>448</v>
      </c>
      <c r="B172" s="208"/>
      <c r="C172" s="1182"/>
      <c r="D172" s="210"/>
      <c r="E172" s="1191"/>
      <c r="F172" s="1332" t="str">
        <f t="shared" si="78"/>
        <v>-</v>
      </c>
      <c r="G172" s="209"/>
      <c r="H172" s="210"/>
      <c r="I172" s="210"/>
      <c r="J172" s="211">
        <f t="shared" si="79"/>
        <v>0</v>
      </c>
      <c r="K172" s="863"/>
      <c r="L172" s="207" t="s">
        <v>448</v>
      </c>
      <c r="M172" s="208"/>
      <c r="N172" s="1182"/>
      <c r="O172" s="210"/>
      <c r="P172" s="1191"/>
      <c r="Q172" s="1332" t="str">
        <f t="shared" si="80"/>
        <v>-</v>
      </c>
      <c r="R172" s="209"/>
      <c r="S172" s="210"/>
      <c r="T172" s="210"/>
      <c r="U172" s="211">
        <f t="shared" si="81"/>
        <v>0</v>
      </c>
      <c r="V172" s="191"/>
      <c r="W172" s="118"/>
      <c r="Y172" s="118"/>
      <c r="Z172" s="118"/>
      <c r="AB172" s="118"/>
    </row>
    <row r="173" spans="1:28">
      <c r="A173" s="217" t="s">
        <v>449</v>
      </c>
      <c r="B173" s="218"/>
      <c r="C173" s="1182">
        <f>4497+12</f>
        <v>4509</v>
      </c>
      <c r="D173" s="210">
        <v>0</v>
      </c>
      <c r="E173" s="1191"/>
      <c r="F173" s="1332" t="str">
        <f t="shared" si="78"/>
        <v>-</v>
      </c>
      <c r="G173" s="209"/>
      <c r="H173" s="210"/>
      <c r="I173" s="210"/>
      <c r="J173" s="211">
        <f t="shared" si="79"/>
        <v>0</v>
      </c>
      <c r="K173" s="863"/>
      <c r="L173" s="217" t="s">
        <v>449</v>
      </c>
      <c r="M173" s="218"/>
      <c r="N173" s="1182">
        <v>40360</v>
      </c>
      <c r="O173" s="210">
        <v>0</v>
      </c>
      <c r="P173" s="1191"/>
      <c r="Q173" s="1332" t="str">
        <f t="shared" si="80"/>
        <v>-</v>
      </c>
      <c r="R173" s="209">
        <v>37795</v>
      </c>
      <c r="S173" s="210"/>
      <c r="T173" s="210"/>
      <c r="U173" s="211">
        <f t="shared" si="81"/>
        <v>37795</v>
      </c>
      <c r="V173" s="191"/>
      <c r="W173" s="118"/>
      <c r="X173" s="118"/>
      <c r="Y173" s="118"/>
      <c r="Z173" s="118"/>
      <c r="AA173" s="118"/>
      <c r="AB173" s="118"/>
    </row>
    <row r="174" spans="1:28">
      <c r="A174" s="217" t="s">
        <v>450</v>
      </c>
      <c r="B174" s="218"/>
      <c r="C174" s="1182"/>
      <c r="D174" s="210"/>
      <c r="E174" s="1191"/>
      <c r="F174" s="1332" t="str">
        <f t="shared" si="78"/>
        <v>-</v>
      </c>
      <c r="G174" s="209"/>
      <c r="H174" s="210"/>
      <c r="I174" s="210"/>
      <c r="J174" s="211">
        <f t="shared" si="79"/>
        <v>0</v>
      </c>
      <c r="K174" s="863"/>
      <c r="L174" s="217" t="s">
        <v>450</v>
      </c>
      <c r="M174" s="218">
        <v>16000</v>
      </c>
      <c r="N174" s="1182"/>
      <c r="O174" s="210"/>
      <c r="P174" s="1191"/>
      <c r="Q174" s="1332" t="str">
        <f t="shared" si="80"/>
        <v>-</v>
      </c>
      <c r="R174" s="209"/>
      <c r="S174" s="210"/>
      <c r="T174" s="210"/>
      <c r="U174" s="211">
        <f t="shared" si="81"/>
        <v>16000</v>
      </c>
      <c r="V174" s="191"/>
      <c r="W174" s="118"/>
      <c r="X174" s="118"/>
      <c r="Y174" s="118"/>
      <c r="Z174" s="118"/>
      <c r="AA174" s="118"/>
      <c r="AB174" s="118"/>
    </row>
    <row r="175" spans="1:28">
      <c r="A175" s="219" t="s">
        <v>451</v>
      </c>
      <c r="B175" s="220"/>
      <c r="C175" s="1184"/>
      <c r="D175" s="222"/>
      <c r="E175" s="1192"/>
      <c r="F175" s="1334" t="str">
        <f t="shared" si="78"/>
        <v>-</v>
      </c>
      <c r="G175" s="221"/>
      <c r="H175" s="222"/>
      <c r="I175" s="222"/>
      <c r="J175" s="211">
        <f t="shared" si="79"/>
        <v>0</v>
      </c>
      <c r="K175" s="863"/>
      <c r="L175" s="219" t="s">
        <v>451</v>
      </c>
      <c r="M175" s="220"/>
      <c r="N175" s="1184"/>
      <c r="O175" s="222"/>
      <c r="P175" s="1192"/>
      <c r="Q175" s="1334" t="str">
        <f t="shared" si="80"/>
        <v>-</v>
      </c>
      <c r="R175" s="209"/>
      <c r="S175" s="222"/>
      <c r="T175" s="222"/>
      <c r="U175" s="211">
        <f t="shared" si="81"/>
        <v>0</v>
      </c>
      <c r="V175" s="191"/>
      <c r="W175" s="118"/>
      <c r="X175" s="118"/>
      <c r="Y175" s="118"/>
      <c r="Z175" s="118"/>
      <c r="AA175" s="118"/>
      <c r="AB175" s="118"/>
    </row>
    <row r="176" spans="1:28" ht="12.75" thickBot="1">
      <c r="A176" s="219" t="s">
        <v>452</v>
      </c>
      <c r="B176" s="220"/>
      <c r="C176" s="1184"/>
      <c r="D176" s="222"/>
      <c r="E176" s="1192"/>
      <c r="F176" s="1334" t="str">
        <f t="shared" si="78"/>
        <v>-</v>
      </c>
      <c r="G176" s="221"/>
      <c r="H176" s="222"/>
      <c r="I176" s="222"/>
      <c r="J176" s="211">
        <f t="shared" si="79"/>
        <v>0</v>
      </c>
      <c r="K176" s="863"/>
      <c r="L176" s="219" t="s">
        <v>452</v>
      </c>
      <c r="M176" s="220"/>
      <c r="N176" s="1184"/>
      <c r="O176" s="222"/>
      <c r="P176" s="1192"/>
      <c r="Q176" s="1334" t="str">
        <f t="shared" si="80"/>
        <v>-</v>
      </c>
      <c r="R176" s="221"/>
      <c r="S176" s="222"/>
      <c r="T176" s="222"/>
      <c r="U176" s="211">
        <f t="shared" si="81"/>
        <v>0</v>
      </c>
      <c r="V176" s="191"/>
      <c r="W176" s="118"/>
      <c r="X176" s="118"/>
      <c r="Y176" s="118"/>
      <c r="Z176" s="118"/>
      <c r="AA176" s="118"/>
      <c r="AB176" s="118"/>
    </row>
    <row r="177" spans="1:28" ht="12.75" thickBot="1">
      <c r="A177" s="190" t="s">
        <v>453</v>
      </c>
      <c r="B177" s="212">
        <f t="shared" ref="B177:J177" si="82">+B169+B170+B171+B172+B173+B174+B175+B176</f>
        <v>29845</v>
      </c>
      <c r="C177" s="1183">
        <f t="shared" si="82"/>
        <v>4509</v>
      </c>
      <c r="D177" s="212">
        <f>+D169+D170+D171+D172+D173+D174+D175+D176</f>
        <v>6281</v>
      </c>
      <c r="E177" s="1185">
        <f>+E169+E170+E171+E172+E173+E174+E175+E176</f>
        <v>6281</v>
      </c>
      <c r="F177" s="1333">
        <f t="shared" si="78"/>
        <v>1</v>
      </c>
      <c r="G177" s="214">
        <f t="shared" si="82"/>
        <v>0</v>
      </c>
      <c r="H177" s="212">
        <f t="shared" si="82"/>
        <v>0</v>
      </c>
      <c r="I177" s="212">
        <f t="shared" si="82"/>
        <v>0</v>
      </c>
      <c r="J177" s="213">
        <f t="shared" si="82"/>
        <v>36126</v>
      </c>
      <c r="L177" s="190" t="s">
        <v>453</v>
      </c>
      <c r="M177" s="212">
        <f t="shared" ref="M177:U177" si="83">+M169+M170+M171+M172+M173+M174+M175+M176</f>
        <v>69156</v>
      </c>
      <c r="N177" s="1183">
        <f t="shared" si="83"/>
        <v>40360</v>
      </c>
      <c r="O177" s="212">
        <f>+O169+O170+O171+O172+O173+O174+O175+O176</f>
        <v>2565</v>
      </c>
      <c r="P177" s="1185">
        <f>+P169+P170+P171+P172+P173+P174+P175+P176</f>
        <v>2565</v>
      </c>
      <c r="Q177" s="1333">
        <f t="shared" si="80"/>
        <v>1</v>
      </c>
      <c r="R177" s="214">
        <f t="shared" si="83"/>
        <v>37795</v>
      </c>
      <c r="S177" s="212">
        <f t="shared" si="83"/>
        <v>0</v>
      </c>
      <c r="T177" s="212">
        <f t="shared" si="83"/>
        <v>0</v>
      </c>
      <c r="U177" s="213">
        <f t="shared" si="83"/>
        <v>109516</v>
      </c>
      <c r="V177" s="191"/>
      <c r="X177" s="863"/>
      <c r="AA177" s="863"/>
    </row>
    <row r="178" spans="1:28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863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</row>
    <row r="180" spans="1:28" s="856" customFormat="1" ht="15.75">
      <c r="A180" s="189" t="s">
        <v>1359</v>
      </c>
      <c r="B180" s="1737" t="s">
        <v>1371</v>
      </c>
      <c r="C180" s="1737"/>
      <c r="D180" s="1737"/>
      <c r="E180" s="1737"/>
      <c r="F180" s="1737"/>
      <c r="G180" s="1737"/>
      <c r="H180" s="1737"/>
      <c r="I180" s="1737"/>
      <c r="J180" s="1737"/>
      <c r="K180" s="766"/>
      <c r="L180" s="189" t="s">
        <v>1360</v>
      </c>
      <c r="M180" s="1737" t="s">
        <v>1495</v>
      </c>
      <c r="N180" s="1737"/>
      <c r="O180" s="1737"/>
      <c r="P180" s="1737"/>
      <c r="Q180" s="1737"/>
      <c r="R180" s="1737"/>
      <c r="S180" s="1737"/>
      <c r="T180" s="1737"/>
      <c r="U180" s="1737"/>
      <c r="V180" s="1737"/>
    </row>
    <row r="181" spans="1:28" s="856" customFormat="1" ht="15.75" customHeight="1">
      <c r="A181" s="1796" t="s">
        <v>1372</v>
      </c>
      <c r="B181" s="1796"/>
      <c r="C181" s="1796"/>
      <c r="D181" s="1796"/>
      <c r="E181" s="1796"/>
      <c r="F181" s="1796"/>
      <c r="G181" s="1796"/>
      <c r="H181" s="1796"/>
      <c r="I181" s="1796"/>
      <c r="J181" s="1796"/>
      <c r="K181" s="766"/>
      <c r="L181" s="1796" t="s">
        <v>1373</v>
      </c>
      <c r="M181" s="1796"/>
      <c r="N181" s="1796"/>
      <c r="O181" s="1796"/>
      <c r="P181" s="1796"/>
      <c r="Q181" s="1796"/>
      <c r="R181" s="1796"/>
      <c r="S181" s="1796"/>
      <c r="T181" s="1796"/>
      <c r="U181" s="1796"/>
      <c r="V181" s="1738"/>
    </row>
    <row r="182" spans="1:28" s="856" customFormat="1" ht="15.75">
      <c r="A182" s="1795" t="s">
        <v>1105</v>
      </c>
      <c r="B182" s="1795"/>
      <c r="C182" s="1795"/>
      <c r="D182" s="1795"/>
      <c r="E182" s="1795"/>
      <c r="F182" s="1795"/>
      <c r="G182" s="1795"/>
      <c r="H182" s="1795"/>
      <c r="I182" s="1795"/>
      <c r="J182" s="1795"/>
      <c r="K182" s="766"/>
      <c r="L182" s="1795" t="s">
        <v>1105</v>
      </c>
      <c r="M182" s="1795"/>
      <c r="N182" s="1795"/>
      <c r="O182" s="1795"/>
      <c r="P182" s="1795"/>
      <c r="Q182" s="1795"/>
      <c r="R182" s="1795"/>
      <c r="S182" s="1795"/>
      <c r="T182" s="1795"/>
      <c r="U182" s="1795"/>
      <c r="V182" s="1739"/>
    </row>
    <row r="183" spans="1:28" s="859" customFormat="1" ht="12.75" thickBot="1">
      <c r="A183" s="858"/>
      <c r="B183" s="858"/>
      <c r="G183" s="858"/>
      <c r="H183" s="858"/>
      <c r="J183" s="234" t="s">
        <v>280</v>
      </c>
      <c r="K183" s="860"/>
      <c r="L183" s="858"/>
      <c r="M183" s="858"/>
      <c r="N183" s="858"/>
      <c r="O183" s="858"/>
      <c r="P183" s="858"/>
      <c r="Q183" s="858"/>
      <c r="R183" s="858"/>
      <c r="S183" s="858"/>
      <c r="U183" s="234" t="s">
        <v>280</v>
      </c>
      <c r="V183" s="846"/>
    </row>
    <row r="184" spans="1:28" s="862" customFormat="1" ht="36.75" thickBot="1">
      <c r="A184" s="388" t="s">
        <v>431</v>
      </c>
      <c r="B184" s="389" t="s">
        <v>1422</v>
      </c>
      <c r="C184" s="1055" t="s">
        <v>1540</v>
      </c>
      <c r="D184" s="6" t="s">
        <v>1541</v>
      </c>
      <c r="E184" s="6" t="s">
        <v>2654</v>
      </c>
      <c r="F184" s="1330" t="s">
        <v>1558</v>
      </c>
      <c r="G184" s="369" t="s">
        <v>460</v>
      </c>
      <c r="H184" s="370" t="s">
        <v>461</v>
      </c>
      <c r="I184" s="370" t="s">
        <v>1423</v>
      </c>
      <c r="J184" s="1741" t="s">
        <v>18</v>
      </c>
      <c r="K184" s="861"/>
      <c r="L184" s="388" t="s">
        <v>431</v>
      </c>
      <c r="M184" s="389" t="s">
        <v>1422</v>
      </c>
      <c r="N184" s="1055" t="s">
        <v>1540</v>
      </c>
      <c r="O184" s="6" t="s">
        <v>1541</v>
      </c>
      <c r="P184" s="6" t="s">
        <v>2654</v>
      </c>
      <c r="Q184" s="1330" t="s">
        <v>1558</v>
      </c>
      <c r="R184" s="369" t="s">
        <v>460</v>
      </c>
      <c r="S184" s="370" t="s">
        <v>461</v>
      </c>
      <c r="T184" s="370" t="s">
        <v>1423</v>
      </c>
      <c r="U184" s="1741" t="s">
        <v>18</v>
      </c>
      <c r="V184" s="847"/>
    </row>
    <row r="185" spans="1:28">
      <c r="A185" s="197" t="s">
        <v>432</v>
      </c>
      <c r="B185" s="198">
        <f t="shared" ref="B185:J185" si="84">+B202-B190-B189-B188-B187</f>
        <v>-67674</v>
      </c>
      <c r="C185" s="1180">
        <f t="shared" si="84"/>
        <v>67673</v>
      </c>
      <c r="D185" s="200">
        <f>+D202-D190-D189-D188-D187</f>
        <v>48117</v>
      </c>
      <c r="E185" s="200">
        <f>+E202-E190-E189-E188-E187</f>
        <v>48117</v>
      </c>
      <c r="F185" s="1331">
        <f t="shared" ref="F185:F191" si="85">IF(ISERROR(E185/D185),"-",E185/D185)</f>
        <v>1</v>
      </c>
      <c r="G185" s="199">
        <f t="shared" si="84"/>
        <v>19557</v>
      </c>
      <c r="H185" s="200">
        <f t="shared" si="84"/>
        <v>0</v>
      </c>
      <c r="I185" s="200">
        <f t="shared" si="84"/>
        <v>0</v>
      </c>
      <c r="J185" s="201">
        <f t="shared" si="84"/>
        <v>0</v>
      </c>
      <c r="K185" s="863"/>
      <c r="L185" s="197" t="s">
        <v>432</v>
      </c>
      <c r="M185" s="198">
        <f t="shared" ref="M185:U185" si="86">+M202-M190-M189-M188-M187</f>
        <v>-14087</v>
      </c>
      <c r="N185" s="1180">
        <f t="shared" si="86"/>
        <v>7553</v>
      </c>
      <c r="O185" s="200">
        <f>+O202-O190-O189-O188-O187</f>
        <v>14218</v>
      </c>
      <c r="P185" s="200">
        <f>+P202-P190-P189-P188-P187</f>
        <v>14218</v>
      </c>
      <c r="Q185" s="1331">
        <f t="shared" ref="Q185:Q191" si="87">IF(ISERROR(P185/O185),"-",P185/O185)</f>
        <v>1</v>
      </c>
      <c r="R185" s="199">
        <f t="shared" si="86"/>
        <v>0</v>
      </c>
      <c r="S185" s="200">
        <f t="shared" si="86"/>
        <v>0</v>
      </c>
      <c r="T185" s="200">
        <f t="shared" si="86"/>
        <v>0</v>
      </c>
      <c r="U185" s="201">
        <f t="shared" si="86"/>
        <v>131</v>
      </c>
      <c r="V185" s="191"/>
    </row>
    <row r="186" spans="1:28">
      <c r="A186" s="202" t="s">
        <v>433</v>
      </c>
      <c r="B186" s="203"/>
      <c r="C186" s="1181"/>
      <c r="D186" s="205"/>
      <c r="E186" s="205"/>
      <c r="F186" s="1332" t="str">
        <f t="shared" si="85"/>
        <v>-</v>
      </c>
      <c r="G186" s="204"/>
      <c r="H186" s="205"/>
      <c r="I186" s="205"/>
      <c r="J186" s="206">
        <f>+B186+IF(D186&lt;=E186,E186,D186)+G186+H186+I186</f>
        <v>0</v>
      </c>
      <c r="K186" s="863"/>
      <c r="L186" s="202" t="s">
        <v>433</v>
      </c>
      <c r="M186" s="203"/>
      <c r="N186" s="1181"/>
      <c r="O186" s="205"/>
      <c r="P186" s="205"/>
      <c r="Q186" s="1332" t="str">
        <f t="shared" si="87"/>
        <v>-</v>
      </c>
      <c r="R186" s="204"/>
      <c r="S186" s="205"/>
      <c r="T186" s="205"/>
      <c r="U186" s="206">
        <f>+M186+IF(O186&lt;=P186,P186,O186)+R186+S186+T186</f>
        <v>0</v>
      </c>
      <c r="V186" s="848"/>
      <c r="W186" s="118"/>
      <c r="Z186" s="118"/>
    </row>
    <row r="187" spans="1:28">
      <c r="A187" s="207" t="s">
        <v>434</v>
      </c>
      <c r="B187" s="208">
        <v>69269</v>
      </c>
      <c r="C187" s="1182"/>
      <c r="D187" s="210"/>
      <c r="E187" s="210"/>
      <c r="F187" s="1332" t="str">
        <f t="shared" si="85"/>
        <v>-</v>
      </c>
      <c r="G187" s="209"/>
      <c r="H187" s="210"/>
      <c r="I187" s="210"/>
      <c r="J187" s="211">
        <f>+B187+IF(D187&lt;=E187,E187,D187)+G187+H187+I187</f>
        <v>69269</v>
      </c>
      <c r="K187" s="863"/>
      <c r="L187" s="207" t="s">
        <v>434</v>
      </c>
      <c r="M187" s="208">
        <v>195000</v>
      </c>
      <c r="N187" s="1182"/>
      <c r="O187" s="210"/>
      <c r="P187" s="210"/>
      <c r="Q187" s="1332" t="str">
        <f t="shared" si="87"/>
        <v>-</v>
      </c>
      <c r="R187" s="209"/>
      <c r="S187" s="210"/>
      <c r="T187" s="210"/>
      <c r="U187" s="211">
        <f>+M187+IF(O187&lt;=P187,P187,O187)+R187+S187+T187</f>
        <v>195000</v>
      </c>
      <c r="V187" s="191"/>
      <c r="W187" s="118"/>
      <c r="X187" s="118"/>
      <c r="Y187" s="118"/>
      <c r="Z187" s="118"/>
      <c r="AA187" s="118"/>
      <c r="AB187" s="118"/>
    </row>
    <row r="188" spans="1:28">
      <c r="A188" s="207" t="s">
        <v>435</v>
      </c>
      <c r="B188" s="208"/>
      <c r="C188" s="1182"/>
      <c r="D188" s="210"/>
      <c r="E188" s="210"/>
      <c r="F188" s="1332" t="str">
        <f t="shared" si="85"/>
        <v>-</v>
      </c>
      <c r="G188" s="209"/>
      <c r="H188" s="210"/>
      <c r="I188" s="210"/>
      <c r="J188" s="211">
        <f>+B188+IF(D188&lt;=E188,E188,D188)+G188+H188+I188</f>
        <v>0</v>
      </c>
      <c r="K188" s="863"/>
      <c r="L188" s="207" t="s">
        <v>435</v>
      </c>
      <c r="M188" s="208"/>
      <c r="N188" s="1182"/>
      <c r="O188" s="210"/>
      <c r="P188" s="210"/>
      <c r="Q188" s="1332" t="str">
        <f t="shared" si="87"/>
        <v>-</v>
      </c>
      <c r="R188" s="209"/>
      <c r="S188" s="210"/>
      <c r="T188" s="210"/>
      <c r="U188" s="211">
        <f>+M188+IF(O188&lt;=P188,P188,O188)+R188+S188+T188</f>
        <v>0</v>
      </c>
      <c r="V188" s="191"/>
      <c r="W188" s="118"/>
      <c r="Z188" s="118"/>
    </row>
    <row r="189" spans="1:28">
      <c r="A189" s="207" t="s">
        <v>436</v>
      </c>
      <c r="B189" s="208"/>
      <c r="C189" s="1182"/>
      <c r="D189" s="210"/>
      <c r="E189" s="210"/>
      <c r="F189" s="1332" t="str">
        <f t="shared" si="85"/>
        <v>-</v>
      </c>
      <c r="G189" s="209"/>
      <c r="H189" s="210"/>
      <c r="I189" s="210"/>
      <c r="J189" s="211">
        <f>+B189+IF(D189&lt;=E189,E189,D189)+G189+H189+I189</f>
        <v>0</v>
      </c>
      <c r="K189" s="863"/>
      <c r="L189" s="207" t="s">
        <v>436</v>
      </c>
      <c r="M189" s="208"/>
      <c r="N189" s="1182"/>
      <c r="O189" s="210"/>
      <c r="P189" s="210"/>
      <c r="Q189" s="1332" t="str">
        <f t="shared" si="87"/>
        <v>-</v>
      </c>
      <c r="R189" s="209"/>
      <c r="S189" s="210"/>
      <c r="T189" s="210"/>
      <c r="U189" s="211">
        <f>+M189+IF(O189&lt;=P189,P189,O189)+R189+S189+T189</f>
        <v>0</v>
      </c>
      <c r="V189" s="191"/>
      <c r="W189" s="118"/>
      <c r="Z189" s="118"/>
    </row>
    <row r="190" spans="1:28" ht="12.75" thickBot="1">
      <c r="A190" s="207" t="s">
        <v>437</v>
      </c>
      <c r="B190" s="208"/>
      <c r="C190" s="1182"/>
      <c r="D190" s="210"/>
      <c r="E190" s="210"/>
      <c r="F190" s="1332" t="str">
        <f t="shared" si="85"/>
        <v>-</v>
      </c>
      <c r="G190" s="209"/>
      <c r="H190" s="210"/>
      <c r="I190" s="210"/>
      <c r="J190" s="211">
        <f>+B190+IF(D190&lt;=E190,E190,D190)+G190+H190+I190</f>
        <v>0</v>
      </c>
      <c r="K190" s="863"/>
      <c r="L190" s="207" t="s">
        <v>437</v>
      </c>
      <c r="M190" s="208"/>
      <c r="N190" s="1182"/>
      <c r="O190" s="210"/>
      <c r="P190" s="210"/>
      <c r="Q190" s="1332" t="str">
        <f t="shared" si="87"/>
        <v>-</v>
      </c>
      <c r="R190" s="209"/>
      <c r="S190" s="210"/>
      <c r="T190" s="210"/>
      <c r="U190" s="211">
        <f>+M190+IF(O190&lt;=P190,P190,O190)+R190+S190+T190</f>
        <v>0</v>
      </c>
      <c r="V190" s="191"/>
      <c r="W190" s="118"/>
      <c r="Z190" s="118"/>
    </row>
    <row r="191" spans="1:28" ht="12.75" thickBot="1">
      <c r="A191" s="190" t="s">
        <v>438</v>
      </c>
      <c r="B191" s="212">
        <f t="shared" ref="B191:J191" si="88">+B185+B187+B188+B189+B190</f>
        <v>1595</v>
      </c>
      <c r="C191" s="1183">
        <f t="shared" si="88"/>
        <v>67673</v>
      </c>
      <c r="D191" s="212">
        <f>+D185+D187+D188+D189+D190</f>
        <v>48117</v>
      </c>
      <c r="E191" s="212">
        <f>+E185+E187+E188+E189+E190</f>
        <v>48117</v>
      </c>
      <c r="F191" s="1333">
        <f t="shared" si="85"/>
        <v>1</v>
      </c>
      <c r="G191" s="214">
        <f t="shared" si="88"/>
        <v>19557</v>
      </c>
      <c r="H191" s="212">
        <f t="shared" si="88"/>
        <v>0</v>
      </c>
      <c r="I191" s="212">
        <f t="shared" si="88"/>
        <v>0</v>
      </c>
      <c r="J191" s="213">
        <f t="shared" si="88"/>
        <v>69269</v>
      </c>
      <c r="K191" s="863"/>
      <c r="L191" s="190" t="s">
        <v>438</v>
      </c>
      <c r="M191" s="212">
        <f t="shared" ref="M191:U191" si="89">+M185+M187+M188+M189+M190</f>
        <v>180913</v>
      </c>
      <c r="N191" s="1183">
        <f t="shared" si="89"/>
        <v>7553</v>
      </c>
      <c r="O191" s="212">
        <f>+O185+O187+O188+O189+O190</f>
        <v>14218</v>
      </c>
      <c r="P191" s="212">
        <f>+P185+P187+P188+P189+P190</f>
        <v>14218</v>
      </c>
      <c r="Q191" s="1333">
        <f t="shared" si="87"/>
        <v>1</v>
      </c>
      <c r="R191" s="214">
        <f t="shared" si="89"/>
        <v>0</v>
      </c>
      <c r="S191" s="212">
        <f t="shared" si="89"/>
        <v>0</v>
      </c>
      <c r="T191" s="212">
        <f t="shared" si="89"/>
        <v>0</v>
      </c>
      <c r="U191" s="213">
        <f t="shared" si="89"/>
        <v>195131</v>
      </c>
      <c r="V191" s="191"/>
    </row>
    <row r="192" spans="1:28" ht="12.75" thickBot="1">
      <c r="A192" s="215"/>
      <c r="B192" s="215"/>
      <c r="C192" s="215"/>
      <c r="D192" s="215"/>
      <c r="E192" s="215"/>
      <c r="F192" s="215"/>
      <c r="G192" s="215"/>
      <c r="H192" s="215"/>
      <c r="I192" s="215"/>
      <c r="J192" s="215"/>
      <c r="K192" s="863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</row>
    <row r="193" spans="1:28" s="862" customFormat="1" ht="36.75" thickBot="1">
      <c r="A193" s="388" t="s">
        <v>439</v>
      </c>
      <c r="B193" s="389" t="s">
        <v>1422</v>
      </c>
      <c r="C193" s="1055" t="s">
        <v>1540</v>
      </c>
      <c r="D193" s="6" t="s">
        <v>1541</v>
      </c>
      <c r="E193" s="6" t="s">
        <v>2654</v>
      </c>
      <c r="F193" s="1330" t="s">
        <v>1558</v>
      </c>
      <c r="G193" s="369" t="s">
        <v>460</v>
      </c>
      <c r="H193" s="370" t="s">
        <v>461</v>
      </c>
      <c r="I193" s="370" t="s">
        <v>1423</v>
      </c>
      <c r="J193" s="1741" t="s">
        <v>18</v>
      </c>
      <c r="K193" s="865"/>
      <c r="L193" s="388" t="s">
        <v>439</v>
      </c>
      <c r="M193" s="389" t="s">
        <v>1422</v>
      </c>
      <c r="N193" s="1055" t="s">
        <v>1540</v>
      </c>
      <c r="O193" s="6" t="s">
        <v>1541</v>
      </c>
      <c r="P193" s="6" t="s">
        <v>2654</v>
      </c>
      <c r="Q193" s="1330" t="s">
        <v>1558</v>
      </c>
      <c r="R193" s="369" t="s">
        <v>460</v>
      </c>
      <c r="S193" s="370" t="s">
        <v>461</v>
      </c>
      <c r="T193" s="370" t="s">
        <v>1423</v>
      </c>
      <c r="U193" s="1741" t="s">
        <v>18</v>
      </c>
      <c r="V193" s="847"/>
    </row>
    <row r="194" spans="1:28">
      <c r="A194" s="197" t="s">
        <v>445</v>
      </c>
      <c r="B194" s="198"/>
      <c r="C194" s="1180"/>
      <c r="D194" s="200"/>
      <c r="E194" s="1190"/>
      <c r="F194" s="1331" t="str">
        <f t="shared" ref="F194:F202" si="90">IF(ISERROR(E194/D194),"-",E194/D194)</f>
        <v>-</v>
      </c>
      <c r="G194" s="199"/>
      <c r="H194" s="200"/>
      <c r="I194" s="200"/>
      <c r="J194" s="201">
        <f t="shared" ref="J194:J201" si="91">+B194+IF(D194&lt;=E194,E194,D194)+G194+H194+I194</f>
        <v>0</v>
      </c>
      <c r="K194" s="863"/>
      <c r="L194" s="197" t="s">
        <v>445</v>
      </c>
      <c r="M194" s="198"/>
      <c r="N194" s="1180"/>
      <c r="O194" s="200"/>
      <c r="P194" s="1190"/>
      <c r="Q194" s="1331" t="str">
        <f t="shared" ref="Q194:Q202" si="92">IF(ISERROR(P194/O194),"-",P194/O194)</f>
        <v>-</v>
      </c>
      <c r="R194" s="199"/>
      <c r="S194" s="200"/>
      <c r="T194" s="200"/>
      <c r="U194" s="201">
        <f t="shared" ref="U194:U201" si="93">+M194+IF(O194&lt;=P194,P194,O194)+R194+S194+T194</f>
        <v>0</v>
      </c>
      <c r="V194" s="191"/>
      <c r="W194" s="118"/>
      <c r="X194" s="118"/>
      <c r="Y194" s="118"/>
      <c r="Z194" s="118"/>
      <c r="AA194" s="118"/>
      <c r="AB194" s="118"/>
    </row>
    <row r="195" spans="1:28">
      <c r="A195" s="216" t="s">
        <v>446</v>
      </c>
      <c r="B195" s="208"/>
      <c r="C195" s="1182"/>
      <c r="D195" s="210"/>
      <c r="E195" s="1191"/>
      <c r="F195" s="1332" t="str">
        <f t="shared" si="90"/>
        <v>-</v>
      </c>
      <c r="G195" s="209"/>
      <c r="H195" s="210"/>
      <c r="I195" s="210"/>
      <c r="J195" s="211">
        <f t="shared" si="91"/>
        <v>0</v>
      </c>
      <c r="K195" s="863"/>
      <c r="L195" s="216" t="s">
        <v>446</v>
      </c>
      <c r="M195" s="208"/>
      <c r="N195" s="1182"/>
      <c r="O195" s="210"/>
      <c r="P195" s="1191"/>
      <c r="Q195" s="1332" t="str">
        <f t="shared" si="92"/>
        <v>-</v>
      </c>
      <c r="R195" s="209"/>
      <c r="S195" s="210"/>
      <c r="T195" s="210"/>
      <c r="U195" s="211">
        <f t="shared" si="93"/>
        <v>0</v>
      </c>
      <c r="V195" s="191"/>
      <c r="W195" s="118"/>
      <c r="X195" s="118"/>
      <c r="Y195" s="118"/>
      <c r="Z195" s="118"/>
      <c r="AA195" s="118"/>
      <c r="AB195" s="118"/>
    </row>
    <row r="196" spans="1:28">
      <c r="A196" s="207" t="s">
        <v>447</v>
      </c>
      <c r="B196" s="208">
        <f>997+598</f>
        <v>1595</v>
      </c>
      <c r="C196" s="1182"/>
      <c r="D196" s="210"/>
      <c r="E196" s="1191"/>
      <c r="F196" s="1332" t="str">
        <f t="shared" si="90"/>
        <v>-</v>
      </c>
      <c r="G196" s="209"/>
      <c r="H196" s="210"/>
      <c r="I196" s="210"/>
      <c r="J196" s="211">
        <f t="shared" si="91"/>
        <v>1595</v>
      </c>
      <c r="K196" s="863"/>
      <c r="L196" s="207" t="s">
        <v>447</v>
      </c>
      <c r="M196" s="208">
        <f>2432+13339</f>
        <v>15771</v>
      </c>
      <c r="N196" s="1182"/>
      <c r="O196" s="210">
        <v>5133</v>
      </c>
      <c r="P196" s="1191">
        <v>5133</v>
      </c>
      <c r="Q196" s="1332">
        <f t="shared" si="92"/>
        <v>1</v>
      </c>
      <c r="R196" s="209"/>
      <c r="S196" s="210"/>
      <c r="T196" s="210"/>
      <c r="U196" s="211">
        <f t="shared" si="93"/>
        <v>20904</v>
      </c>
      <c r="V196" s="191"/>
      <c r="W196" s="118"/>
      <c r="X196" s="118"/>
      <c r="Y196" s="118"/>
      <c r="Z196" s="118"/>
      <c r="AA196" s="118"/>
      <c r="AB196" s="118"/>
    </row>
    <row r="197" spans="1:28">
      <c r="A197" s="207" t="s">
        <v>448</v>
      </c>
      <c r="B197" s="208"/>
      <c r="C197" s="1182"/>
      <c r="D197" s="210"/>
      <c r="E197" s="1191"/>
      <c r="F197" s="1332" t="str">
        <f t="shared" si="90"/>
        <v>-</v>
      </c>
      <c r="G197" s="209"/>
      <c r="H197" s="210"/>
      <c r="I197" s="210"/>
      <c r="J197" s="211">
        <f t="shared" si="91"/>
        <v>0</v>
      </c>
      <c r="K197" s="863"/>
      <c r="L197" s="207" t="s">
        <v>448</v>
      </c>
      <c r="M197" s="208"/>
      <c r="N197" s="1182"/>
      <c r="O197" s="210"/>
      <c r="P197" s="1191"/>
      <c r="Q197" s="1332" t="str">
        <f t="shared" si="92"/>
        <v>-</v>
      </c>
      <c r="R197" s="209"/>
      <c r="S197" s="210"/>
      <c r="T197" s="210"/>
      <c r="U197" s="211">
        <f t="shared" si="93"/>
        <v>0</v>
      </c>
      <c r="V197" s="191"/>
      <c r="W197" s="118"/>
      <c r="Y197" s="118"/>
      <c r="Z197" s="118"/>
      <c r="AB197" s="118"/>
    </row>
    <row r="198" spans="1:28">
      <c r="A198" s="217" t="s">
        <v>449</v>
      </c>
      <c r="B198" s="218"/>
      <c r="C198" s="1182">
        <v>67673</v>
      </c>
      <c r="D198" s="210">
        <v>0</v>
      </c>
      <c r="E198" s="1191"/>
      <c r="F198" s="1332" t="str">
        <f t="shared" si="90"/>
        <v>-</v>
      </c>
      <c r="G198" s="209">
        <v>19557</v>
      </c>
      <c r="H198" s="210"/>
      <c r="I198" s="210"/>
      <c r="J198" s="211">
        <f t="shared" si="91"/>
        <v>19557</v>
      </c>
      <c r="K198" s="863"/>
      <c r="L198" s="217" t="s">
        <v>449</v>
      </c>
      <c r="M198" s="218"/>
      <c r="N198" s="1182">
        <v>7553</v>
      </c>
      <c r="O198" s="210">
        <v>1</v>
      </c>
      <c r="P198" s="1191">
        <v>1</v>
      </c>
      <c r="Q198" s="1332">
        <f t="shared" si="92"/>
        <v>1</v>
      </c>
      <c r="R198" s="209"/>
      <c r="S198" s="210"/>
      <c r="T198" s="210"/>
      <c r="U198" s="211">
        <f t="shared" si="93"/>
        <v>1</v>
      </c>
      <c r="V198" s="191"/>
      <c r="W198" s="118"/>
      <c r="X198" s="118"/>
      <c r="Y198" s="118"/>
      <c r="Z198" s="118"/>
      <c r="AA198" s="118"/>
      <c r="AB198" s="118"/>
    </row>
    <row r="199" spans="1:28">
      <c r="A199" s="217" t="s">
        <v>450</v>
      </c>
      <c r="B199" s="218"/>
      <c r="C199" s="1182"/>
      <c r="D199" s="210"/>
      <c r="E199" s="1191"/>
      <c r="F199" s="1332" t="str">
        <f t="shared" si="90"/>
        <v>-</v>
      </c>
      <c r="G199" s="209"/>
      <c r="H199" s="210"/>
      <c r="I199" s="210"/>
      <c r="J199" s="211">
        <f t="shared" si="91"/>
        <v>0</v>
      </c>
      <c r="K199" s="863"/>
      <c r="L199" s="217" t="s">
        <v>450</v>
      </c>
      <c r="M199" s="218"/>
      <c r="N199" s="1182"/>
      <c r="O199" s="210">
        <v>7262</v>
      </c>
      <c r="P199" s="1191">
        <v>7262</v>
      </c>
      <c r="Q199" s="1332">
        <f t="shared" si="92"/>
        <v>1</v>
      </c>
      <c r="R199" s="209"/>
      <c r="S199" s="210"/>
      <c r="T199" s="210"/>
      <c r="U199" s="211">
        <f t="shared" si="93"/>
        <v>7262</v>
      </c>
      <c r="V199" s="191"/>
      <c r="W199" s="118"/>
      <c r="X199" s="118"/>
      <c r="Y199" s="118"/>
      <c r="Z199" s="118"/>
      <c r="AA199" s="118"/>
      <c r="AB199" s="118"/>
    </row>
    <row r="200" spans="1:28">
      <c r="A200" s="219" t="s">
        <v>451</v>
      </c>
      <c r="B200" s="220"/>
      <c r="C200" s="1184"/>
      <c r="D200" s="222">
        <v>48117</v>
      </c>
      <c r="E200" s="1192">
        <v>48117</v>
      </c>
      <c r="F200" s="1334">
        <f t="shared" si="90"/>
        <v>1</v>
      </c>
      <c r="G200" s="221"/>
      <c r="H200" s="222"/>
      <c r="I200" s="222"/>
      <c r="J200" s="211">
        <f t="shared" si="91"/>
        <v>48117</v>
      </c>
      <c r="K200" s="863"/>
      <c r="L200" s="219" t="s">
        <v>451</v>
      </c>
      <c r="M200" s="220">
        <f>5842+159300</f>
        <v>165142</v>
      </c>
      <c r="N200" s="1184"/>
      <c r="O200" s="222">
        <v>1822</v>
      </c>
      <c r="P200" s="1192">
        <v>1822</v>
      </c>
      <c r="Q200" s="1334">
        <f t="shared" si="92"/>
        <v>1</v>
      </c>
      <c r="R200" s="209"/>
      <c r="S200" s="222"/>
      <c r="T200" s="222"/>
      <c r="U200" s="211">
        <f t="shared" si="93"/>
        <v>166964</v>
      </c>
      <c r="V200" s="191"/>
      <c r="W200" s="118"/>
      <c r="X200" s="118"/>
      <c r="Y200" s="118"/>
      <c r="Z200" s="118"/>
      <c r="AA200" s="118"/>
      <c r="AB200" s="118"/>
    </row>
    <row r="201" spans="1:28" ht="12.75" thickBot="1">
      <c r="A201" s="219" t="s">
        <v>452</v>
      </c>
      <c r="B201" s="220"/>
      <c r="C201" s="1184"/>
      <c r="D201" s="222"/>
      <c r="E201" s="1192"/>
      <c r="F201" s="1334" t="str">
        <f t="shared" si="90"/>
        <v>-</v>
      </c>
      <c r="G201" s="221"/>
      <c r="H201" s="222"/>
      <c r="I201" s="222"/>
      <c r="J201" s="211">
        <f t="shared" si="91"/>
        <v>0</v>
      </c>
      <c r="K201" s="863"/>
      <c r="L201" s="219" t="s">
        <v>452</v>
      </c>
      <c r="M201" s="220"/>
      <c r="N201" s="1184"/>
      <c r="O201" s="222"/>
      <c r="P201" s="1192"/>
      <c r="Q201" s="1334" t="str">
        <f t="shared" si="92"/>
        <v>-</v>
      </c>
      <c r="R201" s="221"/>
      <c r="S201" s="222"/>
      <c r="T201" s="222"/>
      <c r="U201" s="211">
        <f t="shared" si="93"/>
        <v>0</v>
      </c>
      <c r="V201" s="191"/>
      <c r="W201" s="118"/>
      <c r="X201" s="118"/>
      <c r="Y201" s="118"/>
      <c r="Z201" s="118"/>
      <c r="AA201" s="118"/>
      <c r="AB201" s="118"/>
    </row>
    <row r="202" spans="1:28" ht="12.75" thickBot="1">
      <c r="A202" s="190" t="s">
        <v>453</v>
      </c>
      <c r="B202" s="212">
        <f t="shared" ref="B202:J202" si="94">+B194+B195+B196+B197+B198+B199+B200+B201</f>
        <v>1595</v>
      </c>
      <c r="C202" s="1183">
        <f t="shared" si="94"/>
        <v>67673</v>
      </c>
      <c r="D202" s="212">
        <f>+D194+D195+D196+D197+D198+D199+D200+D201</f>
        <v>48117</v>
      </c>
      <c r="E202" s="1185">
        <f>+E194+E195+E196+E197+E198+E199+E200+E201</f>
        <v>48117</v>
      </c>
      <c r="F202" s="1333">
        <f t="shared" si="90"/>
        <v>1</v>
      </c>
      <c r="G202" s="214">
        <f t="shared" si="94"/>
        <v>19557</v>
      </c>
      <c r="H202" s="212">
        <f t="shared" si="94"/>
        <v>0</v>
      </c>
      <c r="I202" s="212">
        <f t="shared" si="94"/>
        <v>0</v>
      </c>
      <c r="J202" s="213">
        <f t="shared" si="94"/>
        <v>69269</v>
      </c>
      <c r="L202" s="190" t="s">
        <v>453</v>
      </c>
      <c r="M202" s="212">
        <f t="shared" ref="M202:U202" si="95">+M194+M195+M196+M197+M198+M199+M200+M201</f>
        <v>180913</v>
      </c>
      <c r="N202" s="1183">
        <f t="shared" si="95"/>
        <v>7553</v>
      </c>
      <c r="O202" s="212">
        <f>+O194+O195+O196+O197+O198+O199+O200+O201</f>
        <v>14218</v>
      </c>
      <c r="P202" s="1185">
        <f>+P194+P195+P196+P197+P198+P199+P200+P201</f>
        <v>14218</v>
      </c>
      <c r="Q202" s="1333">
        <f t="shared" si="92"/>
        <v>1</v>
      </c>
      <c r="R202" s="214">
        <f t="shared" si="95"/>
        <v>0</v>
      </c>
      <c r="S202" s="212">
        <f t="shared" si="95"/>
        <v>0</v>
      </c>
      <c r="T202" s="212">
        <f t="shared" si="95"/>
        <v>0</v>
      </c>
      <c r="U202" s="213">
        <f t="shared" si="95"/>
        <v>195131</v>
      </c>
      <c r="V202" s="191"/>
      <c r="X202" s="863"/>
      <c r="AA202" s="863"/>
    </row>
    <row r="203" spans="1:28">
      <c r="A203" s="191"/>
      <c r="B203" s="191"/>
      <c r="C203" s="191"/>
      <c r="D203" s="191"/>
      <c r="E203" s="191"/>
      <c r="F203" s="191"/>
      <c r="G203" s="191"/>
      <c r="H203" s="191"/>
      <c r="I203" s="191"/>
      <c r="J203" s="191"/>
      <c r="K203" s="863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</row>
    <row r="205" spans="1:28" s="856" customFormat="1" ht="15.75">
      <c r="A205" s="189" t="s">
        <v>1361</v>
      </c>
      <c r="B205" s="1737" t="s">
        <v>1374</v>
      </c>
      <c r="C205" s="1737"/>
      <c r="D205" s="1737"/>
      <c r="E205" s="1737"/>
      <c r="F205" s="1737"/>
      <c r="G205" s="1737"/>
      <c r="H205" s="1737"/>
      <c r="I205" s="1737"/>
      <c r="J205" s="1737"/>
      <c r="K205" s="766"/>
      <c r="L205" s="189" t="s">
        <v>1362</v>
      </c>
      <c r="M205" s="1737" t="s">
        <v>1376</v>
      </c>
      <c r="N205" s="1737"/>
      <c r="O205" s="1737"/>
      <c r="P205" s="1737"/>
      <c r="Q205" s="1737"/>
      <c r="R205" s="1737"/>
      <c r="S205" s="1737"/>
      <c r="T205" s="1737"/>
      <c r="U205" s="1737"/>
      <c r="V205" s="1737"/>
    </row>
    <row r="206" spans="1:28" s="856" customFormat="1" ht="15.75" customHeight="1">
      <c r="A206" s="1796" t="s">
        <v>1375</v>
      </c>
      <c r="B206" s="1796"/>
      <c r="C206" s="1796"/>
      <c r="D206" s="1796"/>
      <c r="E206" s="1796"/>
      <c r="F206" s="1796"/>
      <c r="G206" s="1796"/>
      <c r="H206" s="1796"/>
      <c r="I206" s="1796"/>
      <c r="J206" s="1796"/>
      <c r="K206" s="766"/>
      <c r="L206" s="1796" t="s">
        <v>1377</v>
      </c>
      <c r="M206" s="1796"/>
      <c r="N206" s="1796"/>
      <c r="O206" s="1796"/>
      <c r="P206" s="1796"/>
      <c r="Q206" s="1796"/>
      <c r="R206" s="1796"/>
      <c r="S206" s="1796"/>
      <c r="T206" s="1796"/>
      <c r="U206" s="1796"/>
      <c r="V206" s="1738"/>
    </row>
    <row r="207" spans="1:28" s="856" customFormat="1" ht="15.75">
      <c r="A207" s="1795" t="s">
        <v>1105</v>
      </c>
      <c r="B207" s="1795"/>
      <c r="C207" s="1795"/>
      <c r="D207" s="1795"/>
      <c r="E207" s="1795"/>
      <c r="F207" s="1795"/>
      <c r="G207" s="1795"/>
      <c r="H207" s="1795"/>
      <c r="I207" s="1795"/>
      <c r="J207" s="1795"/>
      <c r="K207" s="766"/>
      <c r="L207" s="1795" t="s">
        <v>1105</v>
      </c>
      <c r="M207" s="1795"/>
      <c r="N207" s="1795"/>
      <c r="O207" s="1795"/>
      <c r="P207" s="1795"/>
      <c r="Q207" s="1795"/>
      <c r="R207" s="1795"/>
      <c r="S207" s="1795"/>
      <c r="T207" s="1795"/>
      <c r="U207" s="1795"/>
      <c r="V207" s="1739"/>
    </row>
    <row r="208" spans="1:28" s="859" customFormat="1" ht="12.75" thickBot="1">
      <c r="A208" s="858"/>
      <c r="B208" s="858"/>
      <c r="G208" s="858"/>
      <c r="H208" s="858"/>
      <c r="J208" s="234" t="s">
        <v>280</v>
      </c>
      <c r="K208" s="860"/>
      <c r="L208" s="858"/>
      <c r="M208" s="858"/>
      <c r="N208" s="858"/>
      <c r="O208" s="858"/>
      <c r="P208" s="858"/>
      <c r="Q208" s="858"/>
      <c r="R208" s="858"/>
      <c r="S208" s="858"/>
      <c r="U208" s="234" t="s">
        <v>280</v>
      </c>
      <c r="V208" s="846"/>
    </row>
    <row r="209" spans="1:28" s="862" customFormat="1" ht="36.75" thickBot="1">
      <c r="A209" s="388" t="s">
        <v>431</v>
      </c>
      <c r="B209" s="389" t="s">
        <v>1422</v>
      </c>
      <c r="C209" s="1055" t="s">
        <v>1540</v>
      </c>
      <c r="D209" s="6" t="s">
        <v>1541</v>
      </c>
      <c r="E209" s="6" t="s">
        <v>2654</v>
      </c>
      <c r="F209" s="1330" t="s">
        <v>1558</v>
      </c>
      <c r="G209" s="369" t="s">
        <v>460</v>
      </c>
      <c r="H209" s="370" t="s">
        <v>461</v>
      </c>
      <c r="I209" s="370" t="s">
        <v>1423</v>
      </c>
      <c r="J209" s="1741" t="s">
        <v>18</v>
      </c>
      <c r="K209" s="861"/>
      <c r="L209" s="388" t="s">
        <v>431</v>
      </c>
      <c r="M209" s="389" t="s">
        <v>1422</v>
      </c>
      <c r="N209" s="1055" t="s">
        <v>1540</v>
      </c>
      <c r="O209" s="6" t="s">
        <v>1541</v>
      </c>
      <c r="P209" s="6" t="s">
        <v>2654</v>
      </c>
      <c r="Q209" s="1330" t="s">
        <v>1558</v>
      </c>
      <c r="R209" s="369" t="s">
        <v>460</v>
      </c>
      <c r="S209" s="370" t="s">
        <v>461</v>
      </c>
      <c r="T209" s="370" t="s">
        <v>1423</v>
      </c>
      <c r="U209" s="1741" t="s">
        <v>18</v>
      </c>
      <c r="V209" s="847"/>
    </row>
    <row r="210" spans="1:28">
      <c r="A210" s="197" t="s">
        <v>432</v>
      </c>
      <c r="B210" s="198">
        <f t="shared" ref="B210:J210" si="96">+B227-B215-B214-B213-B212</f>
        <v>140</v>
      </c>
      <c r="C210" s="1180">
        <f t="shared" si="96"/>
        <v>2976</v>
      </c>
      <c r="D210" s="200">
        <f>+D227-D215-D214-D213-D212</f>
        <v>61</v>
      </c>
      <c r="E210" s="200">
        <f>+E227-E215-E214-E213-E212</f>
        <v>61</v>
      </c>
      <c r="F210" s="1331">
        <f t="shared" ref="F210:F216" si="97">IF(ISERROR(E210/D210),"-",E210/D210)</f>
        <v>1</v>
      </c>
      <c r="G210" s="199">
        <f t="shared" si="96"/>
        <v>0</v>
      </c>
      <c r="H210" s="200">
        <f t="shared" si="96"/>
        <v>0</v>
      </c>
      <c r="I210" s="200">
        <f t="shared" si="96"/>
        <v>0</v>
      </c>
      <c r="J210" s="201">
        <f t="shared" si="96"/>
        <v>201</v>
      </c>
      <c r="K210" s="863"/>
      <c r="L210" s="197" t="s">
        <v>432</v>
      </c>
      <c r="M210" s="198">
        <f t="shared" ref="M210:U210" si="98">+M227-M215-M214-M213-M212</f>
        <v>-18933</v>
      </c>
      <c r="N210" s="1180">
        <f t="shared" si="98"/>
        <v>10672</v>
      </c>
      <c r="O210" s="200">
        <f>+O227-O215-O214-O213-O212</f>
        <v>-45827</v>
      </c>
      <c r="P210" s="200">
        <f>+P227-P215-P214-P213-P212</f>
        <v>-45827</v>
      </c>
      <c r="Q210" s="1331">
        <f t="shared" ref="Q210:Q216" si="99">IF(ISERROR(P210/O210),"-",P210/O210)</f>
        <v>1</v>
      </c>
      <c r="R210" s="199">
        <f t="shared" si="98"/>
        <v>64760</v>
      </c>
      <c r="S210" s="200">
        <f t="shared" si="98"/>
        <v>0</v>
      </c>
      <c r="T210" s="200">
        <f t="shared" si="98"/>
        <v>0</v>
      </c>
      <c r="U210" s="201">
        <f t="shared" si="98"/>
        <v>0</v>
      </c>
      <c r="V210" s="191"/>
    </row>
    <row r="211" spans="1:28">
      <c r="A211" s="202" t="s">
        <v>433</v>
      </c>
      <c r="B211" s="203"/>
      <c r="C211" s="1181"/>
      <c r="D211" s="205"/>
      <c r="E211" s="205"/>
      <c r="F211" s="1332" t="str">
        <f t="shared" si="97"/>
        <v>-</v>
      </c>
      <c r="G211" s="204"/>
      <c r="H211" s="205"/>
      <c r="I211" s="205"/>
      <c r="J211" s="206">
        <f>+B211+IF(D211&lt;=E211,E211,D211)+G211+H211+I211</f>
        <v>0</v>
      </c>
      <c r="K211" s="863"/>
      <c r="L211" s="202" t="s">
        <v>433</v>
      </c>
      <c r="M211" s="203"/>
      <c r="N211" s="1181"/>
      <c r="O211" s="205"/>
      <c r="P211" s="205"/>
      <c r="Q211" s="1332" t="str">
        <f t="shared" si="99"/>
        <v>-</v>
      </c>
      <c r="R211" s="204"/>
      <c r="S211" s="205"/>
      <c r="T211" s="205"/>
      <c r="U211" s="206">
        <f>+M211+IF(O211&lt;=P211,P211,O211)+R211+S211+T211</f>
        <v>0</v>
      </c>
      <c r="V211" s="848"/>
      <c r="W211" s="118"/>
      <c r="Z211" s="118"/>
    </row>
    <row r="212" spans="1:28">
      <c r="A212" s="207" t="s">
        <v>434</v>
      </c>
      <c r="B212" s="208">
        <f>59791+89875</f>
        <v>149666</v>
      </c>
      <c r="C212" s="1182"/>
      <c r="D212" s="210"/>
      <c r="E212" s="210"/>
      <c r="F212" s="1332" t="str">
        <f t="shared" si="97"/>
        <v>-</v>
      </c>
      <c r="G212" s="209"/>
      <c r="H212" s="210"/>
      <c r="I212" s="210"/>
      <c r="J212" s="211">
        <f>+B212+IF(D212&lt;=E212,E212,D212)+G212+H212+I212</f>
        <v>149666</v>
      </c>
      <c r="K212" s="863"/>
      <c r="L212" s="207" t="s">
        <v>434</v>
      </c>
      <c r="M212" s="208">
        <f>114709+26510</f>
        <v>141219</v>
      </c>
      <c r="N212" s="1182"/>
      <c r="O212" s="210">
        <v>105706</v>
      </c>
      <c r="P212" s="210">
        <f>105705+1</f>
        <v>105706</v>
      </c>
      <c r="Q212" s="1332">
        <f t="shared" si="99"/>
        <v>1</v>
      </c>
      <c r="R212" s="209"/>
      <c r="S212" s="210"/>
      <c r="T212" s="210"/>
      <c r="U212" s="211">
        <f>+M212+IF(O212&lt;=P212,P212,O212)+R212+S212+T212</f>
        <v>246925</v>
      </c>
      <c r="V212" s="191"/>
      <c r="W212" s="118"/>
      <c r="X212" s="118"/>
      <c r="Y212" s="118"/>
      <c r="Z212" s="118"/>
      <c r="AA212" s="118"/>
      <c r="AB212" s="118"/>
    </row>
    <row r="213" spans="1:28">
      <c r="A213" s="207" t="s">
        <v>435</v>
      </c>
      <c r="B213" s="208"/>
      <c r="C213" s="1182"/>
      <c r="D213" s="210"/>
      <c r="E213" s="210"/>
      <c r="F213" s="1332" t="str">
        <f t="shared" si="97"/>
        <v>-</v>
      </c>
      <c r="G213" s="209"/>
      <c r="H213" s="210"/>
      <c r="I213" s="210"/>
      <c r="J213" s="211">
        <f>+B213+IF(D213&lt;=E213,E213,D213)+G213+H213+I213</f>
        <v>0</v>
      </c>
      <c r="K213" s="863"/>
      <c r="L213" s="207" t="s">
        <v>435</v>
      </c>
      <c r="M213" s="208"/>
      <c r="N213" s="1182"/>
      <c r="O213" s="210"/>
      <c r="P213" s="210"/>
      <c r="Q213" s="1332" t="str">
        <f t="shared" si="99"/>
        <v>-</v>
      </c>
      <c r="R213" s="209"/>
      <c r="S213" s="210"/>
      <c r="T213" s="210"/>
      <c r="U213" s="211">
        <f>+M213+IF(O213&lt;=P213,P213,O213)+R213+S213+T213</f>
        <v>0</v>
      </c>
      <c r="V213" s="191"/>
      <c r="W213" s="118"/>
      <c r="Z213" s="118"/>
    </row>
    <row r="214" spans="1:28">
      <c r="A214" s="207" t="s">
        <v>436</v>
      </c>
      <c r="B214" s="208"/>
      <c r="C214" s="1182"/>
      <c r="D214" s="210"/>
      <c r="E214" s="210"/>
      <c r="F214" s="1332" t="str">
        <f t="shared" si="97"/>
        <v>-</v>
      </c>
      <c r="G214" s="209"/>
      <c r="H214" s="210"/>
      <c r="I214" s="210"/>
      <c r="J214" s="211">
        <f>+B214+IF(D214&lt;=E214,E214,D214)+G214+H214+I214</f>
        <v>0</v>
      </c>
      <c r="K214" s="863"/>
      <c r="L214" s="207" t="s">
        <v>436</v>
      </c>
      <c r="M214" s="208"/>
      <c r="N214" s="1182"/>
      <c r="O214" s="210"/>
      <c r="P214" s="210"/>
      <c r="Q214" s="1332" t="str">
        <f t="shared" si="99"/>
        <v>-</v>
      </c>
      <c r="R214" s="209"/>
      <c r="S214" s="210"/>
      <c r="T214" s="210"/>
      <c r="U214" s="211">
        <f>+M214+IF(O214&lt;=P214,P214,O214)+R214+S214+T214</f>
        <v>0</v>
      </c>
      <c r="V214" s="191"/>
      <c r="W214" s="118"/>
      <c r="Z214" s="118"/>
    </row>
    <row r="215" spans="1:28" ht="12.75" thickBot="1">
      <c r="A215" s="207" t="s">
        <v>437</v>
      </c>
      <c r="B215" s="208"/>
      <c r="C215" s="1182"/>
      <c r="D215" s="210"/>
      <c r="E215" s="210"/>
      <c r="F215" s="1332" t="str">
        <f t="shared" si="97"/>
        <v>-</v>
      </c>
      <c r="G215" s="209"/>
      <c r="H215" s="210"/>
      <c r="I215" s="210"/>
      <c r="J215" s="211">
        <f>+B215+IF(D215&lt;=E215,E215,D215)+G215+H215+I215</f>
        <v>0</v>
      </c>
      <c r="K215" s="863"/>
      <c r="L215" s="207" t="s">
        <v>437</v>
      </c>
      <c r="M215" s="208"/>
      <c r="N215" s="1182"/>
      <c r="O215" s="210"/>
      <c r="P215" s="210"/>
      <c r="Q215" s="1332" t="str">
        <f t="shared" si="99"/>
        <v>-</v>
      </c>
      <c r="R215" s="209"/>
      <c r="S215" s="210"/>
      <c r="T215" s="210"/>
      <c r="U215" s="211">
        <f>+M215+IF(O215&lt;=P215,P215,O215)+R215+S215+T215</f>
        <v>0</v>
      </c>
      <c r="V215" s="191"/>
      <c r="W215" s="118"/>
      <c r="Z215" s="118"/>
    </row>
    <row r="216" spans="1:28" ht="12.75" thickBot="1">
      <c r="A216" s="190" t="s">
        <v>438</v>
      </c>
      <c r="B216" s="212">
        <f t="shared" ref="B216:J216" si="100">+B210+B212+B213+B214+B215</f>
        <v>149806</v>
      </c>
      <c r="C216" s="1183">
        <f t="shared" si="100"/>
        <v>2976</v>
      </c>
      <c r="D216" s="212">
        <f>+D210+D212+D213+D214+D215</f>
        <v>61</v>
      </c>
      <c r="E216" s="212">
        <f>+E210+E212+E213+E214+E215</f>
        <v>61</v>
      </c>
      <c r="F216" s="1333">
        <f t="shared" si="97"/>
        <v>1</v>
      </c>
      <c r="G216" s="214">
        <f t="shared" si="100"/>
        <v>0</v>
      </c>
      <c r="H216" s="212">
        <f t="shared" si="100"/>
        <v>0</v>
      </c>
      <c r="I216" s="212">
        <f t="shared" si="100"/>
        <v>0</v>
      </c>
      <c r="J216" s="213">
        <f t="shared" si="100"/>
        <v>149867</v>
      </c>
      <c r="K216" s="863"/>
      <c r="L216" s="190" t="s">
        <v>438</v>
      </c>
      <c r="M216" s="212">
        <f t="shared" ref="M216:U216" si="101">+M210+M212+M213+M214+M215</f>
        <v>122286</v>
      </c>
      <c r="N216" s="1183">
        <f t="shared" si="101"/>
        <v>10672</v>
      </c>
      <c r="O216" s="212">
        <f>+O210+O212+O213+O214+O215</f>
        <v>59879</v>
      </c>
      <c r="P216" s="212">
        <f>+P210+P212+P213+P214+P215</f>
        <v>59879</v>
      </c>
      <c r="Q216" s="1333">
        <f t="shared" si="99"/>
        <v>1</v>
      </c>
      <c r="R216" s="214">
        <f t="shared" si="101"/>
        <v>64760</v>
      </c>
      <c r="S216" s="212">
        <f t="shared" si="101"/>
        <v>0</v>
      </c>
      <c r="T216" s="212">
        <f t="shared" si="101"/>
        <v>0</v>
      </c>
      <c r="U216" s="213">
        <f t="shared" si="101"/>
        <v>246925</v>
      </c>
      <c r="V216" s="191"/>
    </row>
    <row r="217" spans="1:28" ht="12.75" thickBot="1">
      <c r="A217" s="215"/>
      <c r="B217" s="215"/>
      <c r="C217" s="215"/>
      <c r="D217" s="215"/>
      <c r="E217" s="215"/>
      <c r="F217" s="215"/>
      <c r="G217" s="215"/>
      <c r="H217" s="215"/>
      <c r="I217" s="215"/>
      <c r="J217" s="215"/>
      <c r="K217" s="863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</row>
    <row r="218" spans="1:28" s="862" customFormat="1" ht="36.75" thickBot="1">
      <c r="A218" s="388" t="s">
        <v>439</v>
      </c>
      <c r="B218" s="389" t="s">
        <v>1422</v>
      </c>
      <c r="C218" s="1055" t="s">
        <v>1540</v>
      </c>
      <c r="D218" s="6" t="s">
        <v>1541</v>
      </c>
      <c r="E218" s="6" t="s">
        <v>2654</v>
      </c>
      <c r="F218" s="1330" t="s">
        <v>1558</v>
      </c>
      <c r="G218" s="369" t="s">
        <v>460</v>
      </c>
      <c r="H218" s="370" t="s">
        <v>461</v>
      </c>
      <c r="I218" s="370" t="s">
        <v>1423</v>
      </c>
      <c r="J218" s="1741" t="s">
        <v>18</v>
      </c>
      <c r="K218" s="865"/>
      <c r="L218" s="388" t="s">
        <v>439</v>
      </c>
      <c r="M218" s="389" t="s">
        <v>1422</v>
      </c>
      <c r="N218" s="1055" t="s">
        <v>1540</v>
      </c>
      <c r="O218" s="6" t="s">
        <v>1541</v>
      </c>
      <c r="P218" s="6" t="s">
        <v>2654</v>
      </c>
      <c r="Q218" s="1330" t="s">
        <v>1558</v>
      </c>
      <c r="R218" s="369" t="s">
        <v>460</v>
      </c>
      <c r="S218" s="370" t="s">
        <v>461</v>
      </c>
      <c r="T218" s="370" t="s">
        <v>1423</v>
      </c>
      <c r="U218" s="1741" t="s">
        <v>18</v>
      </c>
      <c r="V218" s="847"/>
    </row>
    <row r="219" spans="1:28">
      <c r="A219" s="197" t="s">
        <v>445</v>
      </c>
      <c r="B219" s="198">
        <f>24025+28882</f>
        <v>52907</v>
      </c>
      <c r="C219" s="1180"/>
      <c r="D219" s="200"/>
      <c r="E219" s="1190"/>
      <c r="F219" s="1331" t="str">
        <f t="shared" ref="F219:F227" si="102">IF(ISERROR(E219/D219),"-",E219/D219)</f>
        <v>-</v>
      </c>
      <c r="G219" s="199"/>
      <c r="H219" s="200"/>
      <c r="I219" s="200"/>
      <c r="J219" s="201">
        <f t="shared" ref="J219:J226" si="103">+B219+IF(D219&lt;=E219,E219,D219)+G219+H219+I219</f>
        <v>52907</v>
      </c>
      <c r="K219" s="863"/>
      <c r="L219" s="197" t="s">
        <v>445</v>
      </c>
      <c r="M219" s="198">
        <f>9940+24578</f>
        <v>34518</v>
      </c>
      <c r="N219" s="1180"/>
      <c r="O219" s="200">
        <v>25020</v>
      </c>
      <c r="P219" s="1190">
        <v>25020</v>
      </c>
      <c r="Q219" s="1331">
        <f t="shared" ref="Q219:Q227" si="104">IF(ISERROR(P219/O219),"-",P219/O219)</f>
        <v>1</v>
      </c>
      <c r="R219" s="199"/>
      <c r="S219" s="200"/>
      <c r="T219" s="200"/>
      <c r="U219" s="201">
        <f t="shared" ref="U219:U226" si="105">+M219+IF(O219&lt;=P219,P219,O219)+R219+S219+T219</f>
        <v>59538</v>
      </c>
      <c r="V219" s="191"/>
      <c r="W219" s="118"/>
      <c r="X219" s="118"/>
      <c r="Y219" s="118"/>
      <c r="Z219" s="118"/>
      <c r="AA219" s="118"/>
      <c r="AB219" s="118"/>
    </row>
    <row r="220" spans="1:28">
      <c r="A220" s="216" t="s">
        <v>446</v>
      </c>
      <c r="B220" s="208">
        <f>4328+5061</f>
        <v>9389</v>
      </c>
      <c r="C220" s="1182"/>
      <c r="D220" s="210"/>
      <c r="E220" s="1191"/>
      <c r="F220" s="1332" t="str">
        <f t="shared" si="102"/>
        <v>-</v>
      </c>
      <c r="G220" s="209"/>
      <c r="H220" s="210"/>
      <c r="I220" s="210"/>
      <c r="J220" s="211">
        <f t="shared" si="103"/>
        <v>9389</v>
      </c>
      <c r="K220" s="863"/>
      <c r="L220" s="216" t="s">
        <v>446</v>
      </c>
      <c r="M220" s="208">
        <f>1850+4321</f>
        <v>6171</v>
      </c>
      <c r="N220" s="1182"/>
      <c r="O220" s="210">
        <v>4042</v>
      </c>
      <c r="P220" s="1191">
        <v>4042</v>
      </c>
      <c r="Q220" s="1332">
        <f t="shared" si="104"/>
        <v>1</v>
      </c>
      <c r="R220" s="209"/>
      <c r="S220" s="210"/>
      <c r="T220" s="210"/>
      <c r="U220" s="211">
        <f t="shared" si="105"/>
        <v>10213</v>
      </c>
      <c r="V220" s="191"/>
      <c r="W220" s="118"/>
      <c r="X220" s="118"/>
      <c r="Y220" s="118"/>
      <c r="Z220" s="118"/>
      <c r="AA220" s="118"/>
      <c r="AB220" s="118"/>
    </row>
    <row r="221" spans="1:28">
      <c r="A221" s="207" t="s">
        <v>447</v>
      </c>
      <c r="B221" s="208">
        <f>32966+50295</f>
        <v>83261</v>
      </c>
      <c r="C221" s="1182"/>
      <c r="D221" s="210">
        <v>61</v>
      </c>
      <c r="E221" s="1191">
        <v>61</v>
      </c>
      <c r="F221" s="1332">
        <f t="shared" si="102"/>
        <v>1</v>
      </c>
      <c r="G221" s="209"/>
      <c r="H221" s="210"/>
      <c r="I221" s="210"/>
      <c r="J221" s="211">
        <f t="shared" si="103"/>
        <v>83322</v>
      </c>
      <c r="K221" s="863"/>
      <c r="L221" s="207" t="s">
        <v>447</v>
      </c>
      <c r="M221" s="208">
        <f>58079+7829</f>
        <v>65908</v>
      </c>
      <c r="N221" s="1182"/>
      <c r="O221" s="210">
        <v>21467</v>
      </c>
      <c r="P221" s="1191">
        <v>21467</v>
      </c>
      <c r="Q221" s="1332">
        <f t="shared" si="104"/>
        <v>1</v>
      </c>
      <c r="R221" s="209"/>
      <c r="S221" s="210"/>
      <c r="T221" s="210"/>
      <c r="U221" s="211">
        <f t="shared" si="105"/>
        <v>87375</v>
      </c>
      <c r="V221" s="191"/>
      <c r="W221" s="118"/>
      <c r="X221" s="118"/>
      <c r="Y221" s="118"/>
      <c r="Z221" s="118"/>
      <c r="AA221" s="118"/>
      <c r="AB221" s="118"/>
    </row>
    <row r="222" spans="1:28">
      <c r="A222" s="207" t="s">
        <v>448</v>
      </c>
      <c r="B222" s="208"/>
      <c r="C222" s="1182"/>
      <c r="D222" s="210"/>
      <c r="E222" s="1191"/>
      <c r="F222" s="1332" t="str">
        <f t="shared" si="102"/>
        <v>-</v>
      </c>
      <c r="G222" s="209"/>
      <c r="H222" s="210"/>
      <c r="I222" s="210"/>
      <c r="J222" s="211">
        <f t="shared" si="103"/>
        <v>0</v>
      </c>
      <c r="K222" s="863"/>
      <c r="L222" s="207" t="s">
        <v>448</v>
      </c>
      <c r="M222" s="208"/>
      <c r="N222" s="1182"/>
      <c r="O222" s="210"/>
      <c r="P222" s="1191"/>
      <c r="Q222" s="1332" t="str">
        <f t="shared" si="104"/>
        <v>-</v>
      </c>
      <c r="R222" s="209"/>
      <c r="S222" s="210"/>
      <c r="T222" s="210"/>
      <c r="U222" s="211">
        <f t="shared" si="105"/>
        <v>0</v>
      </c>
      <c r="V222" s="191"/>
      <c r="W222" s="118"/>
      <c r="Y222" s="118"/>
      <c r="Z222" s="118"/>
      <c r="AB222" s="118"/>
    </row>
    <row r="223" spans="1:28">
      <c r="A223" s="217" t="s">
        <v>449</v>
      </c>
      <c r="B223" s="218"/>
      <c r="C223" s="1182">
        <v>2976</v>
      </c>
      <c r="D223" s="210">
        <v>0</v>
      </c>
      <c r="E223" s="1191"/>
      <c r="F223" s="1332" t="str">
        <f t="shared" si="102"/>
        <v>-</v>
      </c>
      <c r="G223" s="209"/>
      <c r="H223" s="210"/>
      <c r="I223" s="210"/>
      <c r="J223" s="211">
        <f t="shared" si="103"/>
        <v>0</v>
      </c>
      <c r="K223" s="863"/>
      <c r="L223" s="217" t="s">
        <v>449</v>
      </c>
      <c r="M223" s="218">
        <f>2600+7500</f>
        <v>10100</v>
      </c>
      <c r="N223" s="1182">
        <v>10672</v>
      </c>
      <c r="O223" s="210">
        <v>9350</v>
      </c>
      <c r="P223" s="1191">
        <v>9350</v>
      </c>
      <c r="Q223" s="1332">
        <f t="shared" si="104"/>
        <v>1</v>
      </c>
      <c r="R223" s="209">
        <v>64760</v>
      </c>
      <c r="S223" s="210"/>
      <c r="T223" s="210"/>
      <c r="U223" s="211">
        <f t="shared" si="105"/>
        <v>84210</v>
      </c>
      <c r="V223" s="191"/>
      <c r="W223" s="118"/>
      <c r="X223" s="118"/>
      <c r="Y223" s="118"/>
      <c r="Z223" s="118"/>
      <c r="AA223" s="118"/>
      <c r="AB223" s="118"/>
    </row>
    <row r="224" spans="1:28">
      <c r="A224" s="217" t="s">
        <v>450</v>
      </c>
      <c r="B224" s="218">
        <f>4205+44</f>
        <v>4249</v>
      </c>
      <c r="C224" s="1182"/>
      <c r="D224" s="210"/>
      <c r="E224" s="1191"/>
      <c r="F224" s="1332" t="str">
        <f t="shared" si="102"/>
        <v>-</v>
      </c>
      <c r="G224" s="209"/>
      <c r="H224" s="210"/>
      <c r="I224" s="210"/>
      <c r="J224" s="211">
        <f t="shared" si="103"/>
        <v>4249</v>
      </c>
      <c r="K224" s="863"/>
      <c r="L224" s="217" t="s">
        <v>450</v>
      </c>
      <c r="M224" s="218">
        <v>5589</v>
      </c>
      <c r="N224" s="1182"/>
      <c r="O224" s="210"/>
      <c r="P224" s="1191"/>
      <c r="Q224" s="1332" t="str">
        <f t="shared" si="104"/>
        <v>-</v>
      </c>
      <c r="R224" s="209"/>
      <c r="S224" s="210"/>
      <c r="T224" s="210"/>
      <c r="U224" s="211">
        <f t="shared" si="105"/>
        <v>5589</v>
      </c>
      <c r="V224" s="191"/>
      <c r="W224" s="118"/>
      <c r="X224" s="118"/>
      <c r="Y224" s="118"/>
      <c r="Z224" s="118"/>
      <c r="AA224" s="118"/>
      <c r="AB224" s="118"/>
    </row>
    <row r="225" spans="1:28">
      <c r="A225" s="219" t="s">
        <v>451</v>
      </c>
      <c r="B225" s="220"/>
      <c r="C225" s="1184"/>
      <c r="D225" s="222"/>
      <c r="E225" s="1192"/>
      <c r="F225" s="1334" t="str">
        <f t="shared" si="102"/>
        <v>-</v>
      </c>
      <c r="G225" s="221"/>
      <c r="H225" s="222"/>
      <c r="I225" s="222"/>
      <c r="J225" s="211">
        <f t="shared" si="103"/>
        <v>0</v>
      </c>
      <c r="K225" s="863"/>
      <c r="L225" s="219" t="s">
        <v>451</v>
      </c>
      <c r="M225" s="220"/>
      <c r="N225" s="1184"/>
      <c r="O225" s="222"/>
      <c r="P225" s="1192"/>
      <c r="Q225" s="1334" t="str">
        <f t="shared" si="104"/>
        <v>-</v>
      </c>
      <c r="R225" s="209"/>
      <c r="S225" s="222"/>
      <c r="T225" s="222"/>
      <c r="U225" s="211">
        <f t="shared" si="105"/>
        <v>0</v>
      </c>
      <c r="V225" s="191"/>
      <c r="W225" s="118"/>
      <c r="X225" s="118"/>
      <c r="Y225" s="118"/>
      <c r="Z225" s="118"/>
      <c r="AA225" s="118"/>
      <c r="AB225" s="118"/>
    </row>
    <row r="226" spans="1:28" ht="12.75" thickBot="1">
      <c r="A226" s="219" t="s">
        <v>452</v>
      </c>
      <c r="B226" s="220"/>
      <c r="C226" s="1184"/>
      <c r="D226" s="222"/>
      <c r="E226" s="1192"/>
      <c r="F226" s="1334" t="str">
        <f t="shared" si="102"/>
        <v>-</v>
      </c>
      <c r="G226" s="221"/>
      <c r="H226" s="222"/>
      <c r="I226" s="222"/>
      <c r="J226" s="211">
        <f t="shared" si="103"/>
        <v>0</v>
      </c>
      <c r="K226" s="863"/>
      <c r="L226" s="219" t="s">
        <v>452</v>
      </c>
      <c r="M226" s="220"/>
      <c r="N226" s="1184"/>
      <c r="O226" s="222"/>
      <c r="P226" s="1192"/>
      <c r="Q226" s="1334" t="str">
        <f t="shared" si="104"/>
        <v>-</v>
      </c>
      <c r="R226" s="221"/>
      <c r="S226" s="222"/>
      <c r="T226" s="222"/>
      <c r="U226" s="211">
        <f t="shared" si="105"/>
        <v>0</v>
      </c>
      <c r="V226" s="191"/>
      <c r="W226" s="118"/>
      <c r="X226" s="118"/>
      <c r="Y226" s="118"/>
      <c r="Z226" s="118"/>
      <c r="AA226" s="118"/>
      <c r="AB226" s="118"/>
    </row>
    <row r="227" spans="1:28" ht="12.75" thickBot="1">
      <c r="A227" s="190" t="s">
        <v>453</v>
      </c>
      <c r="B227" s="212">
        <f t="shared" ref="B227:J227" si="106">+B219+B220+B221+B222+B223+B224+B225+B226</f>
        <v>149806</v>
      </c>
      <c r="C227" s="1183">
        <f t="shared" si="106"/>
        <v>2976</v>
      </c>
      <c r="D227" s="212">
        <f>+D219+D220+D221+D222+D223+D224+D225+D226</f>
        <v>61</v>
      </c>
      <c r="E227" s="1185">
        <f>+E219+E220+E221+E222+E223+E224+E225+E226</f>
        <v>61</v>
      </c>
      <c r="F227" s="1333">
        <f t="shared" si="102"/>
        <v>1</v>
      </c>
      <c r="G227" s="214">
        <f t="shared" si="106"/>
        <v>0</v>
      </c>
      <c r="H227" s="212">
        <f t="shared" si="106"/>
        <v>0</v>
      </c>
      <c r="I227" s="212">
        <f t="shared" si="106"/>
        <v>0</v>
      </c>
      <c r="J227" s="213">
        <f t="shared" si="106"/>
        <v>149867</v>
      </c>
      <c r="L227" s="190" t="s">
        <v>453</v>
      </c>
      <c r="M227" s="212">
        <f t="shared" ref="M227:U227" si="107">+M219+M220+M221+M222+M223+M224+M225+M226</f>
        <v>122286</v>
      </c>
      <c r="N227" s="1183">
        <f t="shared" si="107"/>
        <v>10672</v>
      </c>
      <c r="O227" s="212">
        <f>+O219+O220+O221+O222+O223+O224+O225+O226</f>
        <v>59879</v>
      </c>
      <c r="P227" s="1185">
        <f>+P219+P220+P221+P222+P223+P224+P225+P226</f>
        <v>59879</v>
      </c>
      <c r="Q227" s="1333">
        <f t="shared" si="104"/>
        <v>1</v>
      </c>
      <c r="R227" s="214">
        <f t="shared" si="107"/>
        <v>64760</v>
      </c>
      <c r="S227" s="212">
        <f t="shared" si="107"/>
        <v>0</v>
      </c>
      <c r="T227" s="212">
        <f t="shared" si="107"/>
        <v>0</v>
      </c>
      <c r="U227" s="213">
        <f t="shared" si="107"/>
        <v>246925</v>
      </c>
      <c r="V227" s="191"/>
      <c r="X227" s="863"/>
      <c r="AA227" s="863"/>
    </row>
    <row r="228" spans="1:28">
      <c r="A228" s="191"/>
      <c r="B228" s="191"/>
      <c r="C228" s="191"/>
      <c r="D228" s="191"/>
      <c r="E228" s="191"/>
      <c r="F228" s="191"/>
      <c r="G228" s="191"/>
      <c r="H228" s="191"/>
      <c r="I228" s="191"/>
      <c r="J228" s="191"/>
      <c r="K228" s="863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</row>
    <row r="230" spans="1:28" s="856" customFormat="1" ht="15.75">
      <c r="A230" s="189" t="s">
        <v>1363</v>
      </c>
      <c r="B230" s="1737" t="s">
        <v>1378</v>
      </c>
      <c r="C230" s="1737"/>
      <c r="D230" s="1737"/>
      <c r="E230" s="1737"/>
      <c r="F230" s="1737"/>
      <c r="G230" s="1737"/>
      <c r="H230" s="1737"/>
      <c r="I230" s="1737"/>
      <c r="J230" s="1737"/>
      <c r="K230" s="766"/>
      <c r="L230" s="189" t="s">
        <v>1364</v>
      </c>
      <c r="M230" s="1737" t="s">
        <v>1353</v>
      </c>
      <c r="N230" s="1737"/>
      <c r="O230" s="1737"/>
      <c r="P230" s="1737"/>
      <c r="Q230" s="1737"/>
      <c r="R230" s="1737"/>
      <c r="S230" s="1737"/>
      <c r="T230" s="1737"/>
      <c r="U230" s="1737"/>
      <c r="V230" s="1737"/>
    </row>
    <row r="231" spans="1:28" s="856" customFormat="1" ht="15.75" customHeight="1">
      <c r="A231" s="1796" t="s">
        <v>1379</v>
      </c>
      <c r="B231" s="1796"/>
      <c r="C231" s="1796"/>
      <c r="D231" s="1796"/>
      <c r="E231" s="1796"/>
      <c r="F231" s="1796"/>
      <c r="G231" s="1796"/>
      <c r="H231" s="1796"/>
      <c r="I231" s="1796"/>
      <c r="J231" s="1796"/>
      <c r="K231" s="766"/>
      <c r="L231" s="1796" t="s">
        <v>1396</v>
      </c>
      <c r="M231" s="1796"/>
      <c r="N231" s="1796"/>
      <c r="O231" s="1796"/>
      <c r="P231" s="1796"/>
      <c r="Q231" s="1796"/>
      <c r="R231" s="1796"/>
      <c r="S231" s="1796"/>
      <c r="T231" s="1796"/>
      <c r="U231" s="1796"/>
      <c r="V231" s="1738"/>
    </row>
    <row r="232" spans="1:28" s="856" customFormat="1" ht="15.75">
      <c r="A232" s="1795" t="s">
        <v>1105</v>
      </c>
      <c r="B232" s="1795"/>
      <c r="C232" s="1795"/>
      <c r="D232" s="1795"/>
      <c r="E232" s="1795"/>
      <c r="F232" s="1795"/>
      <c r="G232" s="1795"/>
      <c r="H232" s="1795"/>
      <c r="I232" s="1795"/>
      <c r="J232" s="1795"/>
      <c r="K232" s="766"/>
      <c r="L232" s="1795" t="s">
        <v>1105</v>
      </c>
      <c r="M232" s="1795"/>
      <c r="N232" s="1795"/>
      <c r="O232" s="1795"/>
      <c r="P232" s="1795"/>
      <c r="Q232" s="1795"/>
      <c r="R232" s="1795"/>
      <c r="S232" s="1795"/>
      <c r="T232" s="1795"/>
      <c r="U232" s="1795"/>
      <c r="V232" s="1739"/>
    </row>
    <row r="233" spans="1:28" s="859" customFormat="1" ht="12.75" thickBot="1">
      <c r="A233" s="858"/>
      <c r="B233" s="858"/>
      <c r="G233" s="858"/>
      <c r="H233" s="858"/>
      <c r="J233" s="234" t="s">
        <v>280</v>
      </c>
      <c r="K233" s="860"/>
      <c r="L233" s="858"/>
      <c r="M233" s="858"/>
      <c r="N233" s="858"/>
      <c r="O233" s="858"/>
      <c r="P233" s="858"/>
      <c r="Q233" s="858"/>
      <c r="R233" s="858"/>
      <c r="S233" s="858"/>
      <c r="U233" s="234" t="s">
        <v>280</v>
      </c>
      <c r="V233" s="846"/>
    </row>
    <row r="234" spans="1:28" s="862" customFormat="1" ht="36.75" thickBot="1">
      <c r="A234" s="388" t="s">
        <v>431</v>
      </c>
      <c r="B234" s="389" t="s">
        <v>1422</v>
      </c>
      <c r="C234" s="1055" t="s">
        <v>1540</v>
      </c>
      <c r="D234" s="6" t="s">
        <v>1541</v>
      </c>
      <c r="E234" s="6" t="s">
        <v>2654</v>
      </c>
      <c r="F234" s="1330" t="s">
        <v>1558</v>
      </c>
      <c r="G234" s="369" t="s">
        <v>460</v>
      </c>
      <c r="H234" s="370" t="s">
        <v>461</v>
      </c>
      <c r="I234" s="370" t="s">
        <v>1423</v>
      </c>
      <c r="J234" s="1741" t="s">
        <v>18</v>
      </c>
      <c r="K234" s="861"/>
      <c r="L234" s="388" t="s">
        <v>431</v>
      </c>
      <c r="M234" s="389" t="s">
        <v>1422</v>
      </c>
      <c r="N234" s="1055" t="s">
        <v>1540</v>
      </c>
      <c r="O234" s="6" t="s">
        <v>1541</v>
      </c>
      <c r="P234" s="6" t="s">
        <v>2654</v>
      </c>
      <c r="Q234" s="1330" t="s">
        <v>1558</v>
      </c>
      <c r="R234" s="369" t="s">
        <v>460</v>
      </c>
      <c r="S234" s="370" t="s">
        <v>461</v>
      </c>
      <c r="T234" s="370" t="s">
        <v>1423</v>
      </c>
      <c r="U234" s="1741" t="s">
        <v>18</v>
      </c>
      <c r="V234" s="847"/>
    </row>
    <row r="235" spans="1:28">
      <c r="A235" s="197" t="s">
        <v>432</v>
      </c>
      <c r="B235" s="198">
        <f t="shared" ref="B235:J235" si="108">+B252-B240-B239-B238-B237</f>
        <v>-54039</v>
      </c>
      <c r="C235" s="1180">
        <f t="shared" si="108"/>
        <v>57079</v>
      </c>
      <c r="D235" s="200">
        <f>+D252-D240-D239-D238-D237</f>
        <v>-7466</v>
      </c>
      <c r="E235" s="200">
        <f>+E252-E240-E239-E238-E237</f>
        <v>-7466</v>
      </c>
      <c r="F235" s="1331">
        <f t="shared" ref="F235:F241" si="109">IF(ISERROR(E235/D235),"-",E235/D235)</f>
        <v>1</v>
      </c>
      <c r="G235" s="199">
        <f t="shared" si="108"/>
        <v>61505</v>
      </c>
      <c r="H235" s="200">
        <f t="shared" si="108"/>
        <v>0</v>
      </c>
      <c r="I235" s="200">
        <f t="shared" si="108"/>
        <v>0</v>
      </c>
      <c r="J235" s="201">
        <f t="shared" si="108"/>
        <v>0</v>
      </c>
      <c r="K235" s="863"/>
      <c r="L235" s="197" t="s">
        <v>432</v>
      </c>
      <c r="M235" s="198">
        <f t="shared" ref="M235:U235" si="110">+M252-M240-M239-M238-M237</f>
        <v>-95153</v>
      </c>
      <c r="N235" s="1180">
        <f t="shared" si="110"/>
        <v>97922</v>
      </c>
      <c r="O235" s="200">
        <f>+O252-O240-O239-O238-O237</f>
        <v>86827</v>
      </c>
      <c r="P235" s="200">
        <f>+P252-P240-P239-P238-P237</f>
        <v>86827</v>
      </c>
      <c r="Q235" s="1331">
        <f t="shared" ref="Q235:Q241" si="111">IF(ISERROR(P235/O235),"-",P235/O235)</f>
        <v>1</v>
      </c>
      <c r="R235" s="199">
        <f t="shared" si="110"/>
        <v>8326</v>
      </c>
      <c r="S235" s="200">
        <f t="shared" si="110"/>
        <v>0</v>
      </c>
      <c r="T235" s="200">
        <f t="shared" si="110"/>
        <v>0</v>
      </c>
      <c r="U235" s="201">
        <f t="shared" si="110"/>
        <v>0</v>
      </c>
      <c r="V235" s="191"/>
    </row>
    <row r="236" spans="1:28">
      <c r="A236" s="202" t="s">
        <v>433</v>
      </c>
      <c r="B236" s="203"/>
      <c r="C236" s="1181"/>
      <c r="D236" s="205"/>
      <c r="E236" s="205"/>
      <c r="F236" s="1332" t="str">
        <f t="shared" si="109"/>
        <v>-</v>
      </c>
      <c r="G236" s="204"/>
      <c r="H236" s="205"/>
      <c r="I236" s="205"/>
      <c r="J236" s="206">
        <f>+B236+IF(D236&lt;=E236,E236,D236)+G236+H236+I236</f>
        <v>0</v>
      </c>
      <c r="K236" s="863"/>
      <c r="L236" s="202" t="s">
        <v>433</v>
      </c>
      <c r="M236" s="203"/>
      <c r="N236" s="1181"/>
      <c r="O236" s="205"/>
      <c r="P236" s="205"/>
      <c r="Q236" s="1332" t="str">
        <f t="shared" si="111"/>
        <v>-</v>
      </c>
      <c r="R236" s="204"/>
      <c r="S236" s="205"/>
      <c r="T236" s="205"/>
      <c r="U236" s="206">
        <f>+M236+IF(O236&lt;=P236,P236,O236)+R236+S236+T236</f>
        <v>0</v>
      </c>
      <c r="V236" s="848"/>
      <c r="W236" s="118"/>
      <c r="Z236" s="118"/>
    </row>
    <row r="237" spans="1:28">
      <c r="A237" s="207" t="s">
        <v>434</v>
      </c>
      <c r="B237" s="208">
        <f>138388+38713</f>
        <v>177101</v>
      </c>
      <c r="C237" s="1182"/>
      <c r="D237" s="210">
        <v>80877</v>
      </c>
      <c r="E237" s="210">
        <v>80877</v>
      </c>
      <c r="F237" s="1332">
        <f t="shared" si="109"/>
        <v>1</v>
      </c>
      <c r="G237" s="209"/>
      <c r="H237" s="210"/>
      <c r="I237" s="210"/>
      <c r="J237" s="211">
        <f>+B237+IF(D237&lt;=E237,E237,D237)+G237+H237+I237</f>
        <v>257978</v>
      </c>
      <c r="K237" s="863"/>
      <c r="L237" s="207" t="s">
        <v>434</v>
      </c>
      <c r="M237" s="208">
        <f>130650+121408</f>
        <v>252058</v>
      </c>
      <c r="N237" s="1182"/>
      <c r="O237" s="210"/>
      <c r="P237" s="210"/>
      <c r="Q237" s="1332" t="str">
        <f t="shared" si="111"/>
        <v>-</v>
      </c>
      <c r="R237" s="209"/>
      <c r="S237" s="210"/>
      <c r="T237" s="210"/>
      <c r="U237" s="211">
        <f>+M237+IF(O237&lt;=P237,P237,O237)+R237+S237+T237</f>
        <v>252058</v>
      </c>
      <c r="V237" s="191"/>
      <c r="W237" s="118"/>
      <c r="X237" s="118"/>
      <c r="Y237" s="118"/>
      <c r="Z237" s="118"/>
      <c r="AA237" s="118"/>
      <c r="AB237" s="118"/>
    </row>
    <row r="238" spans="1:28">
      <c r="A238" s="207" t="s">
        <v>435</v>
      </c>
      <c r="B238" s="208"/>
      <c r="C238" s="1182"/>
      <c r="D238" s="210"/>
      <c r="E238" s="210"/>
      <c r="F238" s="1332" t="str">
        <f t="shared" si="109"/>
        <v>-</v>
      </c>
      <c r="G238" s="209"/>
      <c r="H238" s="210"/>
      <c r="I238" s="210"/>
      <c r="J238" s="211">
        <f>+B238+IF(D238&lt;=E238,E238,D238)+G238+H238+I238</f>
        <v>0</v>
      </c>
      <c r="K238" s="863"/>
      <c r="L238" s="207" t="s">
        <v>435</v>
      </c>
      <c r="M238" s="208"/>
      <c r="N238" s="1182"/>
      <c r="O238" s="210"/>
      <c r="P238" s="210"/>
      <c r="Q238" s="1332" t="str">
        <f t="shared" si="111"/>
        <v>-</v>
      </c>
      <c r="R238" s="209"/>
      <c r="S238" s="210"/>
      <c r="T238" s="210"/>
      <c r="U238" s="211">
        <f>+M238+IF(O238&lt;=P238,P238,O238)+R238+S238+T238</f>
        <v>0</v>
      </c>
      <c r="V238" s="191"/>
      <c r="W238" s="118"/>
      <c r="Z238" s="118"/>
    </row>
    <row r="239" spans="1:28">
      <c r="A239" s="207" t="s">
        <v>436</v>
      </c>
      <c r="B239" s="208"/>
      <c r="C239" s="1182"/>
      <c r="D239" s="210"/>
      <c r="E239" s="210"/>
      <c r="F239" s="1332" t="str">
        <f t="shared" si="109"/>
        <v>-</v>
      </c>
      <c r="G239" s="209"/>
      <c r="H239" s="210"/>
      <c r="I239" s="210"/>
      <c r="J239" s="211">
        <f>+B239+IF(D239&lt;=E239,E239,D239)+G239+H239+I239</f>
        <v>0</v>
      </c>
      <c r="K239" s="863"/>
      <c r="L239" s="207" t="s">
        <v>436</v>
      </c>
      <c r="M239" s="208"/>
      <c r="N239" s="1182"/>
      <c r="O239" s="210"/>
      <c r="P239" s="210"/>
      <c r="Q239" s="1332" t="str">
        <f t="shared" si="111"/>
        <v>-</v>
      </c>
      <c r="R239" s="209"/>
      <c r="S239" s="210"/>
      <c r="T239" s="210"/>
      <c r="U239" s="211">
        <f>+M239+IF(O239&lt;=P239,P239,O239)+R239+S239+T239</f>
        <v>0</v>
      </c>
      <c r="V239" s="191"/>
      <c r="W239" s="118"/>
      <c r="Z239" s="118"/>
    </row>
    <row r="240" spans="1:28" ht="12.75" thickBot="1">
      <c r="A240" s="207" t="s">
        <v>437</v>
      </c>
      <c r="B240" s="208"/>
      <c r="C240" s="1182"/>
      <c r="D240" s="210"/>
      <c r="E240" s="210"/>
      <c r="F240" s="1332" t="str">
        <f t="shared" si="109"/>
        <v>-</v>
      </c>
      <c r="G240" s="209"/>
      <c r="H240" s="210"/>
      <c r="I240" s="210"/>
      <c r="J240" s="211">
        <f>+B240+IF(D240&lt;=E240,E240,D240)+G240+H240+I240</f>
        <v>0</v>
      </c>
      <c r="K240" s="863"/>
      <c r="L240" s="207" t="s">
        <v>437</v>
      </c>
      <c r="M240" s="208"/>
      <c r="N240" s="1182"/>
      <c r="O240" s="210"/>
      <c r="P240" s="210"/>
      <c r="Q240" s="1332" t="str">
        <f t="shared" si="111"/>
        <v>-</v>
      </c>
      <c r="R240" s="209"/>
      <c r="S240" s="210"/>
      <c r="T240" s="210"/>
      <c r="U240" s="211">
        <f>+M240+IF(O240&lt;=P240,P240,O240)+R240+S240+T240</f>
        <v>0</v>
      </c>
      <c r="V240" s="191"/>
      <c r="W240" s="118"/>
      <c r="Z240" s="118"/>
    </row>
    <row r="241" spans="1:28" ht="12.75" thickBot="1">
      <c r="A241" s="190" t="s">
        <v>438</v>
      </c>
      <c r="B241" s="212">
        <f t="shared" ref="B241:J241" si="112">+B235+B237+B238+B239+B240</f>
        <v>123062</v>
      </c>
      <c r="C241" s="1183">
        <f t="shared" si="112"/>
        <v>57079</v>
      </c>
      <c r="D241" s="212">
        <f>+D235+D237+D238+D239+D240</f>
        <v>73411</v>
      </c>
      <c r="E241" s="212">
        <f>+E235+E237+E238+E239+E240</f>
        <v>73411</v>
      </c>
      <c r="F241" s="1333">
        <f t="shared" si="109"/>
        <v>1</v>
      </c>
      <c r="G241" s="214">
        <f t="shared" si="112"/>
        <v>61505</v>
      </c>
      <c r="H241" s="212">
        <f t="shared" si="112"/>
        <v>0</v>
      </c>
      <c r="I241" s="212">
        <f t="shared" si="112"/>
        <v>0</v>
      </c>
      <c r="J241" s="213">
        <f t="shared" si="112"/>
        <v>257978</v>
      </c>
      <c r="K241" s="863"/>
      <c r="L241" s="190" t="s">
        <v>438</v>
      </c>
      <c r="M241" s="212">
        <f t="shared" ref="M241:U241" si="113">+M235+M237+M238+M239+M240</f>
        <v>156905</v>
      </c>
      <c r="N241" s="1183">
        <f t="shared" si="113"/>
        <v>97922</v>
      </c>
      <c r="O241" s="212">
        <f>+O235+O237+O238+O239+O240</f>
        <v>86827</v>
      </c>
      <c r="P241" s="212">
        <f>+P235+P237+P238+P239+P240</f>
        <v>86827</v>
      </c>
      <c r="Q241" s="1333">
        <f t="shared" si="111"/>
        <v>1</v>
      </c>
      <c r="R241" s="214">
        <f t="shared" si="113"/>
        <v>8326</v>
      </c>
      <c r="S241" s="212">
        <f t="shared" si="113"/>
        <v>0</v>
      </c>
      <c r="T241" s="212">
        <f t="shared" si="113"/>
        <v>0</v>
      </c>
      <c r="U241" s="213">
        <f t="shared" si="113"/>
        <v>252058</v>
      </c>
      <c r="V241" s="191"/>
    </row>
    <row r="242" spans="1:28" ht="12.75" thickBot="1">
      <c r="A242" s="215"/>
      <c r="B242" s="215"/>
      <c r="C242" s="215"/>
      <c r="D242" s="215"/>
      <c r="E242" s="215"/>
      <c r="F242" s="215"/>
      <c r="G242" s="215"/>
      <c r="H242" s="215"/>
      <c r="I242" s="215"/>
      <c r="J242" s="215"/>
      <c r="K242" s="863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</row>
    <row r="243" spans="1:28" s="862" customFormat="1" ht="36.75" thickBot="1">
      <c r="A243" s="388" t="s">
        <v>439</v>
      </c>
      <c r="B243" s="389" t="s">
        <v>1422</v>
      </c>
      <c r="C243" s="1055" t="s">
        <v>1540</v>
      </c>
      <c r="D243" s="6" t="s">
        <v>1541</v>
      </c>
      <c r="E243" s="6" t="s">
        <v>2654</v>
      </c>
      <c r="F243" s="1330" t="s">
        <v>1558</v>
      </c>
      <c r="G243" s="369" t="s">
        <v>460</v>
      </c>
      <c r="H243" s="370" t="s">
        <v>461</v>
      </c>
      <c r="I243" s="370" t="s">
        <v>1423</v>
      </c>
      <c r="J243" s="1741" t="s">
        <v>18</v>
      </c>
      <c r="K243" s="865"/>
      <c r="L243" s="388" t="s">
        <v>439</v>
      </c>
      <c r="M243" s="389" t="s">
        <v>1422</v>
      </c>
      <c r="N243" s="1055" t="s">
        <v>1540</v>
      </c>
      <c r="O243" s="6" t="s">
        <v>1541</v>
      </c>
      <c r="P243" s="6" t="s">
        <v>2654</v>
      </c>
      <c r="Q243" s="1330" t="s">
        <v>1558</v>
      </c>
      <c r="R243" s="369" t="s">
        <v>460</v>
      </c>
      <c r="S243" s="370" t="s">
        <v>461</v>
      </c>
      <c r="T243" s="370" t="s">
        <v>1423</v>
      </c>
      <c r="U243" s="1741" t="s">
        <v>18</v>
      </c>
      <c r="V243" s="847"/>
    </row>
    <row r="244" spans="1:28">
      <c r="A244" s="197" t="s">
        <v>445</v>
      </c>
      <c r="B244" s="198">
        <f>13700+22038</f>
        <v>35738</v>
      </c>
      <c r="C244" s="1180"/>
      <c r="D244" s="200">
        <v>22008</v>
      </c>
      <c r="E244" s="1190">
        <f>22009-1</f>
        <v>22008</v>
      </c>
      <c r="F244" s="1331">
        <f t="shared" ref="F244:F252" si="114">IF(ISERROR(E244/D244),"-",E244/D244)</f>
        <v>1</v>
      </c>
      <c r="G244" s="199"/>
      <c r="H244" s="200"/>
      <c r="I244" s="200"/>
      <c r="J244" s="201">
        <f t="shared" ref="J244:J251" si="115">+B244+IF(D244&lt;=E244,E244,D244)+G244+H244+I244</f>
        <v>57746</v>
      </c>
      <c r="K244" s="863"/>
      <c r="L244" s="197" t="s">
        <v>445</v>
      </c>
      <c r="M244" s="198">
        <f>27902+47004</f>
        <v>74906</v>
      </c>
      <c r="N244" s="1180"/>
      <c r="O244" s="200">
        <v>53589</v>
      </c>
      <c r="P244" s="1190">
        <v>53589</v>
      </c>
      <c r="Q244" s="1331">
        <f t="shared" ref="Q244:Q252" si="116">IF(ISERROR(P244/O244),"-",P244/O244)</f>
        <v>1</v>
      </c>
      <c r="R244" s="199"/>
      <c r="S244" s="200"/>
      <c r="T244" s="200"/>
      <c r="U244" s="201">
        <f t="shared" ref="U244:U251" si="117">+M244+IF(O244&lt;=P244,P244,O244)+R244+S244+T244</f>
        <v>128495</v>
      </c>
      <c r="V244" s="191"/>
      <c r="W244" s="118"/>
      <c r="X244" s="118"/>
      <c r="Y244" s="118"/>
      <c r="Z244" s="118"/>
      <c r="AA244" s="118"/>
      <c r="AB244" s="118"/>
    </row>
    <row r="245" spans="1:28">
      <c r="A245" s="216" t="s">
        <v>446</v>
      </c>
      <c r="B245" s="208">
        <f>2161+4002</f>
        <v>6163</v>
      </c>
      <c r="C245" s="1182"/>
      <c r="D245" s="210">
        <v>3291</v>
      </c>
      <c r="E245" s="1191">
        <f>3290+1</f>
        <v>3291</v>
      </c>
      <c r="F245" s="1332">
        <f t="shared" si="114"/>
        <v>1</v>
      </c>
      <c r="G245" s="209"/>
      <c r="H245" s="210"/>
      <c r="I245" s="210"/>
      <c r="J245" s="211">
        <f t="shared" si="115"/>
        <v>9454</v>
      </c>
      <c r="K245" s="863"/>
      <c r="L245" s="216" t="s">
        <v>446</v>
      </c>
      <c r="M245" s="208">
        <f>4673+7967</f>
        <v>12640</v>
      </c>
      <c r="N245" s="1182"/>
      <c r="O245" s="210">
        <v>7221</v>
      </c>
      <c r="P245" s="1191">
        <v>7221</v>
      </c>
      <c r="Q245" s="1332">
        <f t="shared" si="116"/>
        <v>1</v>
      </c>
      <c r="R245" s="209"/>
      <c r="S245" s="210"/>
      <c r="T245" s="210"/>
      <c r="U245" s="211">
        <f t="shared" si="117"/>
        <v>19861</v>
      </c>
      <c r="V245" s="191"/>
      <c r="W245" s="118"/>
      <c r="X245" s="118"/>
      <c r="Y245" s="118"/>
      <c r="Z245" s="118"/>
      <c r="AA245" s="118"/>
      <c r="AB245" s="118"/>
    </row>
    <row r="246" spans="1:28">
      <c r="A246" s="207" t="s">
        <v>447</v>
      </c>
      <c r="B246" s="208">
        <f>51763+24746</f>
        <v>76509</v>
      </c>
      <c r="C246" s="1182"/>
      <c r="D246" s="210">
        <v>39787</v>
      </c>
      <c r="E246" s="1191">
        <v>39787</v>
      </c>
      <c r="F246" s="1332">
        <f t="shared" si="114"/>
        <v>1</v>
      </c>
      <c r="G246" s="209"/>
      <c r="H246" s="210"/>
      <c r="I246" s="210"/>
      <c r="J246" s="211">
        <f t="shared" si="115"/>
        <v>116296</v>
      </c>
      <c r="K246" s="863"/>
      <c r="L246" s="207" t="s">
        <v>447</v>
      </c>
      <c r="M246" s="208">
        <f>41969+23204</f>
        <v>65173</v>
      </c>
      <c r="N246" s="1182"/>
      <c r="O246" s="210">
        <v>25963</v>
      </c>
      <c r="P246" s="1191">
        <v>25963</v>
      </c>
      <c r="Q246" s="1332">
        <f t="shared" si="116"/>
        <v>1</v>
      </c>
      <c r="R246" s="209"/>
      <c r="S246" s="210"/>
      <c r="T246" s="210"/>
      <c r="U246" s="211">
        <f t="shared" si="117"/>
        <v>91136</v>
      </c>
      <c r="V246" s="191"/>
      <c r="W246" s="118"/>
      <c r="X246" s="118"/>
      <c r="Y246" s="118"/>
      <c r="Z246" s="118"/>
      <c r="AA246" s="118"/>
      <c r="AB246" s="118"/>
    </row>
    <row r="247" spans="1:28">
      <c r="A247" s="207" t="s">
        <v>448</v>
      </c>
      <c r="B247" s="208"/>
      <c r="C247" s="1182"/>
      <c r="D247" s="210"/>
      <c r="E247" s="1191"/>
      <c r="F247" s="1332" t="str">
        <f t="shared" si="114"/>
        <v>-</v>
      </c>
      <c r="G247" s="209"/>
      <c r="H247" s="210"/>
      <c r="I247" s="210"/>
      <c r="J247" s="211">
        <f t="shared" si="115"/>
        <v>0</v>
      </c>
      <c r="K247" s="863"/>
      <c r="L247" s="207" t="s">
        <v>448</v>
      </c>
      <c r="M247" s="208"/>
      <c r="N247" s="1182"/>
      <c r="O247" s="210"/>
      <c r="P247" s="1191"/>
      <c r="Q247" s="1332" t="str">
        <f t="shared" si="116"/>
        <v>-</v>
      </c>
      <c r="R247" s="209"/>
      <c r="S247" s="210"/>
      <c r="T247" s="210"/>
      <c r="U247" s="211">
        <f t="shared" si="117"/>
        <v>0</v>
      </c>
      <c r="V247" s="191"/>
      <c r="W247" s="118"/>
      <c r="Y247" s="118"/>
      <c r="Z247" s="118"/>
      <c r="AB247" s="118"/>
    </row>
    <row r="248" spans="1:28">
      <c r="A248" s="217" t="s">
        <v>449</v>
      </c>
      <c r="B248" s="218">
        <f>120+600</f>
        <v>720</v>
      </c>
      <c r="C248" s="1182">
        <f>57072+7</f>
        <v>57079</v>
      </c>
      <c r="D248" s="210">
        <v>680</v>
      </c>
      <c r="E248" s="1191">
        <v>680</v>
      </c>
      <c r="F248" s="1332">
        <f t="shared" si="114"/>
        <v>1</v>
      </c>
      <c r="G248" s="209">
        <v>61505</v>
      </c>
      <c r="H248" s="210"/>
      <c r="I248" s="210"/>
      <c r="J248" s="211">
        <f t="shared" si="115"/>
        <v>62905</v>
      </c>
      <c r="K248" s="863"/>
      <c r="L248" s="217" t="s">
        <v>449</v>
      </c>
      <c r="M248" s="218">
        <v>4186</v>
      </c>
      <c r="N248" s="1182">
        <v>97922</v>
      </c>
      <c r="O248" s="210">
        <v>0</v>
      </c>
      <c r="P248" s="1191"/>
      <c r="Q248" s="1332" t="str">
        <f t="shared" si="116"/>
        <v>-</v>
      </c>
      <c r="R248" s="209">
        <v>8326</v>
      </c>
      <c r="S248" s="210"/>
      <c r="T248" s="210"/>
      <c r="U248" s="211">
        <f t="shared" si="117"/>
        <v>12512</v>
      </c>
      <c r="V248" s="191"/>
      <c r="W248" s="118"/>
      <c r="X248" s="118"/>
      <c r="Y248" s="118"/>
      <c r="Z248" s="118"/>
      <c r="AA248" s="118"/>
      <c r="AB248" s="118"/>
    </row>
    <row r="249" spans="1:28">
      <c r="A249" s="217" t="s">
        <v>450</v>
      </c>
      <c r="B249" s="218">
        <f>2284+1140</f>
        <v>3424</v>
      </c>
      <c r="C249" s="1182"/>
      <c r="D249" s="210">
        <v>2008</v>
      </c>
      <c r="E249" s="1191">
        <f>2009-1</f>
        <v>2008</v>
      </c>
      <c r="F249" s="1332">
        <f t="shared" si="114"/>
        <v>1</v>
      </c>
      <c r="G249" s="209"/>
      <c r="H249" s="210"/>
      <c r="I249" s="210"/>
      <c r="J249" s="211">
        <f t="shared" si="115"/>
        <v>5432</v>
      </c>
      <c r="K249" s="863"/>
      <c r="L249" s="217" t="s">
        <v>450</v>
      </c>
      <c r="M249" s="218"/>
      <c r="N249" s="1182"/>
      <c r="O249" s="210">
        <v>54</v>
      </c>
      <c r="P249" s="1191">
        <v>54</v>
      </c>
      <c r="Q249" s="1332">
        <f t="shared" si="116"/>
        <v>1</v>
      </c>
      <c r="R249" s="209"/>
      <c r="S249" s="210"/>
      <c r="T249" s="210"/>
      <c r="U249" s="211">
        <f t="shared" si="117"/>
        <v>54</v>
      </c>
      <c r="V249" s="191"/>
      <c r="W249" s="118"/>
      <c r="X249" s="118"/>
      <c r="Y249" s="118"/>
      <c r="Z249" s="118"/>
      <c r="AA249" s="118"/>
      <c r="AB249" s="118"/>
    </row>
    <row r="250" spans="1:28">
      <c r="A250" s="219" t="s">
        <v>451</v>
      </c>
      <c r="B250" s="220">
        <v>508</v>
      </c>
      <c r="C250" s="1184"/>
      <c r="D250" s="222">
        <v>5637</v>
      </c>
      <c r="E250" s="1192">
        <f>5636+1</f>
        <v>5637</v>
      </c>
      <c r="F250" s="1334">
        <f t="shared" si="114"/>
        <v>1</v>
      </c>
      <c r="G250" s="221"/>
      <c r="H250" s="222"/>
      <c r="I250" s="222"/>
      <c r="J250" s="211">
        <f t="shared" si="115"/>
        <v>6145</v>
      </c>
      <c r="K250" s="863"/>
      <c r="L250" s="219" t="s">
        <v>451</v>
      </c>
      <c r="M250" s="220"/>
      <c r="N250" s="1184"/>
      <c r="O250" s="222"/>
      <c r="P250" s="1192"/>
      <c r="Q250" s="1334" t="str">
        <f t="shared" si="116"/>
        <v>-</v>
      </c>
      <c r="R250" s="209"/>
      <c r="S250" s="222"/>
      <c r="T250" s="222"/>
      <c r="U250" s="211">
        <f t="shared" si="117"/>
        <v>0</v>
      </c>
      <c r="V250" s="191"/>
      <c r="W250" s="118"/>
      <c r="X250" s="118"/>
      <c r="Y250" s="118"/>
      <c r="Z250" s="118"/>
      <c r="AA250" s="118"/>
      <c r="AB250" s="118"/>
    </row>
    <row r="251" spans="1:28" ht="12.75" thickBot="1">
      <c r="A251" s="219" t="s">
        <v>452</v>
      </c>
      <c r="B251" s="220"/>
      <c r="C251" s="1184"/>
      <c r="D251" s="222"/>
      <c r="E251" s="1192"/>
      <c r="F251" s="1334" t="str">
        <f t="shared" si="114"/>
        <v>-</v>
      </c>
      <c r="G251" s="221"/>
      <c r="H251" s="222"/>
      <c r="I251" s="222"/>
      <c r="J251" s="211">
        <f t="shared" si="115"/>
        <v>0</v>
      </c>
      <c r="K251" s="863"/>
      <c r="L251" s="219" t="s">
        <v>452</v>
      </c>
      <c r="M251" s="220"/>
      <c r="N251" s="1184"/>
      <c r="O251" s="222"/>
      <c r="P251" s="1192"/>
      <c r="Q251" s="1334" t="str">
        <f t="shared" si="116"/>
        <v>-</v>
      </c>
      <c r="R251" s="221"/>
      <c r="S251" s="222"/>
      <c r="T251" s="222"/>
      <c r="U251" s="211">
        <f t="shared" si="117"/>
        <v>0</v>
      </c>
      <c r="V251" s="191"/>
      <c r="W251" s="118"/>
      <c r="X251" s="118"/>
      <c r="Y251" s="118"/>
      <c r="Z251" s="118"/>
      <c r="AA251" s="118"/>
      <c r="AB251" s="118"/>
    </row>
    <row r="252" spans="1:28" ht="12.75" thickBot="1">
      <c r="A252" s="190" t="s">
        <v>453</v>
      </c>
      <c r="B252" s="212">
        <f t="shared" ref="B252:J252" si="118">+B244+B245+B246+B247+B248+B249+B250+B251</f>
        <v>123062</v>
      </c>
      <c r="C252" s="1183">
        <f t="shared" si="118"/>
        <v>57079</v>
      </c>
      <c r="D252" s="212">
        <f>+D244+D245+D246+D247+D248+D249+D250+D251</f>
        <v>73411</v>
      </c>
      <c r="E252" s="1185">
        <f>+E244+E245+E246+E247+E248+E249+E250+E251</f>
        <v>73411</v>
      </c>
      <c r="F252" s="1333">
        <f t="shared" si="114"/>
        <v>1</v>
      </c>
      <c r="G252" s="214">
        <f t="shared" si="118"/>
        <v>61505</v>
      </c>
      <c r="H252" s="212">
        <f t="shared" si="118"/>
        <v>0</v>
      </c>
      <c r="I252" s="212">
        <f t="shared" si="118"/>
        <v>0</v>
      </c>
      <c r="J252" s="213">
        <f t="shared" si="118"/>
        <v>257978</v>
      </c>
      <c r="L252" s="190" t="s">
        <v>453</v>
      </c>
      <c r="M252" s="212">
        <f t="shared" ref="M252:U252" si="119">+M244+M245+M246+M247+M248+M249+M250+M251</f>
        <v>156905</v>
      </c>
      <c r="N252" s="1183">
        <f t="shared" si="119"/>
        <v>97922</v>
      </c>
      <c r="O252" s="212">
        <f>+O244+O245+O246+O247+O248+O249+O250+O251</f>
        <v>86827</v>
      </c>
      <c r="P252" s="1185">
        <f>+P244+P245+P246+P247+P248+P249+P250+P251</f>
        <v>86827</v>
      </c>
      <c r="Q252" s="1333">
        <f t="shared" si="116"/>
        <v>1</v>
      </c>
      <c r="R252" s="214">
        <f t="shared" si="119"/>
        <v>8326</v>
      </c>
      <c r="S252" s="212">
        <f t="shared" si="119"/>
        <v>0</v>
      </c>
      <c r="T252" s="212">
        <f t="shared" si="119"/>
        <v>0</v>
      </c>
      <c r="U252" s="213">
        <f t="shared" si="119"/>
        <v>252058</v>
      </c>
      <c r="V252" s="191"/>
      <c r="X252" s="863"/>
      <c r="AA252" s="863"/>
    </row>
    <row r="253" spans="1:28">
      <c r="A253" s="191"/>
      <c r="B253" s="191"/>
      <c r="C253" s="191"/>
      <c r="D253" s="191"/>
      <c r="E253" s="191"/>
      <c r="F253" s="191"/>
      <c r="G253" s="191"/>
      <c r="H253" s="191"/>
      <c r="I253" s="191"/>
      <c r="J253" s="191"/>
      <c r="K253" s="863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</row>
    <row r="255" spans="1:28" s="856" customFormat="1" ht="15.75">
      <c r="A255" s="189" t="s">
        <v>1365</v>
      </c>
      <c r="B255" s="1737" t="s">
        <v>1380</v>
      </c>
      <c r="C255" s="1737"/>
      <c r="D255" s="1737"/>
      <c r="E255" s="1737"/>
      <c r="F255" s="1737"/>
      <c r="G255" s="1737"/>
      <c r="H255" s="1737"/>
      <c r="I255" s="1737"/>
      <c r="J255" s="1737"/>
      <c r="K255" s="766"/>
      <c r="L255" s="189" t="s">
        <v>1366</v>
      </c>
      <c r="M255" s="1737" t="s">
        <v>1382</v>
      </c>
      <c r="N255" s="1737"/>
      <c r="O255" s="1737"/>
      <c r="P255" s="1737"/>
      <c r="Q255" s="1737"/>
      <c r="R255" s="1737"/>
      <c r="S255" s="1737"/>
      <c r="T255" s="1737"/>
      <c r="U255" s="1737"/>
      <c r="V255" s="1737"/>
    </row>
    <row r="256" spans="1:28" s="856" customFormat="1" ht="15.75" customHeight="1">
      <c r="A256" s="1796" t="s">
        <v>1381</v>
      </c>
      <c r="B256" s="1796"/>
      <c r="C256" s="1796"/>
      <c r="D256" s="1796"/>
      <c r="E256" s="1796"/>
      <c r="F256" s="1796"/>
      <c r="G256" s="1796"/>
      <c r="H256" s="1796"/>
      <c r="I256" s="1796"/>
      <c r="J256" s="1796"/>
      <c r="K256" s="766"/>
      <c r="L256" s="1796" t="s">
        <v>1383</v>
      </c>
      <c r="M256" s="1796"/>
      <c r="N256" s="1796"/>
      <c r="O256" s="1796"/>
      <c r="P256" s="1796"/>
      <c r="Q256" s="1796"/>
      <c r="R256" s="1796"/>
      <c r="S256" s="1796"/>
      <c r="T256" s="1796"/>
      <c r="U256" s="1796"/>
      <c r="V256" s="1738"/>
    </row>
    <row r="257" spans="1:28" s="856" customFormat="1" ht="15.75">
      <c r="A257" s="1795" t="s">
        <v>1105</v>
      </c>
      <c r="B257" s="1795"/>
      <c r="C257" s="1795"/>
      <c r="D257" s="1795"/>
      <c r="E257" s="1795"/>
      <c r="F257" s="1795"/>
      <c r="G257" s="1795"/>
      <c r="H257" s="1795"/>
      <c r="I257" s="1795"/>
      <c r="J257" s="1795"/>
      <c r="K257" s="766"/>
      <c r="L257" s="1795" t="s">
        <v>1105</v>
      </c>
      <c r="M257" s="1795"/>
      <c r="N257" s="1795"/>
      <c r="O257" s="1795"/>
      <c r="P257" s="1795"/>
      <c r="Q257" s="1795"/>
      <c r="R257" s="1795"/>
      <c r="S257" s="1795"/>
      <c r="T257" s="1795"/>
      <c r="U257" s="1795"/>
      <c r="V257" s="1739"/>
    </row>
    <row r="258" spans="1:28" s="859" customFormat="1" ht="12.75" thickBot="1">
      <c r="A258" s="858"/>
      <c r="B258" s="858"/>
      <c r="G258" s="858"/>
      <c r="H258" s="858"/>
      <c r="J258" s="234" t="s">
        <v>280</v>
      </c>
      <c r="K258" s="860"/>
      <c r="L258" s="858"/>
      <c r="M258" s="858"/>
      <c r="N258" s="858"/>
      <c r="O258" s="858"/>
      <c r="P258" s="858"/>
      <c r="Q258" s="858"/>
      <c r="R258" s="858"/>
      <c r="S258" s="858"/>
      <c r="U258" s="234" t="s">
        <v>280</v>
      </c>
      <c r="V258" s="846"/>
    </row>
    <row r="259" spans="1:28" s="862" customFormat="1" ht="36.75" thickBot="1">
      <c r="A259" s="388" t="s">
        <v>431</v>
      </c>
      <c r="B259" s="389" t="s">
        <v>1422</v>
      </c>
      <c r="C259" s="1055" t="s">
        <v>1540</v>
      </c>
      <c r="D259" s="6" t="s">
        <v>1541</v>
      </c>
      <c r="E259" s="6" t="s">
        <v>2654</v>
      </c>
      <c r="F259" s="1330" t="s">
        <v>1558</v>
      </c>
      <c r="G259" s="369" t="s">
        <v>460</v>
      </c>
      <c r="H259" s="370" t="s">
        <v>461</v>
      </c>
      <c r="I259" s="370" t="s">
        <v>1423</v>
      </c>
      <c r="J259" s="1741" t="s">
        <v>18</v>
      </c>
      <c r="K259" s="861"/>
      <c r="L259" s="388" t="s">
        <v>431</v>
      </c>
      <c r="M259" s="389" t="s">
        <v>1422</v>
      </c>
      <c r="N259" s="1055" t="s">
        <v>1540</v>
      </c>
      <c r="O259" s="6" t="s">
        <v>1541</v>
      </c>
      <c r="P259" s="6" t="s">
        <v>2654</v>
      </c>
      <c r="Q259" s="1330" t="s">
        <v>1558</v>
      </c>
      <c r="R259" s="369" t="s">
        <v>460</v>
      </c>
      <c r="S259" s="370" t="s">
        <v>461</v>
      </c>
      <c r="T259" s="370" t="s">
        <v>1423</v>
      </c>
      <c r="U259" s="1741" t="s">
        <v>18</v>
      </c>
      <c r="V259" s="847"/>
    </row>
    <row r="260" spans="1:28">
      <c r="A260" s="197" t="s">
        <v>432</v>
      </c>
      <c r="B260" s="198">
        <f t="shared" ref="B260:J260" si="120">+B277-B265-B264-B263-B262</f>
        <v>-205375</v>
      </c>
      <c r="C260" s="1180">
        <f t="shared" si="120"/>
        <v>6599</v>
      </c>
      <c r="D260" s="200">
        <f>+D277-D265-D264-D263-D262</f>
        <v>0</v>
      </c>
      <c r="E260" s="200">
        <f>+E277-E265-E264-E263-E262</f>
        <v>0</v>
      </c>
      <c r="F260" s="1331" t="str">
        <f t="shared" ref="F260:F266" si="121">IF(ISERROR(E260/D260),"-",E260/D260)</f>
        <v>-</v>
      </c>
      <c r="G260" s="199">
        <f t="shared" si="120"/>
        <v>205375</v>
      </c>
      <c r="H260" s="200">
        <f t="shared" si="120"/>
        <v>0</v>
      </c>
      <c r="I260" s="200">
        <f t="shared" si="120"/>
        <v>0</v>
      </c>
      <c r="J260" s="201">
        <f t="shared" si="120"/>
        <v>0</v>
      </c>
      <c r="K260" s="863"/>
      <c r="L260" s="197" t="s">
        <v>432</v>
      </c>
      <c r="M260" s="198">
        <f t="shared" ref="M260:U260" si="122">+M277-M265-M264-M263-M262</f>
        <v>-81210</v>
      </c>
      <c r="N260" s="1180">
        <f t="shared" si="122"/>
        <v>81210</v>
      </c>
      <c r="O260" s="200">
        <f>+O277-O265-O264-O263-O262</f>
        <v>83181</v>
      </c>
      <c r="P260" s="200">
        <f>+P277-P265-P264-P263-P262</f>
        <v>83181</v>
      </c>
      <c r="Q260" s="1331">
        <f t="shared" ref="Q260:Q266" si="123">IF(ISERROR(P260/O260),"-",P260/O260)</f>
        <v>1</v>
      </c>
      <c r="R260" s="199">
        <f t="shared" si="122"/>
        <v>0</v>
      </c>
      <c r="S260" s="200">
        <f t="shared" si="122"/>
        <v>0</v>
      </c>
      <c r="T260" s="200">
        <f t="shared" si="122"/>
        <v>0</v>
      </c>
      <c r="U260" s="201">
        <f t="shared" si="122"/>
        <v>1971</v>
      </c>
      <c r="V260" s="191"/>
    </row>
    <row r="261" spans="1:28">
      <c r="A261" s="202" t="s">
        <v>433</v>
      </c>
      <c r="B261" s="203"/>
      <c r="C261" s="1181"/>
      <c r="D261" s="205"/>
      <c r="E261" s="205"/>
      <c r="F261" s="1332" t="str">
        <f t="shared" si="121"/>
        <v>-</v>
      </c>
      <c r="G261" s="204"/>
      <c r="H261" s="205"/>
      <c r="I261" s="205"/>
      <c r="J261" s="206">
        <f>+B261+IF(D261&lt;=E261,E261,D261)+G261+H261+I261</f>
        <v>0</v>
      </c>
      <c r="K261" s="863"/>
      <c r="L261" s="202" t="s">
        <v>433</v>
      </c>
      <c r="M261" s="203"/>
      <c r="N261" s="1181"/>
      <c r="O261" s="205"/>
      <c r="P261" s="205"/>
      <c r="Q261" s="1332" t="str">
        <f t="shared" si="123"/>
        <v>-</v>
      </c>
      <c r="R261" s="204"/>
      <c r="S261" s="205"/>
      <c r="T261" s="205"/>
      <c r="U261" s="206">
        <f>+M261+IF(O261&lt;=P261,P261,O261)+R261+S261+T261</f>
        <v>0</v>
      </c>
      <c r="V261" s="848"/>
      <c r="W261" s="118"/>
      <c r="Z261" s="118"/>
    </row>
    <row r="262" spans="1:28">
      <c r="A262" s="207" t="s">
        <v>434</v>
      </c>
      <c r="B262" s="208">
        <v>209947</v>
      </c>
      <c r="C262" s="1182"/>
      <c r="D262" s="210"/>
      <c r="E262" s="210"/>
      <c r="F262" s="1332" t="str">
        <f t="shared" si="121"/>
        <v>-</v>
      </c>
      <c r="G262" s="209"/>
      <c r="H262" s="210"/>
      <c r="I262" s="210"/>
      <c r="J262" s="211">
        <f>+B262+IF(D262&lt;=E262,E262,D262)+G262+H262+I262</f>
        <v>209947</v>
      </c>
      <c r="K262" s="863"/>
      <c r="L262" s="207" t="s">
        <v>434</v>
      </c>
      <c r="M262" s="208">
        <v>84548</v>
      </c>
      <c r="N262" s="1182"/>
      <c r="O262" s="210"/>
      <c r="P262" s="210"/>
      <c r="Q262" s="1332" t="str">
        <f t="shared" si="123"/>
        <v>-</v>
      </c>
      <c r="R262" s="209"/>
      <c r="S262" s="210"/>
      <c r="T262" s="210"/>
      <c r="U262" s="211">
        <f>+M262+IF(O262&lt;=P262,P262,O262)+R262+S262+T262</f>
        <v>84548</v>
      </c>
      <c r="V262" s="191"/>
      <c r="W262" s="118"/>
      <c r="X262" s="118"/>
      <c r="Y262" s="118"/>
      <c r="Z262" s="118"/>
      <c r="AA262" s="118"/>
      <c r="AB262" s="118"/>
    </row>
    <row r="263" spans="1:28">
      <c r="A263" s="207" t="s">
        <v>435</v>
      </c>
      <c r="B263" s="208"/>
      <c r="C263" s="1182"/>
      <c r="D263" s="210"/>
      <c r="E263" s="210"/>
      <c r="F263" s="1332" t="str">
        <f t="shared" si="121"/>
        <v>-</v>
      </c>
      <c r="G263" s="209"/>
      <c r="H263" s="210"/>
      <c r="I263" s="210"/>
      <c r="J263" s="211">
        <f>+B263+IF(D263&lt;=E263,E263,D263)+G263+H263+I263</f>
        <v>0</v>
      </c>
      <c r="K263" s="863"/>
      <c r="L263" s="207" t="s">
        <v>435</v>
      </c>
      <c r="M263" s="208"/>
      <c r="N263" s="1182"/>
      <c r="O263" s="210"/>
      <c r="P263" s="210"/>
      <c r="Q263" s="1332" t="str">
        <f t="shared" si="123"/>
        <v>-</v>
      </c>
      <c r="R263" s="209"/>
      <c r="S263" s="210"/>
      <c r="T263" s="210"/>
      <c r="U263" s="211">
        <f>+M263+IF(O263&lt;=P263,P263,O263)+R263+S263+T263</f>
        <v>0</v>
      </c>
      <c r="V263" s="191"/>
      <c r="W263" s="118"/>
      <c r="Z263" s="118"/>
    </row>
    <row r="264" spans="1:28">
      <c r="A264" s="207" t="s">
        <v>436</v>
      </c>
      <c r="B264" s="208"/>
      <c r="C264" s="1182"/>
      <c r="D264" s="210"/>
      <c r="E264" s="210"/>
      <c r="F264" s="1332" t="str">
        <f t="shared" si="121"/>
        <v>-</v>
      </c>
      <c r="G264" s="209"/>
      <c r="H264" s="210"/>
      <c r="I264" s="210"/>
      <c r="J264" s="211">
        <f>+B264+IF(D264&lt;=E264,E264,D264)+G264+H264+I264</f>
        <v>0</v>
      </c>
      <c r="K264" s="863"/>
      <c r="L264" s="207" t="s">
        <v>436</v>
      </c>
      <c r="M264" s="208"/>
      <c r="N264" s="1182"/>
      <c r="O264" s="210"/>
      <c r="P264" s="210"/>
      <c r="Q264" s="1332" t="str">
        <f t="shared" si="123"/>
        <v>-</v>
      </c>
      <c r="R264" s="209"/>
      <c r="S264" s="210"/>
      <c r="T264" s="210"/>
      <c r="U264" s="211">
        <f>+M264+IF(O264&lt;=P264,P264,O264)+R264+S264+T264</f>
        <v>0</v>
      </c>
      <c r="V264" s="191"/>
      <c r="W264" s="118"/>
      <c r="Z264" s="118"/>
    </row>
    <row r="265" spans="1:28" ht="12.75" thickBot="1">
      <c r="A265" s="207" t="s">
        <v>437</v>
      </c>
      <c r="B265" s="208"/>
      <c r="C265" s="1182"/>
      <c r="D265" s="210"/>
      <c r="E265" s="210"/>
      <c r="F265" s="1332" t="str">
        <f t="shared" si="121"/>
        <v>-</v>
      </c>
      <c r="G265" s="209"/>
      <c r="H265" s="210"/>
      <c r="I265" s="210"/>
      <c r="J265" s="211">
        <f>+B265+IF(D265&lt;=E265,E265,D265)+G265+H265+I265</f>
        <v>0</v>
      </c>
      <c r="K265" s="863"/>
      <c r="L265" s="207" t="s">
        <v>437</v>
      </c>
      <c r="M265" s="208"/>
      <c r="N265" s="1182"/>
      <c r="O265" s="210"/>
      <c r="P265" s="210"/>
      <c r="Q265" s="1332" t="str">
        <f t="shared" si="123"/>
        <v>-</v>
      </c>
      <c r="R265" s="209"/>
      <c r="S265" s="210"/>
      <c r="T265" s="210"/>
      <c r="U265" s="211">
        <f>+M265+IF(O265&lt;=P265,P265,O265)+R265+S265+T265</f>
        <v>0</v>
      </c>
      <c r="V265" s="191"/>
      <c r="W265" s="118"/>
      <c r="Z265" s="118"/>
    </row>
    <row r="266" spans="1:28" ht="12.75" thickBot="1">
      <c r="A266" s="190" t="s">
        <v>438</v>
      </c>
      <c r="B266" s="212">
        <f t="shared" ref="B266:J266" si="124">+B260+B262+B263+B264+B265</f>
        <v>4572</v>
      </c>
      <c r="C266" s="1183">
        <f t="shared" si="124"/>
        <v>6599</v>
      </c>
      <c r="D266" s="212">
        <f>+D260+D262+D263+D264+D265</f>
        <v>0</v>
      </c>
      <c r="E266" s="212">
        <f>+E260+E262+E263+E264+E265</f>
        <v>0</v>
      </c>
      <c r="F266" s="1333" t="str">
        <f t="shared" si="121"/>
        <v>-</v>
      </c>
      <c r="G266" s="214">
        <f t="shared" si="124"/>
        <v>205375</v>
      </c>
      <c r="H266" s="212">
        <f t="shared" si="124"/>
        <v>0</v>
      </c>
      <c r="I266" s="212">
        <f t="shared" si="124"/>
        <v>0</v>
      </c>
      <c r="J266" s="213">
        <f t="shared" si="124"/>
        <v>209947</v>
      </c>
      <c r="K266" s="863"/>
      <c r="L266" s="190" t="s">
        <v>438</v>
      </c>
      <c r="M266" s="212">
        <f t="shared" ref="M266:U266" si="125">+M260+M262+M263+M264+M265</f>
        <v>3338</v>
      </c>
      <c r="N266" s="1183">
        <f t="shared" si="125"/>
        <v>81210</v>
      </c>
      <c r="O266" s="212">
        <f>+O260+O262+O263+O264+O265</f>
        <v>83181</v>
      </c>
      <c r="P266" s="212">
        <f>+P260+P262+P263+P264+P265</f>
        <v>83181</v>
      </c>
      <c r="Q266" s="1333">
        <f t="shared" si="123"/>
        <v>1</v>
      </c>
      <c r="R266" s="214">
        <f t="shared" si="125"/>
        <v>0</v>
      </c>
      <c r="S266" s="212">
        <f t="shared" si="125"/>
        <v>0</v>
      </c>
      <c r="T266" s="212">
        <f t="shared" si="125"/>
        <v>0</v>
      </c>
      <c r="U266" s="213">
        <f t="shared" si="125"/>
        <v>86519</v>
      </c>
      <c r="V266" s="191"/>
    </row>
    <row r="267" spans="1:28" ht="12.75" thickBot="1">
      <c r="A267" s="215"/>
      <c r="B267" s="215"/>
      <c r="C267" s="215"/>
      <c r="D267" s="215"/>
      <c r="E267" s="215"/>
      <c r="F267" s="215"/>
      <c r="G267" s="215"/>
      <c r="H267" s="215"/>
      <c r="I267" s="215"/>
      <c r="J267" s="215"/>
      <c r="K267" s="863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</row>
    <row r="268" spans="1:28" s="862" customFormat="1" ht="36.75" thickBot="1">
      <c r="A268" s="388" t="s">
        <v>439</v>
      </c>
      <c r="B268" s="389" t="s">
        <v>1422</v>
      </c>
      <c r="C268" s="1055" t="s">
        <v>1540</v>
      </c>
      <c r="D268" s="6" t="s">
        <v>1541</v>
      </c>
      <c r="E268" s="6" t="s">
        <v>2654</v>
      </c>
      <c r="F268" s="1330" t="s">
        <v>1558</v>
      </c>
      <c r="G268" s="369" t="s">
        <v>460</v>
      </c>
      <c r="H268" s="370" t="s">
        <v>461</v>
      </c>
      <c r="I268" s="370" t="s">
        <v>1423</v>
      </c>
      <c r="J268" s="1741" t="s">
        <v>18</v>
      </c>
      <c r="K268" s="865"/>
      <c r="L268" s="388" t="s">
        <v>439</v>
      </c>
      <c r="M268" s="389" t="s">
        <v>1422</v>
      </c>
      <c r="N268" s="1055" t="s">
        <v>1540</v>
      </c>
      <c r="O268" s="6" t="s">
        <v>1541</v>
      </c>
      <c r="P268" s="6" t="s">
        <v>2654</v>
      </c>
      <c r="Q268" s="1330" t="s">
        <v>1558</v>
      </c>
      <c r="R268" s="369" t="s">
        <v>460</v>
      </c>
      <c r="S268" s="370" t="s">
        <v>461</v>
      </c>
      <c r="T268" s="370" t="s">
        <v>1423</v>
      </c>
      <c r="U268" s="1741" t="s">
        <v>18</v>
      </c>
      <c r="V268" s="847"/>
    </row>
    <row r="269" spans="1:28">
      <c r="A269" s="197" t="s">
        <v>445</v>
      </c>
      <c r="B269" s="198"/>
      <c r="C269" s="1180"/>
      <c r="D269" s="200"/>
      <c r="E269" s="1190"/>
      <c r="F269" s="1331" t="str">
        <f t="shared" ref="F269:F277" si="126">IF(ISERROR(E269/D269),"-",E269/D269)</f>
        <v>-</v>
      </c>
      <c r="G269" s="199"/>
      <c r="H269" s="200"/>
      <c r="I269" s="200"/>
      <c r="J269" s="201">
        <f t="shared" ref="J269:J276" si="127">+B269+IF(D269&lt;=E269,E269,D269)+G269+H269+I269</f>
        <v>0</v>
      </c>
      <c r="K269" s="863"/>
      <c r="L269" s="197" t="s">
        <v>445</v>
      </c>
      <c r="M269" s="198"/>
      <c r="N269" s="1180"/>
      <c r="O269" s="200"/>
      <c r="P269" s="1190"/>
      <c r="Q269" s="1331" t="str">
        <f t="shared" ref="Q269:Q277" si="128">IF(ISERROR(P269/O269),"-",P269/O269)</f>
        <v>-</v>
      </c>
      <c r="R269" s="199"/>
      <c r="S269" s="200"/>
      <c r="T269" s="200"/>
      <c r="U269" s="201">
        <f t="shared" ref="U269:U276" si="129">+M269+IF(O269&lt;=P269,P269,O269)+R269+S269+T269</f>
        <v>0</v>
      </c>
      <c r="V269" s="191"/>
      <c r="W269" s="118"/>
      <c r="X269" s="118"/>
      <c r="Y269" s="118"/>
      <c r="Z269" s="118"/>
      <c r="AA269" s="118"/>
      <c r="AB269" s="118"/>
    </row>
    <row r="270" spans="1:28">
      <c r="A270" s="216" t="s">
        <v>446</v>
      </c>
      <c r="B270" s="208"/>
      <c r="C270" s="1182"/>
      <c r="D270" s="210"/>
      <c r="E270" s="1191"/>
      <c r="F270" s="1332" t="str">
        <f t="shared" si="126"/>
        <v>-</v>
      </c>
      <c r="G270" s="209"/>
      <c r="H270" s="210"/>
      <c r="I270" s="210"/>
      <c r="J270" s="211">
        <f t="shared" si="127"/>
        <v>0</v>
      </c>
      <c r="K270" s="863"/>
      <c r="L270" s="216" t="s">
        <v>446</v>
      </c>
      <c r="M270" s="208"/>
      <c r="N270" s="1182"/>
      <c r="O270" s="210"/>
      <c r="P270" s="1191"/>
      <c r="Q270" s="1332" t="str">
        <f t="shared" si="128"/>
        <v>-</v>
      </c>
      <c r="R270" s="209"/>
      <c r="S270" s="210"/>
      <c r="T270" s="210"/>
      <c r="U270" s="211">
        <f t="shared" si="129"/>
        <v>0</v>
      </c>
      <c r="V270" s="191"/>
      <c r="W270" s="118"/>
      <c r="X270" s="118"/>
      <c r="Y270" s="118"/>
      <c r="Z270" s="118"/>
      <c r="AA270" s="118"/>
      <c r="AB270" s="118"/>
    </row>
    <row r="271" spans="1:28">
      <c r="A271" s="207" t="s">
        <v>447</v>
      </c>
      <c r="B271" s="208">
        <v>4572</v>
      </c>
      <c r="C271" s="1182"/>
      <c r="D271" s="210"/>
      <c r="E271" s="1191"/>
      <c r="F271" s="1332" t="str">
        <f t="shared" si="126"/>
        <v>-</v>
      </c>
      <c r="G271" s="209"/>
      <c r="H271" s="210"/>
      <c r="I271" s="210"/>
      <c r="J271" s="211">
        <f t="shared" si="127"/>
        <v>4572</v>
      </c>
      <c r="K271" s="863"/>
      <c r="L271" s="207" t="s">
        <v>447</v>
      </c>
      <c r="M271" s="208">
        <v>3338</v>
      </c>
      <c r="N271" s="1182"/>
      <c r="O271" s="210">
        <v>1378</v>
      </c>
      <c r="P271" s="1191">
        <v>1378</v>
      </c>
      <c r="Q271" s="1332">
        <f t="shared" si="128"/>
        <v>1</v>
      </c>
      <c r="R271" s="209"/>
      <c r="S271" s="210"/>
      <c r="T271" s="210"/>
      <c r="U271" s="211">
        <f t="shared" si="129"/>
        <v>4716</v>
      </c>
      <c r="V271" s="191"/>
      <c r="W271" s="118"/>
      <c r="X271" s="118"/>
      <c r="Y271" s="118"/>
      <c r="Z271" s="118"/>
      <c r="AA271" s="118"/>
      <c r="AB271" s="118"/>
    </row>
    <row r="272" spans="1:28">
      <c r="A272" s="207" t="s">
        <v>448</v>
      </c>
      <c r="B272" s="208"/>
      <c r="C272" s="1182"/>
      <c r="D272" s="210"/>
      <c r="E272" s="1191"/>
      <c r="F272" s="1332" t="str">
        <f t="shared" si="126"/>
        <v>-</v>
      </c>
      <c r="G272" s="209"/>
      <c r="H272" s="210"/>
      <c r="I272" s="210"/>
      <c r="J272" s="211">
        <f t="shared" si="127"/>
        <v>0</v>
      </c>
      <c r="K272" s="863"/>
      <c r="L272" s="207" t="s">
        <v>448</v>
      </c>
      <c r="M272" s="208"/>
      <c r="N272" s="1182"/>
      <c r="O272" s="210"/>
      <c r="P272" s="1191"/>
      <c r="Q272" s="1332" t="str">
        <f t="shared" si="128"/>
        <v>-</v>
      </c>
      <c r="R272" s="209"/>
      <c r="S272" s="210"/>
      <c r="T272" s="210"/>
      <c r="U272" s="211">
        <f t="shared" si="129"/>
        <v>0</v>
      </c>
      <c r="V272" s="191"/>
      <c r="W272" s="118"/>
      <c r="Y272" s="118"/>
      <c r="Z272" s="118"/>
      <c r="AB272" s="118"/>
    </row>
    <row r="273" spans="1:28">
      <c r="A273" s="217" t="s">
        <v>449</v>
      </c>
      <c r="B273" s="218"/>
      <c r="C273" s="1182">
        <v>6599</v>
      </c>
      <c r="D273" s="210">
        <v>0</v>
      </c>
      <c r="E273" s="1191"/>
      <c r="F273" s="1332" t="str">
        <f t="shared" si="126"/>
        <v>-</v>
      </c>
      <c r="G273" s="209">
        <v>205375</v>
      </c>
      <c r="H273" s="210"/>
      <c r="I273" s="210"/>
      <c r="J273" s="211">
        <f t="shared" si="127"/>
        <v>205375</v>
      </c>
      <c r="K273" s="863"/>
      <c r="L273" s="217" t="s">
        <v>449</v>
      </c>
      <c r="M273" s="218"/>
      <c r="N273" s="1182">
        <v>81210</v>
      </c>
      <c r="O273" s="210">
        <v>0</v>
      </c>
      <c r="P273" s="1191"/>
      <c r="Q273" s="1332" t="str">
        <f t="shared" si="128"/>
        <v>-</v>
      </c>
      <c r="R273" s="209"/>
      <c r="S273" s="210"/>
      <c r="T273" s="210"/>
      <c r="U273" s="211">
        <f t="shared" si="129"/>
        <v>0</v>
      </c>
      <c r="V273" s="191"/>
      <c r="W273" s="118"/>
      <c r="X273" s="118"/>
      <c r="Y273" s="118"/>
      <c r="Z273" s="118"/>
      <c r="AA273" s="118"/>
      <c r="AB273" s="118"/>
    </row>
    <row r="274" spans="1:28">
      <c r="A274" s="217" t="s">
        <v>450</v>
      </c>
      <c r="B274" s="218"/>
      <c r="C274" s="1182"/>
      <c r="D274" s="210"/>
      <c r="E274" s="1191"/>
      <c r="F274" s="1332" t="str">
        <f t="shared" si="126"/>
        <v>-</v>
      </c>
      <c r="G274" s="209"/>
      <c r="H274" s="210"/>
      <c r="I274" s="210"/>
      <c r="J274" s="211">
        <f t="shared" si="127"/>
        <v>0</v>
      </c>
      <c r="K274" s="863"/>
      <c r="L274" s="217" t="s">
        <v>450</v>
      </c>
      <c r="M274" s="218"/>
      <c r="N274" s="1182"/>
      <c r="O274" s="210"/>
      <c r="P274" s="1191"/>
      <c r="Q274" s="1332" t="str">
        <f t="shared" si="128"/>
        <v>-</v>
      </c>
      <c r="R274" s="209"/>
      <c r="S274" s="210"/>
      <c r="T274" s="210"/>
      <c r="U274" s="211">
        <f t="shared" si="129"/>
        <v>0</v>
      </c>
      <c r="V274" s="191"/>
      <c r="W274" s="118"/>
      <c r="X274" s="118"/>
      <c r="Y274" s="118"/>
      <c r="Z274" s="118"/>
      <c r="AA274" s="118"/>
      <c r="AB274" s="118"/>
    </row>
    <row r="275" spans="1:28">
      <c r="A275" s="219" t="s">
        <v>451</v>
      </c>
      <c r="B275" s="220"/>
      <c r="C275" s="1184"/>
      <c r="D275" s="222"/>
      <c r="E275" s="1192"/>
      <c r="F275" s="1334" t="str">
        <f t="shared" si="126"/>
        <v>-</v>
      </c>
      <c r="G275" s="221"/>
      <c r="H275" s="222"/>
      <c r="I275" s="222"/>
      <c r="J275" s="211">
        <f t="shared" si="127"/>
        <v>0</v>
      </c>
      <c r="K275" s="863"/>
      <c r="L275" s="219" t="s">
        <v>451</v>
      </c>
      <c r="M275" s="220"/>
      <c r="N275" s="1184"/>
      <c r="O275" s="222">
        <v>81803</v>
      </c>
      <c r="P275" s="1192">
        <v>81803</v>
      </c>
      <c r="Q275" s="1334">
        <f t="shared" si="128"/>
        <v>1</v>
      </c>
      <c r="R275" s="209"/>
      <c r="S275" s="222"/>
      <c r="T275" s="222"/>
      <c r="U275" s="211">
        <f t="shared" si="129"/>
        <v>81803</v>
      </c>
      <c r="V275" s="191"/>
      <c r="W275" s="118"/>
      <c r="X275" s="118"/>
      <c r="Y275" s="118"/>
      <c r="Z275" s="118"/>
      <c r="AA275" s="118"/>
      <c r="AB275" s="118"/>
    </row>
    <row r="276" spans="1:28" ht="12.75" thickBot="1">
      <c r="A276" s="219" t="s">
        <v>452</v>
      </c>
      <c r="B276" s="220"/>
      <c r="C276" s="1184"/>
      <c r="D276" s="222"/>
      <c r="E276" s="1192"/>
      <c r="F276" s="1334" t="str">
        <f t="shared" si="126"/>
        <v>-</v>
      </c>
      <c r="G276" s="221"/>
      <c r="H276" s="222"/>
      <c r="I276" s="222"/>
      <c r="J276" s="211">
        <f t="shared" si="127"/>
        <v>0</v>
      </c>
      <c r="K276" s="863"/>
      <c r="L276" s="219" t="s">
        <v>452</v>
      </c>
      <c r="M276" s="220"/>
      <c r="N276" s="1184"/>
      <c r="O276" s="222"/>
      <c r="P276" s="1192"/>
      <c r="Q276" s="1334" t="str">
        <f t="shared" si="128"/>
        <v>-</v>
      </c>
      <c r="R276" s="221"/>
      <c r="S276" s="222"/>
      <c r="T276" s="222"/>
      <c r="U276" s="211">
        <f t="shared" si="129"/>
        <v>0</v>
      </c>
      <c r="V276" s="191"/>
      <c r="W276" s="118"/>
      <c r="X276" s="118"/>
      <c r="Y276" s="118"/>
      <c r="Z276" s="118"/>
      <c r="AA276" s="118"/>
      <c r="AB276" s="118"/>
    </row>
    <row r="277" spans="1:28" ht="12.75" thickBot="1">
      <c r="A277" s="190" t="s">
        <v>453</v>
      </c>
      <c r="B277" s="212">
        <f t="shared" ref="B277:J277" si="130">+B269+B270+B271+B272+B273+B274+B275+B276</f>
        <v>4572</v>
      </c>
      <c r="C277" s="1183">
        <f t="shared" si="130"/>
        <v>6599</v>
      </c>
      <c r="D277" s="212">
        <f>+D269+D270+D271+D272+D273+D274+D275+D276</f>
        <v>0</v>
      </c>
      <c r="E277" s="1185">
        <f>+E269+E270+E271+E272+E273+E274+E275+E276</f>
        <v>0</v>
      </c>
      <c r="F277" s="1333" t="str">
        <f t="shared" si="126"/>
        <v>-</v>
      </c>
      <c r="G277" s="214">
        <f t="shared" si="130"/>
        <v>205375</v>
      </c>
      <c r="H277" s="212">
        <f t="shared" si="130"/>
        <v>0</v>
      </c>
      <c r="I277" s="212">
        <f t="shared" si="130"/>
        <v>0</v>
      </c>
      <c r="J277" s="213">
        <f t="shared" si="130"/>
        <v>209947</v>
      </c>
      <c r="L277" s="190" t="s">
        <v>453</v>
      </c>
      <c r="M277" s="212">
        <f t="shared" ref="M277:U277" si="131">+M269+M270+M271+M272+M273+M274+M275+M276</f>
        <v>3338</v>
      </c>
      <c r="N277" s="1183">
        <f t="shared" si="131"/>
        <v>81210</v>
      </c>
      <c r="O277" s="212">
        <f>+O269+O270+O271+O272+O273+O274+O275+O276</f>
        <v>83181</v>
      </c>
      <c r="P277" s="1185">
        <f>+P269+P270+P271+P272+P273+P274+P275+P276</f>
        <v>83181</v>
      </c>
      <c r="Q277" s="1333">
        <f t="shared" si="128"/>
        <v>1</v>
      </c>
      <c r="R277" s="214">
        <f t="shared" si="131"/>
        <v>0</v>
      </c>
      <c r="S277" s="212">
        <f t="shared" si="131"/>
        <v>0</v>
      </c>
      <c r="T277" s="212">
        <f t="shared" si="131"/>
        <v>0</v>
      </c>
      <c r="U277" s="213">
        <f t="shared" si="131"/>
        <v>86519</v>
      </c>
      <c r="V277" s="191"/>
      <c r="X277" s="863"/>
      <c r="AA277" s="863"/>
    </row>
    <row r="278" spans="1:28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863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</row>
    <row r="280" spans="1:28" s="856" customFormat="1" ht="15.75">
      <c r="A280" s="189" t="s">
        <v>1367</v>
      </c>
      <c r="B280" s="1737" t="s">
        <v>1384</v>
      </c>
      <c r="C280" s="1737"/>
      <c r="D280" s="1737"/>
      <c r="E280" s="1737"/>
      <c r="F280" s="1737"/>
      <c r="G280" s="1737"/>
      <c r="H280" s="1737"/>
      <c r="I280" s="1737"/>
      <c r="J280" s="1737"/>
      <c r="K280" s="766"/>
      <c r="L280" s="189" t="s">
        <v>1368</v>
      </c>
      <c r="M280" s="1737" t="s">
        <v>1386</v>
      </c>
      <c r="N280" s="1737"/>
      <c r="O280" s="1737"/>
      <c r="P280" s="1737"/>
      <c r="Q280" s="1737"/>
      <c r="R280" s="1737"/>
      <c r="S280" s="1737"/>
      <c r="T280" s="1737"/>
      <c r="U280" s="1737"/>
      <c r="V280" s="1737"/>
    </row>
    <row r="281" spans="1:28" s="856" customFormat="1" ht="15.75" customHeight="1">
      <c r="A281" s="1796" t="s">
        <v>1385</v>
      </c>
      <c r="B281" s="1796"/>
      <c r="C281" s="1796"/>
      <c r="D281" s="1796"/>
      <c r="E281" s="1796"/>
      <c r="F281" s="1796"/>
      <c r="G281" s="1796"/>
      <c r="H281" s="1796"/>
      <c r="I281" s="1796"/>
      <c r="J281" s="1796"/>
      <c r="K281" s="766"/>
      <c r="L281" s="1796" t="s">
        <v>1387</v>
      </c>
      <c r="M281" s="1796"/>
      <c r="N281" s="1796"/>
      <c r="O281" s="1796"/>
      <c r="P281" s="1796"/>
      <c r="Q281" s="1796"/>
      <c r="R281" s="1796"/>
      <c r="S281" s="1796"/>
      <c r="T281" s="1796"/>
      <c r="U281" s="1796"/>
      <c r="V281" s="1738"/>
    </row>
    <row r="282" spans="1:28" s="856" customFormat="1" ht="15.75">
      <c r="A282" s="1795" t="s">
        <v>1105</v>
      </c>
      <c r="B282" s="1795"/>
      <c r="C282" s="1795"/>
      <c r="D282" s="1795"/>
      <c r="E282" s="1795"/>
      <c r="F282" s="1795"/>
      <c r="G282" s="1795"/>
      <c r="H282" s="1795"/>
      <c r="I282" s="1795"/>
      <c r="J282" s="1795"/>
      <c r="K282" s="766"/>
      <c r="L282" s="1795" t="s">
        <v>1105</v>
      </c>
      <c r="M282" s="1795"/>
      <c r="N282" s="1795"/>
      <c r="O282" s="1795"/>
      <c r="P282" s="1795"/>
      <c r="Q282" s="1795"/>
      <c r="R282" s="1795"/>
      <c r="S282" s="1795"/>
      <c r="T282" s="1795"/>
      <c r="U282" s="1795"/>
      <c r="V282" s="1739"/>
    </row>
    <row r="283" spans="1:28" s="859" customFormat="1" ht="12.75" thickBot="1">
      <c r="A283" s="858"/>
      <c r="B283" s="858"/>
      <c r="G283" s="858"/>
      <c r="H283" s="858"/>
      <c r="J283" s="234" t="s">
        <v>280</v>
      </c>
      <c r="K283" s="860"/>
      <c r="L283" s="858"/>
      <c r="M283" s="858"/>
      <c r="N283" s="858"/>
      <c r="O283" s="858"/>
      <c r="P283" s="858"/>
      <c r="Q283" s="858"/>
      <c r="R283" s="858"/>
      <c r="S283" s="858"/>
      <c r="U283" s="234" t="s">
        <v>280</v>
      </c>
      <c r="V283" s="846"/>
    </row>
    <row r="284" spans="1:28" s="862" customFormat="1" ht="36.75" thickBot="1">
      <c r="A284" s="388" t="s">
        <v>431</v>
      </c>
      <c r="B284" s="389" t="s">
        <v>1422</v>
      </c>
      <c r="C284" s="1055" t="s">
        <v>1540</v>
      </c>
      <c r="D284" s="6" t="s">
        <v>1541</v>
      </c>
      <c r="E284" s="6" t="s">
        <v>2654</v>
      </c>
      <c r="F284" s="1330" t="s">
        <v>1558</v>
      </c>
      <c r="G284" s="369" t="s">
        <v>460</v>
      </c>
      <c r="H284" s="370" t="s">
        <v>461</v>
      </c>
      <c r="I284" s="370" t="s">
        <v>1423</v>
      </c>
      <c r="J284" s="1741" t="s">
        <v>18</v>
      </c>
      <c r="K284" s="861"/>
      <c r="L284" s="388" t="s">
        <v>431</v>
      </c>
      <c r="M284" s="389" t="s">
        <v>1422</v>
      </c>
      <c r="N284" s="1055" t="s">
        <v>1540</v>
      </c>
      <c r="O284" s="6" t="s">
        <v>1541</v>
      </c>
      <c r="P284" s="6" t="s">
        <v>2654</v>
      </c>
      <c r="Q284" s="1330" t="s">
        <v>1558</v>
      </c>
      <c r="R284" s="369" t="s">
        <v>460</v>
      </c>
      <c r="S284" s="370" t="s">
        <v>461</v>
      </c>
      <c r="T284" s="370" t="s">
        <v>1423</v>
      </c>
      <c r="U284" s="1741" t="s">
        <v>18</v>
      </c>
      <c r="V284" s="847"/>
    </row>
    <row r="285" spans="1:28">
      <c r="A285" s="197" t="s">
        <v>432</v>
      </c>
      <c r="B285" s="198">
        <f t="shared" ref="B285:J285" si="132">+B302-B290-B289-B288-B287</f>
        <v>-513982</v>
      </c>
      <c r="C285" s="1180">
        <f t="shared" si="132"/>
        <v>514107</v>
      </c>
      <c r="D285" s="200">
        <f>+D302-D290-D289-D288-D287</f>
        <v>80</v>
      </c>
      <c r="E285" s="200">
        <f>+E302-E290-E289-E288-E287</f>
        <v>80</v>
      </c>
      <c r="F285" s="1331">
        <f t="shared" ref="F285:F291" si="133">IF(ISERROR(E285/D285),"-",E285/D285)</f>
        <v>1</v>
      </c>
      <c r="G285" s="199">
        <f t="shared" si="132"/>
        <v>513902</v>
      </c>
      <c r="H285" s="200">
        <f t="shared" si="132"/>
        <v>0</v>
      </c>
      <c r="I285" s="200">
        <f t="shared" si="132"/>
        <v>0</v>
      </c>
      <c r="J285" s="201">
        <f t="shared" si="132"/>
        <v>0</v>
      </c>
      <c r="K285" s="863"/>
      <c r="L285" s="197" t="s">
        <v>432</v>
      </c>
      <c r="M285" s="198">
        <f t="shared" ref="M285:U285" si="134">+M302-M290-M289-M288-M287</f>
        <v>-28285</v>
      </c>
      <c r="N285" s="1180">
        <f t="shared" si="134"/>
        <v>25745</v>
      </c>
      <c r="O285" s="200">
        <f>+O302-O290-O289-O288-O287</f>
        <v>553</v>
      </c>
      <c r="P285" s="200">
        <f>+P302-P290-P289-P288-P287</f>
        <v>553</v>
      </c>
      <c r="Q285" s="1331">
        <f t="shared" ref="Q285:Q291" si="135">IF(ISERROR(P285/O285),"-",P285/O285)</f>
        <v>1</v>
      </c>
      <c r="R285" s="199">
        <f t="shared" si="134"/>
        <v>27732</v>
      </c>
      <c r="S285" s="200">
        <f t="shared" si="134"/>
        <v>0</v>
      </c>
      <c r="T285" s="200">
        <f t="shared" si="134"/>
        <v>0</v>
      </c>
      <c r="U285" s="201">
        <f t="shared" si="134"/>
        <v>0</v>
      </c>
      <c r="V285" s="191"/>
    </row>
    <row r="286" spans="1:28">
      <c r="A286" s="202" t="s">
        <v>433</v>
      </c>
      <c r="B286" s="203"/>
      <c r="C286" s="1181"/>
      <c r="D286" s="205"/>
      <c r="E286" s="205"/>
      <c r="F286" s="1332" t="str">
        <f t="shared" si="133"/>
        <v>-</v>
      </c>
      <c r="G286" s="204"/>
      <c r="H286" s="205"/>
      <c r="I286" s="205"/>
      <c r="J286" s="206">
        <f>+B286+IF(D286&lt;=E286,E286,D286)+G286+H286+I286</f>
        <v>0</v>
      </c>
      <c r="K286" s="863"/>
      <c r="L286" s="202" t="s">
        <v>433</v>
      </c>
      <c r="M286" s="203"/>
      <c r="N286" s="1181"/>
      <c r="O286" s="205"/>
      <c r="P286" s="205"/>
      <c r="Q286" s="1332" t="str">
        <f t="shared" si="135"/>
        <v>-</v>
      </c>
      <c r="R286" s="204"/>
      <c r="S286" s="205"/>
      <c r="T286" s="205"/>
      <c r="U286" s="206">
        <f>+M286+IF(O286&lt;=P286,P286,O286)+R286+S286+T286</f>
        <v>0</v>
      </c>
      <c r="V286" s="848"/>
      <c r="W286" s="118"/>
      <c r="Z286" s="118"/>
    </row>
    <row r="287" spans="1:28">
      <c r="A287" s="207" t="s">
        <v>434</v>
      </c>
      <c r="B287" s="208">
        <v>530000</v>
      </c>
      <c r="C287" s="1182"/>
      <c r="D287" s="210"/>
      <c r="E287" s="210"/>
      <c r="F287" s="1332" t="str">
        <f t="shared" si="133"/>
        <v>-</v>
      </c>
      <c r="G287" s="209"/>
      <c r="H287" s="210"/>
      <c r="I287" s="210"/>
      <c r="J287" s="211">
        <f>+B287+IF(D287&lt;=E287,E287,D287)+G287+H287+I287</f>
        <v>530000</v>
      </c>
      <c r="K287" s="863"/>
      <c r="L287" s="207" t="s">
        <v>434</v>
      </c>
      <c r="M287" s="208">
        <v>28285</v>
      </c>
      <c r="N287" s="1182"/>
      <c r="O287" s="210"/>
      <c r="P287" s="210"/>
      <c r="Q287" s="1332" t="str">
        <f t="shared" si="135"/>
        <v>-</v>
      </c>
      <c r="R287" s="209"/>
      <c r="S287" s="210"/>
      <c r="T287" s="210"/>
      <c r="U287" s="211">
        <f>+M287+IF(O287&lt;=P287,P287,O287)+R287+S287+T287</f>
        <v>28285</v>
      </c>
      <c r="V287" s="191"/>
      <c r="W287" s="118"/>
      <c r="X287" s="118"/>
      <c r="Y287" s="118"/>
      <c r="Z287" s="118"/>
      <c r="AA287" s="118"/>
      <c r="AB287" s="118"/>
    </row>
    <row r="288" spans="1:28">
      <c r="A288" s="207" t="s">
        <v>435</v>
      </c>
      <c r="B288" s="208"/>
      <c r="C288" s="1182"/>
      <c r="D288" s="210"/>
      <c r="E288" s="210"/>
      <c r="F288" s="1332" t="str">
        <f t="shared" si="133"/>
        <v>-</v>
      </c>
      <c r="G288" s="209"/>
      <c r="H288" s="210"/>
      <c r="I288" s="210"/>
      <c r="J288" s="211">
        <f>+B288+IF(D288&lt;=E288,E288,D288)+G288+H288+I288</f>
        <v>0</v>
      </c>
      <c r="K288" s="863"/>
      <c r="L288" s="207" t="s">
        <v>435</v>
      </c>
      <c r="M288" s="208"/>
      <c r="N288" s="1182"/>
      <c r="O288" s="210"/>
      <c r="P288" s="210"/>
      <c r="Q288" s="1332" t="str">
        <f t="shared" si="135"/>
        <v>-</v>
      </c>
      <c r="R288" s="209"/>
      <c r="S288" s="210"/>
      <c r="T288" s="210"/>
      <c r="U288" s="211">
        <f>+M288+IF(O288&lt;=P288,P288,O288)+R288+S288+T288</f>
        <v>0</v>
      </c>
      <c r="V288" s="191"/>
      <c r="W288" s="118"/>
      <c r="Z288" s="118"/>
    </row>
    <row r="289" spans="1:28">
      <c r="A289" s="207" t="s">
        <v>436</v>
      </c>
      <c r="B289" s="208"/>
      <c r="C289" s="1182"/>
      <c r="D289" s="210"/>
      <c r="E289" s="210"/>
      <c r="F289" s="1332" t="str">
        <f t="shared" si="133"/>
        <v>-</v>
      </c>
      <c r="G289" s="209"/>
      <c r="H289" s="210"/>
      <c r="I289" s="210"/>
      <c r="J289" s="211">
        <f>+B289+IF(D289&lt;=E289,E289,D289)+G289+H289+I289</f>
        <v>0</v>
      </c>
      <c r="K289" s="863"/>
      <c r="L289" s="207" t="s">
        <v>436</v>
      </c>
      <c r="M289" s="208"/>
      <c r="N289" s="1182"/>
      <c r="O289" s="210"/>
      <c r="P289" s="210"/>
      <c r="Q289" s="1332" t="str">
        <f t="shared" si="135"/>
        <v>-</v>
      </c>
      <c r="R289" s="209"/>
      <c r="S289" s="210"/>
      <c r="T289" s="210"/>
      <c r="U289" s="211">
        <f>+M289+IF(O289&lt;=P289,P289,O289)+R289+S289+T289</f>
        <v>0</v>
      </c>
      <c r="V289" s="191"/>
      <c r="W289" s="118"/>
      <c r="Z289" s="118"/>
    </row>
    <row r="290" spans="1:28" ht="12.75" thickBot="1">
      <c r="A290" s="207" t="s">
        <v>437</v>
      </c>
      <c r="B290" s="208"/>
      <c r="C290" s="1182"/>
      <c r="D290" s="210"/>
      <c r="E290" s="210"/>
      <c r="F290" s="1332" t="str">
        <f t="shared" si="133"/>
        <v>-</v>
      </c>
      <c r="G290" s="209"/>
      <c r="H290" s="210"/>
      <c r="I290" s="210"/>
      <c r="J290" s="211">
        <f>+B290+IF(D290&lt;=E290,E290,D290)+G290+H290+I290</f>
        <v>0</v>
      </c>
      <c r="K290" s="863"/>
      <c r="L290" s="207" t="s">
        <v>437</v>
      </c>
      <c r="M290" s="208"/>
      <c r="N290" s="1182"/>
      <c r="O290" s="210"/>
      <c r="P290" s="210"/>
      <c r="Q290" s="1332" t="str">
        <f t="shared" si="135"/>
        <v>-</v>
      </c>
      <c r="R290" s="209"/>
      <c r="S290" s="210"/>
      <c r="T290" s="210"/>
      <c r="U290" s="211">
        <f>+M290+IF(O290&lt;=P290,P290,O290)+R290+S290+T290</f>
        <v>0</v>
      </c>
      <c r="V290" s="191"/>
      <c r="W290" s="118"/>
      <c r="Z290" s="118"/>
    </row>
    <row r="291" spans="1:28" ht="12.75" thickBot="1">
      <c r="A291" s="190" t="s">
        <v>438</v>
      </c>
      <c r="B291" s="212">
        <f t="shared" ref="B291:J291" si="136">+B285+B287+B288+B289+B290</f>
        <v>16018</v>
      </c>
      <c r="C291" s="1183">
        <f t="shared" si="136"/>
        <v>514107</v>
      </c>
      <c r="D291" s="212">
        <f>+D285+D287+D288+D289+D290</f>
        <v>80</v>
      </c>
      <c r="E291" s="212">
        <f>+E285+E287+E288+E289+E290</f>
        <v>80</v>
      </c>
      <c r="F291" s="1333">
        <f t="shared" si="133"/>
        <v>1</v>
      </c>
      <c r="G291" s="214">
        <f t="shared" si="136"/>
        <v>513902</v>
      </c>
      <c r="H291" s="212">
        <f t="shared" si="136"/>
        <v>0</v>
      </c>
      <c r="I291" s="212">
        <f t="shared" si="136"/>
        <v>0</v>
      </c>
      <c r="J291" s="213">
        <f t="shared" si="136"/>
        <v>530000</v>
      </c>
      <c r="K291" s="863"/>
      <c r="L291" s="190" t="s">
        <v>438</v>
      </c>
      <c r="M291" s="212">
        <f t="shared" ref="M291:U291" si="137">+M285+M287+M288+M289+M290</f>
        <v>0</v>
      </c>
      <c r="N291" s="1183">
        <f t="shared" si="137"/>
        <v>25745</v>
      </c>
      <c r="O291" s="212">
        <f>+O285+O287+O288+O289+O290</f>
        <v>553</v>
      </c>
      <c r="P291" s="212">
        <f>+P285+P287+P288+P289+P290</f>
        <v>553</v>
      </c>
      <c r="Q291" s="1333">
        <f t="shared" si="135"/>
        <v>1</v>
      </c>
      <c r="R291" s="214">
        <f t="shared" si="137"/>
        <v>27732</v>
      </c>
      <c r="S291" s="212">
        <f t="shared" si="137"/>
        <v>0</v>
      </c>
      <c r="T291" s="212">
        <f t="shared" si="137"/>
        <v>0</v>
      </c>
      <c r="U291" s="213">
        <f t="shared" si="137"/>
        <v>28285</v>
      </c>
      <c r="V291" s="191"/>
    </row>
    <row r="292" spans="1:28" ht="12.75" thickBot="1">
      <c r="A292" s="215"/>
      <c r="B292" s="215"/>
      <c r="C292" s="215"/>
      <c r="D292" s="215"/>
      <c r="E292" s="215"/>
      <c r="F292" s="215"/>
      <c r="G292" s="215"/>
      <c r="H292" s="215"/>
      <c r="I292" s="215"/>
      <c r="J292" s="215"/>
      <c r="K292" s="863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</row>
    <row r="293" spans="1:28" s="862" customFormat="1" ht="36.75" thickBot="1">
      <c r="A293" s="388" t="s">
        <v>439</v>
      </c>
      <c r="B293" s="389" t="s">
        <v>1422</v>
      </c>
      <c r="C293" s="1055" t="s">
        <v>1540</v>
      </c>
      <c r="D293" s="6" t="s">
        <v>1541</v>
      </c>
      <c r="E293" s="6" t="s">
        <v>2654</v>
      </c>
      <c r="F293" s="1330" t="s">
        <v>1558</v>
      </c>
      <c r="G293" s="369" t="s">
        <v>460</v>
      </c>
      <c r="H293" s="370" t="s">
        <v>461</v>
      </c>
      <c r="I293" s="370" t="s">
        <v>1423</v>
      </c>
      <c r="J293" s="1741" t="s">
        <v>18</v>
      </c>
      <c r="K293" s="865"/>
      <c r="L293" s="388" t="s">
        <v>439</v>
      </c>
      <c r="M293" s="389" t="s">
        <v>1422</v>
      </c>
      <c r="N293" s="1055" t="s">
        <v>1540</v>
      </c>
      <c r="O293" s="6" t="s">
        <v>1541</v>
      </c>
      <c r="P293" s="6" t="s">
        <v>2654</v>
      </c>
      <c r="Q293" s="1330" t="s">
        <v>1558</v>
      </c>
      <c r="R293" s="369" t="s">
        <v>460</v>
      </c>
      <c r="S293" s="370" t="s">
        <v>461</v>
      </c>
      <c r="T293" s="370" t="s">
        <v>1423</v>
      </c>
      <c r="U293" s="1741" t="s">
        <v>18</v>
      </c>
      <c r="V293" s="847"/>
    </row>
    <row r="294" spans="1:28">
      <c r="A294" s="197" t="s">
        <v>445</v>
      </c>
      <c r="B294" s="198"/>
      <c r="C294" s="1180"/>
      <c r="D294" s="200"/>
      <c r="E294" s="1190"/>
      <c r="F294" s="1331" t="str">
        <f t="shared" ref="F294:F302" si="138">IF(ISERROR(E294/D294),"-",E294/D294)</f>
        <v>-</v>
      </c>
      <c r="G294" s="199"/>
      <c r="H294" s="200"/>
      <c r="I294" s="200"/>
      <c r="J294" s="201">
        <f t="shared" ref="J294:J301" si="139">+B294+IF(D294&lt;=E294,E294,D294)+G294+H294+I294</f>
        <v>0</v>
      </c>
      <c r="K294" s="863"/>
      <c r="L294" s="197" t="s">
        <v>445</v>
      </c>
      <c r="M294" s="198"/>
      <c r="N294" s="1180"/>
      <c r="O294" s="200"/>
      <c r="P294" s="1190"/>
      <c r="Q294" s="1331" t="str">
        <f t="shared" ref="Q294:Q302" si="140">IF(ISERROR(P294/O294),"-",P294/O294)</f>
        <v>-</v>
      </c>
      <c r="R294" s="199"/>
      <c r="S294" s="200"/>
      <c r="T294" s="200"/>
      <c r="U294" s="201">
        <f t="shared" ref="U294:U301" si="141">+M294+IF(O294&lt;=P294,P294,O294)+R294+S294+T294</f>
        <v>0</v>
      </c>
      <c r="V294" s="191"/>
      <c r="W294" s="118"/>
      <c r="X294" s="118"/>
      <c r="Y294" s="118"/>
      <c r="Z294" s="118"/>
      <c r="AA294" s="118"/>
      <c r="AB294" s="118"/>
    </row>
    <row r="295" spans="1:28">
      <c r="A295" s="216" t="s">
        <v>446</v>
      </c>
      <c r="B295" s="208"/>
      <c r="C295" s="1182"/>
      <c r="D295" s="210"/>
      <c r="E295" s="1191"/>
      <c r="F295" s="1332" t="str">
        <f t="shared" si="138"/>
        <v>-</v>
      </c>
      <c r="G295" s="209"/>
      <c r="H295" s="210"/>
      <c r="I295" s="210"/>
      <c r="J295" s="211">
        <f t="shared" si="139"/>
        <v>0</v>
      </c>
      <c r="K295" s="863"/>
      <c r="L295" s="216" t="s">
        <v>446</v>
      </c>
      <c r="M295" s="208"/>
      <c r="N295" s="1182"/>
      <c r="O295" s="210"/>
      <c r="P295" s="1191"/>
      <c r="Q295" s="1332" t="str">
        <f t="shared" si="140"/>
        <v>-</v>
      </c>
      <c r="R295" s="209"/>
      <c r="S295" s="210"/>
      <c r="T295" s="210"/>
      <c r="U295" s="211">
        <f t="shared" si="141"/>
        <v>0</v>
      </c>
      <c r="V295" s="191"/>
      <c r="W295" s="118"/>
      <c r="X295" s="118"/>
      <c r="Y295" s="118"/>
      <c r="Z295" s="118"/>
      <c r="AA295" s="118"/>
      <c r="AB295" s="118"/>
    </row>
    <row r="296" spans="1:28">
      <c r="A296" s="207" t="s">
        <v>447</v>
      </c>
      <c r="B296" s="208">
        <v>16018</v>
      </c>
      <c r="C296" s="1182"/>
      <c r="D296" s="210">
        <v>80</v>
      </c>
      <c r="E296" s="1191">
        <v>80</v>
      </c>
      <c r="F296" s="1332">
        <f t="shared" si="138"/>
        <v>1</v>
      </c>
      <c r="G296" s="209"/>
      <c r="H296" s="210"/>
      <c r="I296" s="210"/>
      <c r="J296" s="211">
        <f t="shared" si="139"/>
        <v>16098</v>
      </c>
      <c r="K296" s="863"/>
      <c r="L296" s="207" t="s">
        <v>447</v>
      </c>
      <c r="M296" s="208"/>
      <c r="N296" s="1182"/>
      <c r="O296" s="210">
        <v>297</v>
      </c>
      <c r="P296" s="1191">
        <v>297</v>
      </c>
      <c r="Q296" s="1332">
        <f t="shared" si="140"/>
        <v>1</v>
      </c>
      <c r="R296" s="209"/>
      <c r="S296" s="210"/>
      <c r="T296" s="210"/>
      <c r="U296" s="211">
        <f t="shared" si="141"/>
        <v>297</v>
      </c>
      <c r="V296" s="191"/>
      <c r="W296" s="118"/>
      <c r="X296" s="118"/>
      <c r="Y296" s="118"/>
      <c r="Z296" s="118"/>
      <c r="AA296" s="118"/>
      <c r="AB296" s="118"/>
    </row>
    <row r="297" spans="1:28">
      <c r="A297" s="207" t="s">
        <v>448</v>
      </c>
      <c r="B297" s="208"/>
      <c r="C297" s="1182"/>
      <c r="D297" s="210"/>
      <c r="E297" s="1191"/>
      <c r="F297" s="1332" t="str">
        <f t="shared" si="138"/>
        <v>-</v>
      </c>
      <c r="G297" s="209"/>
      <c r="H297" s="210"/>
      <c r="I297" s="210"/>
      <c r="J297" s="211">
        <f t="shared" si="139"/>
        <v>0</v>
      </c>
      <c r="K297" s="863"/>
      <c r="L297" s="207" t="s">
        <v>448</v>
      </c>
      <c r="M297" s="208"/>
      <c r="N297" s="1182"/>
      <c r="O297" s="210"/>
      <c r="P297" s="1191"/>
      <c r="Q297" s="1332" t="str">
        <f t="shared" si="140"/>
        <v>-</v>
      </c>
      <c r="R297" s="209"/>
      <c r="S297" s="210"/>
      <c r="T297" s="210"/>
      <c r="U297" s="211">
        <f t="shared" si="141"/>
        <v>0</v>
      </c>
      <c r="V297" s="191"/>
      <c r="W297" s="118"/>
      <c r="Y297" s="118"/>
      <c r="Z297" s="118"/>
      <c r="AB297" s="118"/>
    </row>
    <row r="298" spans="1:28">
      <c r="A298" s="217" t="s">
        <v>449</v>
      </c>
      <c r="B298" s="218"/>
      <c r="C298" s="1182">
        <v>514107</v>
      </c>
      <c r="D298" s="210">
        <v>0</v>
      </c>
      <c r="E298" s="1191"/>
      <c r="F298" s="1332" t="str">
        <f t="shared" si="138"/>
        <v>-</v>
      </c>
      <c r="G298" s="209">
        <v>513902</v>
      </c>
      <c r="H298" s="210"/>
      <c r="I298" s="210"/>
      <c r="J298" s="211">
        <f t="shared" si="139"/>
        <v>513902</v>
      </c>
      <c r="K298" s="863"/>
      <c r="L298" s="217" t="s">
        <v>449</v>
      </c>
      <c r="M298" s="218"/>
      <c r="N298" s="1182">
        <v>25745</v>
      </c>
      <c r="O298" s="210">
        <v>0</v>
      </c>
      <c r="P298" s="1191"/>
      <c r="Q298" s="1332" t="str">
        <f t="shared" si="140"/>
        <v>-</v>
      </c>
      <c r="R298" s="209">
        <v>27732</v>
      </c>
      <c r="S298" s="210"/>
      <c r="T298" s="210"/>
      <c r="U298" s="211">
        <f t="shared" si="141"/>
        <v>27732</v>
      </c>
      <c r="V298" s="191"/>
      <c r="W298" s="118"/>
      <c r="X298" s="118"/>
      <c r="Y298" s="118"/>
      <c r="Z298" s="118"/>
      <c r="AA298" s="118"/>
      <c r="AB298" s="118"/>
    </row>
    <row r="299" spans="1:28">
      <c r="A299" s="217" t="s">
        <v>450</v>
      </c>
      <c r="B299" s="218"/>
      <c r="C299" s="1182"/>
      <c r="D299" s="210"/>
      <c r="E299" s="1191"/>
      <c r="F299" s="1332" t="str">
        <f t="shared" si="138"/>
        <v>-</v>
      </c>
      <c r="G299" s="209"/>
      <c r="H299" s="210"/>
      <c r="I299" s="210"/>
      <c r="J299" s="211">
        <f t="shared" si="139"/>
        <v>0</v>
      </c>
      <c r="K299" s="863"/>
      <c r="L299" s="217" t="s">
        <v>450</v>
      </c>
      <c r="M299" s="218"/>
      <c r="N299" s="1182"/>
      <c r="O299" s="210">
        <v>256</v>
      </c>
      <c r="P299" s="1191">
        <v>256</v>
      </c>
      <c r="Q299" s="1332">
        <f t="shared" si="140"/>
        <v>1</v>
      </c>
      <c r="R299" s="209"/>
      <c r="S299" s="210"/>
      <c r="T299" s="210"/>
      <c r="U299" s="211">
        <f t="shared" si="141"/>
        <v>256</v>
      </c>
      <c r="V299" s="191"/>
      <c r="W299" s="118"/>
      <c r="X299" s="118"/>
      <c r="Y299" s="118"/>
      <c r="Z299" s="118"/>
      <c r="AA299" s="118"/>
      <c r="AB299" s="118"/>
    </row>
    <row r="300" spans="1:28">
      <c r="A300" s="219" t="s">
        <v>451</v>
      </c>
      <c r="B300" s="220"/>
      <c r="C300" s="1184"/>
      <c r="D300" s="222"/>
      <c r="E300" s="1192"/>
      <c r="F300" s="1334" t="str">
        <f t="shared" si="138"/>
        <v>-</v>
      </c>
      <c r="G300" s="221"/>
      <c r="H300" s="222"/>
      <c r="I300" s="222"/>
      <c r="J300" s="211">
        <f t="shared" si="139"/>
        <v>0</v>
      </c>
      <c r="K300" s="863"/>
      <c r="L300" s="219" t="s">
        <v>451</v>
      </c>
      <c r="M300" s="220"/>
      <c r="N300" s="1184"/>
      <c r="O300" s="222"/>
      <c r="P300" s="1192"/>
      <c r="Q300" s="1334" t="str">
        <f t="shared" si="140"/>
        <v>-</v>
      </c>
      <c r="R300" s="209"/>
      <c r="S300" s="222"/>
      <c r="T300" s="222"/>
      <c r="U300" s="211">
        <f t="shared" si="141"/>
        <v>0</v>
      </c>
      <c r="V300" s="191"/>
      <c r="W300" s="118"/>
      <c r="X300" s="118"/>
      <c r="Y300" s="118"/>
      <c r="Z300" s="118"/>
      <c r="AA300" s="118"/>
      <c r="AB300" s="118"/>
    </row>
    <row r="301" spans="1:28" ht="12.75" thickBot="1">
      <c r="A301" s="219" t="s">
        <v>452</v>
      </c>
      <c r="B301" s="220"/>
      <c r="C301" s="1184"/>
      <c r="D301" s="222"/>
      <c r="E301" s="1192"/>
      <c r="F301" s="1334" t="str">
        <f t="shared" si="138"/>
        <v>-</v>
      </c>
      <c r="G301" s="221"/>
      <c r="H301" s="222"/>
      <c r="I301" s="222"/>
      <c r="J301" s="211">
        <f t="shared" si="139"/>
        <v>0</v>
      </c>
      <c r="K301" s="863"/>
      <c r="L301" s="219" t="s">
        <v>452</v>
      </c>
      <c r="M301" s="220"/>
      <c r="N301" s="1184"/>
      <c r="O301" s="222"/>
      <c r="P301" s="1192"/>
      <c r="Q301" s="1334" t="str">
        <f t="shared" si="140"/>
        <v>-</v>
      </c>
      <c r="R301" s="221"/>
      <c r="S301" s="222"/>
      <c r="T301" s="222"/>
      <c r="U301" s="211">
        <f t="shared" si="141"/>
        <v>0</v>
      </c>
      <c r="V301" s="191"/>
      <c r="W301" s="118"/>
      <c r="X301" s="118"/>
      <c r="Y301" s="118"/>
      <c r="Z301" s="118"/>
      <c r="AA301" s="118"/>
      <c r="AB301" s="118"/>
    </row>
    <row r="302" spans="1:28" ht="12.75" thickBot="1">
      <c r="A302" s="190" t="s">
        <v>453</v>
      </c>
      <c r="B302" s="212">
        <f t="shared" ref="B302:J302" si="142">+B294+B295+B296+B297+B298+B299+B300+B301</f>
        <v>16018</v>
      </c>
      <c r="C302" s="1183">
        <f t="shared" si="142"/>
        <v>514107</v>
      </c>
      <c r="D302" s="212">
        <f>+D294+D295+D296+D297+D298+D299+D300+D301</f>
        <v>80</v>
      </c>
      <c r="E302" s="1185">
        <f>+E294+E295+E296+E297+E298+E299+E300+E301</f>
        <v>80</v>
      </c>
      <c r="F302" s="1333">
        <f t="shared" si="138"/>
        <v>1</v>
      </c>
      <c r="G302" s="214">
        <f t="shared" si="142"/>
        <v>513902</v>
      </c>
      <c r="H302" s="212">
        <f t="shared" si="142"/>
        <v>0</v>
      </c>
      <c r="I302" s="212">
        <f t="shared" si="142"/>
        <v>0</v>
      </c>
      <c r="J302" s="213">
        <f t="shared" si="142"/>
        <v>530000</v>
      </c>
      <c r="L302" s="190" t="s">
        <v>453</v>
      </c>
      <c r="M302" s="212">
        <f t="shared" ref="M302:U302" si="143">+M294+M295+M296+M297+M298+M299+M300+M301</f>
        <v>0</v>
      </c>
      <c r="N302" s="1183">
        <f t="shared" si="143"/>
        <v>25745</v>
      </c>
      <c r="O302" s="212">
        <f>+O294+O295+O296+O297+O298+O299+O300+O301</f>
        <v>553</v>
      </c>
      <c r="P302" s="1185">
        <f>+P294+P295+P296+P297+P298+P299+P300+P301</f>
        <v>553</v>
      </c>
      <c r="Q302" s="1333">
        <f t="shared" si="140"/>
        <v>1</v>
      </c>
      <c r="R302" s="214">
        <f t="shared" si="143"/>
        <v>27732</v>
      </c>
      <c r="S302" s="212">
        <f t="shared" si="143"/>
        <v>0</v>
      </c>
      <c r="T302" s="212">
        <f t="shared" si="143"/>
        <v>0</v>
      </c>
      <c r="U302" s="213">
        <f t="shared" si="143"/>
        <v>28285</v>
      </c>
      <c r="V302" s="191"/>
      <c r="X302" s="863"/>
      <c r="AA302" s="863"/>
    </row>
    <row r="303" spans="1:28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863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</row>
    <row r="305" spans="1:28" s="856" customFormat="1" ht="15.75" customHeight="1">
      <c r="A305" s="189" t="s">
        <v>1369</v>
      </c>
      <c r="B305" s="1798" t="s">
        <v>1490</v>
      </c>
      <c r="C305" s="1798"/>
      <c r="D305" s="1798"/>
      <c r="E305" s="1798"/>
      <c r="F305" s="1798"/>
      <c r="G305" s="1798"/>
      <c r="H305" s="1798"/>
      <c r="I305" s="1798"/>
      <c r="J305" s="1798"/>
      <c r="K305" s="766"/>
      <c r="L305" s="189" t="s">
        <v>1370</v>
      </c>
      <c r="M305" s="1799" t="s">
        <v>2732</v>
      </c>
      <c r="N305" s="1799"/>
      <c r="O305" s="1799"/>
      <c r="P305" s="1799"/>
      <c r="Q305" s="1798"/>
      <c r="R305" s="1798"/>
      <c r="S305" s="1798"/>
      <c r="T305" s="1798"/>
      <c r="U305" s="1798"/>
      <c r="V305" s="1737"/>
    </row>
    <row r="306" spans="1:28" s="856" customFormat="1" ht="15.75" customHeight="1">
      <c r="A306" s="1796" t="s">
        <v>1398</v>
      </c>
      <c r="B306" s="1796"/>
      <c r="C306" s="1796"/>
      <c r="D306" s="1796"/>
      <c r="E306" s="1796"/>
      <c r="F306" s="1796"/>
      <c r="G306" s="1796"/>
      <c r="H306" s="1796"/>
      <c r="I306" s="1796"/>
      <c r="J306" s="1796"/>
      <c r="K306" s="766"/>
      <c r="L306" s="1796" t="s">
        <v>2733</v>
      </c>
      <c r="M306" s="1796"/>
      <c r="N306" s="1796"/>
      <c r="O306" s="1796"/>
      <c r="P306" s="1796"/>
      <c r="Q306" s="1796"/>
      <c r="R306" s="1796"/>
      <c r="S306" s="1796"/>
      <c r="T306" s="1796"/>
      <c r="U306" s="1796"/>
      <c r="V306" s="1738"/>
    </row>
    <row r="307" spans="1:28" s="856" customFormat="1" ht="15.75">
      <c r="A307" s="1795" t="s">
        <v>2734</v>
      </c>
      <c r="B307" s="1795"/>
      <c r="C307" s="1795"/>
      <c r="D307" s="1795"/>
      <c r="E307" s="1795"/>
      <c r="F307" s="1795"/>
      <c r="G307" s="1795"/>
      <c r="H307" s="1795"/>
      <c r="I307" s="1795"/>
      <c r="J307" s="1795"/>
      <c r="K307" s="766"/>
      <c r="L307" s="1795" t="s">
        <v>2731</v>
      </c>
      <c r="M307" s="1795"/>
      <c r="N307" s="1795"/>
      <c r="O307" s="1795"/>
      <c r="P307" s="1795"/>
      <c r="Q307" s="1795"/>
      <c r="R307" s="1795"/>
      <c r="S307" s="1795"/>
      <c r="T307" s="1795"/>
      <c r="U307" s="1795"/>
      <c r="V307" s="1739"/>
    </row>
    <row r="308" spans="1:28" s="859" customFormat="1" ht="12.75" thickBot="1">
      <c r="A308" s="858"/>
      <c r="B308" s="858"/>
      <c r="G308" s="858"/>
      <c r="H308" s="858"/>
      <c r="J308" s="234" t="s">
        <v>280</v>
      </c>
      <c r="K308" s="860"/>
      <c r="L308" s="858"/>
      <c r="M308" s="858"/>
      <c r="R308" s="858"/>
      <c r="S308" s="858"/>
      <c r="U308" s="234" t="s">
        <v>280</v>
      </c>
      <c r="V308" s="846"/>
    </row>
    <row r="309" spans="1:28" s="862" customFormat="1" ht="36.75" thickBot="1">
      <c r="A309" s="388" t="s">
        <v>431</v>
      </c>
      <c r="B309" s="389" t="s">
        <v>1422</v>
      </c>
      <c r="C309" s="1055" t="s">
        <v>1540</v>
      </c>
      <c r="D309" s="6" t="s">
        <v>1541</v>
      </c>
      <c r="E309" s="6" t="s">
        <v>2654</v>
      </c>
      <c r="F309" s="1330" t="s">
        <v>1558</v>
      </c>
      <c r="G309" s="369" t="s">
        <v>460</v>
      </c>
      <c r="H309" s="370" t="s">
        <v>461</v>
      </c>
      <c r="I309" s="370" t="s">
        <v>1423</v>
      </c>
      <c r="J309" s="1741" t="s">
        <v>18</v>
      </c>
      <c r="K309" s="861"/>
      <c r="L309" s="388" t="s">
        <v>431</v>
      </c>
      <c r="M309" s="389" t="s">
        <v>1422</v>
      </c>
      <c r="N309" s="1055" t="s">
        <v>1540</v>
      </c>
      <c r="O309" s="6" t="s">
        <v>1541</v>
      </c>
      <c r="P309" s="6" t="s">
        <v>2654</v>
      </c>
      <c r="Q309" s="1330" t="s">
        <v>1558</v>
      </c>
      <c r="R309" s="369" t="s">
        <v>460</v>
      </c>
      <c r="S309" s="370" t="s">
        <v>461</v>
      </c>
      <c r="T309" s="370" t="s">
        <v>1423</v>
      </c>
      <c r="U309" s="1741" t="s">
        <v>18</v>
      </c>
      <c r="V309" s="847"/>
    </row>
    <row r="310" spans="1:28">
      <c r="A310" s="197" t="s">
        <v>432</v>
      </c>
      <c r="B310" s="198">
        <f>+B327-B315-B314-B313-B312</f>
        <v>-21708</v>
      </c>
      <c r="C310" s="1180">
        <f>+C327-C315-C314-C313-C312</f>
        <v>20787</v>
      </c>
      <c r="D310" s="200">
        <f>+D327-D315-D314-D313-D312</f>
        <v>-2408</v>
      </c>
      <c r="E310" s="200">
        <f>+E327-E315-E314-E313-E312</f>
        <v>-2408</v>
      </c>
      <c r="F310" s="1331">
        <f t="shared" ref="F310:F316" si="144">IF(ISERROR(E310/D310),"-",E310/D310)</f>
        <v>1</v>
      </c>
      <c r="G310" s="199">
        <f>+G327-G315-G314-G313-G312</f>
        <v>24116</v>
      </c>
      <c r="H310" s="200">
        <f>+H327-H315-H314-H313-H312</f>
        <v>0</v>
      </c>
      <c r="I310" s="200">
        <f>+I327-I315-I314-I313-I312</f>
        <v>0</v>
      </c>
      <c r="J310" s="201">
        <f>+J327-J315-J314-J313-J312</f>
        <v>0</v>
      </c>
      <c r="K310" s="863"/>
      <c r="L310" s="197" t="s">
        <v>432</v>
      </c>
      <c r="M310" s="198">
        <f>+M327-M315-M314-M313-M312</f>
        <v>0</v>
      </c>
      <c r="N310" s="1180">
        <f>+N327-N315-N314-N313-N312</f>
        <v>0</v>
      </c>
      <c r="O310" s="200">
        <f>+O327-O315-O314-O313-O312</f>
        <v>-1472</v>
      </c>
      <c r="P310" s="200">
        <f>+P327-P315-P314-P313-P312</f>
        <v>-1472</v>
      </c>
      <c r="Q310" s="1331">
        <f t="shared" ref="Q310:Q316" si="145">IF(ISERROR(P310/O310),"-",P310/O310)</f>
        <v>1</v>
      </c>
      <c r="R310" s="199">
        <f>+R327-R315-R314-R313-R312</f>
        <v>1472</v>
      </c>
      <c r="S310" s="200">
        <f>+S327-S315-S314-S313-S312</f>
        <v>0</v>
      </c>
      <c r="T310" s="200">
        <f>+T327-T315-T314-T313-T312</f>
        <v>0</v>
      </c>
      <c r="U310" s="201">
        <f>+U327-U315-U314-U313-U312</f>
        <v>0</v>
      </c>
      <c r="W310" s="191"/>
      <c r="Z310" s="191"/>
    </row>
    <row r="311" spans="1:28">
      <c r="A311" s="202" t="s">
        <v>433</v>
      </c>
      <c r="B311" s="203"/>
      <c r="C311" s="1181"/>
      <c r="D311" s="205"/>
      <c r="E311" s="205"/>
      <c r="F311" s="1332" t="str">
        <f t="shared" si="144"/>
        <v>-</v>
      </c>
      <c r="G311" s="204"/>
      <c r="H311" s="205"/>
      <c r="I311" s="205"/>
      <c r="J311" s="206">
        <f>+B311+IF(D311&lt;=E311,E311,D311)+G311+H311+I311</f>
        <v>0</v>
      </c>
      <c r="K311" s="863"/>
      <c r="L311" s="202" t="s">
        <v>433</v>
      </c>
      <c r="M311" s="203"/>
      <c r="N311" s="1181"/>
      <c r="O311" s="205"/>
      <c r="P311" s="205"/>
      <c r="Q311" s="1332" t="str">
        <f t="shared" si="145"/>
        <v>-</v>
      </c>
      <c r="R311" s="204"/>
      <c r="S311" s="205"/>
      <c r="T311" s="205"/>
      <c r="U311" s="206">
        <f>+M311+IF(O311&lt;=P311,P311,O311)+R311+S311+T311</f>
        <v>0</v>
      </c>
      <c r="V311" s="848"/>
      <c r="W311" s="118"/>
      <c r="Z311" s="118"/>
    </row>
    <row r="312" spans="1:28">
      <c r="A312" s="207" t="s">
        <v>434</v>
      </c>
      <c r="B312" s="208">
        <f>80175+2893</f>
        <v>83068</v>
      </c>
      <c r="C312" s="1182"/>
      <c r="D312" s="210">
        <v>34897</v>
      </c>
      <c r="E312" s="210">
        <v>34897</v>
      </c>
      <c r="F312" s="1332">
        <f t="shared" si="144"/>
        <v>1</v>
      </c>
      <c r="G312" s="209"/>
      <c r="H312" s="210"/>
      <c r="I312" s="210"/>
      <c r="J312" s="211">
        <f>+B312+IF(D312&lt;=E312,E312,D312)+G312+H312+I312</f>
        <v>117965</v>
      </c>
      <c r="K312" s="863"/>
      <c r="L312" s="207" t="s">
        <v>434</v>
      </c>
      <c r="M312" s="208"/>
      <c r="N312" s="1182"/>
      <c r="O312" s="210">
        <v>1472</v>
      </c>
      <c r="P312" s="210">
        <v>1472</v>
      </c>
      <c r="Q312" s="1332">
        <f t="shared" si="145"/>
        <v>1</v>
      </c>
      <c r="R312" s="209"/>
      <c r="S312" s="210"/>
      <c r="T312" s="210"/>
      <c r="U312" s="211">
        <f>+M312+IF(O312&lt;=P312,P312,O312)+R312+S312+T312</f>
        <v>1472</v>
      </c>
      <c r="V312" s="191"/>
      <c r="W312" s="118"/>
      <c r="X312" s="905"/>
      <c r="Y312" s="118"/>
      <c r="Z312" s="118"/>
      <c r="AA312" s="905"/>
      <c r="AB312" s="118"/>
    </row>
    <row r="313" spans="1:28">
      <c r="A313" s="207" t="s">
        <v>435</v>
      </c>
      <c r="B313" s="208"/>
      <c r="C313" s="1182"/>
      <c r="D313" s="210"/>
      <c r="E313" s="210"/>
      <c r="F313" s="1332" t="str">
        <f t="shared" si="144"/>
        <v>-</v>
      </c>
      <c r="G313" s="209"/>
      <c r="H313" s="210"/>
      <c r="I313" s="210"/>
      <c r="J313" s="211">
        <f>+B313+IF(D313&lt;=E313,E313,D313)+G313+H313+I313</f>
        <v>0</v>
      </c>
      <c r="K313" s="863"/>
      <c r="L313" s="207" t="s">
        <v>435</v>
      </c>
      <c r="M313" s="208"/>
      <c r="N313" s="1182"/>
      <c r="O313" s="210"/>
      <c r="P313" s="210"/>
      <c r="Q313" s="1332" t="str">
        <f t="shared" si="145"/>
        <v>-</v>
      </c>
      <c r="R313" s="209"/>
      <c r="S313" s="210"/>
      <c r="T313" s="210"/>
      <c r="U313" s="211">
        <f>+M313+IF(O313&lt;=P313,P313,O313)+R313+S313+T313</f>
        <v>0</v>
      </c>
      <c r="V313" s="191"/>
      <c r="W313" s="118"/>
      <c r="Z313" s="118"/>
    </row>
    <row r="314" spans="1:28">
      <c r="A314" s="207" t="s">
        <v>436</v>
      </c>
      <c r="B314" s="208"/>
      <c r="C314" s="1182"/>
      <c r="D314" s="210"/>
      <c r="E314" s="210"/>
      <c r="F314" s="1332" t="str">
        <f t="shared" si="144"/>
        <v>-</v>
      </c>
      <c r="G314" s="209"/>
      <c r="H314" s="210"/>
      <c r="I314" s="210"/>
      <c r="J314" s="211">
        <f>+B314+IF(D314&lt;=E314,E314,D314)+G314+H314+I314</f>
        <v>0</v>
      </c>
      <c r="K314" s="863"/>
      <c r="L314" s="207" t="s">
        <v>436</v>
      </c>
      <c r="M314" s="208"/>
      <c r="N314" s="1182"/>
      <c r="O314" s="210"/>
      <c r="P314" s="210"/>
      <c r="Q314" s="1332" t="str">
        <f t="shared" si="145"/>
        <v>-</v>
      </c>
      <c r="R314" s="209"/>
      <c r="S314" s="210"/>
      <c r="T314" s="210"/>
      <c r="U314" s="211">
        <f>+M314+IF(O314&lt;=P314,P314,O314)+R314+S314+T314</f>
        <v>0</v>
      </c>
      <c r="V314" s="191"/>
      <c r="W314" s="118"/>
      <c r="Z314" s="118"/>
    </row>
    <row r="315" spans="1:28" ht="12.75" thickBot="1">
      <c r="A315" s="207" t="s">
        <v>437</v>
      </c>
      <c r="B315" s="208"/>
      <c r="C315" s="1182"/>
      <c r="D315" s="210"/>
      <c r="E315" s="210"/>
      <c r="F315" s="1332" t="str">
        <f t="shared" si="144"/>
        <v>-</v>
      </c>
      <c r="G315" s="209"/>
      <c r="H315" s="210"/>
      <c r="I315" s="210"/>
      <c r="J315" s="211">
        <f>+B315+IF(D315&lt;=E315,E315,D315)+G315+H315+I315</f>
        <v>0</v>
      </c>
      <c r="K315" s="863"/>
      <c r="L315" s="207" t="s">
        <v>437</v>
      </c>
      <c r="M315" s="208"/>
      <c r="N315" s="1182"/>
      <c r="O315" s="210"/>
      <c r="P315" s="210"/>
      <c r="Q315" s="1332" t="str">
        <f t="shared" si="145"/>
        <v>-</v>
      </c>
      <c r="R315" s="209"/>
      <c r="S315" s="210"/>
      <c r="T315" s="210"/>
      <c r="U315" s="211">
        <f>+M315+IF(O315&lt;=P315,P315,O315)+R315+S315+T315</f>
        <v>0</v>
      </c>
      <c r="V315" s="191"/>
      <c r="W315" s="118"/>
      <c r="Z315" s="118"/>
    </row>
    <row r="316" spans="1:28" ht="12.75" thickBot="1">
      <c r="A316" s="190" t="s">
        <v>438</v>
      </c>
      <c r="B316" s="212">
        <f>+B310+B312+B313+B314+B315</f>
        <v>61360</v>
      </c>
      <c r="C316" s="1183">
        <f>+C310+C312+C313+C314+C315</f>
        <v>20787</v>
      </c>
      <c r="D316" s="212">
        <f>+D310+D312+D313+D314+D315</f>
        <v>32489</v>
      </c>
      <c r="E316" s="212">
        <f>+E310+E312+E313+E314+E315</f>
        <v>32489</v>
      </c>
      <c r="F316" s="1333">
        <f t="shared" si="144"/>
        <v>1</v>
      </c>
      <c r="G316" s="214">
        <f>+G310+G312+G313+G314+G315</f>
        <v>24116</v>
      </c>
      <c r="H316" s="212">
        <f>+H310+H312+H313+H314+H315</f>
        <v>0</v>
      </c>
      <c r="I316" s="212">
        <f>+I310+I312+I313+I314+I315</f>
        <v>0</v>
      </c>
      <c r="J316" s="213">
        <f>+J310+J312+J313+J314+J315</f>
        <v>117965</v>
      </c>
      <c r="K316" s="863"/>
      <c r="L316" s="190" t="s">
        <v>438</v>
      </c>
      <c r="M316" s="212">
        <f>+M310+M312+M313+M314+M315</f>
        <v>0</v>
      </c>
      <c r="N316" s="1183">
        <f>+N310+N312+N313+N314+N315</f>
        <v>0</v>
      </c>
      <c r="O316" s="212">
        <f>+O310+O312+O313+O314+O315</f>
        <v>0</v>
      </c>
      <c r="P316" s="212">
        <f>+P310+P312+P313+P314+P315</f>
        <v>0</v>
      </c>
      <c r="Q316" s="1333" t="str">
        <f t="shared" si="145"/>
        <v>-</v>
      </c>
      <c r="R316" s="214">
        <f>+R310+R312+R313+R314+R315</f>
        <v>1472</v>
      </c>
      <c r="S316" s="212">
        <f>+S310+S312+S313+S314+S315</f>
        <v>0</v>
      </c>
      <c r="T316" s="212">
        <f>+T310+T312+T313+T314+T315</f>
        <v>0</v>
      </c>
      <c r="U316" s="213">
        <f>+U310+U312+U313+U314+U315</f>
        <v>1472</v>
      </c>
      <c r="V316" s="191"/>
    </row>
    <row r="317" spans="1:28" ht="12.75" thickBot="1">
      <c r="A317" s="215"/>
      <c r="B317" s="215"/>
      <c r="C317" s="215"/>
      <c r="D317" s="215"/>
      <c r="E317" s="215"/>
      <c r="F317" s="215"/>
      <c r="G317" s="215"/>
      <c r="H317" s="215"/>
      <c r="I317" s="215"/>
      <c r="J317" s="215"/>
      <c r="K317" s="863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118"/>
      <c r="Z317" s="118"/>
    </row>
    <row r="318" spans="1:28" s="862" customFormat="1" ht="36.75" thickBot="1">
      <c r="A318" s="388" t="s">
        <v>439</v>
      </c>
      <c r="B318" s="389" t="s">
        <v>1422</v>
      </c>
      <c r="C318" s="1055" t="s">
        <v>1540</v>
      </c>
      <c r="D318" s="6" t="s">
        <v>1541</v>
      </c>
      <c r="E318" s="6" t="s">
        <v>2654</v>
      </c>
      <c r="F318" s="1330" t="s">
        <v>1558</v>
      </c>
      <c r="G318" s="369" t="s">
        <v>460</v>
      </c>
      <c r="H318" s="370" t="s">
        <v>461</v>
      </c>
      <c r="I318" s="370" t="s">
        <v>1423</v>
      </c>
      <c r="J318" s="1741" t="s">
        <v>18</v>
      </c>
      <c r="K318" s="865"/>
      <c r="L318" s="388" t="s">
        <v>439</v>
      </c>
      <c r="M318" s="389" t="s">
        <v>1422</v>
      </c>
      <c r="N318" s="1055" t="s">
        <v>1540</v>
      </c>
      <c r="O318" s="6" t="s">
        <v>1541</v>
      </c>
      <c r="P318" s="6" t="s">
        <v>2654</v>
      </c>
      <c r="Q318" s="1330" t="s">
        <v>1558</v>
      </c>
      <c r="R318" s="369" t="s">
        <v>460</v>
      </c>
      <c r="S318" s="370" t="s">
        <v>461</v>
      </c>
      <c r="T318" s="370" t="s">
        <v>1423</v>
      </c>
      <c r="U318" s="1741" t="s">
        <v>18</v>
      </c>
      <c r="V318" s="847"/>
    </row>
    <row r="319" spans="1:28">
      <c r="A319" s="197" t="s">
        <v>445</v>
      </c>
      <c r="B319" s="198">
        <f>12648+18037</f>
        <v>30685</v>
      </c>
      <c r="C319" s="1180"/>
      <c r="D319" s="200">
        <v>20842</v>
      </c>
      <c r="E319" s="1190">
        <v>20842</v>
      </c>
      <c r="F319" s="1331">
        <f t="shared" ref="F319:F327" si="146">IF(ISERROR(E319/D319),"-",E319/D319)</f>
        <v>1</v>
      </c>
      <c r="G319" s="199"/>
      <c r="H319" s="200"/>
      <c r="I319" s="200"/>
      <c r="J319" s="201">
        <f t="shared" ref="J319:J326" si="147">+B319+IF(D319&lt;=E319,E319,D319)+G319+H319+I319</f>
        <v>51527</v>
      </c>
      <c r="K319" s="863"/>
      <c r="L319" s="197" t="s">
        <v>445</v>
      </c>
      <c r="M319" s="198"/>
      <c r="N319" s="1180"/>
      <c r="O319" s="200"/>
      <c r="P319" s="1190"/>
      <c r="Q319" s="1331" t="str">
        <f t="shared" ref="Q319:Q327" si="148">IF(ISERROR(P319/O319),"-",P319/O319)</f>
        <v>-</v>
      </c>
      <c r="R319" s="199"/>
      <c r="S319" s="200"/>
      <c r="T319" s="200"/>
      <c r="U319" s="201">
        <f t="shared" ref="U319:U326" si="149">+M319+IF(O319&lt;=P319,P319,O319)+R319+S319+T319</f>
        <v>0</v>
      </c>
      <c r="V319" s="191"/>
      <c r="W319" s="118"/>
      <c r="X319" s="118"/>
      <c r="Y319" s="118"/>
      <c r="Z319" s="118"/>
      <c r="AA319" s="118"/>
      <c r="AB319" s="118"/>
    </row>
    <row r="320" spans="1:28">
      <c r="A320" s="216" t="s">
        <v>446</v>
      </c>
      <c r="B320" s="208">
        <f>2380+3049</f>
        <v>5429</v>
      </c>
      <c r="C320" s="1182"/>
      <c r="D320" s="210">
        <v>3338</v>
      </c>
      <c r="E320" s="1191">
        <v>3338</v>
      </c>
      <c r="F320" s="1332">
        <f t="shared" si="146"/>
        <v>1</v>
      </c>
      <c r="G320" s="209"/>
      <c r="H320" s="210"/>
      <c r="I320" s="210"/>
      <c r="J320" s="211">
        <f t="shared" si="147"/>
        <v>8767</v>
      </c>
      <c r="K320" s="863"/>
      <c r="L320" s="216" t="s">
        <v>446</v>
      </c>
      <c r="M320" s="208"/>
      <c r="N320" s="1182"/>
      <c r="O320" s="210"/>
      <c r="P320" s="1191"/>
      <c r="Q320" s="1332" t="str">
        <f t="shared" si="148"/>
        <v>-</v>
      </c>
      <c r="R320" s="209"/>
      <c r="S320" s="210"/>
      <c r="T320" s="210"/>
      <c r="U320" s="211">
        <f t="shared" si="149"/>
        <v>0</v>
      </c>
      <c r="V320" s="191"/>
      <c r="W320" s="118"/>
      <c r="X320" s="118"/>
      <c r="Y320" s="118"/>
      <c r="Z320" s="118"/>
      <c r="AA320" s="118"/>
      <c r="AB320" s="118"/>
    </row>
    <row r="321" spans="1:30">
      <c r="A321" s="207" t="s">
        <v>447</v>
      </c>
      <c r="B321" s="208">
        <f>962+11282</f>
        <v>12244</v>
      </c>
      <c r="C321" s="1182"/>
      <c r="D321" s="210">
        <v>8309</v>
      </c>
      <c r="E321" s="1191">
        <f>8308+1</f>
        <v>8309</v>
      </c>
      <c r="F321" s="1332">
        <f t="shared" si="146"/>
        <v>1</v>
      </c>
      <c r="G321" s="209"/>
      <c r="H321" s="210"/>
      <c r="I321" s="210"/>
      <c r="J321" s="211">
        <f t="shared" si="147"/>
        <v>20553</v>
      </c>
      <c r="K321" s="863"/>
      <c r="L321" s="207" t="s">
        <v>447</v>
      </c>
      <c r="M321" s="208"/>
      <c r="N321" s="1182"/>
      <c r="O321" s="210"/>
      <c r="P321" s="1191"/>
      <c r="Q321" s="1332" t="str">
        <f t="shared" si="148"/>
        <v>-</v>
      </c>
      <c r="R321" s="209"/>
      <c r="S321" s="210"/>
      <c r="T321" s="210"/>
      <c r="U321" s="211">
        <f t="shared" si="149"/>
        <v>0</v>
      </c>
      <c r="V321" s="191"/>
      <c r="W321" s="118"/>
      <c r="X321" s="118"/>
      <c r="Y321" s="118"/>
      <c r="Z321" s="118"/>
      <c r="AA321" s="118"/>
      <c r="AB321" s="118"/>
    </row>
    <row r="322" spans="1:30">
      <c r="A322" s="207" t="s">
        <v>448</v>
      </c>
      <c r="B322" s="208"/>
      <c r="C322" s="1182"/>
      <c r="D322" s="210"/>
      <c r="E322" s="1191"/>
      <c r="F322" s="1332" t="str">
        <f t="shared" si="146"/>
        <v>-</v>
      </c>
      <c r="G322" s="209"/>
      <c r="H322" s="210"/>
      <c r="I322" s="210"/>
      <c r="J322" s="211">
        <f t="shared" si="147"/>
        <v>0</v>
      </c>
      <c r="K322" s="863"/>
      <c r="L322" s="207" t="s">
        <v>448</v>
      </c>
      <c r="M322" s="208"/>
      <c r="N322" s="1182"/>
      <c r="O322" s="210"/>
      <c r="P322" s="1191"/>
      <c r="Q322" s="1332" t="str">
        <f t="shared" si="148"/>
        <v>-</v>
      </c>
      <c r="R322" s="209"/>
      <c r="S322" s="210"/>
      <c r="T322" s="210"/>
      <c r="U322" s="211">
        <f t="shared" si="149"/>
        <v>0</v>
      </c>
      <c r="V322" s="191"/>
      <c r="W322" s="118"/>
      <c r="Y322" s="118"/>
      <c r="Z322" s="118"/>
      <c r="AB322" s="118"/>
    </row>
    <row r="323" spans="1:30">
      <c r="A323" s="217" t="s">
        <v>449</v>
      </c>
      <c r="B323" s="218"/>
      <c r="C323" s="1182">
        <v>20787</v>
      </c>
      <c r="D323" s="210">
        <v>0</v>
      </c>
      <c r="E323" s="1191"/>
      <c r="F323" s="1332" t="str">
        <f t="shared" si="146"/>
        <v>-</v>
      </c>
      <c r="G323" s="209">
        <v>24116</v>
      </c>
      <c r="H323" s="210"/>
      <c r="I323" s="210"/>
      <c r="J323" s="211">
        <f t="shared" si="147"/>
        <v>24116</v>
      </c>
      <c r="K323" s="863"/>
      <c r="L323" s="217" t="s">
        <v>449</v>
      </c>
      <c r="M323" s="218"/>
      <c r="N323" s="1182"/>
      <c r="O323" s="210"/>
      <c r="P323" s="1191"/>
      <c r="Q323" s="1332" t="str">
        <f t="shared" si="148"/>
        <v>-</v>
      </c>
      <c r="R323" s="209">
        <v>1472</v>
      </c>
      <c r="S323" s="210"/>
      <c r="T323" s="210"/>
      <c r="U323" s="211">
        <f t="shared" si="149"/>
        <v>1472</v>
      </c>
      <c r="V323" s="191"/>
      <c r="W323" s="118"/>
      <c r="X323" s="118"/>
      <c r="Y323" s="118"/>
      <c r="Z323" s="118"/>
      <c r="AA323" s="118"/>
      <c r="AB323" s="118"/>
      <c r="AC323" s="118"/>
      <c r="AD323" s="118"/>
    </row>
    <row r="324" spans="1:30">
      <c r="A324" s="217" t="s">
        <v>450</v>
      </c>
      <c r="B324" s="218">
        <v>13002</v>
      </c>
      <c r="C324" s="1182"/>
      <c r="D324" s="210"/>
      <c r="E324" s="1191"/>
      <c r="F324" s="1332" t="str">
        <f t="shared" si="146"/>
        <v>-</v>
      </c>
      <c r="G324" s="209"/>
      <c r="H324" s="210"/>
      <c r="I324" s="210"/>
      <c r="J324" s="211">
        <f t="shared" si="147"/>
        <v>13002</v>
      </c>
      <c r="K324" s="863"/>
      <c r="L324" s="217" t="s">
        <v>450</v>
      </c>
      <c r="M324" s="218"/>
      <c r="N324" s="1182"/>
      <c r="O324" s="210"/>
      <c r="P324" s="1191"/>
      <c r="Q324" s="1332" t="str">
        <f t="shared" si="148"/>
        <v>-</v>
      </c>
      <c r="R324" s="209"/>
      <c r="S324" s="210"/>
      <c r="T324" s="210"/>
      <c r="U324" s="211">
        <f t="shared" si="149"/>
        <v>0</v>
      </c>
      <c r="W324" s="118"/>
      <c r="X324" s="118"/>
      <c r="Y324" s="118"/>
      <c r="Z324" s="118"/>
      <c r="AA324" s="118"/>
      <c r="AB324" s="118"/>
    </row>
    <row r="325" spans="1:30">
      <c r="A325" s="219" t="s">
        <v>451</v>
      </c>
      <c r="B325" s="220"/>
      <c r="C325" s="1184"/>
      <c r="D325" s="222"/>
      <c r="E325" s="1192"/>
      <c r="F325" s="1334" t="str">
        <f t="shared" si="146"/>
        <v>-</v>
      </c>
      <c r="G325" s="221"/>
      <c r="H325" s="222"/>
      <c r="I325" s="222"/>
      <c r="J325" s="211">
        <f t="shared" si="147"/>
        <v>0</v>
      </c>
      <c r="K325" s="863"/>
      <c r="L325" s="219" t="s">
        <v>451</v>
      </c>
      <c r="M325" s="220"/>
      <c r="N325" s="1184"/>
      <c r="O325" s="222"/>
      <c r="P325" s="1192"/>
      <c r="Q325" s="1334" t="str">
        <f t="shared" si="148"/>
        <v>-</v>
      </c>
      <c r="R325" s="221"/>
      <c r="S325" s="222"/>
      <c r="T325" s="222"/>
      <c r="U325" s="211">
        <f t="shared" si="149"/>
        <v>0</v>
      </c>
      <c r="V325" s="191"/>
      <c r="W325" s="118"/>
      <c r="X325" s="118"/>
      <c r="Y325" s="118"/>
      <c r="Z325" s="118"/>
      <c r="AA325" s="118"/>
      <c r="AB325" s="118"/>
    </row>
    <row r="326" spans="1:30" ht="12.75" thickBot="1">
      <c r="A326" s="219" t="s">
        <v>452</v>
      </c>
      <c r="B326" s="220"/>
      <c r="C326" s="1184"/>
      <c r="D326" s="222"/>
      <c r="E326" s="1192"/>
      <c r="F326" s="1334" t="str">
        <f t="shared" si="146"/>
        <v>-</v>
      </c>
      <c r="G326" s="221"/>
      <c r="H326" s="222"/>
      <c r="I326" s="222"/>
      <c r="J326" s="211">
        <f t="shared" si="147"/>
        <v>0</v>
      </c>
      <c r="K326" s="863"/>
      <c r="L326" s="219" t="s">
        <v>452</v>
      </c>
      <c r="M326" s="220"/>
      <c r="N326" s="1184"/>
      <c r="O326" s="222"/>
      <c r="P326" s="1192"/>
      <c r="Q326" s="1334" t="str">
        <f t="shared" si="148"/>
        <v>-</v>
      </c>
      <c r="R326" s="221"/>
      <c r="S326" s="222"/>
      <c r="T326" s="222"/>
      <c r="U326" s="211">
        <f t="shared" si="149"/>
        <v>0</v>
      </c>
      <c r="V326" s="191"/>
      <c r="W326" s="118"/>
      <c r="X326" s="118"/>
      <c r="Y326" s="118"/>
      <c r="Z326" s="118"/>
      <c r="AA326" s="118"/>
      <c r="AB326" s="118"/>
    </row>
    <row r="327" spans="1:30" ht="12.75" thickBot="1">
      <c r="A327" s="190" t="s">
        <v>453</v>
      </c>
      <c r="B327" s="212">
        <f>+B319+B320+B321+B322+B323+B324+B325+B326</f>
        <v>61360</v>
      </c>
      <c r="C327" s="1183">
        <f>+C319+C320+C321+C322+C323+C324+C325+C326</f>
        <v>20787</v>
      </c>
      <c r="D327" s="212">
        <f>+D319+D320+D321+D322+D323+D324+D325+D326</f>
        <v>32489</v>
      </c>
      <c r="E327" s="1185">
        <f>+E319+E320+E321+E322+E323+E324+E325+E326</f>
        <v>32489</v>
      </c>
      <c r="F327" s="1333">
        <f t="shared" si="146"/>
        <v>1</v>
      </c>
      <c r="G327" s="214">
        <f>+G319+G320+G321+G322+G323+G324+G325+G326</f>
        <v>24116</v>
      </c>
      <c r="H327" s="212">
        <f>+H319+H320+H321+H322+H323+H324+H325+H326</f>
        <v>0</v>
      </c>
      <c r="I327" s="212">
        <f>+I319+I320+I321+I322+I323+I324+I325+I326</f>
        <v>0</v>
      </c>
      <c r="J327" s="213">
        <f>+J319+J320+J321+J322+J323+J324+J325+J326</f>
        <v>117965</v>
      </c>
      <c r="L327" s="190" t="s">
        <v>453</v>
      </c>
      <c r="M327" s="212">
        <f>+M319+M320+M321+M322+M323+M324+M325+M326</f>
        <v>0</v>
      </c>
      <c r="N327" s="1183">
        <f>+N319+N320+N321+N322+N323+N324+N325+N326</f>
        <v>0</v>
      </c>
      <c r="O327" s="212">
        <f>+O319+O320+O321+O322+O323+O324+O325+O326</f>
        <v>0</v>
      </c>
      <c r="P327" s="1185">
        <f>+P319+P320+P321+P322+P323+P324+P325+P326</f>
        <v>0</v>
      </c>
      <c r="Q327" s="1333" t="str">
        <f t="shared" si="148"/>
        <v>-</v>
      </c>
      <c r="R327" s="214">
        <f>+R319+R320+R321+R322+R323+R324+R325+R326</f>
        <v>1472</v>
      </c>
      <c r="S327" s="212">
        <f>+S319+S320+S321+S322+S323+S324+S325+S326</f>
        <v>0</v>
      </c>
      <c r="T327" s="212">
        <f>+T319+T320+T321+T322+T323+T324+T325+T326</f>
        <v>0</v>
      </c>
      <c r="U327" s="213">
        <f>+U319+U320+U321+U322+U323+U324+U325+U326</f>
        <v>1472</v>
      </c>
      <c r="V327" s="191"/>
      <c r="W327" s="118"/>
      <c r="X327" s="863"/>
      <c r="Z327" s="118"/>
      <c r="AA327" s="863"/>
    </row>
    <row r="328" spans="1:30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863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</row>
    <row r="330" spans="1:30" s="856" customFormat="1" ht="15.75">
      <c r="A330" s="189" t="s">
        <v>2727</v>
      </c>
      <c r="B330" s="1798" t="s">
        <v>2729</v>
      </c>
      <c r="C330" s="1798"/>
      <c r="D330" s="1798"/>
      <c r="E330" s="1798"/>
      <c r="F330" s="1798"/>
      <c r="G330" s="1798"/>
      <c r="H330" s="1798"/>
      <c r="I330" s="1798"/>
      <c r="J330" s="1798"/>
      <c r="K330" s="766"/>
      <c r="L330" s="189" t="s">
        <v>2728</v>
      </c>
      <c r="M330" s="1799" t="s">
        <v>2735</v>
      </c>
      <c r="N330" s="1799"/>
      <c r="O330" s="1799"/>
      <c r="P330" s="1799"/>
      <c r="Q330" s="1798"/>
      <c r="R330" s="1798"/>
      <c r="S330" s="1798"/>
      <c r="T330" s="1798"/>
      <c r="U330" s="1798"/>
      <c r="V330" s="1737"/>
    </row>
    <row r="331" spans="1:30" s="856" customFormat="1" ht="15.75" customHeight="1">
      <c r="A331" s="1796" t="s">
        <v>2730</v>
      </c>
      <c r="B331" s="1796"/>
      <c r="C331" s="1796"/>
      <c r="D331" s="1796"/>
      <c r="E331" s="1796"/>
      <c r="F331" s="1796"/>
      <c r="G331" s="1796"/>
      <c r="H331" s="1796"/>
      <c r="I331" s="1796"/>
      <c r="J331" s="1796"/>
      <c r="K331" s="766"/>
      <c r="L331" s="1796" t="s">
        <v>2736</v>
      </c>
      <c r="M331" s="1796"/>
      <c r="N331" s="1796"/>
      <c r="O331" s="1796"/>
      <c r="P331" s="1796"/>
      <c r="Q331" s="1796"/>
      <c r="R331" s="1796"/>
      <c r="S331" s="1796"/>
      <c r="T331" s="1796"/>
      <c r="U331" s="1796"/>
      <c r="V331" s="1738"/>
    </row>
    <row r="332" spans="1:30" s="856" customFormat="1" ht="15.75">
      <c r="A332" s="1795" t="s">
        <v>2731</v>
      </c>
      <c r="B332" s="1795"/>
      <c r="C332" s="1795"/>
      <c r="D332" s="1795"/>
      <c r="E332" s="1795"/>
      <c r="F332" s="1795"/>
      <c r="G332" s="1795"/>
      <c r="H332" s="1795"/>
      <c r="I332" s="1795"/>
      <c r="J332" s="1795"/>
      <c r="K332" s="766"/>
      <c r="L332" s="1795" t="s">
        <v>1105</v>
      </c>
      <c r="M332" s="1795"/>
      <c r="N332" s="1795"/>
      <c r="O332" s="1795"/>
      <c r="P332" s="1795"/>
      <c r="Q332" s="1795"/>
      <c r="R332" s="1795"/>
      <c r="S332" s="1795"/>
      <c r="T332" s="1795"/>
      <c r="U332" s="1795"/>
      <c r="V332" s="1739"/>
    </row>
    <row r="333" spans="1:30" s="859" customFormat="1" ht="12.75" thickBot="1">
      <c r="A333" s="858"/>
      <c r="B333" s="858"/>
      <c r="G333" s="858"/>
      <c r="H333" s="858"/>
      <c r="J333" s="234" t="s">
        <v>280</v>
      </c>
      <c r="K333" s="860"/>
      <c r="L333" s="858"/>
      <c r="M333" s="858"/>
      <c r="R333" s="858"/>
      <c r="S333" s="858"/>
      <c r="U333" s="234" t="s">
        <v>280</v>
      </c>
      <c r="V333" s="846"/>
    </row>
    <row r="334" spans="1:30" s="862" customFormat="1" ht="36.75" thickBot="1">
      <c r="A334" s="388" t="s">
        <v>431</v>
      </c>
      <c r="B334" s="389" t="s">
        <v>1422</v>
      </c>
      <c r="C334" s="1055" t="s">
        <v>1540</v>
      </c>
      <c r="D334" s="6" t="s">
        <v>1541</v>
      </c>
      <c r="E334" s="6" t="s">
        <v>2654</v>
      </c>
      <c r="F334" s="1330" t="s">
        <v>1558</v>
      </c>
      <c r="G334" s="369" t="s">
        <v>460</v>
      </c>
      <c r="H334" s="370" t="s">
        <v>461</v>
      </c>
      <c r="I334" s="370" t="s">
        <v>1423</v>
      </c>
      <c r="J334" s="1741" t="s">
        <v>18</v>
      </c>
      <c r="K334" s="861"/>
      <c r="L334" s="388" t="s">
        <v>431</v>
      </c>
      <c r="M334" s="389" t="s">
        <v>1422</v>
      </c>
      <c r="N334" s="1055" t="s">
        <v>1540</v>
      </c>
      <c r="O334" s="6" t="s">
        <v>1541</v>
      </c>
      <c r="P334" s="6" t="s">
        <v>2654</v>
      </c>
      <c r="Q334" s="1330" t="s">
        <v>1558</v>
      </c>
      <c r="R334" s="369" t="s">
        <v>460</v>
      </c>
      <c r="S334" s="370" t="s">
        <v>461</v>
      </c>
      <c r="T334" s="370" t="s">
        <v>1423</v>
      </c>
      <c r="U334" s="1741" t="s">
        <v>18</v>
      </c>
      <c r="V334" s="847"/>
    </row>
    <row r="335" spans="1:30">
      <c r="A335" s="197" t="s">
        <v>432</v>
      </c>
      <c r="B335" s="198">
        <f t="shared" ref="B335:J335" si="150">+B352-B340-B339-B338-B337</f>
        <v>0</v>
      </c>
      <c r="C335" s="1180">
        <f t="shared" si="150"/>
        <v>0</v>
      </c>
      <c r="D335" s="200">
        <f>+D352-D340-D339-D338-D337</f>
        <v>-1992</v>
      </c>
      <c r="E335" s="200">
        <f>+E352-E340-E339-E338-E337</f>
        <v>-1992</v>
      </c>
      <c r="F335" s="1331">
        <f t="shared" ref="F335:F341" si="151">IF(ISERROR(E335/D335),"-",E335/D335)</f>
        <v>1</v>
      </c>
      <c r="G335" s="199">
        <f t="shared" si="150"/>
        <v>1992</v>
      </c>
      <c r="H335" s="200">
        <f t="shared" si="150"/>
        <v>0</v>
      </c>
      <c r="I335" s="200">
        <f t="shared" si="150"/>
        <v>0</v>
      </c>
      <c r="J335" s="201">
        <f t="shared" si="150"/>
        <v>0</v>
      </c>
      <c r="K335" s="863"/>
      <c r="L335" s="197" t="s">
        <v>432</v>
      </c>
      <c r="M335" s="198">
        <f t="shared" ref="M335:U335" si="152">+M352-M340-M339-M338-M337</f>
        <v>0</v>
      </c>
      <c r="N335" s="1180">
        <f t="shared" si="152"/>
        <v>0</v>
      </c>
      <c r="O335" s="200">
        <f>+O352-O340-O339-O338-O337</f>
        <v>842</v>
      </c>
      <c r="P335" s="200">
        <f>+P352-P340-P339-P338-P337</f>
        <v>842</v>
      </c>
      <c r="Q335" s="1331">
        <f t="shared" ref="Q335:Q341" si="153">IF(ISERROR(P335/O335),"-",P335/O335)</f>
        <v>1</v>
      </c>
      <c r="R335" s="199">
        <f t="shared" si="152"/>
        <v>0</v>
      </c>
      <c r="S335" s="200">
        <f t="shared" si="152"/>
        <v>0</v>
      </c>
      <c r="T335" s="200">
        <f t="shared" si="152"/>
        <v>0</v>
      </c>
      <c r="U335" s="201">
        <f t="shared" si="152"/>
        <v>842</v>
      </c>
      <c r="W335" s="191"/>
      <c r="Z335" s="191"/>
    </row>
    <row r="336" spans="1:30">
      <c r="A336" s="202" t="s">
        <v>433</v>
      </c>
      <c r="B336" s="203"/>
      <c r="C336" s="1181"/>
      <c r="D336" s="205"/>
      <c r="E336" s="205"/>
      <c r="F336" s="1332" t="str">
        <f t="shared" si="151"/>
        <v>-</v>
      </c>
      <c r="G336" s="204"/>
      <c r="H336" s="205"/>
      <c r="I336" s="205"/>
      <c r="J336" s="206">
        <f>+B336+IF(D336&lt;=E336,E336,D336)+G336+H336+I336</f>
        <v>0</v>
      </c>
      <c r="K336" s="863"/>
      <c r="L336" s="202" t="s">
        <v>433</v>
      </c>
      <c r="M336" s="203"/>
      <c r="N336" s="1181"/>
      <c r="O336" s="205"/>
      <c r="P336" s="205"/>
      <c r="Q336" s="1332" t="str">
        <f t="shared" si="153"/>
        <v>-</v>
      </c>
      <c r="R336" s="204"/>
      <c r="S336" s="205"/>
      <c r="T336" s="205"/>
      <c r="U336" s="206">
        <f>+M336+IF(O336&lt;=P336,P336,O336)+R336+S336+T336</f>
        <v>0</v>
      </c>
      <c r="V336" s="848"/>
      <c r="W336" s="118">
        <f>+D11+D36+O11+O36+D61+O61+D86+O86+D111+O111+D136+O136+D336+O336+D161+O161+D186+O186+D211+O211+D236+O236+D261+O261+D286+O286+D311+O311</f>
        <v>0</v>
      </c>
      <c r="Z336" s="118">
        <f>+E11+E36+P11+P36+E61+P61+E86+P86+E111+P111+E136+P136+E336+P336+E161+P161+E186+P186+E211+P211+E236+P236+E261+P261+E286+P286+E311+P311</f>
        <v>0</v>
      </c>
    </row>
    <row r="337" spans="1:33">
      <c r="A337" s="207" t="s">
        <v>434</v>
      </c>
      <c r="B337" s="208"/>
      <c r="C337" s="1182"/>
      <c r="D337" s="210">
        <v>1992</v>
      </c>
      <c r="E337" s="210">
        <v>1992</v>
      </c>
      <c r="F337" s="1332">
        <f t="shared" si="151"/>
        <v>1</v>
      </c>
      <c r="G337" s="209"/>
      <c r="H337" s="210"/>
      <c r="I337" s="210"/>
      <c r="J337" s="211">
        <f>+B337+IF(D337&lt;=E337,E337,D337)+G337+H337+I337</f>
        <v>1992</v>
      </c>
      <c r="K337" s="863"/>
      <c r="L337" s="207" t="s">
        <v>434</v>
      </c>
      <c r="M337" s="208"/>
      <c r="N337" s="1182"/>
      <c r="O337" s="210">
        <v>69258</v>
      </c>
      <c r="P337" s="210">
        <v>69258</v>
      </c>
      <c r="Q337" s="1332">
        <f t="shared" si="153"/>
        <v>1</v>
      </c>
      <c r="R337" s="209"/>
      <c r="S337" s="210"/>
      <c r="T337" s="210"/>
      <c r="U337" s="211">
        <f>+M337+IF(O337&lt;=P337,P337,O337)+R337+S337+T337</f>
        <v>69258</v>
      </c>
      <c r="V337" s="191"/>
      <c r="W337" s="118">
        <f>+D12+D37+O12+O37+D62+O62+D87+O87+D112+O112+D137+O137+D337+O337+D162+O162+D187+O187+D212+O212+D237+O237+D262+O262+D287+O287+D312+O312</f>
        <v>416391</v>
      </c>
      <c r="X337" s="905">
        <f>+'1.mell._Össz_Mérleg2020'!D24+'1.mell._Össz_Mérleg2020'!D57</f>
        <v>416391</v>
      </c>
      <c r="Y337" s="118">
        <f>+W337-X337</f>
        <v>0</v>
      </c>
      <c r="Z337" s="118">
        <f>+E12+E37+P12+P37+E62+P62+E87+P87+E112+P112+E137+P137+E337+P337+E162+P162+E187+P187+E212+P212+E237+P237+E262+P262+E287+P287+E312+P312</f>
        <v>416391</v>
      </c>
      <c r="AA337" s="905">
        <f>+'1.mell._Össz_Mérleg2020'!E24+'1.mell._Össz_Mérleg2020'!E57</f>
        <v>416391</v>
      </c>
      <c r="AB337" s="118">
        <f>+Z337-AA337</f>
        <v>0</v>
      </c>
      <c r="AE337" s="118">
        <f>+Z337-AF337-AG337</f>
        <v>378030</v>
      </c>
      <c r="AF337" s="118">
        <f>+E312</f>
        <v>34897</v>
      </c>
      <c r="AG337" s="118">
        <f>+P312+E337</f>
        <v>3464</v>
      </c>
    </row>
    <row r="338" spans="1:33">
      <c r="A338" s="207" t="s">
        <v>435</v>
      </c>
      <c r="B338" s="208"/>
      <c r="C338" s="1182"/>
      <c r="D338" s="210"/>
      <c r="E338" s="210"/>
      <c r="F338" s="1332" t="str">
        <f t="shared" si="151"/>
        <v>-</v>
      </c>
      <c r="G338" s="209"/>
      <c r="H338" s="210"/>
      <c r="I338" s="210"/>
      <c r="J338" s="211">
        <f>+B338+IF(D338&lt;=E338,E338,D338)+G338+H338+I338</f>
        <v>0</v>
      </c>
      <c r="K338" s="863"/>
      <c r="L338" s="207" t="s">
        <v>435</v>
      </c>
      <c r="M338" s="208"/>
      <c r="N338" s="1182"/>
      <c r="O338" s="210"/>
      <c r="P338" s="210"/>
      <c r="Q338" s="1332" t="str">
        <f t="shared" si="153"/>
        <v>-</v>
      </c>
      <c r="R338" s="209"/>
      <c r="S338" s="210"/>
      <c r="T338" s="210"/>
      <c r="U338" s="211">
        <f>+M338+IF(O338&lt;=P338,P338,O338)+R338+S338+T338</f>
        <v>0</v>
      </c>
      <c r="V338" s="191"/>
      <c r="W338" s="118">
        <f>+D13+D38+O13+O38+D63+O63+D88+O88+D113+O113+D138+O138+D338+O338+D163+O163+D188+O188+D213+O213+D238+O238+D263+O263+D288+O288+D313+O313</f>
        <v>0</v>
      </c>
      <c r="Z338" s="118">
        <f>+E13+E38+P13+P38+E63+P63+E88+P88+E113+P113+E138+P138+E338+P338+E163+P163+E188+P188+E213+P213+E238+P238+E263+P263+E288+P288+E313+P313</f>
        <v>0</v>
      </c>
    </row>
    <row r="339" spans="1:33">
      <c r="A339" s="207" t="s">
        <v>436</v>
      </c>
      <c r="B339" s="208"/>
      <c r="C339" s="1182"/>
      <c r="D339" s="210"/>
      <c r="E339" s="210"/>
      <c r="F339" s="1332" t="str">
        <f t="shared" si="151"/>
        <v>-</v>
      </c>
      <c r="G339" s="209"/>
      <c r="H339" s="210"/>
      <c r="I339" s="210"/>
      <c r="J339" s="211">
        <f>+B339+IF(D339&lt;=E339,E339,D339)+G339+H339+I339</f>
        <v>0</v>
      </c>
      <c r="K339" s="863"/>
      <c r="L339" s="207" t="s">
        <v>436</v>
      </c>
      <c r="M339" s="208"/>
      <c r="N339" s="1182"/>
      <c r="O339" s="210"/>
      <c r="P339" s="210"/>
      <c r="Q339" s="1332" t="str">
        <f t="shared" si="153"/>
        <v>-</v>
      </c>
      <c r="R339" s="209"/>
      <c r="S339" s="210"/>
      <c r="T339" s="210"/>
      <c r="U339" s="211">
        <f>+M339+IF(O339&lt;=P339,P339,O339)+R339+S339+T339</f>
        <v>0</v>
      </c>
      <c r="V339" s="191"/>
      <c r="W339" s="118">
        <f>+D14+D39+O14+O39+D64+O64+D89+O89+D114+O114+D139+O139+D339+O339+D164+O164+D189+O189+D214+O214+D239+O239+D264+O264+D289+O289+D314+O314</f>
        <v>0</v>
      </c>
      <c r="Z339" s="118">
        <f>+E14+E39+P14+P39+E64+P64+E89+P89+E114+P114+E139+P139+E339+P339+E164+P164+E189+P189+E214+P214+E239+P239+E264+P264+E289+P289+E314+P314</f>
        <v>0</v>
      </c>
    </row>
    <row r="340" spans="1:33" ht="12.75" thickBot="1">
      <c r="A340" s="207" t="s">
        <v>437</v>
      </c>
      <c r="B340" s="208"/>
      <c r="C340" s="1182"/>
      <c r="D340" s="210"/>
      <c r="E340" s="210"/>
      <c r="F340" s="1332" t="str">
        <f t="shared" si="151"/>
        <v>-</v>
      </c>
      <c r="G340" s="209"/>
      <c r="H340" s="210"/>
      <c r="I340" s="210"/>
      <c r="J340" s="211">
        <f>+B340+IF(D340&lt;=E340,E340,D340)+G340+H340+I340</f>
        <v>0</v>
      </c>
      <c r="K340" s="863"/>
      <c r="L340" s="207" t="s">
        <v>437</v>
      </c>
      <c r="M340" s="208"/>
      <c r="N340" s="1182"/>
      <c r="O340" s="210"/>
      <c r="P340" s="210"/>
      <c r="Q340" s="1332" t="str">
        <f t="shared" si="153"/>
        <v>-</v>
      </c>
      <c r="R340" s="209"/>
      <c r="S340" s="210"/>
      <c r="T340" s="210"/>
      <c r="U340" s="211">
        <f>+M340+IF(O340&lt;=P340,P340,O340)+R340+S340+T340</f>
        <v>0</v>
      </c>
      <c r="V340" s="191"/>
      <c r="W340" s="118">
        <f>+D15+D40+O15+O40+D65+O65+D90+O90+D115+O115+D140+O140+D340+O340+D165+O165+D190+O190+D215+O215+D240+O240+D265+O265+D290+O290+D315+O315</f>
        <v>12873</v>
      </c>
      <c r="Z340" s="118">
        <f>+E15+E40+P15+P40+E65+P65+E90+P90+E115+P115+E140+P140+E340+P340+E165+P165+E190+P190+E215+P215+E240+P240+E265+P265+E290+P290+E315+P315</f>
        <v>12873</v>
      </c>
      <c r="AE340" s="118">
        <f>+Z340-AF340-AG340</f>
        <v>12873</v>
      </c>
      <c r="AF340" s="118">
        <f>+E315</f>
        <v>0</v>
      </c>
      <c r="AG340" s="118">
        <f>+P315+E340</f>
        <v>0</v>
      </c>
    </row>
    <row r="341" spans="1:33" ht="12.75" thickBot="1">
      <c r="A341" s="190" t="s">
        <v>438</v>
      </c>
      <c r="B341" s="212">
        <f t="shared" ref="B341:J341" si="154">+B335+B337+B338+B339+B340</f>
        <v>0</v>
      </c>
      <c r="C341" s="1183">
        <f t="shared" si="154"/>
        <v>0</v>
      </c>
      <c r="D341" s="212">
        <f>+D335+D337+D338+D339+D340</f>
        <v>0</v>
      </c>
      <c r="E341" s="212">
        <f>+E335+E337+E338+E339+E340</f>
        <v>0</v>
      </c>
      <c r="F341" s="1333" t="str">
        <f t="shared" si="151"/>
        <v>-</v>
      </c>
      <c r="G341" s="214">
        <f t="shared" si="154"/>
        <v>1992</v>
      </c>
      <c r="H341" s="212">
        <f t="shared" si="154"/>
        <v>0</v>
      </c>
      <c r="I341" s="212">
        <f t="shared" si="154"/>
        <v>0</v>
      </c>
      <c r="J341" s="213">
        <f t="shared" si="154"/>
        <v>1992</v>
      </c>
      <c r="K341" s="863"/>
      <c r="L341" s="190" t="s">
        <v>438</v>
      </c>
      <c r="M341" s="212">
        <f t="shared" ref="M341:U341" si="155">+M335+M337+M338+M339+M340</f>
        <v>0</v>
      </c>
      <c r="N341" s="1183">
        <f t="shared" si="155"/>
        <v>0</v>
      </c>
      <c r="O341" s="212">
        <f>+O335+O337+O338+O339+O340</f>
        <v>70100</v>
      </c>
      <c r="P341" s="212">
        <f>+P335+P337+P338+P339+P340</f>
        <v>70100</v>
      </c>
      <c r="Q341" s="1333">
        <f t="shared" si="153"/>
        <v>1</v>
      </c>
      <c r="R341" s="214">
        <f t="shared" si="155"/>
        <v>0</v>
      </c>
      <c r="S341" s="212">
        <f t="shared" si="155"/>
        <v>0</v>
      </c>
      <c r="T341" s="212">
        <f t="shared" si="155"/>
        <v>0</v>
      </c>
      <c r="U341" s="213">
        <f t="shared" si="155"/>
        <v>70100</v>
      </c>
      <c r="V341" s="191"/>
    </row>
    <row r="342" spans="1:33" ht="12.75" thickBot="1">
      <c r="A342" s="215"/>
      <c r="B342" s="215"/>
      <c r="C342" s="215"/>
      <c r="D342" s="215"/>
      <c r="E342" s="215"/>
      <c r="F342" s="215"/>
      <c r="G342" s="215"/>
      <c r="H342" s="215"/>
      <c r="I342" s="215"/>
      <c r="J342" s="215"/>
      <c r="K342" s="863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118"/>
      <c r="Z342" s="118"/>
    </row>
    <row r="343" spans="1:33" s="862" customFormat="1" ht="36.75" thickBot="1">
      <c r="A343" s="388" t="s">
        <v>439</v>
      </c>
      <c r="B343" s="389" t="s">
        <v>1422</v>
      </c>
      <c r="C343" s="1055" t="s">
        <v>1540</v>
      </c>
      <c r="D343" s="6" t="s">
        <v>1541</v>
      </c>
      <c r="E343" s="6" t="s">
        <v>2654</v>
      </c>
      <c r="F343" s="1330" t="s">
        <v>1558</v>
      </c>
      <c r="G343" s="369" t="s">
        <v>460</v>
      </c>
      <c r="H343" s="370" t="s">
        <v>461</v>
      </c>
      <c r="I343" s="370" t="s">
        <v>1423</v>
      </c>
      <c r="J343" s="1741" t="s">
        <v>18</v>
      </c>
      <c r="K343" s="865"/>
      <c r="L343" s="388" t="s">
        <v>439</v>
      </c>
      <c r="M343" s="389" t="s">
        <v>1422</v>
      </c>
      <c r="N343" s="1055" t="s">
        <v>1540</v>
      </c>
      <c r="O343" s="6" t="s">
        <v>1541</v>
      </c>
      <c r="P343" s="6" t="s">
        <v>2654</v>
      </c>
      <c r="Q343" s="1330" t="s">
        <v>1558</v>
      </c>
      <c r="R343" s="369" t="s">
        <v>460</v>
      </c>
      <c r="S343" s="370" t="s">
        <v>461</v>
      </c>
      <c r="T343" s="370" t="s">
        <v>1423</v>
      </c>
      <c r="U343" s="1741" t="s">
        <v>18</v>
      </c>
      <c r="V343" s="847"/>
      <c r="AE343" s="862" t="s">
        <v>2531</v>
      </c>
      <c r="AF343" s="862" t="s">
        <v>2532</v>
      </c>
      <c r="AG343" s="862" t="s">
        <v>819</v>
      </c>
    </row>
    <row r="344" spans="1:33">
      <c r="A344" s="197" t="s">
        <v>445</v>
      </c>
      <c r="B344" s="198"/>
      <c r="C344" s="1180"/>
      <c r="D344" s="200"/>
      <c r="E344" s="1190"/>
      <c r="F344" s="1331" t="str">
        <f t="shared" ref="F344:F352" si="156">IF(ISERROR(E344/D344),"-",E344/D344)</f>
        <v>-</v>
      </c>
      <c r="G344" s="199"/>
      <c r="H344" s="200"/>
      <c r="I344" s="200"/>
      <c r="J344" s="201">
        <f t="shared" ref="J344:J351" si="157">+B344+IF(D344&lt;=E344,E344,D344)+G344+H344+I344</f>
        <v>0</v>
      </c>
      <c r="K344" s="863"/>
      <c r="L344" s="197" t="s">
        <v>445</v>
      </c>
      <c r="M344" s="198"/>
      <c r="N344" s="1180"/>
      <c r="O344" s="200"/>
      <c r="P344" s="1190"/>
      <c r="Q344" s="1331" t="str">
        <f t="shared" ref="Q344:Q352" si="158">IF(ISERROR(P344/O344),"-",P344/O344)</f>
        <v>-</v>
      </c>
      <c r="R344" s="199"/>
      <c r="S344" s="200"/>
      <c r="T344" s="200"/>
      <c r="U344" s="201">
        <f t="shared" ref="U344:U351" si="159">+M344+IF(O344&lt;=P344,P344,O344)+R344+S344+T344</f>
        <v>0</v>
      </c>
      <c r="V344" s="191"/>
      <c r="W344" s="118">
        <f t="shared" ref="W344:W352" si="160">+D19+D44+O19+O44+D69+O69+D94+O94+D119+O119+D144+O144+D344+O344+D169+O169+D194+O194+D219+O219+D244+O244+D269+O269+D294+O294+D319+O319</f>
        <v>130730</v>
      </c>
      <c r="X344" s="118">
        <f>+'1.mell._Össz_Mérleg2020'!D111</f>
        <v>130730</v>
      </c>
      <c r="Y344" s="118">
        <f t="shared" ref="Y344:Y351" si="161">+W344-X344</f>
        <v>0</v>
      </c>
      <c r="Z344" s="118">
        <f t="shared" ref="Z344:Z352" si="162">+E19+E44+P19+P44+E69+P69+E94+P94+E119+P119+E144+P144+E344+P344+E169+P169+E194+P194+E219+P219+E244+P244+E269+P269+E294+P294+E319+P319</f>
        <v>130730</v>
      </c>
      <c r="AA344" s="118">
        <f>+'1.mell._Össz_Mérleg2020'!E111</f>
        <v>130730</v>
      </c>
      <c r="AB344" s="118">
        <f t="shared" ref="AB344:AB351" si="163">+Z344-AA344</f>
        <v>0</v>
      </c>
      <c r="AC344" s="864">
        <v>130730</v>
      </c>
      <c r="AE344" s="118">
        <f t="shared" ref="AE344:AE351" si="164">+Z344-AF344-AG344</f>
        <v>109888</v>
      </c>
      <c r="AF344" s="118">
        <f>+E319</f>
        <v>20842</v>
      </c>
      <c r="AG344" s="118">
        <f>+P319+E344</f>
        <v>0</v>
      </c>
    </row>
    <row r="345" spans="1:33">
      <c r="A345" s="216" t="s">
        <v>446</v>
      </c>
      <c r="B345" s="208"/>
      <c r="C345" s="1182"/>
      <c r="D345" s="210"/>
      <c r="E345" s="1191"/>
      <c r="F345" s="1332" t="str">
        <f t="shared" si="156"/>
        <v>-</v>
      </c>
      <c r="G345" s="209"/>
      <c r="H345" s="210"/>
      <c r="I345" s="210"/>
      <c r="J345" s="211">
        <f t="shared" si="157"/>
        <v>0</v>
      </c>
      <c r="K345" s="863"/>
      <c r="L345" s="216" t="s">
        <v>446</v>
      </c>
      <c r="M345" s="208"/>
      <c r="N345" s="1182"/>
      <c r="O345" s="210"/>
      <c r="P345" s="1191"/>
      <c r="Q345" s="1332" t="str">
        <f t="shared" si="158"/>
        <v>-</v>
      </c>
      <c r="R345" s="209"/>
      <c r="S345" s="210"/>
      <c r="T345" s="210"/>
      <c r="U345" s="211">
        <f t="shared" si="159"/>
        <v>0</v>
      </c>
      <c r="V345" s="191"/>
      <c r="W345" s="118">
        <f t="shared" si="160"/>
        <v>19369</v>
      </c>
      <c r="X345" s="118">
        <f>+'1.mell._Össz_Mérleg2020'!D115</f>
        <v>19369</v>
      </c>
      <c r="Y345" s="118">
        <f t="shared" si="161"/>
        <v>0</v>
      </c>
      <c r="Z345" s="118">
        <f t="shared" si="162"/>
        <v>19369</v>
      </c>
      <c r="AA345" s="118">
        <f>+'1.mell._Össz_Mérleg2020'!E115</f>
        <v>19369</v>
      </c>
      <c r="AB345" s="118">
        <f t="shared" si="163"/>
        <v>0</v>
      </c>
      <c r="AC345" s="864">
        <v>19369</v>
      </c>
      <c r="AE345" s="118">
        <f t="shared" si="164"/>
        <v>16031</v>
      </c>
      <c r="AF345" s="118">
        <f t="shared" ref="AF345:AF351" si="165">+E320</f>
        <v>3338</v>
      </c>
      <c r="AG345" s="118">
        <f t="shared" ref="AG345:AG351" si="166">+P320+E345</f>
        <v>0</v>
      </c>
    </row>
    <row r="346" spans="1:33">
      <c r="A346" s="207" t="s">
        <v>447</v>
      </c>
      <c r="B346" s="208"/>
      <c r="C346" s="1182"/>
      <c r="D346" s="210"/>
      <c r="E346" s="1191"/>
      <c r="F346" s="1332" t="str">
        <f t="shared" si="156"/>
        <v>-</v>
      </c>
      <c r="G346" s="209"/>
      <c r="H346" s="210"/>
      <c r="I346" s="210"/>
      <c r="J346" s="211">
        <f t="shared" si="157"/>
        <v>0</v>
      </c>
      <c r="K346" s="863"/>
      <c r="L346" s="207" t="s">
        <v>447</v>
      </c>
      <c r="M346" s="208"/>
      <c r="N346" s="1182"/>
      <c r="O346" s="210">
        <v>3695</v>
      </c>
      <c r="P346" s="1191">
        <f>3696-1</f>
        <v>3695</v>
      </c>
      <c r="Q346" s="1332">
        <f t="shared" si="158"/>
        <v>1</v>
      </c>
      <c r="R346" s="209"/>
      <c r="S346" s="210"/>
      <c r="T346" s="210"/>
      <c r="U346" s="211">
        <f t="shared" si="159"/>
        <v>3695</v>
      </c>
      <c r="V346" s="191"/>
      <c r="W346" s="118">
        <f t="shared" si="160"/>
        <v>168804</v>
      </c>
      <c r="X346" s="118">
        <f>+'1.mell._Össz_Mérleg2020'!D117</f>
        <v>168804</v>
      </c>
      <c r="Y346" s="118">
        <f t="shared" si="161"/>
        <v>0</v>
      </c>
      <c r="Z346" s="118">
        <f t="shared" si="162"/>
        <v>168804</v>
      </c>
      <c r="AA346" s="118">
        <f>+'1.mell._Össz_Mérleg2020'!E117</f>
        <v>168804</v>
      </c>
      <c r="AB346" s="118">
        <f t="shared" si="163"/>
        <v>0</v>
      </c>
      <c r="AC346" s="864">
        <v>168804</v>
      </c>
      <c r="AE346" s="118">
        <f t="shared" si="164"/>
        <v>160495</v>
      </c>
      <c r="AF346" s="118">
        <f t="shared" si="165"/>
        <v>8309</v>
      </c>
      <c r="AG346" s="118">
        <f t="shared" si="166"/>
        <v>0</v>
      </c>
    </row>
    <row r="347" spans="1:33">
      <c r="A347" s="207" t="s">
        <v>448</v>
      </c>
      <c r="B347" s="208"/>
      <c r="C347" s="1182"/>
      <c r="D347" s="210"/>
      <c r="E347" s="1191"/>
      <c r="F347" s="1332" t="str">
        <f t="shared" si="156"/>
        <v>-</v>
      </c>
      <c r="G347" s="209"/>
      <c r="H347" s="210"/>
      <c r="I347" s="210"/>
      <c r="J347" s="211">
        <f t="shared" si="157"/>
        <v>0</v>
      </c>
      <c r="K347" s="863"/>
      <c r="L347" s="207" t="s">
        <v>448</v>
      </c>
      <c r="M347" s="208"/>
      <c r="N347" s="1182"/>
      <c r="O347" s="210"/>
      <c r="P347" s="1191"/>
      <c r="Q347" s="1332" t="str">
        <f t="shared" si="158"/>
        <v>-</v>
      </c>
      <c r="R347" s="209"/>
      <c r="S347" s="210"/>
      <c r="T347" s="210"/>
      <c r="U347" s="211">
        <f t="shared" si="159"/>
        <v>0</v>
      </c>
      <c r="V347" s="191"/>
      <c r="W347" s="118">
        <f t="shared" si="160"/>
        <v>0</v>
      </c>
      <c r="Y347" s="118">
        <f t="shared" si="161"/>
        <v>0</v>
      </c>
      <c r="Z347" s="118">
        <f t="shared" si="162"/>
        <v>0</v>
      </c>
      <c r="AB347" s="118">
        <f t="shared" si="163"/>
        <v>0</v>
      </c>
      <c r="AE347" s="118">
        <f t="shared" si="164"/>
        <v>0</v>
      </c>
      <c r="AF347" s="118">
        <f t="shared" si="165"/>
        <v>0</v>
      </c>
      <c r="AG347" s="118">
        <f t="shared" si="166"/>
        <v>0</v>
      </c>
    </row>
    <row r="348" spans="1:33">
      <c r="A348" s="217" t="s">
        <v>449</v>
      </c>
      <c r="B348" s="218"/>
      <c r="C348" s="1182"/>
      <c r="D348" s="210"/>
      <c r="E348" s="1191"/>
      <c r="F348" s="1332" t="str">
        <f t="shared" si="156"/>
        <v>-</v>
      </c>
      <c r="G348" s="209">
        <v>1992</v>
      </c>
      <c r="H348" s="210"/>
      <c r="I348" s="210"/>
      <c r="J348" s="211">
        <f t="shared" si="157"/>
        <v>1992</v>
      </c>
      <c r="K348" s="863"/>
      <c r="L348" s="217" t="s">
        <v>449</v>
      </c>
      <c r="M348" s="218"/>
      <c r="N348" s="1182"/>
      <c r="O348" s="210"/>
      <c r="P348" s="1191"/>
      <c r="Q348" s="1332" t="str">
        <f t="shared" si="158"/>
        <v>-</v>
      </c>
      <c r="R348" s="209"/>
      <c r="S348" s="210"/>
      <c r="T348" s="210"/>
      <c r="U348" s="211">
        <f t="shared" si="159"/>
        <v>0</v>
      </c>
      <c r="V348" s="191"/>
      <c r="W348" s="118">
        <f t="shared" si="160"/>
        <v>10234</v>
      </c>
      <c r="X348" s="118">
        <f>+'1.mell._Össz_Mérleg2020'!D139</f>
        <v>10234</v>
      </c>
      <c r="Y348" s="118">
        <f t="shared" si="161"/>
        <v>0</v>
      </c>
      <c r="Z348" s="118">
        <f t="shared" si="162"/>
        <v>10234</v>
      </c>
      <c r="AA348" s="118">
        <f>+'1.mell._Össz_Mérleg2020'!E139</f>
        <v>10234</v>
      </c>
      <c r="AB348" s="118">
        <f t="shared" si="163"/>
        <v>0</v>
      </c>
      <c r="AC348" s="118">
        <v>10234</v>
      </c>
      <c r="AD348" s="118"/>
      <c r="AE348" s="118">
        <f t="shared" si="164"/>
        <v>10234</v>
      </c>
      <c r="AF348" s="118">
        <f t="shared" si="165"/>
        <v>0</v>
      </c>
      <c r="AG348" s="118">
        <f t="shared" si="166"/>
        <v>0</v>
      </c>
    </row>
    <row r="349" spans="1:33">
      <c r="A349" s="217" t="s">
        <v>450</v>
      </c>
      <c r="B349" s="218"/>
      <c r="C349" s="1182"/>
      <c r="D349" s="210"/>
      <c r="E349" s="1191"/>
      <c r="F349" s="1332" t="str">
        <f t="shared" si="156"/>
        <v>-</v>
      </c>
      <c r="G349" s="209"/>
      <c r="H349" s="210"/>
      <c r="I349" s="210"/>
      <c r="J349" s="211">
        <f t="shared" si="157"/>
        <v>0</v>
      </c>
      <c r="K349" s="863"/>
      <c r="L349" s="217" t="s">
        <v>450</v>
      </c>
      <c r="M349" s="218"/>
      <c r="N349" s="1182"/>
      <c r="O349" s="210">
        <v>66405</v>
      </c>
      <c r="P349" s="1191">
        <v>66405</v>
      </c>
      <c r="Q349" s="1332">
        <f t="shared" si="158"/>
        <v>1</v>
      </c>
      <c r="R349" s="209"/>
      <c r="S349" s="210"/>
      <c r="T349" s="210"/>
      <c r="U349" s="211">
        <f t="shared" si="159"/>
        <v>66405</v>
      </c>
      <c r="W349" s="118">
        <f t="shared" si="160"/>
        <v>513829</v>
      </c>
      <c r="X349" s="118">
        <f>+'1.mell._Össz_Mérleg2020'!D151</f>
        <v>513829</v>
      </c>
      <c r="Y349" s="118">
        <f t="shared" si="161"/>
        <v>0</v>
      </c>
      <c r="Z349" s="118">
        <f t="shared" si="162"/>
        <v>513829</v>
      </c>
      <c r="AA349" s="118">
        <f>+'1.mell._Össz_Mérleg2020'!E151</f>
        <v>513829</v>
      </c>
      <c r="AB349" s="118">
        <f t="shared" si="163"/>
        <v>0</v>
      </c>
      <c r="AC349" s="864">
        <v>513829</v>
      </c>
      <c r="AE349" s="118">
        <f t="shared" si="164"/>
        <v>513829</v>
      </c>
      <c r="AF349" s="118">
        <f t="shared" si="165"/>
        <v>0</v>
      </c>
      <c r="AG349" s="118">
        <f t="shared" si="166"/>
        <v>0</v>
      </c>
    </row>
    <row r="350" spans="1:33">
      <c r="A350" s="219" t="s">
        <v>451</v>
      </c>
      <c r="B350" s="220"/>
      <c r="C350" s="1184"/>
      <c r="D350" s="222"/>
      <c r="E350" s="1192"/>
      <c r="F350" s="1334" t="str">
        <f t="shared" si="156"/>
        <v>-</v>
      </c>
      <c r="G350" s="221"/>
      <c r="H350" s="222"/>
      <c r="I350" s="222"/>
      <c r="J350" s="211">
        <f t="shared" si="157"/>
        <v>0</v>
      </c>
      <c r="K350" s="863"/>
      <c r="L350" s="219" t="s">
        <v>451</v>
      </c>
      <c r="M350" s="220"/>
      <c r="N350" s="1184"/>
      <c r="O350" s="222"/>
      <c r="P350" s="1192"/>
      <c r="Q350" s="1334" t="str">
        <f t="shared" si="158"/>
        <v>-</v>
      </c>
      <c r="R350" s="221"/>
      <c r="S350" s="222"/>
      <c r="T350" s="222"/>
      <c r="U350" s="211">
        <f t="shared" si="159"/>
        <v>0</v>
      </c>
      <c r="V350" s="191"/>
      <c r="W350" s="118">
        <f t="shared" si="160"/>
        <v>423059</v>
      </c>
      <c r="X350" s="118">
        <f>+'1.mell._Össz_Mérleg2020'!D160</f>
        <v>423059</v>
      </c>
      <c r="Y350" s="118">
        <f t="shared" si="161"/>
        <v>0</v>
      </c>
      <c r="Z350" s="118">
        <f t="shared" si="162"/>
        <v>423059</v>
      </c>
      <c r="AA350" s="118">
        <f>+'1.mell._Össz_Mérleg2020'!E160</f>
        <v>423059</v>
      </c>
      <c r="AB350" s="118">
        <f t="shared" si="163"/>
        <v>0</v>
      </c>
      <c r="AC350" s="864">
        <v>423059</v>
      </c>
      <c r="AE350" s="118">
        <f t="shared" si="164"/>
        <v>423059</v>
      </c>
      <c r="AF350" s="118">
        <f t="shared" si="165"/>
        <v>0</v>
      </c>
      <c r="AG350" s="118">
        <f t="shared" si="166"/>
        <v>0</v>
      </c>
    </row>
    <row r="351" spans="1:33" ht="12.75" thickBot="1">
      <c r="A351" s="219" t="s">
        <v>452</v>
      </c>
      <c r="B351" s="220"/>
      <c r="C351" s="1184"/>
      <c r="D351" s="222"/>
      <c r="E351" s="1192"/>
      <c r="F351" s="1334" t="str">
        <f t="shared" si="156"/>
        <v>-</v>
      </c>
      <c r="G351" s="221"/>
      <c r="H351" s="222"/>
      <c r="I351" s="222"/>
      <c r="J351" s="211">
        <f t="shared" si="157"/>
        <v>0</v>
      </c>
      <c r="K351" s="863"/>
      <c r="L351" s="219" t="s">
        <v>452</v>
      </c>
      <c r="M351" s="220"/>
      <c r="N351" s="1184"/>
      <c r="O351" s="222"/>
      <c r="P351" s="1192"/>
      <c r="Q351" s="1334" t="str">
        <f t="shared" si="158"/>
        <v>-</v>
      </c>
      <c r="R351" s="221"/>
      <c r="S351" s="222"/>
      <c r="T351" s="222"/>
      <c r="U351" s="211">
        <f t="shared" si="159"/>
        <v>0</v>
      </c>
      <c r="V351" s="191"/>
      <c r="W351" s="118">
        <f t="shared" si="160"/>
        <v>0</v>
      </c>
      <c r="X351" s="118">
        <f>+'1.mell._Össz_Mérleg2020'!D170</f>
        <v>0</v>
      </c>
      <c r="Y351" s="118">
        <f t="shared" si="161"/>
        <v>0</v>
      </c>
      <c r="Z351" s="118">
        <f t="shared" si="162"/>
        <v>0</v>
      </c>
      <c r="AA351" s="118">
        <f>+'1.mell._Össz_Mérleg2020'!E170</f>
        <v>0</v>
      </c>
      <c r="AB351" s="118">
        <f t="shared" si="163"/>
        <v>0</v>
      </c>
      <c r="AE351" s="118">
        <f t="shared" si="164"/>
        <v>0</v>
      </c>
      <c r="AF351" s="118">
        <f t="shared" si="165"/>
        <v>0</v>
      </c>
      <c r="AG351" s="118">
        <f t="shared" si="166"/>
        <v>0</v>
      </c>
    </row>
    <row r="352" spans="1:33" ht="12.75" thickBot="1">
      <c r="A352" s="190" t="s">
        <v>453</v>
      </c>
      <c r="B352" s="212">
        <f t="shared" ref="B352:J352" si="167">+B344+B345+B346+B347+B348+B349+B350+B351</f>
        <v>0</v>
      </c>
      <c r="C352" s="1183">
        <f t="shared" si="167"/>
        <v>0</v>
      </c>
      <c r="D352" s="212">
        <f>+D344+D345+D346+D347+D348+D349+D350+D351</f>
        <v>0</v>
      </c>
      <c r="E352" s="1185">
        <f>+E344+E345+E346+E347+E348+E349+E350+E351</f>
        <v>0</v>
      </c>
      <c r="F352" s="1333" t="str">
        <f t="shared" si="156"/>
        <v>-</v>
      </c>
      <c r="G352" s="214">
        <f t="shared" si="167"/>
        <v>1992</v>
      </c>
      <c r="H352" s="212">
        <f t="shared" si="167"/>
        <v>0</v>
      </c>
      <c r="I352" s="212">
        <f t="shared" si="167"/>
        <v>0</v>
      </c>
      <c r="J352" s="213">
        <f t="shared" si="167"/>
        <v>1992</v>
      </c>
      <c r="L352" s="190" t="s">
        <v>453</v>
      </c>
      <c r="M352" s="212">
        <f t="shared" ref="M352:U352" si="168">+M344+M345+M346+M347+M348+M349+M350+M351</f>
        <v>0</v>
      </c>
      <c r="N352" s="1183">
        <f t="shared" si="168"/>
        <v>0</v>
      </c>
      <c r="O352" s="212">
        <f>+O344+O345+O346+O347+O348+O349+O350+O351</f>
        <v>70100</v>
      </c>
      <c r="P352" s="1185">
        <f>+P344+P345+P346+P347+P348+P349+P350+P351</f>
        <v>70100</v>
      </c>
      <c r="Q352" s="1333">
        <f t="shared" si="158"/>
        <v>1</v>
      </c>
      <c r="R352" s="214">
        <f t="shared" si="168"/>
        <v>0</v>
      </c>
      <c r="S352" s="212">
        <f t="shared" si="168"/>
        <v>0</v>
      </c>
      <c r="T352" s="212">
        <f t="shared" si="168"/>
        <v>0</v>
      </c>
      <c r="U352" s="213">
        <f t="shared" si="168"/>
        <v>70100</v>
      </c>
      <c r="V352" s="191"/>
      <c r="W352" s="118">
        <f t="shared" si="160"/>
        <v>1266025</v>
      </c>
      <c r="X352" s="863"/>
      <c r="Z352" s="118">
        <f t="shared" si="162"/>
        <v>1266025</v>
      </c>
      <c r="AA352" s="863"/>
    </row>
    <row r="353" spans="1:22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863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</row>
    <row r="355" spans="1:22" s="856" customFormat="1" ht="15.75">
      <c r="A355" s="1797" t="s">
        <v>1424</v>
      </c>
      <c r="B355" s="1797"/>
      <c r="C355" s="1797"/>
      <c r="D355" s="1797"/>
      <c r="E355" s="1797"/>
      <c r="F355" s="1797"/>
      <c r="G355" s="1797"/>
      <c r="H355" s="1797"/>
      <c r="I355" s="1797"/>
      <c r="J355" s="1797"/>
      <c r="K355" s="767"/>
      <c r="L355" s="192"/>
      <c r="M355" s="192"/>
      <c r="N355" s="561"/>
      <c r="O355" s="561"/>
      <c r="P355" s="561"/>
      <c r="Q355" s="561"/>
      <c r="R355" s="561"/>
      <c r="S355" s="561"/>
      <c r="T355" s="561"/>
      <c r="U355" s="561"/>
      <c r="V355" s="561"/>
    </row>
    <row r="356" spans="1:22" s="859" customFormat="1" ht="12.75" thickBot="1">
      <c r="A356" s="858"/>
      <c r="B356" s="858"/>
      <c r="C356" s="858"/>
      <c r="D356" s="858"/>
      <c r="E356" s="858"/>
      <c r="F356" s="858"/>
      <c r="G356" s="858"/>
      <c r="H356" s="858"/>
      <c r="J356" s="234" t="s">
        <v>280</v>
      </c>
      <c r="K356" s="860"/>
      <c r="L356" s="858"/>
      <c r="M356" s="858"/>
      <c r="N356" s="858"/>
      <c r="O356" s="858"/>
      <c r="P356" s="858"/>
      <c r="Q356" s="858"/>
      <c r="R356" s="858"/>
      <c r="S356" s="858"/>
      <c r="T356" s="858"/>
      <c r="U356" s="858"/>
      <c r="V356" s="858"/>
    </row>
    <row r="357" spans="1:22" s="868" customFormat="1" ht="36.75" thickBot="1">
      <c r="A357" s="1742" t="s">
        <v>439</v>
      </c>
      <c r="B357" s="907" t="s">
        <v>1422</v>
      </c>
      <c r="C357" s="1055" t="s">
        <v>1540</v>
      </c>
      <c r="D357" s="6" t="s">
        <v>1541</v>
      </c>
      <c r="E357" s="6" t="s">
        <v>2654</v>
      </c>
      <c r="F357" s="1330" t="s">
        <v>1558</v>
      </c>
      <c r="G357" s="854" t="s">
        <v>460</v>
      </c>
      <c r="H357" s="855" t="s">
        <v>461</v>
      </c>
      <c r="I357" s="855" t="s">
        <v>1423</v>
      </c>
      <c r="J357" s="815" t="s">
        <v>18</v>
      </c>
      <c r="K357" s="867"/>
      <c r="L357" s="563"/>
      <c r="M357" s="563"/>
      <c r="N357" s="563"/>
      <c r="O357" s="563"/>
      <c r="P357" s="563"/>
      <c r="Q357" s="563"/>
      <c r="R357" s="563"/>
      <c r="S357" s="563"/>
      <c r="T357" s="563"/>
      <c r="U357" s="563"/>
      <c r="V357" s="563"/>
    </row>
    <row r="358" spans="1:22">
      <c r="A358" s="849" t="s">
        <v>19</v>
      </c>
      <c r="B358" s="850"/>
      <c r="C358" s="1180"/>
      <c r="D358" s="200"/>
      <c r="E358" s="1190"/>
      <c r="F358" s="1334" t="str">
        <f>IF(ISERROR(E358/D358),"-",E358/D358)</f>
        <v>-</v>
      </c>
      <c r="G358" s="851"/>
      <c r="H358" s="852"/>
      <c r="I358" s="853"/>
      <c r="J358" s="211">
        <f>+B358+IF(D358&lt;=E358,E358,D358)+G358+H358+I358</f>
        <v>0</v>
      </c>
      <c r="K358" s="863"/>
      <c r="L358" s="869"/>
      <c r="M358" s="869"/>
      <c r="N358" s="869"/>
      <c r="O358" s="869"/>
      <c r="P358" s="869"/>
      <c r="Q358" s="869"/>
      <c r="R358" s="869"/>
      <c r="S358" s="869"/>
      <c r="T358" s="869"/>
      <c r="U358" s="869"/>
      <c r="V358" s="869"/>
    </row>
    <row r="359" spans="1:22" ht="12.75" thickBot="1">
      <c r="A359" s="223"/>
      <c r="B359" s="224"/>
      <c r="C359" s="1186"/>
      <c r="D359" s="1187"/>
      <c r="E359" s="1191"/>
      <c r="F359" s="1334" t="str">
        <f>IF(ISERROR(E359/D359),"-",E359/D359)</f>
        <v>-</v>
      </c>
      <c r="G359" s="225"/>
      <c r="H359" s="226"/>
      <c r="I359" s="227"/>
      <c r="J359" s="228"/>
      <c r="K359" s="863"/>
      <c r="L359" s="869"/>
      <c r="M359" s="869"/>
      <c r="N359" s="869"/>
      <c r="O359" s="869"/>
      <c r="P359" s="869"/>
      <c r="Q359" s="869"/>
      <c r="R359" s="869"/>
      <c r="S359" s="869"/>
      <c r="T359" s="869"/>
      <c r="U359" s="869"/>
      <c r="V359" s="869"/>
    </row>
    <row r="360" spans="1:22" ht="12.75" thickBot="1">
      <c r="A360" s="193" t="s">
        <v>440</v>
      </c>
      <c r="B360" s="229">
        <f t="shared" ref="B360:J360" si="169">+B358+B359</f>
        <v>0</v>
      </c>
      <c r="C360" s="1188">
        <f t="shared" si="169"/>
        <v>0</v>
      </c>
      <c r="D360" s="1189">
        <f t="shared" si="169"/>
        <v>0</v>
      </c>
      <c r="E360" s="231">
        <f t="shared" si="169"/>
        <v>0</v>
      </c>
      <c r="F360" s="1333" t="str">
        <f>IF(ISERROR(E360/D360),"-",E360/D360)</f>
        <v>-</v>
      </c>
      <c r="G360" s="230">
        <f t="shared" si="169"/>
        <v>0</v>
      </c>
      <c r="H360" s="231">
        <f t="shared" si="169"/>
        <v>0</v>
      </c>
      <c r="I360" s="232">
        <f t="shared" si="169"/>
        <v>0</v>
      </c>
      <c r="J360" s="233">
        <f t="shared" si="169"/>
        <v>0</v>
      </c>
    </row>
    <row r="362" spans="1:22">
      <c r="A362" s="195"/>
      <c r="B362" s="869"/>
      <c r="C362" s="869"/>
      <c r="D362" s="869"/>
      <c r="E362" s="869"/>
      <c r="F362" s="869"/>
      <c r="G362" s="869"/>
      <c r="H362" s="869"/>
      <c r="I362" s="869"/>
      <c r="J362" s="869"/>
    </row>
  </sheetData>
  <mergeCells count="72">
    <mergeCell ref="B305:J305"/>
    <mergeCell ref="M305:U305"/>
    <mergeCell ref="A306:J306"/>
    <mergeCell ref="L306:U306"/>
    <mergeCell ref="A307:J307"/>
    <mergeCell ref="L307:U307"/>
    <mergeCell ref="A7:J7"/>
    <mergeCell ref="L7:U7"/>
    <mergeCell ref="A3:U3"/>
    <mergeCell ref="B5:J5"/>
    <mergeCell ref="M5:U5"/>
    <mergeCell ref="A6:J6"/>
    <mergeCell ref="L6:U6"/>
    <mergeCell ref="B30:J30"/>
    <mergeCell ref="M30:U30"/>
    <mergeCell ref="A31:J31"/>
    <mergeCell ref="L31:U31"/>
    <mergeCell ref="A32:J32"/>
    <mergeCell ref="L32:U32"/>
    <mergeCell ref="B55:J55"/>
    <mergeCell ref="M55:U55"/>
    <mergeCell ref="A56:J56"/>
    <mergeCell ref="L56:U56"/>
    <mergeCell ref="A57:J57"/>
    <mergeCell ref="L57:U57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130:J130"/>
    <mergeCell ref="M130:U130"/>
    <mergeCell ref="A131:J131"/>
    <mergeCell ref="L131:U131"/>
    <mergeCell ref="A132:J132"/>
    <mergeCell ref="L132:U132"/>
    <mergeCell ref="A355:J355"/>
    <mergeCell ref="B330:J330"/>
    <mergeCell ref="M330:U330"/>
    <mergeCell ref="A331:J331"/>
    <mergeCell ref="L331:U331"/>
    <mergeCell ref="A332:J332"/>
    <mergeCell ref="L332:U332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231:J231"/>
    <mergeCell ref="L231:U231"/>
    <mergeCell ref="A232:J232"/>
    <mergeCell ref="L232:U232"/>
    <mergeCell ref="A281:J281"/>
    <mergeCell ref="L281:U281"/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X53"/>
  <sheetViews>
    <sheetView zoomScaleNormal="100" workbookViewId="0"/>
  </sheetViews>
  <sheetFormatPr defaultRowHeight="12"/>
  <cols>
    <col min="1" max="1" width="5" style="179" customWidth="1"/>
    <col min="2" max="2" width="48" style="179" customWidth="1"/>
    <col min="3" max="5" width="9.5703125" style="179" customWidth="1"/>
    <col min="6" max="6" width="9.5703125" style="1336" customWidth="1"/>
    <col min="7" max="23" width="7.28515625" style="179" bestFit="1" customWidth="1"/>
    <col min="24" max="24" width="10.28515625" style="179" customWidth="1"/>
    <col min="25" max="16384" width="9.140625" style="179"/>
  </cols>
  <sheetData>
    <row r="1" spans="1:24" s="180" customFormat="1" ht="15.75">
      <c r="A1" s="140"/>
      <c r="B1" s="140"/>
      <c r="C1" s="140"/>
      <c r="D1" s="140"/>
      <c r="E1" s="140"/>
      <c r="F1" s="1335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88" t="s">
        <v>455</v>
      </c>
    </row>
    <row r="2" spans="1:24" s="180" customFormat="1" ht="15.75">
      <c r="A2" s="140"/>
      <c r="B2" s="140"/>
      <c r="C2" s="140"/>
      <c r="D2" s="140"/>
      <c r="E2" s="140"/>
      <c r="F2" s="1335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88"/>
    </row>
    <row r="3" spans="1:24" s="180" customFormat="1" ht="15.75">
      <c r="A3" s="1804" t="s">
        <v>456</v>
      </c>
      <c r="B3" s="1804"/>
      <c r="C3" s="1804"/>
      <c r="D3" s="1804"/>
      <c r="E3" s="1804"/>
      <c r="F3" s="1804"/>
      <c r="G3" s="1804"/>
      <c r="H3" s="1804"/>
      <c r="I3" s="1804"/>
      <c r="J3" s="1804"/>
      <c r="K3" s="1804"/>
      <c r="L3" s="1804"/>
      <c r="M3" s="1804"/>
      <c r="N3" s="1804"/>
      <c r="O3" s="1804"/>
      <c r="P3" s="1804"/>
      <c r="Q3" s="1804"/>
      <c r="R3" s="1804"/>
      <c r="S3" s="1804"/>
      <c r="T3" s="1804"/>
      <c r="U3" s="1804"/>
      <c r="V3" s="1804"/>
      <c r="W3" s="1804"/>
      <c r="X3" s="1804"/>
    </row>
    <row r="4" spans="1:24" ht="12.75" thickBot="1">
      <c r="A4" s="141"/>
      <c r="B4" s="141"/>
      <c r="C4" s="141"/>
      <c r="D4" s="141"/>
      <c r="E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238" t="s">
        <v>49</v>
      </c>
    </row>
    <row r="5" spans="1:24" ht="14.25" thickBot="1">
      <c r="A5" s="1805" t="s">
        <v>17</v>
      </c>
      <c r="B5" s="1807" t="s">
        <v>7</v>
      </c>
      <c r="C5" s="1811" t="s">
        <v>476</v>
      </c>
      <c r="D5" s="1812"/>
      <c r="E5" s="1812"/>
      <c r="F5" s="1812"/>
      <c r="G5" s="1812"/>
      <c r="H5" s="1812"/>
      <c r="I5" s="1812"/>
      <c r="J5" s="1812"/>
      <c r="K5" s="1812"/>
      <c r="L5" s="1812"/>
      <c r="M5" s="1812"/>
      <c r="N5" s="1812"/>
      <c r="O5" s="1812"/>
      <c r="P5" s="1812"/>
      <c r="Q5" s="1812"/>
      <c r="R5" s="1812"/>
      <c r="S5" s="1812"/>
      <c r="T5" s="1812"/>
      <c r="U5" s="1812"/>
      <c r="V5" s="1812"/>
      <c r="W5" s="1813"/>
      <c r="X5" s="1809" t="s">
        <v>18</v>
      </c>
    </row>
    <row r="6" spans="1:24" ht="36.75" thickBot="1">
      <c r="A6" s="1806"/>
      <c r="B6" s="1808"/>
      <c r="C6" s="1055" t="s">
        <v>1540</v>
      </c>
      <c r="D6" s="6" t="s">
        <v>1541</v>
      </c>
      <c r="E6" s="6" t="s">
        <v>2654</v>
      </c>
      <c r="F6" s="1291" t="s">
        <v>1558</v>
      </c>
      <c r="G6" s="237" t="s">
        <v>460</v>
      </c>
      <c r="H6" s="237" t="s">
        <v>461</v>
      </c>
      <c r="I6" s="237" t="s">
        <v>462</v>
      </c>
      <c r="J6" s="237" t="s">
        <v>463</v>
      </c>
      <c r="K6" s="237" t="s">
        <v>464</v>
      </c>
      <c r="L6" s="237" t="s">
        <v>975</v>
      </c>
      <c r="M6" s="237" t="s">
        <v>1100</v>
      </c>
      <c r="N6" s="237" t="s">
        <v>1127</v>
      </c>
      <c r="O6" s="237" t="s">
        <v>1128</v>
      </c>
      <c r="P6" s="237" t="s">
        <v>1129</v>
      </c>
      <c r="Q6" s="237" t="s">
        <v>1130</v>
      </c>
      <c r="R6" s="237" t="s">
        <v>1131</v>
      </c>
      <c r="S6" s="237" t="s">
        <v>1132</v>
      </c>
      <c r="T6" s="237" t="s">
        <v>1133</v>
      </c>
      <c r="U6" s="237" t="s">
        <v>1134</v>
      </c>
      <c r="V6" s="237" t="s">
        <v>1135</v>
      </c>
      <c r="W6" s="237" t="s">
        <v>1136</v>
      </c>
      <c r="X6" s="1810"/>
    </row>
    <row r="7" spans="1:24" ht="13.5" customHeight="1" thickBot="1">
      <c r="A7" s="236">
        <v>1</v>
      </c>
      <c r="B7" s="235">
        <v>2</v>
      </c>
      <c r="C7" s="1801">
        <v>3</v>
      </c>
      <c r="D7" s="1802"/>
      <c r="E7" s="1802"/>
      <c r="F7" s="1803"/>
      <c r="G7" s="239">
        <v>4</v>
      </c>
      <c r="H7" s="239">
        <v>5</v>
      </c>
      <c r="I7" s="239">
        <v>6</v>
      </c>
      <c r="J7" s="239">
        <v>7</v>
      </c>
      <c r="K7" s="239">
        <v>8</v>
      </c>
      <c r="L7" s="239">
        <v>10</v>
      </c>
      <c r="M7" s="239">
        <v>11</v>
      </c>
      <c r="N7" s="239">
        <v>12</v>
      </c>
      <c r="O7" s="239">
        <v>13</v>
      </c>
      <c r="P7" s="239">
        <v>14</v>
      </c>
      <c r="Q7" s="239">
        <v>15</v>
      </c>
      <c r="R7" s="239">
        <v>16</v>
      </c>
      <c r="S7" s="239">
        <v>17</v>
      </c>
      <c r="T7" s="239">
        <v>18</v>
      </c>
      <c r="U7" s="239">
        <v>19</v>
      </c>
      <c r="V7" s="239">
        <v>20</v>
      </c>
      <c r="W7" s="239">
        <v>21</v>
      </c>
      <c r="X7" s="240" t="s">
        <v>1425</v>
      </c>
    </row>
    <row r="8" spans="1:24">
      <c r="A8" s="271" t="s">
        <v>4</v>
      </c>
      <c r="B8" s="816" t="s">
        <v>960</v>
      </c>
      <c r="C8" s="1193">
        <v>367102</v>
      </c>
      <c r="D8" s="1199">
        <v>367102</v>
      </c>
      <c r="E8" s="1199">
        <v>366262</v>
      </c>
      <c r="F8" s="1337">
        <f t="shared" ref="F8:F37" si="0">IF(ISERROR(E8/D8),"-",E8/D8)</f>
        <v>0.99771180761750144</v>
      </c>
      <c r="G8" s="963">
        <f>+ROUND(F8*1.035,0)</f>
        <v>1</v>
      </c>
      <c r="H8" s="963">
        <f>+ROUND(G8*1.03,0)</f>
        <v>1</v>
      </c>
      <c r="I8" s="963">
        <f>+ROUND(H8*1.034,0)</f>
        <v>1</v>
      </c>
      <c r="J8" s="242">
        <f t="shared" ref="J8:W13" si="1">+I8</f>
        <v>1</v>
      </c>
      <c r="K8" s="242">
        <f t="shared" ref="K8:L13" si="2">+J8</f>
        <v>1</v>
      </c>
      <c r="L8" s="242">
        <f t="shared" si="2"/>
        <v>1</v>
      </c>
      <c r="M8" s="242">
        <f t="shared" si="1"/>
        <v>1</v>
      </c>
      <c r="N8" s="242">
        <f t="shared" si="1"/>
        <v>1</v>
      </c>
      <c r="O8" s="242">
        <f t="shared" si="1"/>
        <v>1</v>
      </c>
      <c r="P8" s="242">
        <f t="shared" si="1"/>
        <v>1</v>
      </c>
      <c r="Q8" s="242">
        <f t="shared" si="1"/>
        <v>1</v>
      </c>
      <c r="R8" s="242">
        <f t="shared" si="1"/>
        <v>1</v>
      </c>
      <c r="S8" s="242">
        <f t="shared" si="1"/>
        <v>1</v>
      </c>
      <c r="T8" s="242">
        <f t="shared" si="1"/>
        <v>1</v>
      </c>
      <c r="U8" s="242">
        <f t="shared" si="1"/>
        <v>1</v>
      </c>
      <c r="V8" s="242">
        <f t="shared" si="1"/>
        <v>1</v>
      </c>
      <c r="W8" s="242">
        <f t="shared" si="1"/>
        <v>1</v>
      </c>
      <c r="X8" s="243">
        <f t="shared" ref="X8:X13" si="3">SUM(G8:W8)+D8</f>
        <v>367119</v>
      </c>
    </row>
    <row r="9" spans="1:24" ht="36">
      <c r="A9" s="272" t="s">
        <v>5</v>
      </c>
      <c r="B9" s="244" t="s">
        <v>837</v>
      </c>
      <c r="C9" s="1194">
        <v>236</v>
      </c>
      <c r="D9" s="1200">
        <v>236</v>
      </c>
      <c r="E9" s="1200">
        <v>0</v>
      </c>
      <c r="F9" s="1338">
        <f t="shared" si="0"/>
        <v>0</v>
      </c>
      <c r="G9" s="245">
        <f>+F9</f>
        <v>0</v>
      </c>
      <c r="H9" s="245">
        <f>+G9</f>
        <v>0</v>
      </c>
      <c r="I9" s="242">
        <f>+H9</f>
        <v>0</v>
      </c>
      <c r="J9" s="242">
        <f t="shared" si="1"/>
        <v>0</v>
      </c>
      <c r="K9" s="242">
        <f t="shared" si="2"/>
        <v>0</v>
      </c>
      <c r="L9" s="242">
        <f t="shared" si="2"/>
        <v>0</v>
      </c>
      <c r="M9" s="242">
        <f t="shared" si="1"/>
        <v>0</v>
      </c>
      <c r="N9" s="242">
        <f t="shared" si="1"/>
        <v>0</v>
      </c>
      <c r="O9" s="242">
        <f t="shared" si="1"/>
        <v>0</v>
      </c>
      <c r="P9" s="242">
        <f t="shared" si="1"/>
        <v>0</v>
      </c>
      <c r="Q9" s="242">
        <f t="shared" si="1"/>
        <v>0</v>
      </c>
      <c r="R9" s="242">
        <f t="shared" si="1"/>
        <v>0</v>
      </c>
      <c r="S9" s="242">
        <f t="shared" si="1"/>
        <v>0</v>
      </c>
      <c r="T9" s="242">
        <f t="shared" si="1"/>
        <v>0</v>
      </c>
      <c r="U9" s="242">
        <f t="shared" si="1"/>
        <v>0</v>
      </c>
      <c r="V9" s="242">
        <f t="shared" si="1"/>
        <v>0</v>
      </c>
      <c r="W9" s="242">
        <f t="shared" si="1"/>
        <v>0</v>
      </c>
      <c r="X9" s="246">
        <f t="shared" si="3"/>
        <v>236</v>
      </c>
    </row>
    <row r="10" spans="1:24">
      <c r="A10" s="272" t="s">
        <v>6</v>
      </c>
      <c r="B10" s="244" t="s">
        <v>838</v>
      </c>
      <c r="C10" s="1194"/>
      <c r="D10" s="1200"/>
      <c r="E10" s="1200"/>
      <c r="F10" s="1338" t="str">
        <f t="shared" si="0"/>
        <v>-</v>
      </c>
      <c r="G10" s="245"/>
      <c r="H10" s="245"/>
      <c r="I10" s="242">
        <f>+H10</f>
        <v>0</v>
      </c>
      <c r="J10" s="242">
        <f t="shared" si="1"/>
        <v>0</v>
      </c>
      <c r="K10" s="242">
        <f t="shared" si="2"/>
        <v>0</v>
      </c>
      <c r="L10" s="242">
        <f t="shared" si="2"/>
        <v>0</v>
      </c>
      <c r="M10" s="242">
        <f t="shared" si="1"/>
        <v>0</v>
      </c>
      <c r="N10" s="242">
        <f t="shared" si="1"/>
        <v>0</v>
      </c>
      <c r="O10" s="242">
        <f t="shared" si="1"/>
        <v>0</v>
      </c>
      <c r="P10" s="242">
        <f t="shared" si="1"/>
        <v>0</v>
      </c>
      <c r="Q10" s="242">
        <f t="shared" si="1"/>
        <v>0</v>
      </c>
      <c r="R10" s="242">
        <f t="shared" si="1"/>
        <v>0</v>
      </c>
      <c r="S10" s="242">
        <f t="shared" si="1"/>
        <v>0</v>
      </c>
      <c r="T10" s="242">
        <f t="shared" si="1"/>
        <v>0</v>
      </c>
      <c r="U10" s="242">
        <f t="shared" si="1"/>
        <v>0</v>
      </c>
      <c r="V10" s="242">
        <f t="shared" si="1"/>
        <v>0</v>
      </c>
      <c r="W10" s="242">
        <f t="shared" si="1"/>
        <v>0</v>
      </c>
      <c r="X10" s="246">
        <f t="shared" si="3"/>
        <v>0</v>
      </c>
    </row>
    <row r="11" spans="1:24" ht="24">
      <c r="A11" s="272" t="s">
        <v>3</v>
      </c>
      <c r="B11" s="244" t="s">
        <v>839</v>
      </c>
      <c r="C11" s="1194">
        <v>40350</v>
      </c>
      <c r="D11" s="1200">
        <v>40350</v>
      </c>
      <c r="E11" s="1200">
        <v>41924</v>
      </c>
      <c r="F11" s="1338">
        <f t="shared" si="0"/>
        <v>1.0390086741016109</v>
      </c>
      <c r="G11" s="964">
        <v>350</v>
      </c>
      <c r="H11" s="964">
        <v>350</v>
      </c>
      <c r="I11" s="964">
        <v>350</v>
      </c>
      <c r="J11" s="242">
        <f t="shared" si="1"/>
        <v>350</v>
      </c>
      <c r="K11" s="242">
        <f t="shared" si="2"/>
        <v>350</v>
      </c>
      <c r="L11" s="242">
        <f t="shared" si="2"/>
        <v>350</v>
      </c>
      <c r="M11" s="242">
        <f t="shared" si="1"/>
        <v>350</v>
      </c>
      <c r="N11" s="242">
        <f t="shared" si="1"/>
        <v>350</v>
      </c>
      <c r="O11" s="242">
        <f t="shared" si="1"/>
        <v>350</v>
      </c>
      <c r="P11" s="242">
        <f t="shared" si="1"/>
        <v>350</v>
      </c>
      <c r="Q11" s="242">
        <f t="shared" si="1"/>
        <v>350</v>
      </c>
      <c r="R11" s="242">
        <f t="shared" si="1"/>
        <v>350</v>
      </c>
      <c r="S11" s="242">
        <f t="shared" si="1"/>
        <v>350</v>
      </c>
      <c r="T11" s="242">
        <f t="shared" si="1"/>
        <v>350</v>
      </c>
      <c r="U11" s="242">
        <f t="shared" si="1"/>
        <v>350</v>
      </c>
      <c r="V11" s="242">
        <f t="shared" si="1"/>
        <v>350</v>
      </c>
      <c r="W11" s="242">
        <f t="shared" si="1"/>
        <v>350</v>
      </c>
      <c r="X11" s="246">
        <f t="shared" si="3"/>
        <v>46300</v>
      </c>
    </row>
    <row r="12" spans="1:24" ht="12.75">
      <c r="A12" s="272" t="s">
        <v>16</v>
      </c>
      <c r="B12" s="633" t="s">
        <v>840</v>
      </c>
      <c r="C12" s="1195">
        <v>19453</v>
      </c>
      <c r="D12" s="1201">
        <v>19453</v>
      </c>
      <c r="E12" s="1201">
        <v>3256</v>
      </c>
      <c r="F12" s="1338">
        <f t="shared" si="0"/>
        <v>0.1673777823471958</v>
      </c>
      <c r="G12" s="932">
        <v>6900</v>
      </c>
      <c r="H12" s="932">
        <f>+G12</f>
        <v>6900</v>
      </c>
      <c r="I12" s="242">
        <f>+H12</f>
        <v>6900</v>
      </c>
      <c r="J12" s="242">
        <f t="shared" si="1"/>
        <v>6900</v>
      </c>
      <c r="K12" s="242">
        <f t="shared" si="2"/>
        <v>6900</v>
      </c>
      <c r="L12" s="242">
        <f t="shared" si="2"/>
        <v>6900</v>
      </c>
      <c r="M12" s="242">
        <f t="shared" si="1"/>
        <v>6900</v>
      </c>
      <c r="N12" s="242">
        <f t="shared" si="1"/>
        <v>6900</v>
      </c>
      <c r="O12" s="242">
        <f t="shared" si="1"/>
        <v>6900</v>
      </c>
      <c r="P12" s="242">
        <f t="shared" si="1"/>
        <v>6900</v>
      </c>
      <c r="Q12" s="242">
        <f t="shared" si="1"/>
        <v>6900</v>
      </c>
      <c r="R12" s="242">
        <f t="shared" si="1"/>
        <v>6900</v>
      </c>
      <c r="S12" s="242">
        <f t="shared" si="1"/>
        <v>6900</v>
      </c>
      <c r="T12" s="242">
        <f t="shared" si="1"/>
        <v>6900</v>
      </c>
      <c r="U12" s="242">
        <f t="shared" si="1"/>
        <v>6900</v>
      </c>
      <c r="V12" s="242">
        <f t="shared" si="1"/>
        <v>6900</v>
      </c>
      <c r="W12" s="242">
        <f t="shared" si="1"/>
        <v>6900</v>
      </c>
      <c r="X12" s="246">
        <f t="shared" si="3"/>
        <v>136753</v>
      </c>
    </row>
    <row r="13" spans="1:24" ht="12.75" thickBot="1">
      <c r="A13" s="273" t="s">
        <v>15</v>
      </c>
      <c r="B13" s="247" t="s">
        <v>961</v>
      </c>
      <c r="C13" s="1196"/>
      <c r="D13" s="1202"/>
      <c r="E13" s="1202"/>
      <c r="F13" s="1339" t="str">
        <f t="shared" si="0"/>
        <v>-</v>
      </c>
      <c r="G13" s="248"/>
      <c r="H13" s="248"/>
      <c r="I13" s="276"/>
      <c r="J13" s="276">
        <f t="shared" si="1"/>
        <v>0</v>
      </c>
      <c r="K13" s="276">
        <f t="shared" si="2"/>
        <v>0</v>
      </c>
      <c r="L13" s="276">
        <f t="shared" si="2"/>
        <v>0</v>
      </c>
      <c r="M13" s="276">
        <f t="shared" si="1"/>
        <v>0</v>
      </c>
      <c r="N13" s="276">
        <f t="shared" si="1"/>
        <v>0</v>
      </c>
      <c r="O13" s="276">
        <f t="shared" si="1"/>
        <v>0</v>
      </c>
      <c r="P13" s="276">
        <f t="shared" si="1"/>
        <v>0</v>
      </c>
      <c r="Q13" s="276">
        <f t="shared" si="1"/>
        <v>0</v>
      </c>
      <c r="R13" s="276">
        <f t="shared" si="1"/>
        <v>0</v>
      </c>
      <c r="S13" s="276">
        <f t="shared" si="1"/>
        <v>0</v>
      </c>
      <c r="T13" s="276">
        <f t="shared" si="1"/>
        <v>0</v>
      </c>
      <c r="U13" s="276">
        <f t="shared" si="1"/>
        <v>0</v>
      </c>
      <c r="V13" s="276">
        <f t="shared" si="1"/>
        <v>0</v>
      </c>
      <c r="W13" s="276">
        <f t="shared" si="1"/>
        <v>0</v>
      </c>
      <c r="X13" s="249">
        <f t="shared" si="3"/>
        <v>0</v>
      </c>
    </row>
    <row r="14" spans="1:24" ht="15" thickBot="1">
      <c r="A14" s="274" t="s">
        <v>14</v>
      </c>
      <c r="B14" s="250" t="s">
        <v>841</v>
      </c>
      <c r="C14" s="1197">
        <f>+C8+C9+C12+C11+C10+C13</f>
        <v>427141</v>
      </c>
      <c r="D14" s="1203">
        <f>+D8+D9+D12+D11+D10+D13</f>
        <v>427141</v>
      </c>
      <c r="E14" s="1203">
        <f>+E8+E9+E12+E11+E10+E13</f>
        <v>411442</v>
      </c>
      <c r="F14" s="1340">
        <f t="shared" si="0"/>
        <v>0.96324632849574265</v>
      </c>
      <c r="G14" s="844">
        <f>+G8+G9+G12+G11+G10+G13</f>
        <v>7251</v>
      </c>
      <c r="H14" s="251">
        <f t="shared" ref="H14:X14" si="4">+H8+H9+H12+H11+H10+H13</f>
        <v>7251</v>
      </c>
      <c r="I14" s="251">
        <f t="shared" si="4"/>
        <v>7251</v>
      </c>
      <c r="J14" s="251">
        <f t="shared" si="4"/>
        <v>7251</v>
      </c>
      <c r="K14" s="251">
        <f t="shared" si="4"/>
        <v>7251</v>
      </c>
      <c r="L14" s="251">
        <f t="shared" si="4"/>
        <v>7251</v>
      </c>
      <c r="M14" s="251">
        <f>+M8+M9+M12+M11+M10+M13</f>
        <v>7251</v>
      </c>
      <c r="N14" s="251">
        <f>+N8+N9+N12+N11+N10+N13</f>
        <v>7251</v>
      </c>
      <c r="O14" s="251">
        <f t="shared" si="4"/>
        <v>7251</v>
      </c>
      <c r="P14" s="251">
        <f>+P8+P9+P12+P11+P10+P13</f>
        <v>7251</v>
      </c>
      <c r="Q14" s="251">
        <f>+Q8+Q9+Q12+Q11+Q10+Q13</f>
        <v>7251</v>
      </c>
      <c r="R14" s="251">
        <f t="shared" si="4"/>
        <v>7251</v>
      </c>
      <c r="S14" s="251">
        <f>+S8+S9+S12+S11+S10+S13</f>
        <v>7251</v>
      </c>
      <c r="T14" s="251">
        <f>+T8+T9+T12+T11+T10+T13</f>
        <v>7251</v>
      </c>
      <c r="U14" s="251">
        <f>+U8+U9+U12+U11+U10+U13</f>
        <v>7251</v>
      </c>
      <c r="V14" s="251">
        <f>+V8+V9+V12+V11+V10+V13</f>
        <v>7251</v>
      </c>
      <c r="W14" s="251">
        <f t="shared" si="4"/>
        <v>7251</v>
      </c>
      <c r="X14" s="253">
        <f t="shared" si="4"/>
        <v>550408</v>
      </c>
    </row>
    <row r="15" spans="1:24" ht="15" thickBot="1">
      <c r="A15" s="274" t="s">
        <v>13</v>
      </c>
      <c r="B15" s="250" t="s">
        <v>842</v>
      </c>
      <c r="C15" s="1197">
        <f>+ROUNDDOWN(C14*0.5,0)</f>
        <v>213570</v>
      </c>
      <c r="D15" s="1203">
        <f>+ROUNDDOWN(D14*0.5,0)</f>
        <v>213570</v>
      </c>
      <c r="E15" s="1203">
        <f>+ROUNDDOWN(E14*0.5,0)</f>
        <v>205721</v>
      </c>
      <c r="F15" s="1340">
        <f t="shared" si="0"/>
        <v>0.96324858360256593</v>
      </c>
      <c r="G15" s="256">
        <f t="shared" ref="G15:X15" si="5">+ROUNDDOWN(G14*0.5,0)</f>
        <v>3625</v>
      </c>
      <c r="H15" s="256">
        <f t="shared" si="5"/>
        <v>3625</v>
      </c>
      <c r="I15" s="256">
        <f t="shared" si="5"/>
        <v>3625</v>
      </c>
      <c r="J15" s="256">
        <f t="shared" si="5"/>
        <v>3625</v>
      </c>
      <c r="K15" s="256">
        <f t="shared" si="5"/>
        <v>3625</v>
      </c>
      <c r="L15" s="256">
        <f t="shared" si="5"/>
        <v>3625</v>
      </c>
      <c r="M15" s="256">
        <f>+ROUNDDOWN(M14*0.5,0)</f>
        <v>3625</v>
      </c>
      <c r="N15" s="256">
        <f>+ROUNDDOWN(N14*0.5,0)</f>
        <v>3625</v>
      </c>
      <c r="O15" s="256">
        <f t="shared" si="5"/>
        <v>3625</v>
      </c>
      <c r="P15" s="256">
        <f>+ROUNDDOWN(P14*0.5,0)</f>
        <v>3625</v>
      </c>
      <c r="Q15" s="256">
        <f>+ROUNDDOWN(Q14*0.5,0)</f>
        <v>3625</v>
      </c>
      <c r="R15" s="256">
        <f t="shared" si="5"/>
        <v>3625</v>
      </c>
      <c r="S15" s="256">
        <f>+ROUNDDOWN(S14*0.5,0)</f>
        <v>3625</v>
      </c>
      <c r="T15" s="256">
        <f>+ROUNDDOWN(T14*0.5,0)</f>
        <v>3625</v>
      </c>
      <c r="U15" s="256">
        <f>+ROUNDDOWN(U14*0.5,0)</f>
        <v>3625</v>
      </c>
      <c r="V15" s="256">
        <f>+ROUNDDOWN(V14*0.5,0)</f>
        <v>3625</v>
      </c>
      <c r="W15" s="256">
        <f t="shared" si="5"/>
        <v>3625</v>
      </c>
      <c r="X15" s="253">
        <f t="shared" si="5"/>
        <v>275204</v>
      </c>
    </row>
    <row r="16" spans="1:24" ht="27" thickBot="1">
      <c r="A16" s="274" t="s">
        <v>12</v>
      </c>
      <c r="B16" s="250" t="s">
        <v>848</v>
      </c>
      <c r="C16" s="1197">
        <f>+C17+C18+C19+C20+C21+C22+C23+C24+C25</f>
        <v>52412</v>
      </c>
      <c r="D16" s="1203">
        <f>+D17+D18+D19+D20+D21+D22+D23+D24+D25</f>
        <v>52412</v>
      </c>
      <c r="E16" s="1203">
        <f>+E17+E18+E19+E20+E21+E22+E23+E24+E25</f>
        <v>13205</v>
      </c>
      <c r="F16" s="1340">
        <f t="shared" si="0"/>
        <v>0.25194611920934135</v>
      </c>
      <c r="G16" s="252">
        <f t="shared" ref="G16:X16" si="6">+G17+G18+G19+G20+G21+G22+G23+G24+G25</f>
        <v>28308</v>
      </c>
      <c r="H16" s="252">
        <f t="shared" si="6"/>
        <v>2000</v>
      </c>
      <c r="I16" s="252">
        <f t="shared" si="6"/>
        <v>2000</v>
      </c>
      <c r="J16" s="252">
        <f t="shared" si="6"/>
        <v>2000</v>
      </c>
      <c r="K16" s="252">
        <f t="shared" si="6"/>
        <v>2000</v>
      </c>
      <c r="L16" s="252">
        <f t="shared" si="6"/>
        <v>2000</v>
      </c>
      <c r="M16" s="252">
        <f>+M17+M18+M19+M20+M21+M22+M23+M24+M25</f>
        <v>2000</v>
      </c>
      <c r="N16" s="252">
        <f>+N17+N18+N19+N20+N21+N22+N23+N24+N25</f>
        <v>2000</v>
      </c>
      <c r="O16" s="252">
        <f t="shared" si="6"/>
        <v>2000</v>
      </c>
      <c r="P16" s="252">
        <f>+P17+P18+P19+P20+P21+P22+P23+P24+P25</f>
        <v>2000</v>
      </c>
      <c r="Q16" s="252">
        <f>+Q17+Q18+Q19+Q20+Q21+Q22+Q23+Q24+Q25</f>
        <v>2000</v>
      </c>
      <c r="R16" s="252">
        <f t="shared" si="6"/>
        <v>2000</v>
      </c>
      <c r="S16" s="252">
        <f>+S17+S18+S19+S20+S21+S22+S23+S24+S25</f>
        <v>2000</v>
      </c>
      <c r="T16" s="252">
        <f>+T17+T18+T19+T20+T21+T22+T23+T24+T25</f>
        <v>2000</v>
      </c>
      <c r="U16" s="252">
        <f>+U17+U18+U19+U20+U21+U22+U23+U24+U25</f>
        <v>2000</v>
      </c>
      <c r="V16" s="252">
        <f>+V17+V18+V19+V20+V21+V22+V23+V24+V25</f>
        <v>2000</v>
      </c>
      <c r="W16" s="252">
        <f t="shared" si="6"/>
        <v>3525</v>
      </c>
      <c r="X16" s="253">
        <f t="shared" si="6"/>
        <v>114245</v>
      </c>
    </row>
    <row r="17" spans="1:24">
      <c r="A17" s="271" t="s">
        <v>11</v>
      </c>
      <c r="B17" s="241" t="s">
        <v>465</v>
      </c>
      <c r="C17" s="1193"/>
      <c r="D17" s="1199"/>
      <c r="E17" s="1199"/>
      <c r="F17" s="1337" t="str">
        <f t="shared" si="0"/>
        <v>-</v>
      </c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6">
        <f t="shared" ref="X17:X25" si="7">SUM(G17:W17)+D17</f>
        <v>0</v>
      </c>
    </row>
    <row r="18" spans="1:24">
      <c r="A18" s="272" t="s">
        <v>10</v>
      </c>
      <c r="B18" s="244" t="s">
        <v>466</v>
      </c>
      <c r="C18" s="1194"/>
      <c r="D18" s="1200"/>
      <c r="E18" s="1200"/>
      <c r="F18" s="1338" t="str">
        <f t="shared" si="0"/>
        <v>-</v>
      </c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6">
        <f t="shared" si="7"/>
        <v>0</v>
      </c>
    </row>
    <row r="19" spans="1:24">
      <c r="A19" s="272" t="s">
        <v>9</v>
      </c>
      <c r="B19" s="244" t="s">
        <v>467</v>
      </c>
      <c r="C19" s="1194"/>
      <c r="D19" s="1200"/>
      <c r="E19" s="1200"/>
      <c r="F19" s="1338" t="str">
        <f t="shared" si="0"/>
        <v>-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6">
        <f t="shared" si="7"/>
        <v>0</v>
      </c>
    </row>
    <row r="20" spans="1:24">
      <c r="A20" s="272" t="s">
        <v>45</v>
      </c>
      <c r="B20" s="244" t="s">
        <v>468</v>
      </c>
      <c r="C20" s="1194"/>
      <c r="D20" s="1200"/>
      <c r="E20" s="1200"/>
      <c r="F20" s="1338" t="str">
        <f t="shared" si="0"/>
        <v>-</v>
      </c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6">
        <f t="shared" si="7"/>
        <v>0</v>
      </c>
    </row>
    <row r="21" spans="1:24">
      <c r="A21" s="272" t="s">
        <v>44</v>
      </c>
      <c r="B21" s="244" t="s">
        <v>469</v>
      </c>
      <c r="C21" s="1194"/>
      <c r="D21" s="1200"/>
      <c r="E21" s="1200"/>
      <c r="F21" s="1338" t="str">
        <f t="shared" si="0"/>
        <v>-</v>
      </c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6">
        <f t="shared" si="7"/>
        <v>0</v>
      </c>
    </row>
    <row r="22" spans="1:24" ht="36">
      <c r="A22" s="272" t="s">
        <v>43</v>
      </c>
      <c r="B22" s="244" t="s">
        <v>846</v>
      </c>
      <c r="C22" s="1194"/>
      <c r="D22" s="1200"/>
      <c r="E22" s="1200"/>
      <c r="F22" s="1338" t="str">
        <f t="shared" si="0"/>
        <v>-</v>
      </c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6">
        <f t="shared" si="7"/>
        <v>0</v>
      </c>
    </row>
    <row r="23" spans="1:24">
      <c r="A23" s="272" t="s">
        <v>40</v>
      </c>
      <c r="B23" s="244" t="s">
        <v>845</v>
      </c>
      <c r="C23" s="1194">
        <f>2000+2000+13205+19807+8900+6500</f>
        <v>52412</v>
      </c>
      <c r="D23" s="1200">
        <f>2000+2000+13205+19807+8900+6500</f>
        <v>52412</v>
      </c>
      <c r="E23" s="1200">
        <v>13205</v>
      </c>
      <c r="F23" s="1338">
        <f t="shared" si="0"/>
        <v>0.25194611920934135</v>
      </c>
      <c r="G23" s="245">
        <f>2000+19808+6500</f>
        <v>28308</v>
      </c>
      <c r="H23" s="245">
        <v>2000</v>
      </c>
      <c r="I23" s="245">
        <v>2000</v>
      </c>
      <c r="J23" s="245">
        <v>2000</v>
      </c>
      <c r="K23" s="245">
        <v>2000</v>
      </c>
      <c r="L23" s="245">
        <v>2000</v>
      </c>
      <c r="M23" s="245">
        <v>2000</v>
      </c>
      <c r="N23" s="245">
        <v>2000</v>
      </c>
      <c r="O23" s="245">
        <v>2000</v>
      </c>
      <c r="P23" s="245">
        <v>2000</v>
      </c>
      <c r="Q23" s="245">
        <v>2000</v>
      </c>
      <c r="R23" s="245">
        <v>2000</v>
      </c>
      <c r="S23" s="245">
        <v>2000</v>
      </c>
      <c r="T23" s="245">
        <v>2000</v>
      </c>
      <c r="U23" s="245">
        <v>2000</v>
      </c>
      <c r="V23" s="245">
        <v>2000</v>
      </c>
      <c r="W23" s="245">
        <v>3525</v>
      </c>
      <c r="X23" s="246">
        <f t="shared" si="7"/>
        <v>114245</v>
      </c>
    </row>
    <row r="24" spans="1:24" ht="36">
      <c r="A24" s="272" t="s">
        <v>39</v>
      </c>
      <c r="B24" s="254" t="s">
        <v>847</v>
      </c>
      <c r="C24" s="1194"/>
      <c r="D24" s="1200"/>
      <c r="E24" s="1200"/>
      <c r="F24" s="1338" t="str">
        <f t="shared" si="0"/>
        <v>-</v>
      </c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6">
        <f t="shared" si="7"/>
        <v>0</v>
      </c>
    </row>
    <row r="25" spans="1:24" ht="12.75" thickBot="1">
      <c r="A25" s="272" t="s">
        <v>38</v>
      </c>
      <c r="B25" s="254" t="s">
        <v>962</v>
      </c>
      <c r="C25" s="1194"/>
      <c r="D25" s="1200"/>
      <c r="E25" s="1200"/>
      <c r="F25" s="1338" t="str">
        <f t="shared" si="0"/>
        <v>-</v>
      </c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6">
        <f t="shared" si="7"/>
        <v>0</v>
      </c>
    </row>
    <row r="26" spans="1:24" ht="27" thickBot="1">
      <c r="A26" s="274" t="s">
        <v>36</v>
      </c>
      <c r="B26" s="250" t="s">
        <v>849</v>
      </c>
      <c r="C26" s="1197">
        <f>+C27+C28+C29+C30+C31+C32+C33+C34+C35</f>
        <v>0</v>
      </c>
      <c r="D26" s="1203">
        <f>+D27+D28+D29+D30+D31+D32+D33+D34+D35</f>
        <v>0</v>
      </c>
      <c r="E26" s="1203">
        <f>+E27+E28+E29+E30+E31+E32+E33+E34+E35</f>
        <v>0</v>
      </c>
      <c r="F26" s="1340" t="str">
        <f t="shared" si="0"/>
        <v>-</v>
      </c>
      <c r="G26" s="252">
        <f t="shared" ref="G26:X26" si="8">+G27+G28+G29+G30+G31+G32+G33+G34+G35</f>
        <v>10000</v>
      </c>
      <c r="H26" s="252">
        <f t="shared" si="8"/>
        <v>0</v>
      </c>
      <c r="I26" s="252">
        <f t="shared" si="8"/>
        <v>0</v>
      </c>
      <c r="J26" s="252">
        <f t="shared" si="8"/>
        <v>0</v>
      </c>
      <c r="K26" s="252">
        <f t="shared" si="8"/>
        <v>0</v>
      </c>
      <c r="L26" s="252">
        <f t="shared" si="8"/>
        <v>0</v>
      </c>
      <c r="M26" s="252">
        <f>+M27+M28+M29+M30+M31+M32+M33+M34+M35</f>
        <v>0</v>
      </c>
      <c r="N26" s="252">
        <f>+N27+N28+N29+N30+N31+N32+N33+N34+N35</f>
        <v>0</v>
      </c>
      <c r="O26" s="252">
        <f t="shared" si="8"/>
        <v>0</v>
      </c>
      <c r="P26" s="252">
        <f>+P27+P28+P29+P30+P31+P32+P33+P34+P35</f>
        <v>0</v>
      </c>
      <c r="Q26" s="252">
        <f>+Q27+Q28+Q29+Q30+Q31+Q32+Q33+Q34+Q35</f>
        <v>0</v>
      </c>
      <c r="R26" s="252">
        <f t="shared" si="8"/>
        <v>0</v>
      </c>
      <c r="S26" s="252">
        <f>+S27+S28+S29+S30+S31+S32+S33+S34+S35</f>
        <v>0</v>
      </c>
      <c r="T26" s="252">
        <f>+T27+T28+T29+T30+T31+T32+T33+T34+T35</f>
        <v>0</v>
      </c>
      <c r="U26" s="252">
        <f>+U27+U28+U29+U30+U31+U32+U33+U34+U35</f>
        <v>0</v>
      </c>
      <c r="V26" s="252">
        <f>+V27+V28+V29+V30+V31+V32+V33+V34+V35</f>
        <v>0</v>
      </c>
      <c r="W26" s="252">
        <f t="shared" si="8"/>
        <v>0</v>
      </c>
      <c r="X26" s="253">
        <f t="shared" si="8"/>
        <v>10000</v>
      </c>
    </row>
    <row r="27" spans="1:24">
      <c r="A27" s="271" t="s">
        <v>35</v>
      </c>
      <c r="B27" s="241" t="s">
        <v>465</v>
      </c>
      <c r="C27" s="1193"/>
      <c r="D27" s="1199"/>
      <c r="E27" s="1199"/>
      <c r="F27" s="1337" t="str">
        <f t="shared" si="0"/>
        <v>-</v>
      </c>
      <c r="G27" s="965">
        <v>10000</v>
      </c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6">
        <f t="shared" ref="X27:X35" si="9">SUM(G27:W27)+D27</f>
        <v>10000</v>
      </c>
    </row>
    <row r="28" spans="1:24">
      <c r="A28" s="272" t="s">
        <v>34</v>
      </c>
      <c r="B28" s="244" t="s">
        <v>466</v>
      </c>
      <c r="C28" s="1194"/>
      <c r="D28" s="1200"/>
      <c r="E28" s="1200"/>
      <c r="F28" s="1338" t="str">
        <f t="shared" si="0"/>
        <v>-</v>
      </c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6">
        <f t="shared" si="9"/>
        <v>0</v>
      </c>
    </row>
    <row r="29" spans="1:24">
      <c r="A29" s="272" t="s">
        <v>33</v>
      </c>
      <c r="B29" s="244" t="s">
        <v>467</v>
      </c>
      <c r="C29" s="1194"/>
      <c r="D29" s="1200"/>
      <c r="E29" s="1200"/>
      <c r="F29" s="1338" t="str">
        <f t="shared" si="0"/>
        <v>-</v>
      </c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6">
        <f t="shared" si="9"/>
        <v>0</v>
      </c>
    </row>
    <row r="30" spans="1:24">
      <c r="A30" s="272" t="s">
        <v>32</v>
      </c>
      <c r="B30" s="244" t="s">
        <v>468</v>
      </c>
      <c r="C30" s="1194"/>
      <c r="D30" s="1200"/>
      <c r="E30" s="1200"/>
      <c r="F30" s="1338" t="str">
        <f t="shared" si="0"/>
        <v>-</v>
      </c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6">
        <f t="shared" si="9"/>
        <v>0</v>
      </c>
    </row>
    <row r="31" spans="1:24">
      <c r="A31" s="272" t="s">
        <v>470</v>
      </c>
      <c r="B31" s="244" t="s">
        <v>469</v>
      </c>
      <c r="C31" s="1194"/>
      <c r="D31" s="1200"/>
      <c r="E31" s="1200"/>
      <c r="F31" s="1338" t="str">
        <f t="shared" si="0"/>
        <v>-</v>
      </c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6">
        <f t="shared" si="9"/>
        <v>0</v>
      </c>
    </row>
    <row r="32" spans="1:24" ht="36">
      <c r="A32" s="272" t="s">
        <v>471</v>
      </c>
      <c r="B32" s="244" t="s">
        <v>846</v>
      </c>
      <c r="C32" s="1194"/>
      <c r="D32" s="1200"/>
      <c r="E32" s="1200"/>
      <c r="F32" s="1338" t="str">
        <f t="shared" si="0"/>
        <v>-</v>
      </c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6">
        <f t="shared" si="9"/>
        <v>0</v>
      </c>
    </row>
    <row r="33" spans="1:24">
      <c r="A33" s="272" t="s">
        <v>472</v>
      </c>
      <c r="B33" s="244" t="s">
        <v>845</v>
      </c>
      <c r="C33" s="1194"/>
      <c r="D33" s="1200"/>
      <c r="E33" s="1200"/>
      <c r="F33" s="1338" t="str">
        <f t="shared" si="0"/>
        <v>-</v>
      </c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6">
        <f t="shared" si="9"/>
        <v>0</v>
      </c>
    </row>
    <row r="34" spans="1:24" ht="36">
      <c r="A34" s="272" t="s">
        <v>473</v>
      </c>
      <c r="B34" s="254" t="s">
        <v>847</v>
      </c>
      <c r="C34" s="1194"/>
      <c r="D34" s="1200"/>
      <c r="E34" s="1200"/>
      <c r="F34" s="1338" t="str">
        <f t="shared" si="0"/>
        <v>-</v>
      </c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6">
        <f t="shared" si="9"/>
        <v>0</v>
      </c>
    </row>
    <row r="35" spans="1:24" ht="12.75" thickBot="1">
      <c r="A35" s="272" t="s">
        <v>486</v>
      </c>
      <c r="B35" s="254" t="s">
        <v>962</v>
      </c>
      <c r="C35" s="1196"/>
      <c r="D35" s="1202"/>
      <c r="E35" s="1202"/>
      <c r="F35" s="1339" t="str">
        <f t="shared" si="0"/>
        <v>-</v>
      </c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9">
        <f t="shared" si="9"/>
        <v>0</v>
      </c>
    </row>
    <row r="36" spans="1:24" ht="12.75" thickBot="1">
      <c r="A36" s="274" t="s">
        <v>487</v>
      </c>
      <c r="B36" s="250" t="s">
        <v>850</v>
      </c>
      <c r="C36" s="1197">
        <f>+C16+C26</f>
        <v>52412</v>
      </c>
      <c r="D36" s="1203">
        <f>+D16+D26</f>
        <v>52412</v>
      </c>
      <c r="E36" s="1203">
        <f>+E16+E26</f>
        <v>13205</v>
      </c>
      <c r="F36" s="1340">
        <f t="shared" si="0"/>
        <v>0.25194611920934135</v>
      </c>
      <c r="G36" s="252">
        <f t="shared" ref="G36:X36" si="10">+G16+G26</f>
        <v>38308</v>
      </c>
      <c r="H36" s="252">
        <f t="shared" si="10"/>
        <v>2000</v>
      </c>
      <c r="I36" s="252">
        <f t="shared" si="10"/>
        <v>2000</v>
      </c>
      <c r="J36" s="252">
        <f t="shared" si="10"/>
        <v>2000</v>
      </c>
      <c r="K36" s="252">
        <f t="shared" si="10"/>
        <v>2000</v>
      </c>
      <c r="L36" s="252">
        <f t="shared" si="10"/>
        <v>2000</v>
      </c>
      <c r="M36" s="252">
        <f>+M16+M26</f>
        <v>2000</v>
      </c>
      <c r="N36" s="252">
        <f>+N16+N26</f>
        <v>2000</v>
      </c>
      <c r="O36" s="252">
        <f t="shared" si="10"/>
        <v>2000</v>
      </c>
      <c r="P36" s="252">
        <f>+P16+P26</f>
        <v>2000</v>
      </c>
      <c r="Q36" s="252">
        <f>+Q16+Q26</f>
        <v>2000</v>
      </c>
      <c r="R36" s="252">
        <f t="shared" si="10"/>
        <v>2000</v>
      </c>
      <c r="S36" s="252">
        <f>+S16+S26</f>
        <v>2000</v>
      </c>
      <c r="T36" s="252">
        <f>+T16+T26</f>
        <v>2000</v>
      </c>
      <c r="U36" s="252">
        <f>+U16+U26</f>
        <v>2000</v>
      </c>
      <c r="V36" s="252">
        <f>+V16+V26</f>
        <v>2000</v>
      </c>
      <c r="W36" s="252">
        <f t="shared" si="10"/>
        <v>3525</v>
      </c>
      <c r="X36" s="253">
        <f t="shared" si="10"/>
        <v>124245</v>
      </c>
    </row>
    <row r="37" spans="1:24" ht="12.75" thickBot="1">
      <c r="A37" s="275" t="s">
        <v>488</v>
      </c>
      <c r="B37" s="255" t="s">
        <v>851</v>
      </c>
      <c r="C37" s="1198">
        <f>+C15-C36</f>
        <v>161158</v>
      </c>
      <c r="D37" s="1204">
        <f>+D15-D36</f>
        <v>161158</v>
      </c>
      <c r="E37" s="1204">
        <f>+E15-E36</f>
        <v>192516</v>
      </c>
      <c r="F37" s="1341">
        <f t="shared" si="0"/>
        <v>1.1945792328025913</v>
      </c>
      <c r="G37" s="256">
        <f t="shared" ref="G37:X37" si="11">+G15-G36</f>
        <v>-34683</v>
      </c>
      <c r="H37" s="256">
        <f t="shared" si="11"/>
        <v>1625</v>
      </c>
      <c r="I37" s="256">
        <f t="shared" si="11"/>
        <v>1625</v>
      </c>
      <c r="J37" s="256">
        <f t="shared" si="11"/>
        <v>1625</v>
      </c>
      <c r="K37" s="256">
        <f t="shared" si="11"/>
        <v>1625</v>
      </c>
      <c r="L37" s="256">
        <f t="shared" si="11"/>
        <v>1625</v>
      </c>
      <c r="M37" s="256">
        <f>+M15-M36</f>
        <v>1625</v>
      </c>
      <c r="N37" s="256">
        <f>+N15-N36</f>
        <v>1625</v>
      </c>
      <c r="O37" s="256">
        <f t="shared" si="11"/>
        <v>1625</v>
      </c>
      <c r="P37" s="256">
        <f>+P15-P36</f>
        <v>1625</v>
      </c>
      <c r="Q37" s="256">
        <f>+Q15-Q36</f>
        <v>1625</v>
      </c>
      <c r="R37" s="256">
        <f t="shared" si="11"/>
        <v>1625</v>
      </c>
      <c r="S37" s="256">
        <f>+S15-S36</f>
        <v>1625</v>
      </c>
      <c r="T37" s="256">
        <f>+T15-T36</f>
        <v>1625</v>
      </c>
      <c r="U37" s="256">
        <f>+U15-U36</f>
        <v>1625</v>
      </c>
      <c r="V37" s="256">
        <f>+V15-V36</f>
        <v>1625</v>
      </c>
      <c r="W37" s="256">
        <f t="shared" si="11"/>
        <v>100</v>
      </c>
      <c r="X37" s="257">
        <f t="shared" si="11"/>
        <v>150959</v>
      </c>
    </row>
    <row r="38" spans="1:24" ht="13.5">
      <c r="A38" s="1824" t="s">
        <v>477</v>
      </c>
      <c r="B38" s="1824"/>
      <c r="C38" s="1824"/>
      <c r="D38" s="1824"/>
      <c r="E38" s="1824"/>
      <c r="F38" s="1824"/>
      <c r="G38" s="1824"/>
      <c r="H38" s="1824"/>
      <c r="I38" s="1824"/>
      <c r="J38" s="1824"/>
      <c r="K38" s="1824"/>
      <c r="L38" s="1824"/>
      <c r="M38" s="1824"/>
      <c r="N38" s="1824"/>
      <c r="O38" s="1824"/>
      <c r="P38" s="1824"/>
      <c r="Q38" s="1824"/>
      <c r="R38" s="1824"/>
      <c r="S38" s="1824"/>
      <c r="T38" s="1824"/>
      <c r="U38" s="1824"/>
      <c r="V38" s="1824"/>
      <c r="W38" s="1824"/>
      <c r="X38" s="1824"/>
    </row>
    <row r="39" spans="1:24" ht="13.5">
      <c r="A39" s="1825" t="s">
        <v>963</v>
      </c>
      <c r="B39" s="1825"/>
      <c r="C39" s="1825"/>
      <c r="D39" s="1825"/>
      <c r="E39" s="1825"/>
      <c r="F39" s="1825"/>
      <c r="G39" s="1825"/>
      <c r="H39" s="1825"/>
      <c r="I39" s="1825"/>
      <c r="J39" s="1825"/>
      <c r="K39" s="1825"/>
      <c r="L39" s="1825"/>
      <c r="M39" s="1825"/>
      <c r="N39" s="1825"/>
      <c r="O39" s="1825"/>
      <c r="P39" s="1825"/>
      <c r="Q39" s="1825"/>
      <c r="R39" s="1825"/>
      <c r="S39" s="1825"/>
      <c r="T39" s="1825"/>
      <c r="U39" s="1825"/>
      <c r="V39" s="1825"/>
      <c r="W39" s="1825"/>
      <c r="X39" s="1825"/>
    </row>
    <row r="40" spans="1:24" ht="39" customHeight="1">
      <c r="A40" s="1826" t="s">
        <v>1098</v>
      </c>
      <c r="B40" s="1826"/>
      <c r="C40" s="1826"/>
      <c r="D40" s="1826"/>
      <c r="E40" s="1826"/>
      <c r="F40" s="1826"/>
      <c r="G40" s="1826"/>
      <c r="H40" s="1826"/>
      <c r="I40" s="1826"/>
      <c r="J40" s="1826"/>
      <c r="K40" s="1826"/>
      <c r="L40" s="1826"/>
      <c r="M40" s="1826"/>
      <c r="N40" s="1826"/>
      <c r="O40" s="1826"/>
      <c r="P40" s="1826"/>
      <c r="Q40" s="1826"/>
      <c r="R40" s="1826"/>
      <c r="S40" s="1826"/>
      <c r="T40" s="1826"/>
      <c r="U40" s="1826"/>
      <c r="V40" s="1826"/>
      <c r="W40" s="1826"/>
      <c r="X40" s="1826"/>
    </row>
    <row r="42" spans="1:24" ht="15.75">
      <c r="A42" s="1827" t="s">
        <v>1426</v>
      </c>
      <c r="B42" s="1827"/>
      <c r="C42" s="1827"/>
      <c r="D42" s="1827"/>
      <c r="E42" s="1827"/>
      <c r="F42" s="1827"/>
      <c r="G42" s="1827"/>
      <c r="H42" s="1827"/>
      <c r="I42" s="1827"/>
      <c r="J42" s="1827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</row>
    <row r="43" spans="1:24">
      <c r="A43" s="258"/>
      <c r="B43" s="258"/>
      <c r="C43" s="258"/>
      <c r="D43" s="258"/>
      <c r="E43" s="258"/>
      <c r="F43" s="1342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</row>
    <row r="44" spans="1:24" ht="12.75" thickBot="1">
      <c r="A44" s="259"/>
      <c r="B44" s="259"/>
      <c r="C44" s="260"/>
      <c r="D44" s="260"/>
      <c r="E44" s="260"/>
      <c r="F44" s="1343" t="s">
        <v>49</v>
      </c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</row>
    <row r="45" spans="1:24" ht="12.75" thickBot="1">
      <c r="A45" s="1817" t="s">
        <v>17</v>
      </c>
      <c r="B45" s="1819" t="s">
        <v>474</v>
      </c>
      <c r="C45" s="1821" t="s">
        <v>475</v>
      </c>
      <c r="D45" s="1822"/>
      <c r="E45" s="1822"/>
      <c r="F45" s="1823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</row>
    <row r="46" spans="1:24" ht="36.75" thickBot="1">
      <c r="A46" s="1818"/>
      <c r="B46" s="1820"/>
      <c r="C46" s="1055" t="s">
        <v>1540</v>
      </c>
      <c r="D46" s="6" t="s">
        <v>1541</v>
      </c>
      <c r="E46" s="6" t="s">
        <v>2654</v>
      </c>
      <c r="F46" s="1291" t="s">
        <v>1558</v>
      </c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</row>
    <row r="47" spans="1:24" ht="13.5" customHeight="1" thickBot="1">
      <c r="A47" s="262">
        <v>1</v>
      </c>
      <c r="B47" s="267">
        <v>2</v>
      </c>
      <c r="C47" s="1814">
        <v>3</v>
      </c>
      <c r="D47" s="1815"/>
      <c r="E47" s="1815"/>
      <c r="F47" s="1816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</row>
    <row r="48" spans="1:24">
      <c r="A48" s="263" t="s">
        <v>4</v>
      </c>
      <c r="B48" s="1213" t="s">
        <v>1499</v>
      </c>
      <c r="C48" s="1205">
        <v>41258</v>
      </c>
      <c r="D48" s="1209">
        <v>43712</v>
      </c>
      <c r="E48" s="1209">
        <v>43712</v>
      </c>
      <c r="F48" s="1344">
        <f>IF(ISERROR(E48/D48),"-",E48/D48)</f>
        <v>1</v>
      </c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</row>
    <row r="49" spans="1:24">
      <c r="A49" s="264" t="s">
        <v>5</v>
      </c>
      <c r="B49" s="268"/>
      <c r="C49" s="1206"/>
      <c r="D49" s="1210"/>
      <c r="E49" s="1210"/>
      <c r="F49" s="1345" t="str">
        <f>IF(ISERROR(E49/D49),"-",E49/D49)</f>
        <v>-</v>
      </c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</row>
    <row r="50" spans="1:24" ht="12.75" thickBot="1">
      <c r="A50" s="265" t="s">
        <v>6</v>
      </c>
      <c r="B50" s="269"/>
      <c r="C50" s="1207"/>
      <c r="D50" s="1211"/>
      <c r="E50" s="1211"/>
      <c r="F50" s="1346" t="str">
        <f>IF(ISERROR(E50/D50),"-",E50/D50)</f>
        <v>-</v>
      </c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</row>
    <row r="51" spans="1:24" ht="24.75" thickBot="1">
      <c r="A51" s="266" t="s">
        <v>3</v>
      </c>
      <c r="B51" s="270" t="s">
        <v>1217</v>
      </c>
      <c r="C51" s="1208">
        <f>SUM(C48:C50)</f>
        <v>41258</v>
      </c>
      <c r="D51" s="1212">
        <f>SUM(D48:D50)</f>
        <v>43712</v>
      </c>
      <c r="E51" s="1212">
        <f>SUM(E48:E50)</f>
        <v>43712</v>
      </c>
      <c r="F51" s="1347">
        <f>IF(ISERROR(E51/D51),"-",E51/D51)</f>
        <v>1</v>
      </c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</row>
    <row r="52" spans="1:24">
      <c r="A52" s="141"/>
      <c r="B52" s="141"/>
      <c r="C52" s="141"/>
      <c r="D52" s="141"/>
      <c r="E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</row>
    <row r="53" spans="1:24">
      <c r="A53" s="141"/>
      <c r="B53" s="141"/>
      <c r="C53" s="141"/>
      <c r="D53" s="141"/>
      <c r="E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</row>
  </sheetData>
  <mergeCells count="14">
    <mergeCell ref="C47:F47"/>
    <mergeCell ref="A45:A46"/>
    <mergeCell ref="B45:B46"/>
    <mergeCell ref="C45:F45"/>
    <mergeCell ref="A38:X38"/>
    <mergeCell ref="A39:X39"/>
    <mergeCell ref="A40:X40"/>
    <mergeCell ref="A42:J42"/>
    <mergeCell ref="C7:F7"/>
    <mergeCell ref="A3:X3"/>
    <mergeCell ref="A5:A6"/>
    <mergeCell ref="B5:B6"/>
    <mergeCell ref="X5:X6"/>
    <mergeCell ref="C5:W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1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9"/>
  <sheetViews>
    <sheetView zoomScaleNormal="100" workbookViewId="0"/>
  </sheetViews>
  <sheetFormatPr defaultRowHeight="12"/>
  <cols>
    <col min="1" max="1" width="4.85546875" style="179" bestFit="1" customWidth="1"/>
    <col min="2" max="2" width="82.5703125" style="179" customWidth="1"/>
    <col min="3" max="11" width="10.140625" style="179" customWidth="1"/>
    <col min="12" max="12" width="13.140625" style="179" bestFit="1" customWidth="1"/>
    <col min="13" max="16384" width="9.140625" style="179"/>
  </cols>
  <sheetData>
    <row r="1" spans="1:12" s="180" customFormat="1" ht="15.75">
      <c r="A1" s="294"/>
      <c r="B1" s="293"/>
      <c r="C1" s="293"/>
      <c r="D1" s="293"/>
      <c r="E1" s="293"/>
      <c r="F1" s="293"/>
      <c r="G1" s="293"/>
      <c r="H1" s="293"/>
      <c r="I1" s="293"/>
      <c r="J1" s="293"/>
      <c r="K1" s="140"/>
      <c r="L1" s="188" t="s">
        <v>490</v>
      </c>
    </row>
    <row r="2" spans="1:12" s="180" customFormat="1" ht="15.75">
      <c r="A2" s="294"/>
      <c r="B2" s="293"/>
      <c r="C2" s="293"/>
      <c r="D2" s="293"/>
      <c r="E2" s="293"/>
      <c r="F2" s="293"/>
      <c r="G2" s="293"/>
      <c r="H2" s="293"/>
      <c r="I2" s="293"/>
      <c r="J2" s="293"/>
      <c r="K2" s="140"/>
      <c r="L2" s="188"/>
    </row>
    <row r="3" spans="1:12" s="181" customFormat="1" ht="15.75">
      <c r="A3" s="1796" t="s">
        <v>479</v>
      </c>
      <c r="B3" s="1796"/>
      <c r="C3" s="1796"/>
      <c r="D3" s="1796"/>
      <c r="E3" s="1796"/>
      <c r="F3" s="1796"/>
      <c r="G3" s="1796"/>
      <c r="H3" s="1796"/>
      <c r="I3" s="1796"/>
      <c r="J3" s="1796"/>
      <c r="K3" s="1796"/>
      <c r="L3" s="1796"/>
    </row>
    <row r="4" spans="1:12">
      <c r="A4" s="1830"/>
      <c r="B4" s="1830"/>
      <c r="C4" s="1830"/>
      <c r="D4" s="1830"/>
      <c r="E4" s="1830"/>
      <c r="F4" s="1830"/>
      <c r="G4" s="1830"/>
      <c r="H4" s="1830"/>
      <c r="I4" s="1830"/>
      <c r="J4" s="1830"/>
      <c r="K4" s="1830"/>
      <c r="L4" s="1830"/>
    </row>
    <row r="5" spans="1:12" ht="12.75" thickBot="1">
      <c r="A5" s="1740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38" t="s">
        <v>457</v>
      </c>
    </row>
    <row r="6" spans="1:12" ht="12.75" thickBot="1">
      <c r="A6" s="1831" t="s">
        <v>8</v>
      </c>
      <c r="B6" s="1833" t="s">
        <v>480</v>
      </c>
      <c r="C6" s="1831" t="s">
        <v>481</v>
      </c>
      <c r="D6" s="1831" t="s">
        <v>1427</v>
      </c>
      <c r="E6" s="1835" t="s">
        <v>482</v>
      </c>
      <c r="F6" s="1836"/>
      <c r="G6" s="1836"/>
      <c r="H6" s="1836"/>
      <c r="I6" s="1836"/>
      <c r="J6" s="1836"/>
      <c r="K6" s="1837"/>
      <c r="L6" s="1833" t="s">
        <v>18</v>
      </c>
    </row>
    <row r="7" spans="1:12" ht="36.75" thickBot="1">
      <c r="A7" s="1832"/>
      <c r="B7" s="1834"/>
      <c r="C7" s="1834"/>
      <c r="D7" s="1832"/>
      <c r="E7" s="1055" t="s">
        <v>1540</v>
      </c>
      <c r="F7" s="6" t="s">
        <v>1541</v>
      </c>
      <c r="G7" s="6" t="s">
        <v>2654</v>
      </c>
      <c r="H7" s="1291" t="s">
        <v>1558</v>
      </c>
      <c r="I7" s="300" t="s">
        <v>460</v>
      </c>
      <c r="J7" s="302" t="s">
        <v>461</v>
      </c>
      <c r="K7" s="303" t="s">
        <v>1428</v>
      </c>
      <c r="L7" s="1834"/>
    </row>
    <row r="8" spans="1:12" ht="13.5" customHeight="1" thickBot="1">
      <c r="A8" s="1743">
        <v>1</v>
      </c>
      <c r="B8" s="296">
        <v>2</v>
      </c>
      <c r="C8" s="291">
        <v>3</v>
      </c>
      <c r="D8" s="296">
        <v>4</v>
      </c>
      <c r="E8" s="1838">
        <v>5</v>
      </c>
      <c r="F8" s="1839"/>
      <c r="G8" s="1839"/>
      <c r="H8" s="1840"/>
      <c r="I8" s="290">
        <v>6</v>
      </c>
      <c r="J8" s="289">
        <v>7</v>
      </c>
      <c r="K8" s="288">
        <v>8</v>
      </c>
      <c r="L8" s="287" t="s">
        <v>483</v>
      </c>
    </row>
    <row r="9" spans="1:12" ht="12.75" thickBot="1">
      <c r="A9" s="292" t="s">
        <v>4</v>
      </c>
      <c r="B9" s="297" t="s">
        <v>887</v>
      </c>
      <c r="C9" s="286" t="s">
        <v>19</v>
      </c>
      <c r="D9" s="301">
        <f t="shared" ref="D9:L9" si="0">SUM(D10:D10)</f>
        <v>0</v>
      </c>
      <c r="E9" s="301">
        <f t="shared" si="0"/>
        <v>0</v>
      </c>
      <c r="F9" s="299">
        <f t="shared" si="0"/>
        <v>0</v>
      </c>
      <c r="G9" s="299">
        <f t="shared" si="0"/>
        <v>0</v>
      </c>
      <c r="H9" s="1348" t="str">
        <f t="shared" ref="H9:H48" si="1">IF(ISERROR(G9/F9),"-",G9/F9)</f>
        <v>-</v>
      </c>
      <c r="I9" s="285">
        <f t="shared" si="0"/>
        <v>0</v>
      </c>
      <c r="J9" s="284">
        <f t="shared" si="0"/>
        <v>0</v>
      </c>
      <c r="K9" s="298">
        <f t="shared" si="0"/>
        <v>0</v>
      </c>
      <c r="L9" s="1752">
        <f t="shared" si="0"/>
        <v>0</v>
      </c>
    </row>
    <row r="10" spans="1:12" ht="12.75" thickBot="1">
      <c r="A10" s="283" t="s">
        <v>5</v>
      </c>
      <c r="B10" s="277" t="s">
        <v>19</v>
      </c>
      <c r="C10" s="282"/>
      <c r="D10" s="281"/>
      <c r="E10" s="280"/>
      <c r="F10" s="432"/>
      <c r="G10" s="432"/>
      <c r="H10" s="1349" t="str">
        <f t="shared" si="1"/>
        <v>-</v>
      </c>
      <c r="I10" s="279"/>
      <c r="J10" s="278"/>
      <c r="K10" s="304"/>
      <c r="L10" s="309">
        <f>+D10+IF(F10&lt;=G10,G10,F10)+I10+J10+K10</f>
        <v>0</v>
      </c>
    </row>
    <row r="11" spans="1:12" ht="12.75" thickBot="1">
      <c r="A11" s="292" t="s">
        <v>6</v>
      </c>
      <c r="B11" s="310" t="s">
        <v>888</v>
      </c>
      <c r="C11" s="286" t="s">
        <v>19</v>
      </c>
      <c r="D11" s="301">
        <f t="shared" ref="D11:L11" si="2">SUM(D12:D12)</f>
        <v>0</v>
      </c>
      <c r="E11" s="301">
        <f t="shared" si="2"/>
        <v>0</v>
      </c>
      <c r="F11" s="299">
        <f t="shared" si="2"/>
        <v>0</v>
      </c>
      <c r="G11" s="299">
        <f t="shared" si="2"/>
        <v>0</v>
      </c>
      <c r="H11" s="1348" t="str">
        <f t="shared" si="1"/>
        <v>-</v>
      </c>
      <c r="I11" s="285">
        <f t="shared" si="2"/>
        <v>9322</v>
      </c>
      <c r="J11" s="284">
        <f t="shared" si="2"/>
        <v>0</v>
      </c>
      <c r="K11" s="298">
        <f t="shared" si="2"/>
        <v>0</v>
      </c>
      <c r="L11" s="1752">
        <f t="shared" si="2"/>
        <v>9322</v>
      </c>
    </row>
    <row r="12" spans="1:12" ht="12.75" thickBot="1">
      <c r="A12" s="283" t="s">
        <v>3</v>
      </c>
      <c r="B12" s="277" t="s">
        <v>1535</v>
      </c>
      <c r="C12" s="282" t="s">
        <v>459</v>
      </c>
      <c r="D12" s="311"/>
      <c r="E12" s="305"/>
      <c r="F12" s="306"/>
      <c r="G12" s="306"/>
      <c r="H12" s="1349" t="str">
        <f t="shared" si="1"/>
        <v>-</v>
      </c>
      <c r="I12" s="969">
        <v>9322</v>
      </c>
      <c r="J12" s="307"/>
      <c r="K12" s="306"/>
      <c r="L12" s="312">
        <f>+D12+IF(F12&lt;=G12,G12,F12)+I12+J12+K12</f>
        <v>9322</v>
      </c>
    </row>
    <row r="13" spans="1:12" ht="12.75" thickBot="1">
      <c r="A13" s="296" t="s">
        <v>16</v>
      </c>
      <c r="B13" s="313" t="s">
        <v>484</v>
      </c>
      <c r="C13" s="314" t="s">
        <v>19</v>
      </c>
      <c r="D13" s="315">
        <f t="shared" ref="D13:L13" si="3">SUM(D14:D14)</f>
        <v>0</v>
      </c>
      <c r="E13" s="316">
        <f t="shared" si="3"/>
        <v>0</v>
      </c>
      <c r="F13" s="317">
        <f t="shared" si="3"/>
        <v>0</v>
      </c>
      <c r="G13" s="317">
        <f t="shared" si="3"/>
        <v>0</v>
      </c>
      <c r="H13" s="1348" t="str">
        <f t="shared" si="1"/>
        <v>-</v>
      </c>
      <c r="I13" s="318">
        <f t="shared" si="3"/>
        <v>0</v>
      </c>
      <c r="J13" s="319">
        <f t="shared" si="3"/>
        <v>0</v>
      </c>
      <c r="K13" s="320">
        <f t="shared" si="3"/>
        <v>0</v>
      </c>
      <c r="L13" s="1752">
        <f t="shared" si="3"/>
        <v>0</v>
      </c>
    </row>
    <row r="14" spans="1:12" ht="12.75" thickBot="1">
      <c r="A14" s="321" t="s">
        <v>15</v>
      </c>
      <c r="B14" s="322" t="s">
        <v>19</v>
      </c>
      <c r="C14" s="323"/>
      <c r="D14" s="311"/>
      <c r="E14" s="324"/>
      <c r="F14" s="1214"/>
      <c r="G14" s="1214"/>
      <c r="H14" s="1349" t="str">
        <f t="shared" si="1"/>
        <v>-</v>
      </c>
      <c r="I14" s="325"/>
      <c r="J14" s="326"/>
      <c r="K14" s="327"/>
      <c r="L14" s="312">
        <f>+D14+IF(F14&lt;=G14,G14,F14)+I14+J14+K14</f>
        <v>0</v>
      </c>
    </row>
    <row r="15" spans="1:12" ht="12.75" thickBot="1">
      <c r="A15" s="296" t="s">
        <v>14</v>
      </c>
      <c r="B15" s="328" t="s">
        <v>485</v>
      </c>
      <c r="C15" s="314" t="s">
        <v>19</v>
      </c>
      <c r="D15" s="315">
        <f t="shared" ref="D15:L15" si="4">SUM(D16:D43)</f>
        <v>0</v>
      </c>
      <c r="E15" s="316">
        <f t="shared" si="4"/>
        <v>2481158</v>
      </c>
      <c r="F15" s="317">
        <f>SUM(F16:F43)</f>
        <v>1266025</v>
      </c>
      <c r="G15" s="317">
        <f>SUM(G16:G43)</f>
        <v>1266025</v>
      </c>
      <c r="H15" s="1350">
        <f t="shared" si="1"/>
        <v>1</v>
      </c>
      <c r="I15" s="318">
        <f t="shared" si="4"/>
        <v>2476772</v>
      </c>
      <c r="J15" s="319">
        <f t="shared" si="4"/>
        <v>0</v>
      </c>
      <c r="K15" s="320">
        <f t="shared" si="4"/>
        <v>0</v>
      </c>
      <c r="L15" s="1752">
        <f t="shared" si="4"/>
        <v>3742797</v>
      </c>
    </row>
    <row r="16" spans="1:12">
      <c r="A16" s="329" t="s">
        <v>13</v>
      </c>
      <c r="B16" s="330" t="s">
        <v>1487</v>
      </c>
      <c r="C16" s="331"/>
      <c r="D16" s="332"/>
      <c r="E16" s="840">
        <v>2826</v>
      </c>
      <c r="F16" s="1215">
        <v>1567</v>
      </c>
      <c r="G16" s="1215">
        <v>1567</v>
      </c>
      <c r="H16" s="1351">
        <f t="shared" si="1"/>
        <v>1</v>
      </c>
      <c r="I16" s="333">
        <v>1258</v>
      </c>
      <c r="J16" s="334"/>
      <c r="K16" s="335"/>
      <c r="L16" s="336">
        <f t="shared" ref="L16:L43" si="5">+D16+IF(F16&lt;=G16,G16,F16)+I16+J16+K16</f>
        <v>2825</v>
      </c>
    </row>
    <row r="17" spans="1:12">
      <c r="A17" s="329" t="s">
        <v>12</v>
      </c>
      <c r="B17" s="330" t="s">
        <v>1106</v>
      </c>
      <c r="C17" s="331"/>
      <c r="D17" s="332"/>
      <c r="E17" s="1182">
        <v>188134</v>
      </c>
      <c r="F17" s="210">
        <v>2235</v>
      </c>
      <c r="G17" s="210">
        <v>2235</v>
      </c>
      <c r="H17" s="1351">
        <f t="shared" si="1"/>
        <v>1</v>
      </c>
      <c r="I17" s="333">
        <v>187074</v>
      </c>
      <c r="J17" s="334"/>
      <c r="K17" s="335"/>
      <c r="L17" s="336">
        <f t="shared" si="5"/>
        <v>189309</v>
      </c>
    </row>
    <row r="18" spans="1:12">
      <c r="A18" s="329" t="s">
        <v>11</v>
      </c>
      <c r="B18" s="330" t="s">
        <v>1107</v>
      </c>
      <c r="C18" s="331"/>
      <c r="D18" s="332"/>
      <c r="E18" s="1182">
        <v>177292</v>
      </c>
      <c r="F18" s="210">
        <v>0</v>
      </c>
      <c r="G18" s="210"/>
      <c r="H18" s="1351" t="str">
        <f t="shared" si="1"/>
        <v>-</v>
      </c>
      <c r="I18" s="333">
        <v>177292</v>
      </c>
      <c r="J18" s="334"/>
      <c r="K18" s="335"/>
      <c r="L18" s="336">
        <f t="shared" si="5"/>
        <v>177292</v>
      </c>
    </row>
    <row r="19" spans="1:12">
      <c r="A19" s="329" t="s">
        <v>10</v>
      </c>
      <c r="B19" s="330" t="s">
        <v>1358</v>
      </c>
      <c r="C19" s="331"/>
      <c r="D19" s="332"/>
      <c r="E19" s="1182">
        <v>587082</v>
      </c>
      <c r="F19" s="210">
        <v>6146</v>
      </c>
      <c r="G19" s="210">
        <v>6146</v>
      </c>
      <c r="H19" s="1351">
        <f t="shared" si="1"/>
        <v>1</v>
      </c>
      <c r="I19" s="333">
        <v>580936</v>
      </c>
      <c r="J19" s="334"/>
      <c r="K19" s="335"/>
      <c r="L19" s="336">
        <f t="shared" si="5"/>
        <v>587082</v>
      </c>
    </row>
    <row r="20" spans="1:12">
      <c r="A20" s="329" t="s">
        <v>9</v>
      </c>
      <c r="B20" s="330" t="s">
        <v>1212</v>
      </c>
      <c r="C20" s="331"/>
      <c r="D20" s="332"/>
      <c r="E20" s="1182">
        <v>256470</v>
      </c>
      <c r="F20" s="210">
        <v>157145</v>
      </c>
      <c r="G20" s="210">
        <v>157145</v>
      </c>
      <c r="H20" s="1351">
        <f t="shared" si="1"/>
        <v>1</v>
      </c>
      <c r="I20" s="333">
        <v>107572</v>
      </c>
      <c r="J20" s="334"/>
      <c r="K20" s="335"/>
      <c r="L20" s="336">
        <f t="shared" si="5"/>
        <v>264717</v>
      </c>
    </row>
    <row r="21" spans="1:12" ht="24">
      <c r="A21" s="329" t="s">
        <v>45</v>
      </c>
      <c r="B21" s="330" t="s">
        <v>1205</v>
      </c>
      <c r="C21" s="331"/>
      <c r="D21" s="332"/>
      <c r="E21" s="1182">
        <v>0</v>
      </c>
      <c r="F21" s="210">
        <v>0</v>
      </c>
      <c r="G21" s="210"/>
      <c r="H21" s="1351" t="str">
        <f t="shared" si="1"/>
        <v>-</v>
      </c>
      <c r="I21" s="333"/>
      <c r="J21" s="334"/>
      <c r="K21" s="335"/>
      <c r="L21" s="336">
        <f t="shared" si="5"/>
        <v>0</v>
      </c>
    </row>
    <row r="22" spans="1:12">
      <c r="A22" s="329" t="s">
        <v>44</v>
      </c>
      <c r="B22" s="330" t="s">
        <v>1206</v>
      </c>
      <c r="C22" s="331"/>
      <c r="D22" s="332"/>
      <c r="E22" s="1182">
        <v>69873</v>
      </c>
      <c r="F22" s="210">
        <v>126901</v>
      </c>
      <c r="G22" s="210">
        <v>126901</v>
      </c>
      <c r="H22" s="1351">
        <f t="shared" si="1"/>
        <v>1</v>
      </c>
      <c r="I22" s="333">
        <v>8684</v>
      </c>
      <c r="J22" s="334"/>
      <c r="K22" s="335"/>
      <c r="L22" s="336">
        <f t="shared" si="5"/>
        <v>135585</v>
      </c>
    </row>
    <row r="23" spans="1:12">
      <c r="A23" s="329" t="s">
        <v>43</v>
      </c>
      <c r="B23" s="330" t="s">
        <v>2739</v>
      </c>
      <c r="C23" s="331"/>
      <c r="D23" s="332"/>
      <c r="E23" s="1182">
        <v>0</v>
      </c>
      <c r="F23" s="210">
        <v>3352</v>
      </c>
      <c r="G23" s="210">
        <v>3352</v>
      </c>
      <c r="H23" s="1351">
        <f t="shared" si="1"/>
        <v>1</v>
      </c>
      <c r="I23" s="333">
        <v>13530</v>
      </c>
      <c r="J23" s="334"/>
      <c r="K23" s="335"/>
      <c r="L23" s="336">
        <f t="shared" si="5"/>
        <v>16882</v>
      </c>
    </row>
    <row r="24" spans="1:12">
      <c r="A24" s="329" t="s">
        <v>40</v>
      </c>
      <c r="B24" s="330" t="s">
        <v>1214</v>
      </c>
      <c r="C24" s="331"/>
      <c r="D24" s="332"/>
      <c r="E24" s="1182">
        <v>1211</v>
      </c>
      <c r="F24" s="210">
        <v>1042</v>
      </c>
      <c r="G24" s="210">
        <v>1042</v>
      </c>
      <c r="H24" s="1351">
        <f t="shared" si="1"/>
        <v>1</v>
      </c>
      <c r="I24" s="333">
        <v>612</v>
      </c>
      <c r="J24" s="334"/>
      <c r="K24" s="335"/>
      <c r="L24" s="336">
        <f t="shared" si="5"/>
        <v>1654</v>
      </c>
    </row>
    <row r="25" spans="1:12">
      <c r="A25" s="329" t="s">
        <v>39</v>
      </c>
      <c r="B25" s="330" t="s">
        <v>1207</v>
      </c>
      <c r="C25" s="331"/>
      <c r="D25" s="332"/>
      <c r="E25" s="1182">
        <v>35880</v>
      </c>
      <c r="F25" s="210">
        <v>24156</v>
      </c>
      <c r="G25" s="210">
        <v>24156</v>
      </c>
      <c r="H25" s="1351">
        <f t="shared" si="1"/>
        <v>1</v>
      </c>
      <c r="I25" s="333">
        <v>11162</v>
      </c>
      <c r="J25" s="334"/>
      <c r="K25" s="335"/>
      <c r="L25" s="336">
        <f t="shared" si="5"/>
        <v>35318</v>
      </c>
    </row>
    <row r="26" spans="1:12" ht="24">
      <c r="A26" s="329" t="s">
        <v>38</v>
      </c>
      <c r="B26" s="330" t="s">
        <v>1208</v>
      </c>
      <c r="C26" s="331"/>
      <c r="D26" s="332"/>
      <c r="E26" s="1182">
        <v>30074</v>
      </c>
      <c r="F26" s="210">
        <v>27875</v>
      </c>
      <c r="G26" s="210">
        <v>27875</v>
      </c>
      <c r="H26" s="1351">
        <f t="shared" si="1"/>
        <v>1</v>
      </c>
      <c r="I26" s="333">
        <v>2200</v>
      </c>
      <c r="J26" s="334"/>
      <c r="K26" s="335"/>
      <c r="L26" s="336">
        <f t="shared" si="5"/>
        <v>30075</v>
      </c>
    </row>
    <row r="27" spans="1:12" ht="24">
      <c r="A27" s="329" t="s">
        <v>36</v>
      </c>
      <c r="B27" s="330" t="s">
        <v>1209</v>
      </c>
      <c r="C27" s="331"/>
      <c r="D27" s="332"/>
      <c r="E27" s="1182">
        <v>195124</v>
      </c>
      <c r="F27" s="210">
        <v>437844</v>
      </c>
      <c r="G27" s="210">
        <v>437844</v>
      </c>
      <c r="H27" s="1351">
        <f t="shared" si="1"/>
        <v>1</v>
      </c>
      <c r="I27" s="333">
        <v>419920</v>
      </c>
      <c r="J27" s="334"/>
      <c r="K27" s="335"/>
      <c r="L27" s="336">
        <f t="shared" si="5"/>
        <v>857764</v>
      </c>
    </row>
    <row r="28" spans="1:12">
      <c r="A28" s="329" t="s">
        <v>35</v>
      </c>
      <c r="B28" s="330" t="s">
        <v>1213</v>
      </c>
      <c r="C28" s="331"/>
      <c r="D28" s="332"/>
      <c r="E28" s="1182">
        <v>4509</v>
      </c>
      <c r="F28" s="210">
        <v>6281</v>
      </c>
      <c r="G28" s="210">
        <v>6281</v>
      </c>
      <c r="H28" s="1351">
        <f t="shared" si="1"/>
        <v>1</v>
      </c>
      <c r="I28" s="333"/>
      <c r="J28" s="334"/>
      <c r="K28" s="335"/>
      <c r="L28" s="336">
        <f t="shared" si="5"/>
        <v>6281</v>
      </c>
    </row>
    <row r="29" spans="1:12">
      <c r="A29" s="329" t="s">
        <v>34</v>
      </c>
      <c r="B29" s="330" t="s">
        <v>1491</v>
      </c>
      <c r="C29" s="331"/>
      <c r="D29" s="332"/>
      <c r="E29" s="1182">
        <v>40360</v>
      </c>
      <c r="F29" s="210">
        <v>2565</v>
      </c>
      <c r="G29" s="210">
        <v>2565</v>
      </c>
      <c r="H29" s="1351">
        <f t="shared" si="1"/>
        <v>1</v>
      </c>
      <c r="I29" s="333">
        <v>37795</v>
      </c>
      <c r="J29" s="334"/>
      <c r="K29" s="335"/>
      <c r="L29" s="336">
        <f t="shared" si="5"/>
        <v>40360</v>
      </c>
    </row>
    <row r="30" spans="1:12">
      <c r="A30" s="329" t="s">
        <v>33</v>
      </c>
      <c r="B30" s="330" t="s">
        <v>1357</v>
      </c>
      <c r="C30" s="331"/>
      <c r="D30" s="332"/>
      <c r="E30" s="1182">
        <v>67673</v>
      </c>
      <c r="F30" s="210">
        <v>48117</v>
      </c>
      <c r="G30" s="210">
        <v>48117</v>
      </c>
      <c r="H30" s="1351">
        <f t="shared" si="1"/>
        <v>1</v>
      </c>
      <c r="I30" s="333">
        <v>19557</v>
      </c>
      <c r="J30" s="334"/>
      <c r="K30" s="335"/>
      <c r="L30" s="336">
        <f t="shared" si="5"/>
        <v>67674</v>
      </c>
    </row>
    <row r="31" spans="1:12">
      <c r="A31" s="329" t="s">
        <v>32</v>
      </c>
      <c r="B31" s="330" t="s">
        <v>1492</v>
      </c>
      <c r="C31" s="331"/>
      <c r="D31" s="332"/>
      <c r="E31" s="1182">
        <v>7553</v>
      </c>
      <c r="F31" s="210">
        <v>14218</v>
      </c>
      <c r="G31" s="210">
        <v>14218</v>
      </c>
      <c r="H31" s="1351">
        <f t="shared" si="1"/>
        <v>1</v>
      </c>
      <c r="I31" s="333"/>
      <c r="J31" s="334"/>
      <c r="K31" s="335"/>
      <c r="L31" s="336">
        <f t="shared" si="5"/>
        <v>14218</v>
      </c>
    </row>
    <row r="32" spans="1:12">
      <c r="A32" s="329" t="s">
        <v>470</v>
      </c>
      <c r="B32" s="330" t="s">
        <v>1356</v>
      </c>
      <c r="C32" s="331"/>
      <c r="D32" s="332"/>
      <c r="E32" s="1182">
        <v>2976</v>
      </c>
      <c r="F32" s="210">
        <v>61</v>
      </c>
      <c r="G32" s="210">
        <v>61</v>
      </c>
      <c r="H32" s="1351">
        <f t="shared" si="1"/>
        <v>1</v>
      </c>
      <c r="I32" s="333"/>
      <c r="J32" s="334"/>
      <c r="K32" s="335"/>
      <c r="L32" s="336">
        <f t="shared" si="5"/>
        <v>61</v>
      </c>
    </row>
    <row r="33" spans="1:12">
      <c r="A33" s="329" t="s">
        <v>471</v>
      </c>
      <c r="B33" s="330" t="s">
        <v>1355</v>
      </c>
      <c r="C33" s="331"/>
      <c r="D33" s="332"/>
      <c r="E33" s="1182">
        <v>10672</v>
      </c>
      <c r="F33" s="210">
        <v>59879</v>
      </c>
      <c r="G33" s="210">
        <v>59879</v>
      </c>
      <c r="H33" s="1351">
        <f t="shared" si="1"/>
        <v>1</v>
      </c>
      <c r="I33" s="333">
        <v>64760</v>
      </c>
      <c r="J33" s="334"/>
      <c r="K33" s="335"/>
      <c r="L33" s="336">
        <f t="shared" si="5"/>
        <v>124639</v>
      </c>
    </row>
    <row r="34" spans="1:12">
      <c r="A34" s="329" t="s">
        <v>472</v>
      </c>
      <c r="B34" s="330" t="s">
        <v>1354</v>
      </c>
      <c r="C34" s="331"/>
      <c r="D34" s="332"/>
      <c r="E34" s="1182">
        <v>57079</v>
      </c>
      <c r="F34" s="210">
        <v>73411</v>
      </c>
      <c r="G34" s="210">
        <v>73411</v>
      </c>
      <c r="H34" s="1351">
        <f t="shared" si="1"/>
        <v>1</v>
      </c>
      <c r="I34" s="333">
        <v>61505</v>
      </c>
      <c r="J34" s="334"/>
      <c r="K34" s="335"/>
      <c r="L34" s="336">
        <f t="shared" si="5"/>
        <v>134916</v>
      </c>
    </row>
    <row r="35" spans="1:12">
      <c r="A35" s="329" t="s">
        <v>473</v>
      </c>
      <c r="B35" s="330" t="s">
        <v>1397</v>
      </c>
      <c r="C35" s="331"/>
      <c r="D35" s="332"/>
      <c r="E35" s="1182">
        <v>97922</v>
      </c>
      <c r="F35" s="210">
        <v>86827</v>
      </c>
      <c r="G35" s="210">
        <v>86827</v>
      </c>
      <c r="H35" s="1351">
        <f t="shared" si="1"/>
        <v>1</v>
      </c>
      <c r="I35" s="333">
        <v>8326</v>
      </c>
      <c r="J35" s="334"/>
      <c r="K35" s="335"/>
      <c r="L35" s="336">
        <f t="shared" si="5"/>
        <v>95153</v>
      </c>
    </row>
    <row r="36" spans="1:12">
      <c r="A36" s="329" t="s">
        <v>486</v>
      </c>
      <c r="B36" s="330" t="s">
        <v>1352</v>
      </c>
      <c r="C36" s="331"/>
      <c r="D36" s="332"/>
      <c r="E36" s="840">
        <v>6599</v>
      </c>
      <c r="F36" s="1215">
        <v>0</v>
      </c>
      <c r="G36" s="1215"/>
      <c r="H36" s="1351" t="str">
        <f t="shared" si="1"/>
        <v>-</v>
      </c>
      <c r="I36" s="333">
        <v>205375</v>
      </c>
      <c r="J36" s="334"/>
      <c r="K36" s="335"/>
      <c r="L36" s="336">
        <f t="shared" si="5"/>
        <v>205375</v>
      </c>
    </row>
    <row r="37" spans="1:12">
      <c r="A37" s="329" t="s">
        <v>487</v>
      </c>
      <c r="B37" s="330" t="s">
        <v>1351</v>
      </c>
      <c r="C37" s="331"/>
      <c r="D37" s="332"/>
      <c r="E37" s="1182">
        <v>81210</v>
      </c>
      <c r="F37" s="210">
        <v>83181</v>
      </c>
      <c r="G37" s="210">
        <v>83181</v>
      </c>
      <c r="H37" s="1351">
        <f t="shared" si="1"/>
        <v>1</v>
      </c>
      <c r="I37" s="333"/>
      <c r="J37" s="334"/>
      <c r="K37" s="335"/>
      <c r="L37" s="336">
        <f t="shared" si="5"/>
        <v>83181</v>
      </c>
    </row>
    <row r="38" spans="1:12">
      <c r="A38" s="329" t="s">
        <v>488</v>
      </c>
      <c r="B38" s="330" t="s">
        <v>1350</v>
      </c>
      <c r="C38" s="331"/>
      <c r="D38" s="332"/>
      <c r="E38" s="840">
        <v>514107</v>
      </c>
      <c r="F38" s="1215">
        <v>80</v>
      </c>
      <c r="G38" s="1215">
        <v>80</v>
      </c>
      <c r="H38" s="1351">
        <f t="shared" si="1"/>
        <v>1</v>
      </c>
      <c r="I38" s="333">
        <v>513902</v>
      </c>
      <c r="J38" s="334"/>
      <c r="K38" s="335"/>
      <c r="L38" s="336">
        <f t="shared" si="5"/>
        <v>513982</v>
      </c>
    </row>
    <row r="39" spans="1:12">
      <c r="A39" s="329" t="s">
        <v>1388</v>
      </c>
      <c r="B39" s="330" t="s">
        <v>1349</v>
      </c>
      <c r="C39" s="331"/>
      <c r="D39" s="332"/>
      <c r="E39" s="1182">
        <v>25745</v>
      </c>
      <c r="F39" s="210">
        <v>553</v>
      </c>
      <c r="G39" s="210">
        <v>553</v>
      </c>
      <c r="H39" s="1351">
        <f t="shared" si="1"/>
        <v>1</v>
      </c>
      <c r="I39" s="333">
        <v>27732</v>
      </c>
      <c r="J39" s="334"/>
      <c r="K39" s="335"/>
      <c r="L39" s="336">
        <f t="shared" si="5"/>
        <v>28285</v>
      </c>
    </row>
    <row r="40" spans="1:12">
      <c r="A40" s="329" t="s">
        <v>1389</v>
      </c>
      <c r="B40" s="330" t="s">
        <v>1493</v>
      </c>
      <c r="C40" s="331"/>
      <c r="D40" s="332"/>
      <c r="E40" s="1182">
        <v>20787</v>
      </c>
      <c r="F40" s="210">
        <v>32489</v>
      </c>
      <c r="G40" s="210">
        <v>32489</v>
      </c>
      <c r="H40" s="1351">
        <f>IF(ISERROR(G40/F40),"-",G40/F40)</f>
        <v>1</v>
      </c>
      <c r="I40" s="333">
        <v>24116</v>
      </c>
      <c r="J40" s="334"/>
      <c r="K40" s="335"/>
      <c r="L40" s="336">
        <f>+D40+IF(F40&lt;=G40,G40,F40)+I40+J40+K40</f>
        <v>56605</v>
      </c>
    </row>
    <row r="41" spans="1:12">
      <c r="A41" s="329" t="s">
        <v>1390</v>
      </c>
      <c r="B41" s="330" t="s">
        <v>2744</v>
      </c>
      <c r="C41" s="331"/>
      <c r="D41" s="332"/>
      <c r="E41" s="1182"/>
      <c r="F41" s="210"/>
      <c r="G41" s="210"/>
      <c r="H41" s="1351" t="str">
        <f t="shared" si="1"/>
        <v>-</v>
      </c>
      <c r="I41" s="333">
        <v>1472</v>
      </c>
      <c r="J41" s="334"/>
      <c r="K41" s="335"/>
      <c r="L41" s="336">
        <f t="shared" si="5"/>
        <v>1472</v>
      </c>
    </row>
    <row r="42" spans="1:12">
      <c r="A42" s="329" t="s">
        <v>1391</v>
      </c>
      <c r="B42" s="330" t="s">
        <v>2745</v>
      </c>
      <c r="C42" s="331"/>
      <c r="D42" s="332"/>
      <c r="E42" s="1182"/>
      <c r="F42" s="210"/>
      <c r="G42" s="210"/>
      <c r="H42" s="1351" t="str">
        <f>IF(ISERROR(G42/F42),"-",G42/F42)</f>
        <v>-</v>
      </c>
      <c r="I42" s="333">
        <v>1992</v>
      </c>
      <c r="J42" s="334"/>
      <c r="K42" s="335"/>
      <c r="L42" s="336">
        <f>+D42+IF(F42&lt;=G42,G42,F42)+I42+J42+K42</f>
        <v>1992</v>
      </c>
    </row>
    <row r="43" spans="1:12" ht="12.75" thickBot="1">
      <c r="A43" s="329" t="s">
        <v>1392</v>
      </c>
      <c r="B43" s="330" t="s">
        <v>2746</v>
      </c>
      <c r="C43" s="331"/>
      <c r="D43" s="332"/>
      <c r="E43" s="1182"/>
      <c r="F43" s="210">
        <v>70100</v>
      </c>
      <c r="G43" s="210">
        <v>70100</v>
      </c>
      <c r="H43" s="1351">
        <f t="shared" si="1"/>
        <v>1</v>
      </c>
      <c r="I43" s="333"/>
      <c r="J43" s="334"/>
      <c r="K43" s="335"/>
      <c r="L43" s="336">
        <f t="shared" si="5"/>
        <v>70100</v>
      </c>
    </row>
    <row r="44" spans="1:12" ht="12.75" thickBot="1">
      <c r="A44" s="296" t="s">
        <v>1393</v>
      </c>
      <c r="B44" s="313" t="s">
        <v>489</v>
      </c>
      <c r="C44" s="314" t="s">
        <v>19</v>
      </c>
      <c r="D44" s="315">
        <f>SUM(D45:D48)</f>
        <v>12880</v>
      </c>
      <c r="E44" s="316">
        <f>SUM(E45:E48)</f>
        <v>52412</v>
      </c>
      <c r="F44" s="317">
        <f>SUM(F45:F48)</f>
        <v>52412</v>
      </c>
      <c r="G44" s="317">
        <f>SUM(G45:G48)</f>
        <v>13205</v>
      </c>
      <c r="H44" s="1350">
        <f t="shared" si="1"/>
        <v>0.25194611920934135</v>
      </c>
      <c r="I44" s="318">
        <f>SUM(I45:I48)</f>
        <v>28308</v>
      </c>
      <c r="J44" s="319">
        <f>SUM(J45:J48)</f>
        <v>2000</v>
      </c>
      <c r="K44" s="317">
        <f>SUM(K45:K48)</f>
        <v>31525</v>
      </c>
      <c r="L44" s="338">
        <f>SUM(L45:L48)</f>
        <v>127125</v>
      </c>
    </row>
    <row r="45" spans="1:12">
      <c r="A45" s="966" t="s">
        <v>1399</v>
      </c>
      <c r="B45" s="967" t="s">
        <v>1062</v>
      </c>
      <c r="C45" s="968" t="s">
        <v>1063</v>
      </c>
      <c r="D45" s="311"/>
      <c r="E45" s="305">
        <f>4425-4425</f>
        <v>0</v>
      </c>
      <c r="F45" s="306">
        <f>4425-4425</f>
        <v>0</v>
      </c>
      <c r="G45" s="306"/>
      <c r="H45" s="1351" t="str">
        <f t="shared" si="1"/>
        <v>-</v>
      </c>
      <c r="I45" s="969"/>
      <c r="J45" s="307"/>
      <c r="K45" s="306"/>
      <c r="L45" s="970">
        <f>+D45+IF(F45&lt;=G45,G45,F45)+I45+J45+K45</f>
        <v>0</v>
      </c>
    </row>
    <row r="46" spans="1:12">
      <c r="A46" s="966" t="s">
        <v>2741</v>
      </c>
      <c r="B46" s="967" t="s">
        <v>1126</v>
      </c>
      <c r="C46" s="968" t="s">
        <v>444</v>
      </c>
      <c r="D46" s="281">
        <f>9000+2000-2000</f>
        <v>9000</v>
      </c>
      <c r="E46" s="305">
        <f>2000+2000</f>
        <v>4000</v>
      </c>
      <c r="F46" s="306">
        <f>2000+2000</f>
        <v>4000</v>
      </c>
      <c r="G46" s="306">
        <v>0</v>
      </c>
      <c r="H46" s="1351">
        <f t="shared" si="1"/>
        <v>0</v>
      </c>
      <c r="I46" s="969">
        <v>2000</v>
      </c>
      <c r="J46" s="307">
        <v>2000</v>
      </c>
      <c r="K46" s="306">
        <f>37525-6000</f>
        <v>31525</v>
      </c>
      <c r="L46" s="970">
        <f>+D46+IF(F46&lt;=G46,G46,F46)+I46+J46+K46</f>
        <v>48525</v>
      </c>
    </row>
    <row r="47" spans="1:12">
      <c r="A47" s="966" t="s">
        <v>2742</v>
      </c>
      <c r="B47" s="967" t="s">
        <v>1345</v>
      </c>
      <c r="C47" s="968" t="s">
        <v>458</v>
      </c>
      <c r="D47" s="281">
        <f>3880+13205-13205</f>
        <v>3880</v>
      </c>
      <c r="E47" s="305">
        <f>13205+19807</f>
        <v>33012</v>
      </c>
      <c r="F47" s="306">
        <f>13205+19807</f>
        <v>33012</v>
      </c>
      <c r="G47" s="306">
        <v>13205</v>
      </c>
      <c r="H47" s="1351">
        <f t="shared" si="1"/>
        <v>0.40000605840300496</v>
      </c>
      <c r="I47" s="969">
        <v>19808</v>
      </c>
      <c r="J47" s="307"/>
      <c r="K47" s="306"/>
      <c r="L47" s="970">
        <f>+D47+IF(F47&lt;=G47,G47,F47)+I47+J47+K47</f>
        <v>56700</v>
      </c>
    </row>
    <row r="48" spans="1:12" ht="12.75" thickBot="1">
      <c r="A48" s="966" t="s">
        <v>2743</v>
      </c>
      <c r="B48" s="967" t="s">
        <v>1346</v>
      </c>
      <c r="C48" s="968" t="s">
        <v>458</v>
      </c>
      <c r="D48" s="971">
        <f>8900-8900</f>
        <v>0</v>
      </c>
      <c r="E48" s="305">
        <f>6500+8900</f>
        <v>15400</v>
      </c>
      <c r="F48" s="306">
        <f>6500+8900</f>
        <v>15400</v>
      </c>
      <c r="G48" s="306">
        <v>0</v>
      </c>
      <c r="H48" s="1351">
        <f t="shared" si="1"/>
        <v>0</v>
      </c>
      <c r="I48" s="969">
        <v>6500</v>
      </c>
      <c r="J48" s="307"/>
      <c r="K48" s="306"/>
      <c r="L48" s="970">
        <f>+D48+IF(F48&lt;=G48,G48,F48)+I48+J48+K48</f>
        <v>21900</v>
      </c>
    </row>
    <row r="49" spans="1:12" ht="12.75" thickBot="1">
      <c r="A49" s="1828" t="s">
        <v>2740</v>
      </c>
      <c r="B49" s="1829"/>
      <c r="C49" s="337" t="s">
        <v>19</v>
      </c>
      <c r="D49" s="301">
        <f>+D9+D11+D13+D15+D44</f>
        <v>12880</v>
      </c>
      <c r="E49" s="301">
        <f>+E9+E11+E13+E15+E44</f>
        <v>2533570</v>
      </c>
      <c r="F49" s="299">
        <f>+F9+F11+F13+F15+F44</f>
        <v>1318437</v>
      </c>
      <c r="G49" s="299">
        <f>+G9+G11+G13+G15+G44</f>
        <v>1279230</v>
      </c>
      <c r="H49" s="1350" t="str">
        <f>IF(ISERROR(G50/F50),"-",G50/F50)</f>
        <v>-</v>
      </c>
      <c r="I49" s="285">
        <f>+I9+I11+I13+I15+I44</f>
        <v>2514402</v>
      </c>
      <c r="J49" s="284">
        <f>+J9+J11+J13+J15+J44</f>
        <v>2000</v>
      </c>
      <c r="K49" s="299">
        <f>+K9+K11+K13+K15+K44</f>
        <v>31525</v>
      </c>
      <c r="L49" s="338">
        <f>+L9+L11+L13+L15+L44</f>
        <v>3879244</v>
      </c>
    </row>
  </sheetData>
  <mergeCells count="10">
    <mergeCell ref="A49:B49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179" customWidth="1"/>
    <col min="2" max="2" width="51.28515625" style="179" bestFit="1" customWidth="1"/>
    <col min="3" max="10" width="16.7109375" style="179" customWidth="1"/>
    <col min="11" max="11" width="15.28515625" style="179"/>
    <col min="12" max="12" width="15.28515625" style="179" customWidth="1"/>
    <col min="13" max="13" width="15.28515625" style="179" hidden="1" customWidth="1"/>
    <col min="14" max="16384" width="15.28515625" style="179"/>
  </cols>
  <sheetData>
    <row r="1" spans="1:10" s="180" customFormat="1" ht="15.75">
      <c r="A1" s="140"/>
      <c r="B1" s="140"/>
      <c r="C1" s="140"/>
      <c r="D1" s="188"/>
      <c r="E1" s="140"/>
      <c r="F1" s="188"/>
      <c r="G1" s="140"/>
      <c r="H1" s="188"/>
      <c r="I1" s="140"/>
      <c r="J1" s="188" t="s">
        <v>491</v>
      </c>
    </row>
    <row r="2" spans="1:10" s="180" customFormat="1" ht="15.75">
      <c r="A2" s="140"/>
      <c r="B2" s="140"/>
      <c r="C2" s="140"/>
      <c r="D2" s="188"/>
      <c r="E2" s="140"/>
      <c r="F2" s="188"/>
      <c r="G2" s="140"/>
      <c r="H2" s="188"/>
      <c r="I2" s="140"/>
      <c r="J2" s="188"/>
    </row>
    <row r="3" spans="1:10" s="181" customFormat="1" ht="15.75">
      <c r="A3" s="1796" t="s">
        <v>1408</v>
      </c>
      <c r="B3" s="1796"/>
      <c r="C3" s="1796"/>
      <c r="D3" s="1796"/>
      <c r="E3" s="1796"/>
      <c r="F3" s="1796"/>
      <c r="G3" s="1796"/>
      <c r="H3" s="1796"/>
      <c r="I3" s="1796"/>
      <c r="J3" s="1796"/>
    </row>
    <row r="4" spans="1:10" s="181" customFormat="1" ht="15.75">
      <c r="A4" s="1841" t="s">
        <v>492</v>
      </c>
      <c r="B4" s="1841"/>
      <c r="C4" s="1841"/>
      <c r="D4" s="1841"/>
      <c r="E4" s="1841"/>
      <c r="F4" s="1841"/>
      <c r="G4" s="1841"/>
      <c r="H4" s="1841"/>
      <c r="I4" s="1841"/>
      <c r="J4" s="1841"/>
    </row>
    <row r="5" spans="1:10" ht="12.75" thickBot="1">
      <c r="A5" s="352"/>
      <c r="B5" s="351"/>
      <c r="C5" s="351"/>
      <c r="D5" s="350"/>
      <c r="E5" s="351"/>
      <c r="F5" s="350"/>
      <c r="G5" s="351"/>
      <c r="H5" s="350"/>
      <c r="I5" s="351"/>
      <c r="J5" s="350" t="s">
        <v>457</v>
      </c>
    </row>
    <row r="6" spans="1:10" ht="48.75" thickBot="1">
      <c r="A6" s="292" t="s">
        <v>17</v>
      </c>
      <c r="B6" s="354" t="s">
        <v>50</v>
      </c>
      <c r="C6" s="354" t="s">
        <v>1544</v>
      </c>
      <c r="D6" s="353" t="s">
        <v>1545</v>
      </c>
      <c r="E6" s="354" t="s">
        <v>1546</v>
      </c>
      <c r="F6" s="353" t="s">
        <v>1547</v>
      </c>
      <c r="G6" s="354" t="s">
        <v>2655</v>
      </c>
      <c r="H6" s="353" t="s">
        <v>1559</v>
      </c>
      <c r="I6" s="1352" t="s">
        <v>1558</v>
      </c>
      <c r="J6" s="1353" t="s">
        <v>1558</v>
      </c>
    </row>
    <row r="7" spans="1:10" ht="12.75" thickBot="1">
      <c r="A7" s="292">
        <v>1</v>
      </c>
      <c r="B7" s="354">
        <v>2</v>
      </c>
      <c r="C7" s="354">
        <v>3</v>
      </c>
      <c r="D7" s="353">
        <v>4</v>
      </c>
      <c r="E7" s="354">
        <v>5</v>
      </c>
      <c r="F7" s="353">
        <v>6</v>
      </c>
      <c r="G7" s="354">
        <v>7</v>
      </c>
      <c r="H7" s="353">
        <v>8</v>
      </c>
      <c r="I7" s="354">
        <v>9</v>
      </c>
      <c r="J7" s="353">
        <v>10</v>
      </c>
    </row>
    <row r="8" spans="1:10">
      <c r="A8" s="349" t="s">
        <v>4</v>
      </c>
      <c r="B8" s="348" t="s">
        <v>493</v>
      </c>
      <c r="C8" s="341"/>
      <c r="D8" s="327"/>
      <c r="E8" s="341"/>
      <c r="F8" s="327"/>
      <c r="G8" s="341"/>
      <c r="H8" s="327"/>
      <c r="I8" s="1354" t="str">
        <f>IF(ISERROR(G8/E8),"-",G8/E8)</f>
        <v>-</v>
      </c>
      <c r="J8" s="1355" t="str">
        <f t="shared" ref="J8:J25" si="0">IF(ISERROR(H8/F8),"-",H8/F8)</f>
        <v>-</v>
      </c>
    </row>
    <row r="9" spans="1:10">
      <c r="A9" s="347" t="s">
        <v>5</v>
      </c>
      <c r="B9" s="346" t="s">
        <v>494</v>
      </c>
      <c r="C9" s="340"/>
      <c r="D9" s="308"/>
      <c r="E9" s="340"/>
      <c r="F9" s="308"/>
      <c r="G9" s="340"/>
      <c r="H9" s="308"/>
      <c r="I9" s="1356" t="str">
        <f t="shared" ref="I9:I25" si="1">IF(ISERROR(G9/E9),"-",G9/E9)</f>
        <v>-</v>
      </c>
      <c r="J9" s="1357" t="str">
        <f t="shared" si="0"/>
        <v>-</v>
      </c>
    </row>
    <row r="10" spans="1:10">
      <c r="A10" s="347" t="s">
        <v>6</v>
      </c>
      <c r="B10" s="346" t="s">
        <v>495</v>
      </c>
      <c r="C10" s="340"/>
      <c r="D10" s="308"/>
      <c r="E10" s="340"/>
      <c r="F10" s="308"/>
      <c r="G10" s="340"/>
      <c r="H10" s="308"/>
      <c r="I10" s="1356" t="str">
        <f t="shared" si="1"/>
        <v>-</v>
      </c>
      <c r="J10" s="1357" t="str">
        <f t="shared" si="0"/>
        <v>-</v>
      </c>
    </row>
    <row r="11" spans="1:10">
      <c r="A11" s="347" t="s">
        <v>3</v>
      </c>
      <c r="B11" s="346" t="s">
        <v>496</v>
      </c>
      <c r="C11" s="340"/>
      <c r="D11" s="308"/>
      <c r="E11" s="340"/>
      <c r="F11" s="308"/>
      <c r="G11" s="340"/>
      <c r="H11" s="308"/>
      <c r="I11" s="1356" t="str">
        <f t="shared" si="1"/>
        <v>-</v>
      </c>
      <c r="J11" s="1357" t="str">
        <f t="shared" si="0"/>
        <v>-</v>
      </c>
    </row>
    <row r="12" spans="1:10">
      <c r="A12" s="347" t="s">
        <v>16</v>
      </c>
      <c r="B12" s="346" t="s">
        <v>497</v>
      </c>
      <c r="C12" s="340">
        <f t="shared" ref="C12:H12" si="2">+C13+C14+C15+C16+C17+C18+C19</f>
        <v>372453</v>
      </c>
      <c r="D12" s="681">
        <f t="shared" si="2"/>
        <v>5351</v>
      </c>
      <c r="E12" s="340">
        <f t="shared" si="2"/>
        <v>372453</v>
      </c>
      <c r="F12" s="681">
        <f t="shared" si="2"/>
        <v>5351</v>
      </c>
      <c r="G12" s="340">
        <f t="shared" si="2"/>
        <v>372052</v>
      </c>
      <c r="H12" s="681">
        <f t="shared" si="2"/>
        <v>5790</v>
      </c>
      <c r="I12" s="1356">
        <f t="shared" si="1"/>
        <v>0.99892335408762989</v>
      </c>
      <c r="J12" s="1358">
        <f t="shared" si="0"/>
        <v>1.082040740048589</v>
      </c>
    </row>
    <row r="13" spans="1:10">
      <c r="A13" s="347" t="s">
        <v>226</v>
      </c>
      <c r="B13" s="345" t="s">
        <v>498</v>
      </c>
      <c r="C13" s="339">
        <v>32000</v>
      </c>
      <c r="D13" s="841"/>
      <c r="E13" s="339">
        <v>32000</v>
      </c>
      <c r="F13" s="841"/>
      <c r="G13" s="339">
        <v>31884</v>
      </c>
      <c r="H13" s="841"/>
      <c r="I13" s="1356">
        <f t="shared" si="1"/>
        <v>0.99637500000000001</v>
      </c>
      <c r="J13" s="1357" t="str">
        <f t="shared" si="0"/>
        <v>-</v>
      </c>
    </row>
    <row r="14" spans="1:10">
      <c r="A14" s="347" t="s">
        <v>227</v>
      </c>
      <c r="B14" s="345" t="s">
        <v>499</v>
      </c>
      <c r="C14" s="339">
        <v>11952</v>
      </c>
      <c r="D14" s="841"/>
      <c r="E14" s="339">
        <v>11952</v>
      </c>
      <c r="F14" s="841"/>
      <c r="G14" s="339">
        <v>11952</v>
      </c>
      <c r="H14" s="841"/>
      <c r="I14" s="1356">
        <f t="shared" si="1"/>
        <v>1</v>
      </c>
      <c r="J14" s="1357" t="str">
        <f t="shared" si="0"/>
        <v>-</v>
      </c>
    </row>
    <row r="15" spans="1:10">
      <c r="A15" s="347" t="s">
        <v>228</v>
      </c>
      <c r="B15" s="345" t="s">
        <v>500</v>
      </c>
      <c r="C15" s="339"/>
      <c r="D15" s="841"/>
      <c r="E15" s="339"/>
      <c r="F15" s="841"/>
      <c r="G15" s="339"/>
      <c r="H15" s="841"/>
      <c r="I15" s="1356" t="str">
        <f t="shared" si="1"/>
        <v>-</v>
      </c>
      <c r="J15" s="1357" t="str">
        <f t="shared" si="0"/>
        <v>-</v>
      </c>
    </row>
    <row r="16" spans="1:10">
      <c r="A16" s="347" t="s">
        <v>256</v>
      </c>
      <c r="B16" s="345" t="s">
        <v>501</v>
      </c>
      <c r="C16" s="339">
        <v>26282</v>
      </c>
      <c r="D16" s="841">
        <v>3282</v>
      </c>
      <c r="E16" s="339">
        <v>26282</v>
      </c>
      <c r="F16" s="841">
        <v>3282</v>
      </c>
      <c r="G16" s="339">
        <f>28565+H16</f>
        <v>32084</v>
      </c>
      <c r="H16" s="841">
        <f>3324+149+46</f>
        <v>3519</v>
      </c>
      <c r="I16" s="1356">
        <f t="shared" si="1"/>
        <v>1.2207594551404002</v>
      </c>
      <c r="J16" s="1357">
        <f t="shared" si="0"/>
        <v>1.0722120658135283</v>
      </c>
    </row>
    <row r="17" spans="1:13">
      <c r="A17" s="347" t="s">
        <v>257</v>
      </c>
      <c r="B17" s="345" t="s">
        <v>502</v>
      </c>
      <c r="C17" s="339">
        <v>150</v>
      </c>
      <c r="D17" s="841"/>
      <c r="E17" s="339">
        <v>150</v>
      </c>
      <c r="F17" s="841"/>
      <c r="G17" s="339">
        <v>18</v>
      </c>
      <c r="H17" s="841"/>
      <c r="I17" s="1356">
        <f t="shared" si="1"/>
        <v>0.12</v>
      </c>
      <c r="J17" s="1357" t="str">
        <f t="shared" si="0"/>
        <v>-</v>
      </c>
    </row>
    <row r="18" spans="1:13">
      <c r="A18" s="347" t="s">
        <v>258</v>
      </c>
      <c r="B18" s="345" t="s">
        <v>503</v>
      </c>
      <c r="C18" s="339"/>
      <c r="D18" s="841"/>
      <c r="E18" s="339"/>
      <c r="F18" s="841"/>
      <c r="G18" s="339"/>
      <c r="H18" s="841"/>
      <c r="I18" s="1356" t="str">
        <f t="shared" si="1"/>
        <v>-</v>
      </c>
      <c r="J18" s="1357" t="str">
        <f t="shared" si="0"/>
        <v>-</v>
      </c>
    </row>
    <row r="19" spans="1:13">
      <c r="A19" s="347" t="s">
        <v>259</v>
      </c>
      <c r="B19" s="345" t="s">
        <v>504</v>
      </c>
      <c r="C19" s="339">
        <v>302069</v>
      </c>
      <c r="D19" s="841">
        <v>2069</v>
      </c>
      <c r="E19" s="339">
        <v>302069</v>
      </c>
      <c r="F19" s="841">
        <v>2069</v>
      </c>
      <c r="G19" s="339">
        <f>293843+H19</f>
        <v>296114</v>
      </c>
      <c r="H19" s="841">
        <v>2271</v>
      </c>
      <c r="I19" s="1356">
        <f t="shared" si="1"/>
        <v>0.98028596115457067</v>
      </c>
      <c r="J19" s="1357">
        <f t="shared" si="0"/>
        <v>1.097631706138231</v>
      </c>
    </row>
    <row r="20" spans="1:13">
      <c r="A20" s="347" t="s">
        <v>15</v>
      </c>
      <c r="B20" s="346" t="s">
        <v>505</v>
      </c>
      <c r="C20" s="340"/>
      <c r="D20" s="308"/>
      <c r="E20" s="340"/>
      <c r="F20" s="308"/>
      <c r="G20" s="340"/>
      <c r="H20" s="308"/>
      <c r="I20" s="1356" t="str">
        <f t="shared" si="1"/>
        <v>-</v>
      </c>
      <c r="J20" s="1357" t="str">
        <f t="shared" si="0"/>
        <v>-</v>
      </c>
    </row>
    <row r="21" spans="1:13">
      <c r="A21" s="347" t="s">
        <v>14</v>
      </c>
      <c r="B21" s="346" t="s">
        <v>506</v>
      </c>
      <c r="C21" s="340"/>
      <c r="D21" s="308"/>
      <c r="E21" s="340"/>
      <c r="F21" s="308"/>
      <c r="G21" s="340"/>
      <c r="H21" s="308"/>
      <c r="I21" s="1356" t="str">
        <f t="shared" si="1"/>
        <v>-</v>
      </c>
      <c r="J21" s="1357" t="str">
        <f t="shared" si="0"/>
        <v>-</v>
      </c>
    </row>
    <row r="22" spans="1:13">
      <c r="A22" s="347" t="s">
        <v>13</v>
      </c>
      <c r="B22" s="346" t="s">
        <v>507</v>
      </c>
      <c r="C22" s="340"/>
      <c r="D22" s="308"/>
      <c r="E22" s="340"/>
      <c r="F22" s="308"/>
      <c r="G22" s="340"/>
      <c r="H22" s="308"/>
      <c r="I22" s="1356" t="str">
        <f t="shared" si="1"/>
        <v>-</v>
      </c>
      <c r="J22" s="1357" t="str">
        <f t="shared" si="0"/>
        <v>-</v>
      </c>
    </row>
    <row r="23" spans="1:13">
      <c r="A23" s="347" t="s">
        <v>12</v>
      </c>
      <c r="B23" s="346" t="s">
        <v>508</v>
      </c>
      <c r="C23" s="340"/>
      <c r="D23" s="308"/>
      <c r="E23" s="340"/>
      <c r="F23" s="308"/>
      <c r="G23" s="340"/>
      <c r="H23" s="308"/>
      <c r="I23" s="1356" t="str">
        <f t="shared" si="1"/>
        <v>-</v>
      </c>
      <c r="J23" s="1357" t="str">
        <f t="shared" si="0"/>
        <v>-</v>
      </c>
    </row>
    <row r="24" spans="1:13" ht="12.75" thickBot="1">
      <c r="A24" s="682" t="s">
        <v>11</v>
      </c>
      <c r="B24" s="683" t="s">
        <v>509</v>
      </c>
      <c r="C24" s="684"/>
      <c r="D24" s="685"/>
      <c r="E24" s="684"/>
      <c r="F24" s="685"/>
      <c r="G24" s="684"/>
      <c r="H24" s="685"/>
      <c r="I24" s="1359" t="str">
        <f t="shared" si="1"/>
        <v>-</v>
      </c>
      <c r="J24" s="1360" t="str">
        <f t="shared" si="0"/>
        <v>-</v>
      </c>
    </row>
    <row r="25" spans="1:13" ht="12.75" thickBot="1">
      <c r="A25" s="343" t="s">
        <v>10</v>
      </c>
      <c r="B25" s="355" t="s">
        <v>440</v>
      </c>
      <c r="C25" s="355">
        <f t="shared" ref="C25:H25" si="3">+C8+C9+C10+C11+C12+C20+C21+C22+C23+C24</f>
        <v>372453</v>
      </c>
      <c r="D25" s="342">
        <f t="shared" si="3"/>
        <v>5351</v>
      </c>
      <c r="E25" s="355">
        <f t="shared" si="3"/>
        <v>372453</v>
      </c>
      <c r="F25" s="342">
        <f t="shared" si="3"/>
        <v>5351</v>
      </c>
      <c r="G25" s="355">
        <f t="shared" si="3"/>
        <v>372052</v>
      </c>
      <c r="H25" s="342">
        <f t="shared" si="3"/>
        <v>5790</v>
      </c>
      <c r="I25" s="1352">
        <f t="shared" si="1"/>
        <v>0.99892335408762989</v>
      </c>
      <c r="J25" s="1353">
        <f t="shared" si="0"/>
        <v>1.082040740048589</v>
      </c>
      <c r="L25" s="568"/>
      <c r="M25" s="568">
        <f>+G25-H25-L25</f>
        <v>366262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F39"/>
  <sheetViews>
    <sheetView zoomScaleNormal="100" workbookViewId="0"/>
  </sheetViews>
  <sheetFormatPr defaultRowHeight="12"/>
  <cols>
    <col min="1" max="1" width="4.85546875" style="179" customWidth="1"/>
    <col min="2" max="2" width="44" style="179" bestFit="1" customWidth="1"/>
    <col min="3" max="5" width="10.28515625" style="179" customWidth="1"/>
    <col min="6" max="6" width="10.28515625" style="1336" customWidth="1"/>
    <col min="7" max="20" width="10.28515625" style="179" customWidth="1"/>
    <col min="21" max="32" width="9.140625" style="179" hidden="1" customWidth="1"/>
    <col min="33" max="16384" width="9.140625" style="179"/>
  </cols>
  <sheetData>
    <row r="1" spans="1:32" s="180" customFormat="1" ht="15.75">
      <c r="A1" s="140"/>
      <c r="B1" s="140"/>
      <c r="C1" s="140"/>
      <c r="D1" s="140"/>
      <c r="E1" s="140"/>
      <c r="F1" s="1335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8" t="s">
        <v>833</v>
      </c>
      <c r="T1" s="188"/>
      <c r="Y1" s="722"/>
      <c r="Z1" s="722"/>
      <c r="AA1" s="722"/>
      <c r="AB1" s="722"/>
      <c r="AC1" s="722"/>
      <c r="AD1" s="722"/>
      <c r="AE1" s="722"/>
      <c r="AF1" s="722"/>
    </row>
    <row r="2" spans="1:32" s="180" customFormat="1" ht="16.5" thickBot="1">
      <c r="A2" s="140"/>
      <c r="B2" s="140"/>
      <c r="C2" s="140"/>
      <c r="D2" s="140"/>
      <c r="E2" s="140"/>
      <c r="F2" s="1335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88"/>
      <c r="T2" s="188"/>
      <c r="Y2" s="722"/>
      <c r="Z2" s="722">
        <v>3</v>
      </c>
      <c r="AA2" s="722">
        <v>5</v>
      </c>
      <c r="AB2" s="722">
        <v>7</v>
      </c>
      <c r="AC2" s="722">
        <v>9</v>
      </c>
      <c r="AD2" s="722">
        <v>12</v>
      </c>
      <c r="AE2" s="722"/>
      <c r="AF2" s="722"/>
    </row>
    <row r="3" spans="1:32" s="181" customFormat="1" ht="16.5" thickBot="1">
      <c r="A3" s="1842" t="s">
        <v>2650</v>
      </c>
      <c r="B3" s="1842"/>
      <c r="C3" s="1842"/>
      <c r="D3" s="1842"/>
      <c r="E3" s="1842"/>
      <c r="F3" s="1842"/>
      <c r="G3" s="1842"/>
      <c r="H3" s="1842"/>
      <c r="I3" s="1842"/>
      <c r="J3" s="1842"/>
      <c r="K3" s="1842"/>
      <c r="L3" s="1842"/>
      <c r="M3" s="1842"/>
      <c r="N3" s="1842"/>
      <c r="O3" s="1842"/>
      <c r="P3" s="1842"/>
      <c r="Q3" s="1842"/>
      <c r="R3" s="1842"/>
      <c r="S3" s="1842"/>
      <c r="T3" s="1744"/>
      <c r="Y3" s="723" t="s">
        <v>952</v>
      </c>
      <c r="Z3" s="724" t="s">
        <v>513</v>
      </c>
      <c r="AA3" s="725" t="s">
        <v>515</v>
      </c>
      <c r="AB3" s="725" t="s">
        <v>517</v>
      </c>
      <c r="AC3" s="725" t="s">
        <v>519</v>
      </c>
      <c r="AD3" s="726" t="s">
        <v>953</v>
      </c>
      <c r="AE3" s="727" t="s">
        <v>18</v>
      </c>
      <c r="AF3" s="722"/>
    </row>
    <row r="4" spans="1:32" ht="12.75" thickBot="1">
      <c r="A4" s="141"/>
      <c r="B4" s="141"/>
      <c r="C4" s="141"/>
      <c r="D4" s="141"/>
      <c r="E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385" t="s">
        <v>49</v>
      </c>
      <c r="T4" s="385"/>
      <c r="Y4" s="729" t="s">
        <v>954</v>
      </c>
      <c r="Z4" s="730">
        <f>120000+10000</f>
        <v>130000</v>
      </c>
      <c r="AA4" s="731">
        <v>10000</v>
      </c>
      <c r="AB4" s="731">
        <v>0</v>
      </c>
      <c r="AC4" s="731">
        <f>120000+10000</f>
        <v>130000</v>
      </c>
      <c r="AD4" s="732">
        <v>30000</v>
      </c>
      <c r="AE4" s="747">
        <f t="shared" ref="AE4:AF11" si="0">SUM(Z4:AD4)</f>
        <v>300000</v>
      </c>
      <c r="AF4" s="722">
        <v>280000</v>
      </c>
    </row>
    <row r="5" spans="1:32" ht="36.75" thickBot="1">
      <c r="A5" s="364" t="s">
        <v>17</v>
      </c>
      <c r="B5" s="365" t="s">
        <v>7</v>
      </c>
      <c r="C5" s="1055" t="s">
        <v>1540</v>
      </c>
      <c r="D5" s="6" t="s">
        <v>1541</v>
      </c>
      <c r="E5" s="6" t="s">
        <v>2654</v>
      </c>
      <c r="F5" s="1291" t="s">
        <v>1558</v>
      </c>
      <c r="G5" s="371" t="s">
        <v>511</v>
      </c>
      <c r="H5" s="363" t="s">
        <v>512</v>
      </c>
      <c r="I5" s="363" t="s">
        <v>513</v>
      </c>
      <c r="J5" s="363" t="s">
        <v>514</v>
      </c>
      <c r="K5" s="363" t="s">
        <v>515</v>
      </c>
      <c r="L5" s="363" t="s">
        <v>516</v>
      </c>
      <c r="M5" s="363" t="s">
        <v>517</v>
      </c>
      <c r="N5" s="363" t="s">
        <v>518</v>
      </c>
      <c r="O5" s="363" t="s">
        <v>519</v>
      </c>
      <c r="P5" s="363" t="s">
        <v>520</v>
      </c>
      <c r="Q5" s="363" t="s">
        <v>521</v>
      </c>
      <c r="R5" s="363" t="s">
        <v>522</v>
      </c>
      <c r="S5" s="366" t="s">
        <v>440</v>
      </c>
      <c r="T5" s="719"/>
      <c r="Y5" s="734" t="s">
        <v>955</v>
      </c>
      <c r="Z5" s="735">
        <v>13500</v>
      </c>
      <c r="AA5" s="736">
        <v>3500</v>
      </c>
      <c r="AB5" s="736">
        <v>0</v>
      </c>
      <c r="AC5" s="736">
        <v>3500</v>
      </c>
      <c r="AD5" s="737">
        <v>2500</v>
      </c>
      <c r="AE5" s="748">
        <f t="shared" si="0"/>
        <v>23000</v>
      </c>
      <c r="AF5" s="728">
        <v>23000</v>
      </c>
    </row>
    <row r="6" spans="1:32" ht="12.75" thickBot="1">
      <c r="A6" s="362"/>
      <c r="B6" s="1843" t="s">
        <v>523</v>
      </c>
      <c r="C6" s="1844"/>
      <c r="D6" s="1844"/>
      <c r="E6" s="1844"/>
      <c r="F6" s="1845"/>
      <c r="G6" s="1844"/>
      <c r="H6" s="1844"/>
      <c r="I6" s="1844"/>
      <c r="J6" s="1844"/>
      <c r="K6" s="1844"/>
      <c r="L6" s="1844"/>
      <c r="M6" s="1844"/>
      <c r="N6" s="1844"/>
      <c r="O6" s="1844"/>
      <c r="P6" s="1844"/>
      <c r="Q6" s="1844"/>
      <c r="R6" s="1844"/>
      <c r="S6" s="1846"/>
      <c r="T6" s="1745"/>
      <c r="U6" s="568"/>
      <c r="Y6" s="734" t="s">
        <v>956</v>
      </c>
      <c r="Z6" s="735">
        <v>12000</v>
      </c>
      <c r="AA6" s="736">
        <v>4000</v>
      </c>
      <c r="AB6" s="736">
        <v>0</v>
      </c>
      <c r="AC6" s="736">
        <v>12000</v>
      </c>
      <c r="AD6" s="737">
        <v>4000</v>
      </c>
      <c r="AE6" s="748">
        <f t="shared" si="0"/>
        <v>32000</v>
      </c>
      <c r="AF6" s="733">
        <v>32000</v>
      </c>
    </row>
    <row r="7" spans="1:32">
      <c r="A7" s="361" t="s">
        <v>4</v>
      </c>
      <c r="B7" s="360" t="s">
        <v>528</v>
      </c>
      <c r="C7" s="1216">
        <f>+'1.mell._Össz_Mérleg2020'!C11</f>
        <v>992226</v>
      </c>
      <c r="D7" s="1216">
        <f>+'1.mell._Össz_Mérleg2020'!D11</f>
        <v>1347690</v>
      </c>
      <c r="E7" s="1216">
        <f>+'1.mell._Össz_Mérleg2020'!E11</f>
        <v>1347690</v>
      </c>
      <c r="F7" s="1361">
        <f t="shared" ref="F7:F16" si="1">IF(ISERROR(E7/D7),"-",E7/D7)</f>
        <v>1</v>
      </c>
      <c r="G7" s="972">
        <v>100184</v>
      </c>
      <c r="H7" s="973">
        <v>69246</v>
      </c>
      <c r="I7" s="973">
        <v>90222</v>
      </c>
      <c r="J7" s="973">
        <v>74616</v>
      </c>
      <c r="K7" s="973">
        <v>160551</v>
      </c>
      <c r="L7" s="973">
        <v>196699</v>
      </c>
      <c r="M7" s="973">
        <v>95905</v>
      </c>
      <c r="N7" s="973">
        <v>86186</v>
      </c>
      <c r="O7" s="973">
        <v>123483</v>
      </c>
      <c r="P7" s="973">
        <v>103867</v>
      </c>
      <c r="Q7" s="973">
        <v>83214</v>
      </c>
      <c r="R7" s="973">
        <v>163517</v>
      </c>
      <c r="S7" s="359">
        <f>SUM(G7:R7)</f>
        <v>1347690</v>
      </c>
      <c r="T7" s="720"/>
      <c r="U7" s="568">
        <f t="shared" ref="U7:U16" si="2">+E7-S7</f>
        <v>0</v>
      </c>
      <c r="V7" s="179">
        <f t="shared" ref="V7:V15" si="3">+E7/12</f>
        <v>112307.5</v>
      </c>
      <c r="W7" s="179">
        <f>+U7/12</f>
        <v>0</v>
      </c>
      <c r="Y7" s="734" t="s">
        <v>957</v>
      </c>
      <c r="Z7" s="739">
        <v>10000</v>
      </c>
      <c r="AA7" s="740">
        <v>4000</v>
      </c>
      <c r="AB7" s="740">
        <v>0</v>
      </c>
      <c r="AC7" s="740">
        <v>10000</v>
      </c>
      <c r="AD7" s="741">
        <v>3500</v>
      </c>
      <c r="AE7" s="749">
        <f t="shared" si="0"/>
        <v>27500</v>
      </c>
      <c r="AF7" s="738">
        <v>27500</v>
      </c>
    </row>
    <row r="8" spans="1:32">
      <c r="A8" s="358" t="s">
        <v>5</v>
      </c>
      <c r="B8" s="357" t="s">
        <v>524</v>
      </c>
      <c r="C8" s="1217">
        <f>+'1.mell._Össz_Mérleg2020'!C25</f>
        <v>414105</v>
      </c>
      <c r="D8" s="1217">
        <f>+'1.mell._Össz_Mérleg2020'!D25</f>
        <v>538391</v>
      </c>
      <c r="E8" s="1217">
        <f>+'1.mell._Össz_Mérleg2020'!E25</f>
        <v>370140</v>
      </c>
      <c r="F8" s="1362">
        <f t="shared" si="1"/>
        <v>0.68749291871520879</v>
      </c>
      <c r="G8" s="870">
        <v>1842</v>
      </c>
      <c r="H8" s="871">
        <v>10286</v>
      </c>
      <c r="I8" s="871">
        <v>126068</v>
      </c>
      <c r="J8" s="871">
        <v>5187</v>
      </c>
      <c r="K8" s="871">
        <v>18617</v>
      </c>
      <c r="L8" s="871">
        <v>6994</v>
      </c>
      <c r="M8" s="871">
        <v>8788</v>
      </c>
      <c r="N8" s="871">
        <v>4613</v>
      </c>
      <c r="O8" s="871">
        <v>144209</v>
      </c>
      <c r="P8" s="871">
        <v>35164</v>
      </c>
      <c r="Q8" s="871">
        <v>18871</v>
      </c>
      <c r="R8" s="871">
        <v>-10499</v>
      </c>
      <c r="S8" s="356">
        <f t="shared" ref="S8:S15" si="4">SUM(G8:R8)</f>
        <v>370140</v>
      </c>
      <c r="T8" s="720"/>
      <c r="U8" s="568">
        <f t="shared" si="2"/>
        <v>0</v>
      </c>
      <c r="V8" s="179">
        <f t="shared" si="3"/>
        <v>30845</v>
      </c>
      <c r="W8" s="179">
        <f>+U8/12</f>
        <v>0</v>
      </c>
      <c r="Y8" s="734" t="s">
        <v>958</v>
      </c>
      <c r="Z8" s="735">
        <v>0</v>
      </c>
      <c r="AA8" s="736">
        <v>0</v>
      </c>
      <c r="AB8" s="736">
        <v>75</v>
      </c>
      <c r="AC8" s="736">
        <v>75</v>
      </c>
      <c r="AD8" s="737">
        <v>0</v>
      </c>
      <c r="AE8" s="748">
        <f t="shared" si="0"/>
        <v>150</v>
      </c>
      <c r="AF8" s="738">
        <v>150</v>
      </c>
    </row>
    <row r="9" spans="1:32">
      <c r="A9" s="358" t="s">
        <v>6</v>
      </c>
      <c r="B9" s="357" t="s">
        <v>529</v>
      </c>
      <c r="C9" s="1217">
        <f>+'1.mell._Össz_Mérleg2020'!C32</f>
        <v>186868</v>
      </c>
      <c r="D9" s="1217">
        <f>+'1.mell._Össz_Mérleg2020'!D32</f>
        <v>169713</v>
      </c>
      <c r="E9" s="1217">
        <f>+'1.mell._Össz_Mérleg2020'!E32</f>
        <v>153866</v>
      </c>
      <c r="F9" s="1362">
        <f t="shared" si="1"/>
        <v>0.90662471348688667</v>
      </c>
      <c r="G9" s="870">
        <v>14756</v>
      </c>
      <c r="H9" s="871">
        <v>9328</v>
      </c>
      <c r="I9" s="871">
        <v>6773</v>
      </c>
      <c r="J9" s="871">
        <v>6886</v>
      </c>
      <c r="K9" s="871">
        <v>15058</v>
      </c>
      <c r="L9" s="871">
        <v>5797</v>
      </c>
      <c r="M9" s="871">
        <v>21517</v>
      </c>
      <c r="N9" s="871">
        <v>3965</v>
      </c>
      <c r="O9" s="871">
        <v>12605</v>
      </c>
      <c r="P9" s="871">
        <v>8281</v>
      </c>
      <c r="Q9" s="871">
        <v>9448</v>
      </c>
      <c r="R9" s="871">
        <v>39452</v>
      </c>
      <c r="S9" s="356">
        <f t="shared" si="4"/>
        <v>153866</v>
      </c>
      <c r="T9" s="720"/>
      <c r="U9" s="568">
        <f t="shared" si="2"/>
        <v>0</v>
      </c>
      <c r="V9" s="179">
        <f t="shared" si="3"/>
        <v>12822.166666666666</v>
      </c>
      <c r="W9" s="179">
        <f>+U9/12</f>
        <v>0</v>
      </c>
      <c r="Y9" s="734" t="s">
        <v>1099</v>
      </c>
      <c r="Z9" s="739">
        <v>5976</v>
      </c>
      <c r="AA9" s="740"/>
      <c r="AB9" s="740"/>
      <c r="AC9" s="740">
        <v>5976</v>
      </c>
      <c r="AD9" s="741"/>
      <c r="AE9" s="749">
        <f>SUM(Z9:AD9)</f>
        <v>11952</v>
      </c>
      <c r="AF9" s="738">
        <v>11952</v>
      </c>
    </row>
    <row r="10" spans="1:32">
      <c r="A10" s="358" t="s">
        <v>3</v>
      </c>
      <c r="B10" s="357" t="s">
        <v>530</v>
      </c>
      <c r="C10" s="1218">
        <f>+'1.mell._Össz_Mérleg2020'!C44</f>
        <v>0</v>
      </c>
      <c r="D10" s="1218">
        <f>+'1.mell._Össz_Mérleg2020'!D44</f>
        <v>19952</v>
      </c>
      <c r="E10" s="1218">
        <f>+'1.mell._Össz_Mérleg2020'!E44</f>
        <v>4745</v>
      </c>
      <c r="F10" s="1363">
        <f t="shared" si="1"/>
        <v>0.23782076984763431</v>
      </c>
      <c r="G10" s="870">
        <v>5</v>
      </c>
      <c r="H10" s="871">
        <v>5</v>
      </c>
      <c r="I10" s="871">
        <v>805</v>
      </c>
      <c r="J10" s="871">
        <v>548</v>
      </c>
      <c r="K10" s="871">
        <v>35</v>
      </c>
      <c r="L10" s="871"/>
      <c r="M10" s="871">
        <v>5</v>
      </c>
      <c r="N10" s="871">
        <v>5</v>
      </c>
      <c r="O10" s="871">
        <v>129</v>
      </c>
      <c r="P10" s="871">
        <v>17</v>
      </c>
      <c r="Q10" s="871">
        <v>3039</v>
      </c>
      <c r="R10" s="872">
        <v>152</v>
      </c>
      <c r="S10" s="356">
        <f t="shared" si="4"/>
        <v>4745</v>
      </c>
      <c r="T10" s="720"/>
      <c r="U10" s="568">
        <f t="shared" si="2"/>
        <v>0</v>
      </c>
      <c r="V10" s="179">
        <f t="shared" si="3"/>
        <v>395.41666666666669</v>
      </c>
      <c r="Y10" s="734" t="s">
        <v>959</v>
      </c>
      <c r="Z10" s="739">
        <v>500</v>
      </c>
      <c r="AA10" s="740">
        <v>100</v>
      </c>
      <c r="AB10" s="740">
        <v>0</v>
      </c>
      <c r="AC10" s="740">
        <v>500</v>
      </c>
      <c r="AD10" s="741">
        <v>100</v>
      </c>
      <c r="AE10" s="749">
        <f t="shared" si="0"/>
        <v>1200</v>
      </c>
      <c r="AF10" s="738">
        <v>1200</v>
      </c>
    </row>
    <row r="11" spans="1:32" ht="12.75" thickBot="1">
      <c r="A11" s="358" t="s">
        <v>16</v>
      </c>
      <c r="B11" s="357" t="s">
        <v>531</v>
      </c>
      <c r="C11" s="1218">
        <f>+'1.mell._Össz_Mérleg2020'!C51</f>
        <v>32276</v>
      </c>
      <c r="D11" s="1218">
        <f>+'1.mell._Össz_Mérleg2020'!D51</f>
        <v>219051</v>
      </c>
      <c r="E11" s="1218">
        <f>+'1.mell._Össz_Mérleg2020'!E51</f>
        <v>219051</v>
      </c>
      <c r="F11" s="1363">
        <f t="shared" si="1"/>
        <v>1</v>
      </c>
      <c r="G11" s="870"/>
      <c r="H11" s="871"/>
      <c r="I11" s="871">
        <v>66771</v>
      </c>
      <c r="J11" s="871">
        <v>3000</v>
      </c>
      <c r="K11" s="871"/>
      <c r="L11" s="871"/>
      <c r="M11" s="871">
        <v>37000</v>
      </c>
      <c r="N11" s="871"/>
      <c r="O11" s="871">
        <v>84</v>
      </c>
      <c r="P11" s="871">
        <v>81</v>
      </c>
      <c r="Q11" s="871">
        <v>105307</v>
      </c>
      <c r="R11" s="871">
        <v>6808</v>
      </c>
      <c r="S11" s="356">
        <f t="shared" si="4"/>
        <v>219051</v>
      </c>
      <c r="T11" s="720"/>
      <c r="U11" s="568">
        <f t="shared" si="2"/>
        <v>0</v>
      </c>
      <c r="V11" s="179">
        <f t="shared" si="3"/>
        <v>18254.25</v>
      </c>
      <c r="Y11" s="742" t="s">
        <v>18</v>
      </c>
      <c r="Z11" s="743">
        <f>SUM(Z4:Z10)</f>
        <v>171976</v>
      </c>
      <c r="AA11" s="744">
        <f>SUM(AA4:AA10)</f>
        <v>21600</v>
      </c>
      <c r="AB11" s="744">
        <f>SUM(AB4:AB10)</f>
        <v>75</v>
      </c>
      <c r="AC11" s="744">
        <f>SUM(AC4:AC10)</f>
        <v>162051</v>
      </c>
      <c r="AD11" s="745">
        <f>SUM(AD4:AD10)</f>
        <v>40100</v>
      </c>
      <c r="AE11" s="746">
        <f t="shared" si="0"/>
        <v>395802</v>
      </c>
      <c r="AF11" s="746">
        <f t="shared" si="0"/>
        <v>619628</v>
      </c>
    </row>
    <row r="12" spans="1:32">
      <c r="A12" s="358" t="s">
        <v>15</v>
      </c>
      <c r="B12" s="357" t="s">
        <v>532</v>
      </c>
      <c r="C12" s="1218">
        <f>+'1.mell._Össz_Mérleg2020'!C58</f>
        <v>40350</v>
      </c>
      <c r="D12" s="1218">
        <f>+'1.mell._Össz_Mérleg2020'!D58</f>
        <v>42427</v>
      </c>
      <c r="E12" s="1218">
        <f>+'1.mell._Össz_Mérleg2020'!E58</f>
        <v>41924</v>
      </c>
      <c r="F12" s="1363">
        <f t="shared" si="1"/>
        <v>0.98814434204633839</v>
      </c>
      <c r="G12" s="870">
        <v>63</v>
      </c>
      <c r="H12" s="871">
        <v>92</v>
      </c>
      <c r="I12" s="871">
        <v>91</v>
      </c>
      <c r="J12" s="871">
        <v>2624</v>
      </c>
      <c r="K12" s="871">
        <v>24</v>
      </c>
      <c r="L12" s="871">
        <v>10025</v>
      </c>
      <c r="M12" s="871">
        <v>20025</v>
      </c>
      <c r="N12" s="871">
        <v>25</v>
      </c>
      <c r="O12" s="871">
        <v>7125</v>
      </c>
      <c r="P12" s="871">
        <v>1810</v>
      </c>
      <c r="Q12" s="871">
        <v>10</v>
      </c>
      <c r="R12" s="871">
        <v>10</v>
      </c>
      <c r="S12" s="356">
        <f t="shared" si="4"/>
        <v>41924</v>
      </c>
      <c r="T12" s="720"/>
      <c r="U12" s="568">
        <f t="shared" si="2"/>
        <v>0</v>
      </c>
      <c r="V12" s="179">
        <f t="shared" si="3"/>
        <v>3493.6666666666665</v>
      </c>
      <c r="W12" s="179">
        <f>+U12/12</f>
        <v>0</v>
      </c>
      <c r="Y12" s="733"/>
      <c r="Z12" s="733"/>
      <c r="AA12" s="733"/>
      <c r="AB12" s="733"/>
      <c r="AC12" s="733"/>
      <c r="AD12" s="733"/>
      <c r="AE12" s="733"/>
      <c r="AF12" s="738"/>
    </row>
    <row r="13" spans="1:32">
      <c r="A13" s="358" t="s">
        <v>14</v>
      </c>
      <c r="B13" s="357" t="s">
        <v>533</v>
      </c>
      <c r="C13" s="1218">
        <f>+'1.mell._Össz_Mérleg2020'!C64</f>
        <v>1100</v>
      </c>
      <c r="D13" s="1218">
        <f>+'1.mell._Össz_Mérleg2020'!D64</f>
        <v>5714</v>
      </c>
      <c r="E13" s="1218">
        <f>+'1.mell._Össz_Mérleg2020'!E64</f>
        <v>664</v>
      </c>
      <c r="F13" s="1363">
        <f t="shared" si="1"/>
        <v>0.11620581029051452</v>
      </c>
      <c r="G13" s="870">
        <v>52</v>
      </c>
      <c r="H13" s="871">
        <v>51</v>
      </c>
      <c r="I13" s="871">
        <v>51</v>
      </c>
      <c r="J13" s="871">
        <v>38</v>
      </c>
      <c r="K13" s="871">
        <v>38</v>
      </c>
      <c r="L13" s="871">
        <v>45</v>
      </c>
      <c r="M13" s="871">
        <v>26</v>
      </c>
      <c r="N13" s="871">
        <v>60</v>
      </c>
      <c r="O13" s="871">
        <v>102</v>
      </c>
      <c r="P13" s="871">
        <v>82</v>
      </c>
      <c r="Q13" s="871">
        <v>68</v>
      </c>
      <c r="R13" s="871">
        <v>51</v>
      </c>
      <c r="S13" s="356">
        <f t="shared" si="4"/>
        <v>664</v>
      </c>
      <c r="T13" s="720"/>
      <c r="U13" s="568">
        <f t="shared" si="2"/>
        <v>0</v>
      </c>
      <c r="V13" s="179">
        <f t="shared" si="3"/>
        <v>55.333333333333336</v>
      </c>
      <c r="W13" s="179">
        <f>+U13/12</f>
        <v>0</v>
      </c>
      <c r="Y13" s="733"/>
      <c r="Z13" s="733"/>
      <c r="AA13" s="733"/>
      <c r="AB13" s="733"/>
      <c r="AC13" s="733"/>
      <c r="AD13" s="733"/>
      <c r="AE13" s="733"/>
      <c r="AF13" s="738"/>
    </row>
    <row r="14" spans="1:32">
      <c r="A14" s="358" t="s">
        <v>13</v>
      </c>
      <c r="B14" s="357" t="s">
        <v>534</v>
      </c>
      <c r="C14" s="1218">
        <f>+'1.mell._Össz_Mérleg2020'!C72</f>
        <v>2876249</v>
      </c>
      <c r="D14" s="1218">
        <f>+'1.mell._Össz_Mérleg2020'!D72</f>
        <v>797622</v>
      </c>
      <c r="E14" s="1218">
        <f>+'1.mell._Össz_Mérleg2020'!E72</f>
        <v>797622</v>
      </c>
      <c r="F14" s="1363">
        <f t="shared" si="1"/>
        <v>1</v>
      </c>
      <c r="G14" s="870">
        <f>3330619-G15</f>
        <v>686587</v>
      </c>
      <c r="H14" s="871"/>
      <c r="I14" s="871">
        <v>740</v>
      </c>
      <c r="J14" s="871">
        <v>33988</v>
      </c>
      <c r="K14" s="871">
        <v>5651</v>
      </c>
      <c r="L14" s="871"/>
      <c r="M14" s="871">
        <v>31511</v>
      </c>
      <c r="N14" s="871">
        <v>1113</v>
      </c>
      <c r="O14" s="871"/>
      <c r="P14" s="871">
        <v>4787</v>
      </c>
      <c r="Q14" s="871">
        <v>1000</v>
      </c>
      <c r="R14" s="872">
        <v>32245</v>
      </c>
      <c r="S14" s="356">
        <f t="shared" si="4"/>
        <v>797622</v>
      </c>
      <c r="T14" s="720"/>
      <c r="U14" s="568">
        <f t="shared" si="2"/>
        <v>0</v>
      </c>
      <c r="V14" s="179">
        <f t="shared" si="3"/>
        <v>66468.5</v>
      </c>
      <c r="Y14" s="738"/>
      <c r="Z14" s="738"/>
      <c r="AA14" s="738"/>
      <c r="AB14" s="738"/>
      <c r="AC14" s="738"/>
      <c r="AD14" s="738"/>
      <c r="AE14" s="738"/>
      <c r="AF14" s="738"/>
    </row>
    <row r="15" spans="1:32" ht="12.75" thickBot="1">
      <c r="A15" s="358" t="s">
        <v>12</v>
      </c>
      <c r="B15" s="357" t="s">
        <v>535</v>
      </c>
      <c r="C15" s="1218">
        <f>+'1.mell._Össz_Mérleg2020'!C87</f>
        <v>10000</v>
      </c>
      <c r="D15" s="1218">
        <f>+'1.mell._Össz_Mérleg2020'!D87</f>
        <v>2653354</v>
      </c>
      <c r="E15" s="1218">
        <f>+'1.mell._Össz_Mérleg2020'!E87</f>
        <v>2653354</v>
      </c>
      <c r="F15" s="1363">
        <f t="shared" si="1"/>
        <v>1</v>
      </c>
      <c r="G15" s="870">
        <f>2653354-9322</f>
        <v>2644032</v>
      </c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2">
        <v>9322</v>
      </c>
      <c r="S15" s="356">
        <f t="shared" si="4"/>
        <v>2653354</v>
      </c>
      <c r="T15" s="720"/>
      <c r="U15" s="568">
        <f t="shared" si="2"/>
        <v>0</v>
      </c>
      <c r="V15" s="179">
        <f t="shared" si="3"/>
        <v>221112.83333333334</v>
      </c>
      <c r="Y15" s="738"/>
      <c r="Z15" s="738"/>
      <c r="AA15" s="738"/>
      <c r="AB15" s="738"/>
      <c r="AC15" s="738"/>
      <c r="AD15" s="738"/>
      <c r="AE15" s="738"/>
      <c r="AF15" s="738"/>
    </row>
    <row r="16" spans="1:32" ht="12.75" thickBot="1">
      <c r="A16" s="372" t="s">
        <v>11</v>
      </c>
      <c r="B16" s="367" t="s">
        <v>525</v>
      </c>
      <c r="C16" s="373">
        <f>SUM(C7:C15)</f>
        <v>4553174</v>
      </c>
      <c r="D16" s="373">
        <f>SUM(D7:D15)</f>
        <v>5793914</v>
      </c>
      <c r="E16" s="373">
        <f>SUM(E7:E15)</f>
        <v>5589056</v>
      </c>
      <c r="F16" s="1364">
        <f t="shared" si="1"/>
        <v>0.96464255423880985</v>
      </c>
      <c r="G16" s="374">
        <f t="shared" ref="G16:S16" si="5">SUM(G7:G15)</f>
        <v>3447521</v>
      </c>
      <c r="H16" s="375">
        <f t="shared" si="5"/>
        <v>89008</v>
      </c>
      <c r="I16" s="375">
        <f t="shared" si="5"/>
        <v>291521</v>
      </c>
      <c r="J16" s="375">
        <f t="shared" si="5"/>
        <v>126887</v>
      </c>
      <c r="K16" s="375">
        <f t="shared" si="5"/>
        <v>199974</v>
      </c>
      <c r="L16" s="375">
        <f t="shared" si="5"/>
        <v>219560</v>
      </c>
      <c r="M16" s="375">
        <f t="shared" si="5"/>
        <v>214777</v>
      </c>
      <c r="N16" s="375">
        <f t="shared" si="5"/>
        <v>95967</v>
      </c>
      <c r="O16" s="375">
        <f t="shared" si="5"/>
        <v>287737</v>
      </c>
      <c r="P16" s="375">
        <f t="shared" si="5"/>
        <v>154089</v>
      </c>
      <c r="Q16" s="375">
        <f t="shared" si="5"/>
        <v>220957</v>
      </c>
      <c r="R16" s="367">
        <f t="shared" si="5"/>
        <v>241058</v>
      </c>
      <c r="S16" s="376">
        <f t="shared" si="5"/>
        <v>5589056</v>
      </c>
      <c r="T16" s="720"/>
      <c r="U16" s="568">
        <f t="shared" si="2"/>
        <v>0</v>
      </c>
      <c r="Y16" s="738"/>
      <c r="Z16" s="738"/>
      <c r="AA16" s="738"/>
      <c r="AB16" s="738"/>
      <c r="AC16" s="738"/>
      <c r="AD16" s="738"/>
      <c r="AE16" s="738"/>
      <c r="AF16" s="738"/>
    </row>
    <row r="17" spans="1:32" ht="12.75" thickBot="1">
      <c r="A17" s="377"/>
      <c r="B17" s="1843" t="s">
        <v>526</v>
      </c>
      <c r="C17" s="1844"/>
      <c r="D17" s="1844"/>
      <c r="E17" s="1844"/>
      <c r="F17" s="1845"/>
      <c r="G17" s="1847"/>
      <c r="H17" s="1847"/>
      <c r="I17" s="1847"/>
      <c r="J17" s="1847"/>
      <c r="K17" s="1847"/>
      <c r="L17" s="1847"/>
      <c r="M17" s="1847"/>
      <c r="N17" s="1847"/>
      <c r="O17" s="1847"/>
      <c r="P17" s="1847"/>
      <c r="Q17" s="1847"/>
      <c r="R17" s="1847"/>
      <c r="S17" s="1846"/>
      <c r="T17" s="1745"/>
      <c r="Y17" s="738"/>
      <c r="Z17" s="738"/>
      <c r="AA17" s="738"/>
      <c r="AB17" s="738"/>
      <c r="AC17" s="738"/>
      <c r="AD17" s="738"/>
      <c r="AE17" s="738"/>
      <c r="AF17" s="738"/>
    </row>
    <row r="18" spans="1:32">
      <c r="A18" s="361" t="s">
        <v>10</v>
      </c>
      <c r="B18" s="360" t="s">
        <v>445</v>
      </c>
      <c r="C18" s="1216">
        <f>+'1.mell._Össz_Mérleg2020'!C110</f>
        <v>715534</v>
      </c>
      <c r="D18" s="1216">
        <f>+'1.mell._Össz_Mérleg2020'!D110</f>
        <v>952919</v>
      </c>
      <c r="E18" s="1216">
        <f>+'1.mell._Össz_Mérleg2020'!E110</f>
        <v>941098</v>
      </c>
      <c r="F18" s="1361">
        <f t="shared" ref="F18:F30" si="6">IF(ISERROR(E18/D18),"-",E18/D18)</f>
        <v>0.98759495822834886</v>
      </c>
      <c r="G18" s="972">
        <v>73561</v>
      </c>
      <c r="H18" s="973">
        <v>74753</v>
      </c>
      <c r="I18" s="973">
        <v>76838</v>
      </c>
      <c r="J18" s="973">
        <v>71457</v>
      </c>
      <c r="K18" s="973">
        <v>79242</v>
      </c>
      <c r="L18" s="973">
        <v>75377</v>
      </c>
      <c r="M18" s="973">
        <v>76159</v>
      </c>
      <c r="N18" s="973">
        <v>75146</v>
      </c>
      <c r="O18" s="973">
        <v>100987</v>
      </c>
      <c r="P18" s="973">
        <v>77506</v>
      </c>
      <c r="Q18" s="973">
        <v>79141</v>
      </c>
      <c r="R18" s="973">
        <v>80931</v>
      </c>
      <c r="S18" s="359">
        <f t="shared" ref="S18:S27" si="7">SUM(G18:R18)</f>
        <v>941098</v>
      </c>
      <c r="T18" s="720"/>
      <c r="U18" s="568">
        <f t="shared" ref="U18:U30" si="8">+E18-S18</f>
        <v>0</v>
      </c>
      <c r="V18" s="179">
        <f t="shared" ref="V18:V27" si="9">+E18/12</f>
        <v>78424.833333333328</v>
      </c>
      <c r="W18" s="179">
        <f>+U18/12</f>
        <v>0</v>
      </c>
      <c r="Z18" s="738"/>
      <c r="AA18" s="738"/>
      <c r="AB18" s="738"/>
      <c r="AC18" s="738"/>
      <c r="AD18" s="738"/>
      <c r="AE18" s="738"/>
    </row>
    <row r="19" spans="1:32">
      <c r="A19" s="358" t="s">
        <v>9</v>
      </c>
      <c r="B19" s="357" t="s">
        <v>446</v>
      </c>
      <c r="C19" s="1218">
        <f>+'1.mell._Össz_Mérleg2020'!C114</f>
        <v>130817</v>
      </c>
      <c r="D19" s="1218">
        <f>+'1.mell._Össz_Mérleg2020'!D114</f>
        <v>167067</v>
      </c>
      <c r="E19" s="1218">
        <f>+'1.mell._Össz_Mérleg2020'!E114</f>
        <v>158725</v>
      </c>
      <c r="F19" s="1363">
        <f t="shared" si="6"/>
        <v>0.95006793681576851</v>
      </c>
      <c r="G19" s="870">
        <v>16226</v>
      </c>
      <c r="H19" s="871">
        <v>13182</v>
      </c>
      <c r="I19" s="871">
        <v>12357</v>
      </c>
      <c r="J19" s="871">
        <v>13605</v>
      </c>
      <c r="K19" s="871">
        <v>12131</v>
      </c>
      <c r="L19" s="871">
        <v>11898</v>
      </c>
      <c r="M19" s="871">
        <v>16807</v>
      </c>
      <c r="N19" s="871">
        <v>10989</v>
      </c>
      <c r="O19" s="871">
        <v>14578</v>
      </c>
      <c r="P19" s="871">
        <v>14351</v>
      </c>
      <c r="Q19" s="871">
        <v>11767</v>
      </c>
      <c r="R19" s="871">
        <v>10834</v>
      </c>
      <c r="S19" s="356">
        <f t="shared" si="7"/>
        <v>158725</v>
      </c>
      <c r="T19" s="720"/>
      <c r="U19" s="568">
        <f t="shared" si="8"/>
        <v>0</v>
      </c>
      <c r="V19" s="179">
        <f t="shared" si="9"/>
        <v>13227.083333333334</v>
      </c>
      <c r="W19" s="179">
        <f>+U19/12</f>
        <v>0</v>
      </c>
    </row>
    <row r="20" spans="1:32">
      <c r="A20" s="358" t="s">
        <v>45</v>
      </c>
      <c r="B20" s="357" t="s">
        <v>447</v>
      </c>
      <c r="C20" s="1218">
        <f>+'1.mell._Össz_Mérleg2020'!C116</f>
        <v>401997</v>
      </c>
      <c r="D20" s="1218">
        <f>+'1.mell._Össz_Mérleg2020'!D116</f>
        <v>744360</v>
      </c>
      <c r="E20" s="1218">
        <f>+'1.mell._Össz_Mérleg2020'!E116</f>
        <v>628275</v>
      </c>
      <c r="F20" s="1363">
        <f t="shared" si="6"/>
        <v>0.8440472352087699</v>
      </c>
      <c r="G20" s="870">
        <v>65346</v>
      </c>
      <c r="H20" s="871">
        <v>28988</v>
      </c>
      <c r="I20" s="871">
        <v>64893</v>
      </c>
      <c r="J20" s="871">
        <v>54641</v>
      </c>
      <c r="K20" s="871">
        <v>52736</v>
      </c>
      <c r="L20" s="871">
        <v>53403</v>
      </c>
      <c r="M20" s="871">
        <v>28945</v>
      </c>
      <c r="N20" s="871">
        <v>30305</v>
      </c>
      <c r="O20" s="871">
        <v>68753</v>
      </c>
      <c r="P20" s="871">
        <v>46680</v>
      </c>
      <c r="Q20" s="871">
        <v>27588</v>
      </c>
      <c r="R20" s="871">
        <v>105997</v>
      </c>
      <c r="S20" s="356">
        <f t="shared" si="7"/>
        <v>628275</v>
      </c>
      <c r="T20" s="720"/>
      <c r="U20" s="568">
        <f t="shared" si="8"/>
        <v>0</v>
      </c>
      <c r="V20" s="179">
        <f t="shared" si="9"/>
        <v>52356.25</v>
      </c>
      <c r="W20" s="179">
        <f>+U20/12</f>
        <v>0</v>
      </c>
    </row>
    <row r="21" spans="1:32">
      <c r="A21" s="358" t="s">
        <v>44</v>
      </c>
      <c r="B21" s="357" t="s">
        <v>448</v>
      </c>
      <c r="C21" s="1218">
        <f>+'1.mell._Össz_Mérleg2020'!C123</f>
        <v>52779</v>
      </c>
      <c r="D21" s="1218">
        <f>+'1.mell._Össz_Mérleg2020'!D123</f>
        <v>48429</v>
      </c>
      <c r="E21" s="1218">
        <f>+'1.mell._Össz_Mérleg2020'!E123</f>
        <v>48427</v>
      </c>
      <c r="F21" s="1363">
        <f t="shared" si="6"/>
        <v>0.999958702430362</v>
      </c>
      <c r="G21" s="870">
        <v>3874</v>
      </c>
      <c r="H21" s="871">
        <v>4198</v>
      </c>
      <c r="I21" s="871">
        <v>3289</v>
      </c>
      <c r="J21" s="871">
        <v>4733</v>
      </c>
      <c r="K21" s="871">
        <v>5142</v>
      </c>
      <c r="L21" s="871">
        <v>2295</v>
      </c>
      <c r="M21" s="871">
        <v>2099</v>
      </c>
      <c r="N21" s="871">
        <v>1784</v>
      </c>
      <c r="O21" s="871">
        <v>3498</v>
      </c>
      <c r="P21" s="871">
        <v>2100</v>
      </c>
      <c r="Q21" s="871">
        <v>2250</v>
      </c>
      <c r="R21" s="871">
        <v>13165</v>
      </c>
      <c r="S21" s="356">
        <f t="shared" si="7"/>
        <v>48427</v>
      </c>
      <c r="T21" s="720"/>
      <c r="U21" s="568">
        <f t="shared" si="8"/>
        <v>0</v>
      </c>
      <c r="V21" s="179">
        <f t="shared" si="9"/>
        <v>4035.5833333333335</v>
      </c>
      <c r="W21" s="179">
        <f>+U21/12</f>
        <v>0</v>
      </c>
    </row>
    <row r="22" spans="1:32">
      <c r="A22" s="358" t="s">
        <v>43</v>
      </c>
      <c r="B22" s="357" t="s">
        <v>449</v>
      </c>
      <c r="C22" s="1218">
        <f>+'1.mell._Össz_Mérleg2020'!C132</f>
        <v>2717621</v>
      </c>
      <c r="D22" s="1218">
        <f>+'1.mell._Össz_Mérleg2020'!D132</f>
        <v>2424341</v>
      </c>
      <c r="E22" s="1218">
        <f>+'1.mell._Össz_Mérleg2020'!E132</f>
        <v>97668</v>
      </c>
      <c r="F22" s="1363">
        <f t="shared" si="6"/>
        <v>4.0286411853777994E-2</v>
      </c>
      <c r="G22" s="871">
        <v>8163</v>
      </c>
      <c r="H22" s="871">
        <v>8314</v>
      </c>
      <c r="I22" s="871">
        <v>8295</v>
      </c>
      <c r="J22" s="871">
        <v>2501</v>
      </c>
      <c r="K22" s="871">
        <v>7341</v>
      </c>
      <c r="L22" s="871">
        <v>16376</v>
      </c>
      <c r="M22" s="871">
        <v>12152</v>
      </c>
      <c r="N22" s="871">
        <v>12000</v>
      </c>
      <c r="O22" s="871">
        <v>13346</v>
      </c>
      <c r="P22" s="871">
        <v>475</v>
      </c>
      <c r="Q22" s="871">
        <v>4929</v>
      </c>
      <c r="R22" s="871">
        <v>3776</v>
      </c>
      <c r="S22" s="356">
        <f t="shared" si="7"/>
        <v>97668</v>
      </c>
      <c r="T22" s="720"/>
      <c r="U22" s="568">
        <f t="shared" si="8"/>
        <v>0</v>
      </c>
      <c r="V22" s="179">
        <f t="shared" si="9"/>
        <v>8139</v>
      </c>
      <c r="W22" s="179">
        <f>+U22/12</f>
        <v>0</v>
      </c>
      <c r="X22" s="179">
        <f>+U22/4</f>
        <v>0</v>
      </c>
    </row>
    <row r="23" spans="1:32">
      <c r="A23" s="358" t="s">
        <v>40</v>
      </c>
      <c r="B23" s="357" t="s">
        <v>450</v>
      </c>
      <c r="C23" s="1218">
        <f>+'1.mell._Össz_Mérleg2020'!C150</f>
        <v>436722</v>
      </c>
      <c r="D23" s="1218">
        <f>+'1.mell._Össz_Mérleg2020'!D150</f>
        <v>807961</v>
      </c>
      <c r="E23" s="1218">
        <f>+'1.mell._Össz_Mérleg2020'!E150</f>
        <v>704564</v>
      </c>
      <c r="F23" s="1363">
        <f t="shared" si="6"/>
        <v>0.87202723893851308</v>
      </c>
      <c r="G23" s="870">
        <v>23165</v>
      </c>
      <c r="H23" s="871">
        <v>4573</v>
      </c>
      <c r="I23" s="871">
        <v>25328</v>
      </c>
      <c r="J23" s="871">
        <v>8892</v>
      </c>
      <c r="K23" s="871">
        <v>293620</v>
      </c>
      <c r="L23" s="871">
        <v>12329</v>
      </c>
      <c r="M23" s="871">
        <v>13943</v>
      </c>
      <c r="N23" s="871">
        <v>113289</v>
      </c>
      <c r="O23" s="871">
        <v>16617</v>
      </c>
      <c r="P23" s="871">
        <v>36135</v>
      </c>
      <c r="Q23" s="871">
        <v>4237</v>
      </c>
      <c r="R23" s="871">
        <v>152436</v>
      </c>
      <c r="S23" s="356">
        <f t="shared" si="7"/>
        <v>704564</v>
      </c>
      <c r="T23" s="720"/>
      <c r="U23" s="568">
        <f t="shared" si="8"/>
        <v>0</v>
      </c>
      <c r="V23" s="179">
        <f t="shared" si="9"/>
        <v>58713.666666666664</v>
      </c>
      <c r="W23" s="179">
        <f>+U23/4</f>
        <v>0</v>
      </c>
    </row>
    <row r="24" spans="1:32">
      <c r="A24" s="358" t="s">
        <v>39</v>
      </c>
      <c r="B24" s="357" t="s">
        <v>451</v>
      </c>
      <c r="C24" s="1218">
        <f>+'1.mell._Össz_Mérleg2020'!C159</f>
        <v>67258</v>
      </c>
      <c r="D24" s="1218">
        <f>+'1.mell._Össz_Mérleg2020'!D159</f>
        <v>539711</v>
      </c>
      <c r="E24" s="1218">
        <f>+'1.mell._Össz_Mérleg2020'!E159</f>
        <v>502891</v>
      </c>
      <c r="F24" s="1363">
        <f t="shared" si="6"/>
        <v>0.93177830357357916</v>
      </c>
      <c r="G24" s="870"/>
      <c r="H24" s="871">
        <v>41233</v>
      </c>
      <c r="I24" s="871">
        <v>50745</v>
      </c>
      <c r="J24" s="871">
        <v>11570</v>
      </c>
      <c r="K24" s="871"/>
      <c r="L24" s="871">
        <v>70006</v>
      </c>
      <c r="M24" s="871">
        <v>43659</v>
      </c>
      <c r="N24" s="871">
        <v>38244</v>
      </c>
      <c r="O24" s="871">
        <v>64627</v>
      </c>
      <c r="P24" s="871">
        <v>56914</v>
      </c>
      <c r="Q24" s="871">
        <v>28160</v>
      </c>
      <c r="R24" s="871">
        <v>97733</v>
      </c>
      <c r="S24" s="356">
        <f t="shared" si="7"/>
        <v>502891</v>
      </c>
      <c r="T24" s="720"/>
      <c r="U24" s="568">
        <f t="shared" si="8"/>
        <v>0</v>
      </c>
      <c r="V24" s="179">
        <f t="shared" si="9"/>
        <v>41907.583333333336</v>
      </c>
      <c r="W24" s="179">
        <f>+U24/4</f>
        <v>0</v>
      </c>
    </row>
    <row r="25" spans="1:32">
      <c r="A25" s="358" t="s">
        <v>38</v>
      </c>
      <c r="B25" s="357" t="s">
        <v>452</v>
      </c>
      <c r="C25" s="1218">
        <f>+'1.mell._Össz_Mérleg2020'!C165</f>
        <v>0</v>
      </c>
      <c r="D25" s="1218">
        <f>+'1.mell._Össz_Mérleg2020'!D165</f>
        <v>0</v>
      </c>
      <c r="E25" s="1218">
        <f>+'1.mell._Össz_Mérleg2020'!E165</f>
        <v>0</v>
      </c>
      <c r="F25" s="1363" t="str">
        <f t="shared" si="6"/>
        <v>-</v>
      </c>
      <c r="G25" s="870"/>
      <c r="H25" s="871"/>
      <c r="I25" s="871"/>
      <c r="J25" s="871"/>
      <c r="K25" s="871"/>
      <c r="L25" s="871"/>
      <c r="M25" s="871"/>
      <c r="N25" s="871"/>
      <c r="O25" s="871"/>
      <c r="P25" s="871"/>
      <c r="Q25" s="871"/>
      <c r="R25" s="872"/>
      <c r="S25" s="356">
        <f t="shared" si="7"/>
        <v>0</v>
      </c>
      <c r="T25" s="720"/>
      <c r="U25" s="568">
        <f t="shared" si="8"/>
        <v>0</v>
      </c>
      <c r="V25" s="179">
        <f t="shared" si="9"/>
        <v>0</v>
      </c>
    </row>
    <row r="26" spans="1:32">
      <c r="A26" s="358" t="s">
        <v>36</v>
      </c>
      <c r="B26" s="357" t="s">
        <v>536</v>
      </c>
      <c r="C26" s="1218">
        <f>+'1.mell._Össz_Mérleg2020'!C178</f>
        <v>30446</v>
      </c>
      <c r="D26" s="1218">
        <f>+'1.mell._Össz_Mérleg2020'!D178</f>
        <v>109126</v>
      </c>
      <c r="E26" s="1218">
        <f>+'1.mell._Össz_Mérleg2020'!E178</f>
        <v>109126</v>
      </c>
      <c r="F26" s="1363">
        <f t="shared" si="6"/>
        <v>1</v>
      </c>
      <c r="G26" s="870">
        <v>30447</v>
      </c>
      <c r="H26" s="871"/>
      <c r="I26" s="871">
        <v>740</v>
      </c>
      <c r="J26" s="871"/>
      <c r="K26" s="871"/>
      <c r="L26" s="871">
        <v>22398</v>
      </c>
      <c r="M26" s="871"/>
      <c r="N26" s="871"/>
      <c r="O26" s="871">
        <v>35983</v>
      </c>
      <c r="P26" s="871"/>
      <c r="Q26" s="871"/>
      <c r="R26" s="872">
        <v>19558</v>
      </c>
      <c r="S26" s="356">
        <f t="shared" si="7"/>
        <v>109126</v>
      </c>
      <c r="T26" s="720"/>
      <c r="U26" s="568">
        <f t="shared" si="8"/>
        <v>0</v>
      </c>
      <c r="V26" s="179">
        <f t="shared" si="9"/>
        <v>9093.8333333333339</v>
      </c>
    </row>
    <row r="27" spans="1:32" ht="12.75" thickBot="1">
      <c r="A27" s="386" t="s">
        <v>35</v>
      </c>
      <c r="B27" s="387" t="s">
        <v>537</v>
      </c>
      <c r="C27" s="1219">
        <f>+'1.mell._Össz_Mérleg2020'!C193</f>
        <v>0</v>
      </c>
      <c r="D27" s="1219">
        <f>+'1.mell._Össz_Mérleg2020'!D193</f>
        <v>0</v>
      </c>
      <c r="E27" s="1219">
        <f>+'1.mell._Össz_Mérleg2020'!E193</f>
        <v>0</v>
      </c>
      <c r="F27" s="1365" t="str">
        <f t="shared" si="6"/>
        <v>-</v>
      </c>
      <c r="G27" s="974"/>
      <c r="H27" s="975"/>
      <c r="I27" s="975"/>
      <c r="J27" s="975"/>
      <c r="K27" s="975"/>
      <c r="L27" s="975"/>
      <c r="M27" s="975"/>
      <c r="N27" s="975"/>
      <c r="O27" s="975"/>
      <c r="P27" s="975"/>
      <c r="Q27" s="975"/>
      <c r="R27" s="976"/>
      <c r="S27" s="750">
        <f t="shared" si="7"/>
        <v>0</v>
      </c>
      <c r="T27" s="720"/>
      <c r="U27" s="568">
        <f t="shared" si="8"/>
        <v>0</v>
      </c>
      <c r="V27" s="179">
        <f t="shared" si="9"/>
        <v>0</v>
      </c>
    </row>
    <row r="28" spans="1:32" ht="12.75" thickBot="1">
      <c r="A28" s="372" t="s">
        <v>34</v>
      </c>
      <c r="B28" s="367" t="s">
        <v>527</v>
      </c>
      <c r="C28" s="373">
        <f>SUM(C18:C27)</f>
        <v>4553174</v>
      </c>
      <c r="D28" s="373">
        <f>SUM(D18:D27)</f>
        <v>5793914</v>
      </c>
      <c r="E28" s="373">
        <f>SUM(E18:E27)</f>
        <v>3190774</v>
      </c>
      <c r="F28" s="1364">
        <f t="shared" si="6"/>
        <v>0.55071131535607876</v>
      </c>
      <c r="G28" s="375">
        <f t="shared" ref="G28:S28" si="10">SUM(G18:G27)</f>
        <v>220782</v>
      </c>
      <c r="H28" s="375">
        <f t="shared" si="10"/>
        <v>175241</v>
      </c>
      <c r="I28" s="375">
        <f t="shared" si="10"/>
        <v>242485</v>
      </c>
      <c r="J28" s="375">
        <f t="shared" si="10"/>
        <v>167399</v>
      </c>
      <c r="K28" s="375">
        <f t="shared" si="10"/>
        <v>450212</v>
      </c>
      <c r="L28" s="375">
        <f t="shared" si="10"/>
        <v>264082</v>
      </c>
      <c r="M28" s="375">
        <f t="shared" si="10"/>
        <v>193764</v>
      </c>
      <c r="N28" s="375">
        <f t="shared" si="10"/>
        <v>281757</v>
      </c>
      <c r="O28" s="375">
        <f t="shared" si="10"/>
        <v>318389</v>
      </c>
      <c r="P28" s="375">
        <f t="shared" si="10"/>
        <v>234161</v>
      </c>
      <c r="Q28" s="375">
        <f t="shared" si="10"/>
        <v>158072</v>
      </c>
      <c r="R28" s="373">
        <f t="shared" si="10"/>
        <v>484430</v>
      </c>
      <c r="S28" s="378">
        <f t="shared" si="10"/>
        <v>3190774</v>
      </c>
      <c r="T28" s="720"/>
      <c r="U28" s="568">
        <f t="shared" si="8"/>
        <v>0</v>
      </c>
    </row>
    <row r="29" spans="1:32" ht="12.75" thickBot="1">
      <c r="A29" s="379" t="s">
        <v>33</v>
      </c>
      <c r="B29" s="368" t="s">
        <v>538</v>
      </c>
      <c r="C29" s="380">
        <f>+C16-C28</f>
        <v>0</v>
      </c>
      <c r="D29" s="380">
        <f>+D16-D28</f>
        <v>0</v>
      </c>
      <c r="E29" s="380">
        <f>+E16-E28</f>
        <v>2398282</v>
      </c>
      <c r="F29" s="1347" t="str">
        <f t="shared" si="6"/>
        <v>-</v>
      </c>
      <c r="G29" s="381">
        <f t="shared" ref="G29:S29" si="11">+G16-G28</f>
        <v>3226739</v>
      </c>
      <c r="H29" s="381">
        <f t="shared" si="11"/>
        <v>-86233</v>
      </c>
      <c r="I29" s="381">
        <f t="shared" si="11"/>
        <v>49036</v>
      </c>
      <c r="J29" s="381">
        <f t="shared" si="11"/>
        <v>-40512</v>
      </c>
      <c r="K29" s="381">
        <f t="shared" si="11"/>
        <v>-250238</v>
      </c>
      <c r="L29" s="381">
        <f t="shared" si="11"/>
        <v>-44522</v>
      </c>
      <c r="M29" s="381">
        <f t="shared" si="11"/>
        <v>21013</v>
      </c>
      <c r="N29" s="381">
        <f t="shared" si="11"/>
        <v>-185790</v>
      </c>
      <c r="O29" s="381">
        <f t="shared" si="11"/>
        <v>-30652</v>
      </c>
      <c r="P29" s="381">
        <f t="shared" si="11"/>
        <v>-80072</v>
      </c>
      <c r="Q29" s="381">
        <f t="shared" si="11"/>
        <v>62885</v>
      </c>
      <c r="R29" s="380">
        <f t="shared" si="11"/>
        <v>-243372</v>
      </c>
      <c r="S29" s="382">
        <f t="shared" si="11"/>
        <v>2398282</v>
      </c>
      <c r="T29" s="721"/>
      <c r="U29" s="568">
        <f t="shared" si="8"/>
        <v>0</v>
      </c>
    </row>
    <row r="30" spans="1:32" ht="12.75" thickBot="1">
      <c r="A30" s="379" t="s">
        <v>32</v>
      </c>
      <c r="B30" s="368" t="s">
        <v>539</v>
      </c>
      <c r="C30" s="380">
        <f>+C29</f>
        <v>0</v>
      </c>
      <c r="D30" s="380">
        <f>+D29</f>
        <v>0</v>
      </c>
      <c r="E30" s="380">
        <f>+E29</f>
        <v>2398282</v>
      </c>
      <c r="F30" s="1347" t="str">
        <f t="shared" si="6"/>
        <v>-</v>
      </c>
      <c r="G30" s="381">
        <f>+G29</f>
        <v>3226739</v>
      </c>
      <c r="H30" s="381">
        <f>+G30+H29</f>
        <v>3140506</v>
      </c>
      <c r="I30" s="381">
        <f t="shared" ref="I30:R30" si="12">+H30+I29</f>
        <v>3189542</v>
      </c>
      <c r="J30" s="381">
        <f t="shared" si="12"/>
        <v>3149030</v>
      </c>
      <c r="K30" s="381">
        <f t="shared" si="12"/>
        <v>2898792</v>
      </c>
      <c r="L30" s="381">
        <f t="shared" si="12"/>
        <v>2854270</v>
      </c>
      <c r="M30" s="381">
        <f t="shared" si="12"/>
        <v>2875283</v>
      </c>
      <c r="N30" s="381">
        <f t="shared" si="12"/>
        <v>2689493</v>
      </c>
      <c r="O30" s="381">
        <f t="shared" si="12"/>
        <v>2658841</v>
      </c>
      <c r="P30" s="381">
        <f t="shared" si="12"/>
        <v>2578769</v>
      </c>
      <c r="Q30" s="381">
        <f t="shared" si="12"/>
        <v>2641654</v>
      </c>
      <c r="R30" s="380">
        <f t="shared" si="12"/>
        <v>2398282</v>
      </c>
      <c r="S30" s="382">
        <f>+S29</f>
        <v>2398282</v>
      </c>
      <c r="T30" s="721"/>
      <c r="U30" s="568">
        <f t="shared" si="8"/>
        <v>0</v>
      </c>
    </row>
    <row r="31" spans="1:32">
      <c r="A31" s="141"/>
      <c r="B31" s="141"/>
      <c r="C31" s="141"/>
      <c r="D31" s="141"/>
      <c r="E31" s="141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141"/>
      <c r="T31" s="141"/>
    </row>
    <row r="32" spans="1:32">
      <c r="A32" s="141"/>
      <c r="B32" s="141"/>
      <c r="C32" s="141"/>
      <c r="D32" s="141"/>
      <c r="E32" s="141"/>
      <c r="F32" s="1366"/>
      <c r="G32" s="141"/>
      <c r="H32" s="141"/>
      <c r="I32" s="141"/>
      <c r="J32" s="141"/>
      <c r="K32" s="141"/>
      <c r="L32" s="141"/>
      <c r="M32" s="141"/>
      <c r="N32" s="384"/>
      <c r="O32" s="384"/>
      <c r="P32" s="141"/>
      <c r="Q32" s="141"/>
      <c r="R32" s="141"/>
      <c r="S32" s="141"/>
      <c r="T32" s="141"/>
    </row>
    <row r="33" spans="1:20">
      <c r="A33" s="141"/>
      <c r="B33" s="141"/>
      <c r="C33" s="141"/>
      <c r="D33" s="141"/>
      <c r="E33" s="141"/>
      <c r="G33" s="141"/>
      <c r="H33" s="141"/>
      <c r="I33" s="141"/>
      <c r="J33" s="141"/>
      <c r="K33" s="141"/>
      <c r="L33" s="141"/>
      <c r="M33" s="141"/>
      <c r="N33" s="384"/>
      <c r="O33" s="384"/>
      <c r="P33" s="141"/>
      <c r="Q33" s="141"/>
      <c r="R33" s="141"/>
      <c r="S33" s="141"/>
      <c r="T33" s="141"/>
    </row>
    <row r="34" spans="1:20">
      <c r="A34" s="141"/>
      <c r="B34" s="141"/>
      <c r="C34" s="141"/>
      <c r="D34" s="141"/>
      <c r="E34" s="141"/>
      <c r="G34" s="141"/>
      <c r="H34" s="141"/>
      <c r="I34" s="141"/>
      <c r="J34" s="141"/>
      <c r="K34" s="141"/>
      <c r="L34" s="141"/>
      <c r="M34" s="141"/>
      <c r="N34" s="384"/>
      <c r="O34" s="384"/>
      <c r="P34" s="141"/>
      <c r="Q34" s="141"/>
      <c r="R34" s="141"/>
      <c r="S34" s="141"/>
      <c r="T34" s="141"/>
    </row>
    <row r="35" spans="1:20">
      <c r="A35" s="141"/>
      <c r="B35" s="141"/>
      <c r="C35" s="141"/>
      <c r="D35" s="141"/>
      <c r="E35" s="141"/>
      <c r="G35" s="141"/>
      <c r="H35" s="141"/>
      <c r="I35" s="141"/>
      <c r="J35" s="141"/>
      <c r="K35" s="141"/>
      <c r="L35" s="141"/>
      <c r="M35" s="141"/>
      <c r="N35" s="384"/>
      <c r="O35" s="384"/>
      <c r="P35" s="141"/>
      <c r="Q35" s="141"/>
      <c r="R35" s="141"/>
      <c r="S35" s="141"/>
      <c r="T35" s="141"/>
    </row>
    <row r="36" spans="1:20">
      <c r="A36" s="141"/>
      <c r="B36" s="141"/>
      <c r="C36" s="141"/>
      <c r="D36" s="141"/>
      <c r="E36" s="141"/>
      <c r="G36" s="141"/>
      <c r="H36" s="141"/>
      <c r="I36" s="141"/>
      <c r="J36" s="141"/>
      <c r="K36" s="141"/>
      <c r="L36" s="141"/>
      <c r="M36" s="141"/>
      <c r="N36" s="384"/>
      <c r="O36" s="384"/>
      <c r="P36" s="141"/>
      <c r="Q36" s="141"/>
      <c r="R36" s="141"/>
      <c r="S36" s="141"/>
      <c r="T36" s="141"/>
    </row>
    <row r="37" spans="1:20">
      <c r="A37" s="141"/>
      <c r="B37" s="141"/>
      <c r="C37" s="141"/>
      <c r="D37" s="141"/>
      <c r="E37" s="141"/>
      <c r="G37" s="141"/>
      <c r="H37" s="141"/>
      <c r="I37" s="141"/>
      <c r="J37" s="141"/>
      <c r="K37" s="141"/>
      <c r="L37" s="141"/>
      <c r="M37" s="141"/>
      <c r="N37" s="384"/>
      <c r="O37" s="384"/>
      <c r="P37" s="141"/>
      <c r="Q37" s="141"/>
      <c r="R37" s="141"/>
      <c r="S37" s="141"/>
      <c r="T37" s="141"/>
    </row>
    <row r="38" spans="1:20">
      <c r="G38" s="141"/>
      <c r="H38" s="141"/>
      <c r="I38" s="141"/>
      <c r="J38" s="141"/>
      <c r="K38" s="141"/>
      <c r="L38" s="141"/>
      <c r="M38" s="141"/>
      <c r="N38" s="384"/>
      <c r="O38" s="384"/>
    </row>
    <row r="39" spans="1:20">
      <c r="G39" s="383"/>
      <c r="H39" s="383"/>
      <c r="I39" s="383"/>
      <c r="J39" s="383"/>
      <c r="K39" s="383"/>
      <c r="L39" s="383"/>
      <c r="M39" s="383"/>
      <c r="N39" s="384"/>
      <c r="O39" s="384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9" orientation="landscape" horizontalDpi="200" verticalDpi="200" r:id="rId1"/>
  <colBreaks count="1" manualBreakCount="1">
    <brk id="19" max="2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C264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7" width="9.28515625" style="4" customWidth="1"/>
    <col min="8" max="8" width="9.28515625" style="1305" customWidth="1"/>
    <col min="9" max="9" width="9.140625" style="4"/>
    <col min="10" max="12" width="9.140625" style="4" hidden="1" customWidth="1"/>
    <col min="13" max="16384" width="9.140625" style="4"/>
  </cols>
  <sheetData>
    <row r="1" spans="1:29" s="50" customFormat="1" ht="15.75">
      <c r="E1" s="51"/>
      <c r="F1" s="51"/>
      <c r="G1" s="51"/>
      <c r="H1" s="1367" t="s">
        <v>428</v>
      </c>
    </row>
    <row r="2" spans="1:29" s="50" customFormat="1" ht="15.75">
      <c r="H2" s="1289"/>
    </row>
    <row r="3" spans="1:29" s="52" customFormat="1" ht="15.75">
      <c r="A3" s="1769" t="s">
        <v>330</v>
      </c>
      <c r="B3" s="1769"/>
      <c r="C3" s="1769"/>
      <c r="D3" s="1769"/>
      <c r="E3" s="1769"/>
      <c r="F3" s="1769"/>
      <c r="G3" s="1769"/>
      <c r="H3" s="1769"/>
    </row>
    <row r="4" spans="1:29" s="52" customFormat="1" ht="15.75">
      <c r="A4" s="1769" t="s">
        <v>1416</v>
      </c>
      <c r="B4" s="1769"/>
      <c r="C4" s="1769"/>
      <c r="D4" s="1769"/>
      <c r="E4" s="1769"/>
      <c r="F4" s="1769"/>
      <c r="G4" s="1769"/>
      <c r="H4" s="1769"/>
    </row>
    <row r="5" spans="1:29" s="50" customFormat="1" ht="15.75">
      <c r="A5" s="1848" t="s">
        <v>540</v>
      </c>
      <c r="B5" s="1848"/>
      <c r="C5" s="1848"/>
      <c r="D5" s="1848"/>
      <c r="E5" s="1848"/>
      <c r="F5" s="1848"/>
      <c r="G5" s="1848"/>
      <c r="H5" s="1848"/>
      <c r="I5" s="400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5"/>
      <c r="X5" s="765"/>
      <c r="Y5" s="765"/>
      <c r="Z5" s="765"/>
      <c r="AA5" s="765"/>
      <c r="AB5" s="765"/>
      <c r="AC5" s="765"/>
    </row>
    <row r="6" spans="1:29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</row>
    <row r="7" spans="1:29" s="36" customFormat="1" ht="12.75" thickBot="1">
      <c r="A7" s="38" t="s">
        <v>279</v>
      </c>
      <c r="E7" s="37"/>
      <c r="F7" s="37"/>
      <c r="G7" s="37"/>
      <c r="H7" s="1368" t="s">
        <v>280</v>
      </c>
    </row>
    <row r="8" spans="1:29" s="8" customFormat="1" ht="54" customHeight="1" thickBot="1">
      <c r="A8" s="79" t="s">
        <v>17</v>
      </c>
      <c r="B8" s="80" t="s">
        <v>327</v>
      </c>
      <c r="C8" s="399" t="s">
        <v>1429</v>
      </c>
      <c r="D8" s="7" t="s">
        <v>2656</v>
      </c>
      <c r="E8" s="1055" t="s">
        <v>1540</v>
      </c>
      <c r="F8" s="6" t="s">
        <v>1541</v>
      </c>
      <c r="G8" s="6" t="s">
        <v>2654</v>
      </c>
      <c r="H8" s="1291" t="s">
        <v>1558</v>
      </c>
    </row>
    <row r="9" spans="1:29" s="3" customFormat="1" ht="13.5" customHeight="1" thickBot="1">
      <c r="A9" s="83" t="s">
        <v>252</v>
      </c>
      <c r="B9" s="1736" t="s">
        <v>253</v>
      </c>
      <c r="C9" s="1735" t="s">
        <v>254</v>
      </c>
      <c r="D9" s="919" t="s">
        <v>360</v>
      </c>
      <c r="E9" s="1771" t="s">
        <v>361</v>
      </c>
      <c r="F9" s="1772"/>
      <c r="G9" s="1772"/>
      <c r="H9" s="1773"/>
    </row>
    <row r="10" spans="1:29" s="3" customFormat="1" ht="12.75" thickBot="1">
      <c r="A10" s="95" t="s">
        <v>4</v>
      </c>
      <c r="B10" s="63" t="s">
        <v>296</v>
      </c>
      <c r="C10" s="401">
        <f>+C11+C25+C32+C44</f>
        <v>2076943</v>
      </c>
      <c r="D10" s="130">
        <f>+D11+D25+D32+D44</f>
        <v>2037989</v>
      </c>
      <c r="E10" s="30">
        <f>+E11+E25+E32+E44</f>
        <v>1593199</v>
      </c>
      <c r="F10" s="1231">
        <f>+F11+F25+F32+F44</f>
        <v>2075746</v>
      </c>
      <c r="G10" s="1231">
        <f>+G11+G25+G32+G44</f>
        <v>1876441</v>
      </c>
      <c r="H10" s="1369">
        <f t="shared" ref="H10:H73" si="0">IF(ISERROR(G10/F10),"-",G10/F10)</f>
        <v>0.90398391710739179</v>
      </c>
    </row>
    <row r="11" spans="1:29" s="3" customFormat="1" ht="12.75" customHeight="1" thickBot="1">
      <c r="A11" s="83" t="s">
        <v>5</v>
      </c>
      <c r="B11" s="64" t="s">
        <v>297</v>
      </c>
      <c r="C11" s="129">
        <f>+C12+C19+C20+C21+C22+C23</f>
        <v>1592229</v>
      </c>
      <c r="D11" s="29">
        <f>+D12+D19+D20+D21+D22+D23</f>
        <v>1466167</v>
      </c>
      <c r="E11" s="1220">
        <f>+E12+E19+E20+E21+E22+E23</f>
        <v>992226</v>
      </c>
      <c r="F11" s="1061">
        <f>+F12+F19+F20+F21+F22+F23</f>
        <v>1347690</v>
      </c>
      <c r="G11" s="1061">
        <f>+G12+G19+G20+G21+G22+G23</f>
        <v>1347690</v>
      </c>
      <c r="H11" s="1294">
        <f t="shared" si="0"/>
        <v>1</v>
      </c>
    </row>
    <row r="12" spans="1:29" s="3" customFormat="1">
      <c r="A12" s="84" t="s">
        <v>54</v>
      </c>
      <c r="B12" s="65" t="s">
        <v>298</v>
      </c>
      <c r="C12" s="398">
        <f>+C13+C14+C15+C16+C17+C18</f>
        <v>789695</v>
      </c>
      <c r="D12" s="35">
        <f>+D13+D14+D15+D16+D17+D18</f>
        <v>907273</v>
      </c>
      <c r="E12" s="1221">
        <f>+E13+E14+E15+E16+E17+E18</f>
        <v>917056</v>
      </c>
      <c r="F12" s="1062">
        <f>+F13+F14+F15+F16+F17+F18</f>
        <v>967057</v>
      </c>
      <c r="G12" s="1062">
        <f>+G13+G14+G15+G16+G17+G18</f>
        <v>967057</v>
      </c>
      <c r="H12" s="1295">
        <f t="shared" si="0"/>
        <v>1</v>
      </c>
    </row>
    <row r="13" spans="1:29" s="13" customFormat="1">
      <c r="A13" s="86" t="s">
        <v>189</v>
      </c>
      <c r="B13" s="66" t="s">
        <v>93</v>
      </c>
      <c r="C13" s="394">
        <v>231822</v>
      </c>
      <c r="D13" s="15">
        <v>226970</v>
      </c>
      <c r="E13" s="1222">
        <f>+'1.mell._Össz_Mérleg2020'!C13</f>
        <v>221585</v>
      </c>
      <c r="F13" s="1063">
        <f>+'1.mell._Össz_Mérleg2020'!D13</f>
        <v>249155</v>
      </c>
      <c r="G13" s="1063">
        <f>+'1.mell._Össz_Mérleg2020'!E13</f>
        <v>249155</v>
      </c>
      <c r="H13" s="1296">
        <f t="shared" si="0"/>
        <v>1</v>
      </c>
      <c r="I13" s="3"/>
      <c r="J13" s="3"/>
    </row>
    <row r="14" spans="1:29" s="13" customFormat="1">
      <c r="A14" s="86" t="s">
        <v>190</v>
      </c>
      <c r="B14" s="66" t="s">
        <v>94</v>
      </c>
      <c r="C14" s="394">
        <v>223149</v>
      </c>
      <c r="D14" s="15">
        <v>236248</v>
      </c>
      <c r="E14" s="1222">
        <f>+'1.mell._Össz_Mérleg2020'!C14</f>
        <v>238516</v>
      </c>
      <c r="F14" s="1063">
        <f>+'1.mell._Össz_Mérleg2020'!D14</f>
        <v>259126</v>
      </c>
      <c r="G14" s="1063">
        <f>+'1.mell._Össz_Mérleg2020'!E14</f>
        <v>259126</v>
      </c>
      <c r="H14" s="1296">
        <f t="shared" si="0"/>
        <v>1</v>
      </c>
      <c r="I14" s="3"/>
      <c r="J14" s="3"/>
    </row>
    <row r="15" spans="1:29" s="13" customFormat="1">
      <c r="A15" s="86" t="s">
        <v>191</v>
      </c>
      <c r="B15" s="66" t="s">
        <v>95</v>
      </c>
      <c r="C15" s="394">
        <v>254533</v>
      </c>
      <c r="D15" s="15">
        <v>297362</v>
      </c>
      <c r="E15" s="1222">
        <f>+'1.mell._Össz_Mérleg2020'!C15</f>
        <v>287846</v>
      </c>
      <c r="F15" s="1063">
        <f>+'1.mell._Össz_Mérleg2020'!D15</f>
        <v>337720</v>
      </c>
      <c r="G15" s="1063">
        <f>+'1.mell._Össz_Mérleg2020'!E15</f>
        <v>337720</v>
      </c>
      <c r="H15" s="1296">
        <f t="shared" si="0"/>
        <v>1</v>
      </c>
      <c r="I15" s="3"/>
      <c r="J15" s="3"/>
    </row>
    <row r="16" spans="1:29" s="13" customFormat="1">
      <c r="A16" s="86" t="s">
        <v>192</v>
      </c>
      <c r="B16" s="66" t="s">
        <v>96</v>
      </c>
      <c r="C16" s="394">
        <v>21839</v>
      </c>
      <c r="D16" s="15">
        <v>22593</v>
      </c>
      <c r="E16" s="1222">
        <f>+'1.mell._Össz_Mérleg2020'!C16</f>
        <v>13207</v>
      </c>
      <c r="F16" s="1063">
        <f>+'1.mell._Össz_Mérleg2020'!D16</f>
        <v>26951</v>
      </c>
      <c r="G16" s="1063">
        <f>+'1.mell._Össz_Mérleg2020'!E16</f>
        <v>26951</v>
      </c>
      <c r="H16" s="1296">
        <f t="shared" si="0"/>
        <v>1</v>
      </c>
      <c r="I16" s="3"/>
      <c r="J16" s="3"/>
    </row>
    <row r="17" spans="1:10" s="13" customFormat="1">
      <c r="A17" s="86" t="s">
        <v>193</v>
      </c>
      <c r="B17" s="66" t="s">
        <v>891</v>
      </c>
      <c r="C17" s="394">
        <v>58352</v>
      </c>
      <c r="D17" s="15">
        <v>124100</v>
      </c>
      <c r="E17" s="1222">
        <f>+'1.mell._Össz_Mérleg2020'!C17</f>
        <v>155902</v>
      </c>
      <c r="F17" s="1063">
        <f>+'1.mell._Össz_Mérleg2020'!D17</f>
        <v>93958</v>
      </c>
      <c r="G17" s="1063">
        <f>+'1.mell._Össz_Mérleg2020'!E17</f>
        <v>93958</v>
      </c>
      <c r="H17" s="1296">
        <f t="shared" si="0"/>
        <v>1</v>
      </c>
      <c r="I17" s="3"/>
      <c r="J17" s="3"/>
    </row>
    <row r="18" spans="1:10" s="13" customFormat="1">
      <c r="A18" s="86" t="s">
        <v>194</v>
      </c>
      <c r="B18" s="66" t="s">
        <v>892</v>
      </c>
      <c r="C18" s="394"/>
      <c r="D18" s="15"/>
      <c r="E18" s="1222">
        <f>+'1.mell._Össz_Mérleg2020'!C18</f>
        <v>0</v>
      </c>
      <c r="F18" s="1063">
        <f>+'1.mell._Össz_Mérleg2020'!D18</f>
        <v>147</v>
      </c>
      <c r="G18" s="1063">
        <f>+'1.mell._Össz_Mérleg2020'!E18</f>
        <v>147</v>
      </c>
      <c r="H18" s="1296">
        <f t="shared" si="0"/>
        <v>1</v>
      </c>
      <c r="I18" s="3"/>
      <c r="J18" s="3"/>
    </row>
    <row r="19" spans="1:10">
      <c r="A19" s="85" t="s">
        <v>55</v>
      </c>
      <c r="B19" s="67" t="s">
        <v>97</v>
      </c>
      <c r="C19" s="396">
        <v>1543</v>
      </c>
      <c r="D19" s="16">
        <v>3007</v>
      </c>
      <c r="E19" s="1223">
        <f>+'1.mell._Össz_Mérleg2020'!C19</f>
        <v>8014</v>
      </c>
      <c r="F19" s="1064">
        <f>+'1.mell._Össz_Mérleg2020'!D19</f>
        <v>1176</v>
      </c>
      <c r="G19" s="1064">
        <f>+'1.mell._Össz_Mérleg2020'!E19</f>
        <v>1176</v>
      </c>
      <c r="H19" s="1296">
        <f t="shared" si="0"/>
        <v>1</v>
      </c>
      <c r="I19" s="3"/>
      <c r="J19" s="3"/>
    </row>
    <row r="20" spans="1:10">
      <c r="A20" s="85" t="s">
        <v>83</v>
      </c>
      <c r="B20" s="67" t="s">
        <v>98</v>
      </c>
      <c r="C20" s="396"/>
      <c r="D20" s="16"/>
      <c r="E20" s="1223">
        <f>+'1.mell._Össz_Mérleg2020'!C20</f>
        <v>0</v>
      </c>
      <c r="F20" s="1064">
        <f>+'1.mell._Össz_Mérleg2020'!D20</f>
        <v>0</v>
      </c>
      <c r="G20" s="1064">
        <f>+'1.mell._Össz_Mérleg2020'!E20</f>
        <v>0</v>
      </c>
      <c r="H20" s="1296" t="str">
        <f t="shared" si="0"/>
        <v>-</v>
      </c>
      <c r="I20" s="3"/>
      <c r="J20" s="3"/>
    </row>
    <row r="21" spans="1:10">
      <c r="A21" s="85" t="s">
        <v>84</v>
      </c>
      <c r="B21" s="67" t="s">
        <v>99</v>
      </c>
      <c r="C21" s="396"/>
      <c r="D21" s="16"/>
      <c r="E21" s="1223">
        <f>+'1.mell._Össz_Mérleg2020'!C21</f>
        <v>0</v>
      </c>
      <c r="F21" s="1064">
        <f>+'1.mell._Össz_Mérleg2020'!D21</f>
        <v>0</v>
      </c>
      <c r="G21" s="1064">
        <f>+'1.mell._Össz_Mérleg2020'!E21</f>
        <v>0</v>
      </c>
      <c r="H21" s="1296" t="str">
        <f t="shared" si="0"/>
        <v>-</v>
      </c>
      <c r="I21" s="3"/>
      <c r="J21" s="3"/>
    </row>
    <row r="22" spans="1:10">
      <c r="A22" s="85" t="s">
        <v>85</v>
      </c>
      <c r="B22" s="67" t="s">
        <v>100</v>
      </c>
      <c r="C22" s="396"/>
      <c r="D22" s="16"/>
      <c r="E22" s="1223">
        <f>+'1.mell._Össz_Mérleg2020'!C22</f>
        <v>0</v>
      </c>
      <c r="F22" s="1064">
        <f>+'1.mell._Össz_Mérleg2020'!D22</f>
        <v>0</v>
      </c>
      <c r="G22" s="1064">
        <f>+'1.mell._Össz_Mérleg2020'!E22</f>
        <v>0</v>
      </c>
      <c r="H22" s="1296" t="str">
        <f t="shared" si="0"/>
        <v>-</v>
      </c>
      <c r="I22" s="3"/>
      <c r="J22" s="3"/>
    </row>
    <row r="23" spans="1:10">
      <c r="A23" s="78" t="s">
        <v>86</v>
      </c>
      <c r="B23" s="68" t="s">
        <v>101</v>
      </c>
      <c r="C23" s="397">
        <v>800991</v>
      </c>
      <c r="D23" s="23">
        <v>555887</v>
      </c>
      <c r="E23" s="1224">
        <f>+'1.mell._Össz_Mérleg2020'!C23</f>
        <v>67156</v>
      </c>
      <c r="F23" s="1065">
        <f>+'1.mell._Össz_Mérleg2020'!D23</f>
        <v>379457</v>
      </c>
      <c r="G23" s="1065">
        <f>+'1.mell._Össz_Mérleg2020'!E23</f>
        <v>379457</v>
      </c>
      <c r="H23" s="1298">
        <f t="shared" si="0"/>
        <v>1</v>
      </c>
      <c r="I23" s="3"/>
      <c r="J23" s="3"/>
    </row>
    <row r="24" spans="1:10" s="13" customFormat="1" ht="12.75" thickBot="1">
      <c r="A24" s="89" t="s">
        <v>331</v>
      </c>
      <c r="B24" s="751" t="s">
        <v>332</v>
      </c>
      <c r="C24" s="977">
        <v>564550</v>
      </c>
      <c r="D24" s="978">
        <v>371747</v>
      </c>
      <c r="E24" s="1225">
        <f>+'1.mell._Össz_Mérleg2020'!C24</f>
        <v>0</v>
      </c>
      <c r="F24" s="1066">
        <f>+'1.mell._Össz_Mérleg2020'!D24</f>
        <v>246702</v>
      </c>
      <c r="G24" s="1066">
        <f>+'1.mell._Össz_Mérleg2020'!E24</f>
        <v>246702</v>
      </c>
      <c r="H24" s="1298">
        <f t="shared" si="0"/>
        <v>1</v>
      </c>
      <c r="I24" s="3"/>
      <c r="J24" s="3"/>
    </row>
    <row r="25" spans="1:10" s="3" customFormat="1" ht="12.75" customHeight="1" thickBot="1">
      <c r="A25" s="83" t="s">
        <v>6</v>
      </c>
      <c r="B25" s="64" t="s">
        <v>778</v>
      </c>
      <c r="C25" s="401">
        <f>+C26+C27+C28+C29+C30+C31</f>
        <v>356668</v>
      </c>
      <c r="D25" s="130">
        <f>+D26+D27+D28+D29+D30+D31</f>
        <v>394432</v>
      </c>
      <c r="E25" s="1226">
        <f>+E26+E27+E28+E29+E30+E31</f>
        <v>414105</v>
      </c>
      <c r="F25" s="1060">
        <f>+F26+F27+F28+F29+F30+F31</f>
        <v>538391</v>
      </c>
      <c r="G25" s="1060">
        <f>+G26+G27+G28+G29+G30+G31</f>
        <v>370140</v>
      </c>
      <c r="H25" s="1293">
        <f t="shared" si="0"/>
        <v>0.68749291871520879</v>
      </c>
    </row>
    <row r="26" spans="1:10" ht="12.75" customHeight="1">
      <c r="A26" s="84" t="s">
        <v>58</v>
      </c>
      <c r="B26" s="65" t="s">
        <v>102</v>
      </c>
      <c r="C26" s="979">
        <v>62</v>
      </c>
      <c r="D26" s="48">
        <v>57</v>
      </c>
      <c r="E26" s="1227">
        <f>+'1.mell._Össz_Mérleg2020'!C26</f>
        <v>50</v>
      </c>
      <c r="F26" s="1167">
        <f>+'1.mell._Össz_Mérleg2020'!D26</f>
        <v>291</v>
      </c>
      <c r="G26" s="1167">
        <f>+'1.mell._Össz_Mérleg2020'!E26</f>
        <v>291</v>
      </c>
      <c r="H26" s="1322">
        <f t="shared" si="0"/>
        <v>1</v>
      </c>
      <c r="I26" s="3"/>
      <c r="J26" s="3"/>
    </row>
    <row r="27" spans="1:10" ht="12.75" customHeight="1">
      <c r="A27" s="85" t="s">
        <v>59</v>
      </c>
      <c r="B27" s="67" t="s">
        <v>103</v>
      </c>
      <c r="C27" s="396"/>
      <c r="D27" s="16"/>
      <c r="E27" s="1223">
        <f>+'1.mell._Össz_Mérleg2020'!C27</f>
        <v>0</v>
      </c>
      <c r="F27" s="1064">
        <f>+'1.mell._Össz_Mérleg2020'!D27</f>
        <v>0</v>
      </c>
      <c r="G27" s="1064">
        <f>+'1.mell._Össz_Mérleg2020'!E27</f>
        <v>0</v>
      </c>
      <c r="H27" s="1296" t="str">
        <f t="shared" si="0"/>
        <v>-</v>
      </c>
      <c r="I27" s="3"/>
      <c r="J27" s="3"/>
    </row>
    <row r="28" spans="1:10" ht="12.75" customHeight="1">
      <c r="A28" s="85" t="s">
        <v>60</v>
      </c>
      <c r="B28" s="67" t="s">
        <v>104</v>
      </c>
      <c r="C28" s="396"/>
      <c r="D28" s="16"/>
      <c r="E28" s="1223">
        <f>+'1.mell._Össz_Mérleg2020'!C28</f>
        <v>0</v>
      </c>
      <c r="F28" s="1064">
        <f>+'1.mell._Össz_Mérleg2020'!D28</f>
        <v>0</v>
      </c>
      <c r="G28" s="1064">
        <f>+'1.mell._Össz_Mérleg2020'!E28</f>
        <v>0</v>
      </c>
      <c r="H28" s="1296" t="str">
        <f t="shared" si="0"/>
        <v>-</v>
      </c>
      <c r="I28" s="3"/>
      <c r="J28" s="3"/>
    </row>
    <row r="29" spans="1:10" ht="12.75" customHeight="1">
      <c r="A29" s="85" t="s">
        <v>179</v>
      </c>
      <c r="B29" s="67" t="s">
        <v>105</v>
      </c>
      <c r="C29" s="396">
        <v>60575</v>
      </c>
      <c r="D29" s="16">
        <v>63970</v>
      </c>
      <c r="E29" s="1223">
        <f>+'1.mell._Össz_Mérleg2020'!C29</f>
        <v>66952</v>
      </c>
      <c r="F29" s="1064">
        <f>+'1.mell._Össz_Mérleg2020'!D29</f>
        <v>76043</v>
      </c>
      <c r="G29" s="1064">
        <f>+'1.mell._Össz_Mérleg2020'!E29</f>
        <v>72402</v>
      </c>
      <c r="H29" s="1296">
        <f t="shared" si="0"/>
        <v>0.95211919571821202</v>
      </c>
      <c r="I29" s="3"/>
      <c r="J29" s="3"/>
    </row>
    <row r="30" spans="1:10" ht="12.75" customHeight="1">
      <c r="A30" s="78" t="s">
        <v>180</v>
      </c>
      <c r="B30" s="68" t="s">
        <v>106</v>
      </c>
      <c r="C30" s="396">
        <v>290084</v>
      </c>
      <c r="D30" s="16">
        <v>326697</v>
      </c>
      <c r="E30" s="1223">
        <f>+'1.mell._Össz_Mérleg2020'!C30</f>
        <v>328350</v>
      </c>
      <c r="F30" s="1064">
        <f>+'1.mell._Össz_Mérleg2020'!D30</f>
        <v>452474</v>
      </c>
      <c r="G30" s="1064">
        <f>+'1.mell._Össz_Mérleg2020'!E30</f>
        <v>294191</v>
      </c>
      <c r="H30" s="1296">
        <f t="shared" si="0"/>
        <v>0.65018321494715714</v>
      </c>
      <c r="I30" s="3"/>
      <c r="J30" s="3"/>
    </row>
    <row r="31" spans="1:10" ht="12.75" customHeight="1" thickBot="1">
      <c r="A31" s="78" t="s">
        <v>777</v>
      </c>
      <c r="B31" s="68" t="s">
        <v>779</v>
      </c>
      <c r="C31" s="397">
        <v>5947</v>
      </c>
      <c r="D31" s="23">
        <v>3708</v>
      </c>
      <c r="E31" s="1224">
        <f>+'1.mell._Össz_Mérleg2020'!C31</f>
        <v>18753</v>
      </c>
      <c r="F31" s="1065">
        <f>+'1.mell._Össz_Mérleg2020'!D31</f>
        <v>9583</v>
      </c>
      <c r="G31" s="1065">
        <f>+'1.mell._Össz_Mérleg2020'!E31</f>
        <v>3256</v>
      </c>
      <c r="H31" s="1298">
        <f t="shared" si="0"/>
        <v>0.33976833976833976</v>
      </c>
      <c r="I31" s="3"/>
      <c r="J31" s="3"/>
    </row>
    <row r="32" spans="1:10" s="3" customFormat="1" ht="12.75" customHeight="1" thickBot="1">
      <c r="A32" s="83" t="s">
        <v>3</v>
      </c>
      <c r="B32" s="64" t="s">
        <v>964</v>
      </c>
      <c r="C32" s="129">
        <f>+C33+C34+C35+C36+C37+C38+C39+C40+C41+C42+C43</f>
        <v>124554</v>
      </c>
      <c r="D32" s="29">
        <f>+D33+D34+D35+D36+D37+D38+D39+D40+D41+D42+D43</f>
        <v>129585</v>
      </c>
      <c r="E32" s="1220">
        <f>+E33+E34+E35+E36+E37+E38+E39+E40+E41+E42+E43</f>
        <v>186868</v>
      </c>
      <c r="F32" s="1061">
        <f>+F33+F34+F35+F36+F37+F38+F39+F40+F41+F42+F43</f>
        <v>169713</v>
      </c>
      <c r="G32" s="1061">
        <f>+G33+G34+G35+G36+G37+G38+G39+G40+G41+G42+G43</f>
        <v>153866</v>
      </c>
      <c r="H32" s="1294">
        <f t="shared" si="0"/>
        <v>0.90662471348688667</v>
      </c>
    </row>
    <row r="33" spans="1:10" ht="12.75" customHeight="1">
      <c r="A33" s="84" t="s">
        <v>61</v>
      </c>
      <c r="B33" s="65" t="s">
        <v>1539</v>
      </c>
      <c r="C33" s="398">
        <v>8714</v>
      </c>
      <c r="D33" s="35">
        <v>9464</v>
      </c>
      <c r="E33" s="1221">
        <f>+'1.mell._Össz_Mérleg2020'!C33</f>
        <v>8000</v>
      </c>
      <c r="F33" s="1062">
        <f>+'1.mell._Össz_Mérleg2020'!D33</f>
        <v>8305</v>
      </c>
      <c r="G33" s="1062">
        <f>+'1.mell._Össz_Mérleg2020'!E33</f>
        <v>8305</v>
      </c>
      <c r="H33" s="1295">
        <f t="shared" si="0"/>
        <v>1</v>
      </c>
      <c r="I33" s="459"/>
      <c r="J33" s="3"/>
    </row>
    <row r="34" spans="1:10" ht="12.75" customHeight="1">
      <c r="A34" s="85" t="s">
        <v>62</v>
      </c>
      <c r="B34" s="67" t="s">
        <v>107</v>
      </c>
      <c r="C34" s="396">
        <v>54287</v>
      </c>
      <c r="D34" s="16">
        <v>48453</v>
      </c>
      <c r="E34" s="1223">
        <f>+'1.mell._Össz_Mérleg2020'!C34</f>
        <v>65858</v>
      </c>
      <c r="F34" s="1064">
        <f>+'1.mell._Össz_Mérleg2020'!D34</f>
        <v>69264</v>
      </c>
      <c r="G34" s="1064">
        <f>+'1.mell._Össz_Mérleg2020'!E34</f>
        <v>68837</v>
      </c>
      <c r="H34" s="1296">
        <f t="shared" si="0"/>
        <v>0.99383518133518134</v>
      </c>
      <c r="J34" s="3"/>
    </row>
    <row r="35" spans="1:10" ht="12.75" customHeight="1">
      <c r="A35" s="85" t="s">
        <v>63</v>
      </c>
      <c r="B35" s="67" t="s">
        <v>108</v>
      </c>
      <c r="C35" s="396">
        <v>16417</v>
      </c>
      <c r="D35" s="16">
        <v>19649</v>
      </c>
      <c r="E35" s="1223">
        <f>+'1.mell._Össz_Mérleg2020'!C35</f>
        <v>8541</v>
      </c>
      <c r="F35" s="1064">
        <f>+'1.mell._Össz_Mérleg2020'!D35</f>
        <v>20133</v>
      </c>
      <c r="G35" s="1064">
        <f>+'1.mell._Össz_Mérleg2020'!E35</f>
        <v>16477</v>
      </c>
      <c r="H35" s="1296">
        <f t="shared" si="0"/>
        <v>0.818407589529628</v>
      </c>
      <c r="J35" s="3"/>
    </row>
    <row r="36" spans="1:10" ht="12.75" customHeight="1">
      <c r="A36" s="85" t="s">
        <v>64</v>
      </c>
      <c r="B36" s="67" t="s">
        <v>109</v>
      </c>
      <c r="C36" s="396">
        <v>236</v>
      </c>
      <c r="D36" s="16">
        <v>473</v>
      </c>
      <c r="E36" s="1223">
        <f>+'1.mell._Össz_Mérleg2020'!C36</f>
        <v>236</v>
      </c>
      <c r="F36" s="1064">
        <f>+'1.mell._Össz_Mérleg2020'!D36</f>
        <v>0</v>
      </c>
      <c r="G36" s="1064">
        <f>+'1.mell._Össz_Mérleg2020'!E36</f>
        <v>0</v>
      </c>
      <c r="H36" s="1296" t="str">
        <f t="shared" si="0"/>
        <v>-</v>
      </c>
      <c r="J36" s="3"/>
    </row>
    <row r="37" spans="1:10" ht="12.75" customHeight="1">
      <c r="A37" s="85" t="s">
        <v>65</v>
      </c>
      <c r="B37" s="67" t="s">
        <v>110</v>
      </c>
      <c r="C37" s="396">
        <v>8465</v>
      </c>
      <c r="D37" s="16">
        <v>8469</v>
      </c>
      <c r="E37" s="1223">
        <f>+'1.mell._Össz_Mérleg2020'!C37</f>
        <v>9645</v>
      </c>
      <c r="F37" s="1064">
        <f>+'1.mell._Össz_Mérleg2020'!D37</f>
        <v>6484</v>
      </c>
      <c r="G37" s="1064">
        <f>+'1.mell._Össz_Mérleg2020'!E37</f>
        <v>5953</v>
      </c>
      <c r="H37" s="1296">
        <f t="shared" si="0"/>
        <v>0.91810610734114739</v>
      </c>
      <c r="J37" s="3"/>
    </row>
    <row r="38" spans="1:10" ht="12.75" customHeight="1">
      <c r="A38" s="85" t="s">
        <v>221</v>
      </c>
      <c r="B38" s="67" t="s">
        <v>111</v>
      </c>
      <c r="C38" s="396">
        <v>21996</v>
      </c>
      <c r="D38" s="16">
        <v>21284</v>
      </c>
      <c r="E38" s="1223">
        <f>+'1.mell._Össz_Mérleg2020'!C38</f>
        <v>22311</v>
      </c>
      <c r="F38" s="1064">
        <f>+'1.mell._Össz_Mérleg2020'!D38</f>
        <v>25861</v>
      </c>
      <c r="G38" s="1064">
        <f>+'1.mell._Össz_Mérleg2020'!E38</f>
        <v>24540</v>
      </c>
      <c r="H38" s="1296">
        <f t="shared" si="0"/>
        <v>0.94891922199450907</v>
      </c>
      <c r="J38" s="3"/>
    </row>
    <row r="39" spans="1:10" ht="12.75" customHeight="1">
      <c r="A39" s="85" t="s">
        <v>222</v>
      </c>
      <c r="B39" s="67" t="s">
        <v>112</v>
      </c>
      <c r="C39" s="396">
        <v>6293</v>
      </c>
      <c r="D39" s="16">
        <v>19220</v>
      </c>
      <c r="E39" s="1223">
        <f>+'1.mell._Össz_Mérleg2020'!C39</f>
        <v>10634</v>
      </c>
      <c r="F39" s="1064">
        <f>+'1.mell._Össz_Mérleg2020'!D39</f>
        <v>2879</v>
      </c>
      <c r="G39" s="1064">
        <f>+'1.mell._Össz_Mérleg2020'!E39</f>
        <v>2369</v>
      </c>
      <c r="H39" s="1296">
        <f t="shared" si="0"/>
        <v>0.82285515804098641</v>
      </c>
      <c r="J39" s="3"/>
    </row>
    <row r="40" spans="1:10" ht="12.75" customHeight="1">
      <c r="A40" s="85" t="s">
        <v>223</v>
      </c>
      <c r="B40" s="67" t="s">
        <v>974</v>
      </c>
      <c r="C40" s="396">
        <v>1</v>
      </c>
      <c r="D40" s="16"/>
      <c r="E40" s="1223">
        <f>+'1.mell._Össz_Mérleg2020'!C40</f>
        <v>0</v>
      </c>
      <c r="F40" s="1064">
        <f>+'1.mell._Össz_Mérleg2020'!D40</f>
        <v>0</v>
      </c>
      <c r="G40" s="1064">
        <f>+'1.mell._Össz_Mérleg2020'!E40</f>
        <v>0</v>
      </c>
      <c r="H40" s="1296" t="str">
        <f t="shared" si="0"/>
        <v>-</v>
      </c>
      <c r="J40" s="3"/>
    </row>
    <row r="41" spans="1:10" ht="12.75" customHeight="1">
      <c r="A41" s="85" t="s">
        <v>224</v>
      </c>
      <c r="B41" s="67" t="s">
        <v>113</v>
      </c>
      <c r="C41" s="396">
        <v>3880</v>
      </c>
      <c r="D41" s="16"/>
      <c r="E41" s="1223">
        <f>+'1.mell._Össz_Mérleg2020'!C41</f>
        <v>0</v>
      </c>
      <c r="F41" s="1064">
        <f>+'1.mell._Össz_Mérleg2020'!D41</f>
        <v>7</v>
      </c>
      <c r="G41" s="1064">
        <f>+'1.mell._Össz_Mérleg2020'!E41</f>
        <v>7</v>
      </c>
      <c r="H41" s="1296">
        <f t="shared" si="0"/>
        <v>1</v>
      </c>
      <c r="J41" s="3"/>
    </row>
    <row r="42" spans="1:10" ht="12.75" customHeight="1">
      <c r="A42" s="78" t="s">
        <v>225</v>
      </c>
      <c r="B42" s="68" t="s">
        <v>894</v>
      </c>
      <c r="C42" s="396">
        <v>786</v>
      </c>
      <c r="D42" s="16">
        <v>482</v>
      </c>
      <c r="E42" s="1223">
        <f>+'1.mell._Össz_Mérleg2020'!C42</f>
        <v>0</v>
      </c>
      <c r="F42" s="1064">
        <f>+'1.mell._Össz_Mérleg2020'!D42</f>
        <v>1022</v>
      </c>
      <c r="G42" s="1064">
        <f>+'1.mell._Össz_Mérleg2020'!E42</f>
        <v>1022</v>
      </c>
      <c r="H42" s="1296">
        <f t="shared" si="0"/>
        <v>1</v>
      </c>
      <c r="J42" s="3"/>
    </row>
    <row r="43" spans="1:10" ht="12.75" customHeight="1" thickBot="1">
      <c r="A43" s="78" t="s">
        <v>893</v>
      </c>
      <c r="B43" s="68" t="s">
        <v>895</v>
      </c>
      <c r="C43" s="397">
        <v>3479</v>
      </c>
      <c r="D43" s="23">
        <v>2091</v>
      </c>
      <c r="E43" s="1224">
        <f>+'1.mell._Össz_Mérleg2020'!C43</f>
        <v>61643</v>
      </c>
      <c r="F43" s="1065">
        <f>+'1.mell._Össz_Mérleg2020'!D43</f>
        <v>35758</v>
      </c>
      <c r="G43" s="1065">
        <f>+'1.mell._Össz_Mérleg2020'!E43</f>
        <v>26356</v>
      </c>
      <c r="H43" s="1298">
        <f t="shared" si="0"/>
        <v>0.73706583142233906</v>
      </c>
      <c r="J43" s="3"/>
    </row>
    <row r="44" spans="1:10" s="3" customFormat="1" ht="12.75" thickBot="1">
      <c r="A44" s="83" t="s">
        <v>16</v>
      </c>
      <c r="B44" s="64" t="s">
        <v>965</v>
      </c>
      <c r="C44" s="129">
        <f>+C45+C46+C47+C48+C49</f>
        <v>3492</v>
      </c>
      <c r="D44" s="29">
        <f>+D45+D46+D47+D48+D49</f>
        <v>47805</v>
      </c>
      <c r="E44" s="1220">
        <f>+E45+E46+E47+E48+E49</f>
        <v>0</v>
      </c>
      <c r="F44" s="1061">
        <f>+F45+F46+F47+F48+F49</f>
        <v>19952</v>
      </c>
      <c r="G44" s="1061">
        <f>+G45+G46+G47+G48+G49</f>
        <v>4745</v>
      </c>
      <c r="H44" s="1294">
        <f t="shared" si="0"/>
        <v>0.23782076984763431</v>
      </c>
    </row>
    <row r="45" spans="1:10" ht="12.75" customHeight="1">
      <c r="A45" s="84" t="s">
        <v>226</v>
      </c>
      <c r="B45" s="65" t="s">
        <v>114</v>
      </c>
      <c r="C45" s="398"/>
      <c r="D45" s="35"/>
      <c r="E45" s="1221">
        <f>+'1.mell._Össz_Mérleg2020'!C45</f>
        <v>0</v>
      </c>
      <c r="F45" s="1062">
        <f>+'1.mell._Össz_Mérleg2020'!D45</f>
        <v>0</v>
      </c>
      <c r="G45" s="1062">
        <f>+'1.mell._Össz_Mérleg2020'!E45</f>
        <v>0</v>
      </c>
      <c r="H45" s="1295" t="str">
        <f t="shared" si="0"/>
        <v>-</v>
      </c>
      <c r="J45" s="3"/>
    </row>
    <row r="46" spans="1:10" ht="12.75" customHeight="1">
      <c r="A46" s="84" t="s">
        <v>227</v>
      </c>
      <c r="B46" s="65" t="s">
        <v>896</v>
      </c>
      <c r="C46" s="398"/>
      <c r="D46" s="35"/>
      <c r="E46" s="1221">
        <f>+'1.mell._Össz_Mérleg2020'!C46</f>
        <v>0</v>
      </c>
      <c r="F46" s="1062">
        <f>+'1.mell._Össz_Mérleg2020'!D46</f>
        <v>0</v>
      </c>
      <c r="G46" s="1062">
        <f>+'1.mell._Össz_Mérleg2020'!E46</f>
        <v>0</v>
      </c>
      <c r="H46" s="1295" t="str">
        <f t="shared" si="0"/>
        <v>-</v>
      </c>
      <c r="J46" s="3"/>
    </row>
    <row r="47" spans="1:10" ht="12.75" customHeight="1">
      <c r="A47" s="84" t="s">
        <v>228</v>
      </c>
      <c r="B47" s="65" t="s">
        <v>897</v>
      </c>
      <c r="C47" s="398"/>
      <c r="D47" s="35"/>
      <c r="E47" s="1221">
        <f>+'1.mell._Össz_Mérleg2020'!C47</f>
        <v>0</v>
      </c>
      <c r="F47" s="1062">
        <f>+'1.mell._Össz_Mérleg2020'!D47</f>
        <v>0</v>
      </c>
      <c r="G47" s="1062">
        <f>+'1.mell._Össz_Mérleg2020'!E47</f>
        <v>0</v>
      </c>
      <c r="H47" s="1295" t="str">
        <f t="shared" si="0"/>
        <v>-</v>
      </c>
      <c r="J47" s="3"/>
    </row>
    <row r="48" spans="1:10" ht="12.75" customHeight="1">
      <c r="A48" s="85" t="s">
        <v>256</v>
      </c>
      <c r="B48" s="67" t="s">
        <v>898</v>
      </c>
      <c r="C48" s="396">
        <v>3280</v>
      </c>
      <c r="D48" s="16">
        <v>44885</v>
      </c>
      <c r="E48" s="1223">
        <f>+'1.mell._Össz_Mérleg2020'!C48</f>
        <v>0</v>
      </c>
      <c r="F48" s="1064">
        <f>+'1.mell._Össz_Mérleg2020'!D48</f>
        <v>17041</v>
      </c>
      <c r="G48" s="1064">
        <f>+'1.mell._Össz_Mérleg2020'!E48</f>
        <v>3035</v>
      </c>
      <c r="H48" s="1296">
        <f t="shared" si="0"/>
        <v>0.17809987676779532</v>
      </c>
      <c r="J48" s="3"/>
    </row>
    <row r="49" spans="1:10" ht="12.75" customHeight="1" thickBot="1">
      <c r="A49" s="78" t="s">
        <v>257</v>
      </c>
      <c r="B49" s="68" t="s">
        <v>899</v>
      </c>
      <c r="C49" s="397">
        <v>212</v>
      </c>
      <c r="D49" s="23">
        <v>2920</v>
      </c>
      <c r="E49" s="1224">
        <f>+'1.mell._Össz_Mérleg2020'!C49</f>
        <v>0</v>
      </c>
      <c r="F49" s="1065">
        <f>+'1.mell._Össz_Mérleg2020'!D49</f>
        <v>2911</v>
      </c>
      <c r="G49" s="1065">
        <f>+'1.mell._Össz_Mérleg2020'!E49</f>
        <v>1710</v>
      </c>
      <c r="H49" s="1298">
        <f t="shared" si="0"/>
        <v>0.58742700103057366</v>
      </c>
      <c r="J49" s="3"/>
    </row>
    <row r="50" spans="1:10" s="3" customFormat="1" ht="12.75" thickBot="1">
      <c r="A50" s="83" t="s">
        <v>15</v>
      </c>
      <c r="B50" s="69" t="s">
        <v>299</v>
      </c>
      <c r="C50" s="129">
        <f>+C51+C58+C64</f>
        <v>1341037</v>
      </c>
      <c r="D50" s="29">
        <f>+D51+D58+D64</f>
        <v>1220568</v>
      </c>
      <c r="E50" s="1220">
        <f>+E51+E58+E64</f>
        <v>73726</v>
      </c>
      <c r="F50" s="1061">
        <f>+F51+F58+F64</f>
        <v>267192</v>
      </c>
      <c r="G50" s="1061">
        <f>+G51+G58+G64</f>
        <v>261639</v>
      </c>
      <c r="H50" s="1294">
        <f t="shared" si="0"/>
        <v>0.97921719213150094</v>
      </c>
    </row>
    <row r="51" spans="1:10" s="3" customFormat="1" ht="12.75" customHeight="1" thickBot="1">
      <c r="A51" s="83" t="s">
        <v>14</v>
      </c>
      <c r="B51" s="64" t="s">
        <v>300</v>
      </c>
      <c r="C51" s="129">
        <f>+C52+C53+C54+C55+C56</f>
        <v>1331164</v>
      </c>
      <c r="D51" s="29">
        <f>+D52+D53+D54+D55+D56</f>
        <v>1215708</v>
      </c>
      <c r="E51" s="1220">
        <f>+E52+E53+E54+E55+E56</f>
        <v>32276</v>
      </c>
      <c r="F51" s="1061">
        <f>+F52+F53+F54+F55+F56</f>
        <v>219051</v>
      </c>
      <c r="G51" s="1061">
        <f>+G52+G53+G54+G55+G56</f>
        <v>219051</v>
      </c>
      <c r="H51" s="1294">
        <f t="shared" si="0"/>
        <v>1</v>
      </c>
    </row>
    <row r="52" spans="1:10">
      <c r="A52" s="84" t="s">
        <v>184</v>
      </c>
      <c r="B52" s="113" t="s">
        <v>115</v>
      </c>
      <c r="C52" s="398">
        <v>22708</v>
      </c>
      <c r="D52" s="35">
        <v>382626</v>
      </c>
      <c r="E52" s="1221">
        <f>+'1.mell._Össz_Mérleg2020'!C52</f>
        <v>0</v>
      </c>
      <c r="F52" s="1062">
        <f>+'1.mell._Össz_Mérleg2020'!D52</f>
        <v>39307</v>
      </c>
      <c r="G52" s="1062">
        <f>+'1.mell._Össz_Mérleg2020'!E52</f>
        <v>39307</v>
      </c>
      <c r="H52" s="1295">
        <f t="shared" si="0"/>
        <v>1</v>
      </c>
      <c r="J52" s="3"/>
    </row>
    <row r="53" spans="1:10">
      <c r="A53" s="85" t="s">
        <v>185</v>
      </c>
      <c r="B53" s="67" t="s">
        <v>116</v>
      </c>
      <c r="C53" s="396"/>
      <c r="D53" s="16"/>
      <c r="E53" s="1223">
        <f>+'1.mell._Össz_Mérleg2020'!C53</f>
        <v>0</v>
      </c>
      <c r="F53" s="1064">
        <f>+'1.mell._Össz_Mérleg2020'!D53</f>
        <v>0</v>
      </c>
      <c r="G53" s="1064">
        <f>+'1.mell._Össz_Mérleg2020'!E53</f>
        <v>0</v>
      </c>
      <c r="H53" s="1296" t="str">
        <f t="shared" si="0"/>
        <v>-</v>
      </c>
      <c r="J53" s="3"/>
    </row>
    <row r="54" spans="1:10">
      <c r="A54" s="85" t="s">
        <v>186</v>
      </c>
      <c r="B54" s="67" t="s">
        <v>117</v>
      </c>
      <c r="C54" s="396"/>
      <c r="D54" s="16"/>
      <c r="E54" s="1223">
        <f>+'1.mell._Össz_Mérleg2020'!C54</f>
        <v>0</v>
      </c>
      <c r="F54" s="1064">
        <f>+'1.mell._Össz_Mérleg2020'!D54</f>
        <v>0</v>
      </c>
      <c r="G54" s="1064">
        <f>+'1.mell._Össz_Mérleg2020'!E54</f>
        <v>0</v>
      </c>
      <c r="H54" s="1296" t="str">
        <f t="shared" si="0"/>
        <v>-</v>
      </c>
      <c r="J54" s="3"/>
    </row>
    <row r="55" spans="1:10">
      <c r="A55" s="85" t="s">
        <v>187</v>
      </c>
      <c r="B55" s="67" t="s">
        <v>118</v>
      </c>
      <c r="C55" s="396"/>
      <c r="D55" s="16"/>
      <c r="E55" s="1223">
        <f>+'1.mell._Össz_Mérleg2020'!C55</f>
        <v>0</v>
      </c>
      <c r="F55" s="1064">
        <f>+'1.mell._Össz_Mérleg2020'!D55</f>
        <v>0</v>
      </c>
      <c r="G55" s="1064">
        <f>+'1.mell._Össz_Mérleg2020'!E55</f>
        <v>0</v>
      </c>
      <c r="H55" s="1296" t="str">
        <f t="shared" si="0"/>
        <v>-</v>
      </c>
      <c r="J55" s="3"/>
    </row>
    <row r="56" spans="1:10">
      <c r="A56" s="78" t="s">
        <v>188</v>
      </c>
      <c r="B56" s="68" t="s">
        <v>119</v>
      </c>
      <c r="C56" s="397">
        <v>1308456</v>
      </c>
      <c r="D56" s="23">
        <v>833082</v>
      </c>
      <c r="E56" s="1224">
        <f>+'1.mell._Össz_Mérleg2020'!C56</f>
        <v>32276</v>
      </c>
      <c r="F56" s="1065">
        <f>+'1.mell._Össz_Mérleg2020'!D56</f>
        <v>179744</v>
      </c>
      <c r="G56" s="1065">
        <f>+'1.mell._Össz_Mérleg2020'!E56</f>
        <v>179744</v>
      </c>
      <c r="H56" s="1298">
        <f t="shared" si="0"/>
        <v>1</v>
      </c>
      <c r="J56" s="3"/>
    </row>
    <row r="57" spans="1:10" s="13" customFormat="1" ht="12.75" thickBot="1">
      <c r="A57" s="89" t="s">
        <v>333</v>
      </c>
      <c r="B57" s="751" t="s">
        <v>337</v>
      </c>
      <c r="C57" s="977">
        <v>1289663</v>
      </c>
      <c r="D57" s="978">
        <v>828472</v>
      </c>
      <c r="E57" s="1225">
        <f>+'1.mell._Össz_Mérleg2020'!C57</f>
        <v>0</v>
      </c>
      <c r="F57" s="1066">
        <f>+'1.mell._Össz_Mérleg2020'!D57</f>
        <v>169689</v>
      </c>
      <c r="G57" s="1066">
        <f>+'1.mell._Össz_Mérleg2020'!E57</f>
        <v>169689</v>
      </c>
      <c r="H57" s="1298">
        <f t="shared" si="0"/>
        <v>1</v>
      </c>
      <c r="J57" s="3"/>
    </row>
    <row r="58" spans="1:10" s="3" customFormat="1" ht="12.75" customHeight="1" thickBot="1">
      <c r="A58" s="83" t="s">
        <v>13</v>
      </c>
      <c r="B58" s="64" t="s">
        <v>301</v>
      </c>
      <c r="C58" s="129">
        <f>+C59+C60+C61+C62+C63</f>
        <v>6864</v>
      </c>
      <c r="D58" s="29">
        <f>+D59+D60+D61+D62+D63</f>
        <v>4022</v>
      </c>
      <c r="E58" s="1220">
        <f>+E59+E60+E61+E62+E63</f>
        <v>40350</v>
      </c>
      <c r="F58" s="1061">
        <f>+F59+F60+F61+F62+F63</f>
        <v>42427</v>
      </c>
      <c r="G58" s="1061">
        <f>+G59+G60+G61+G62+G63</f>
        <v>41924</v>
      </c>
      <c r="H58" s="1294">
        <f t="shared" si="0"/>
        <v>0.98814434204633839</v>
      </c>
    </row>
    <row r="59" spans="1:10" ht="12.75" customHeight="1">
      <c r="A59" s="84" t="s">
        <v>66</v>
      </c>
      <c r="B59" s="65" t="s">
        <v>120</v>
      </c>
      <c r="C59" s="398"/>
      <c r="D59" s="35"/>
      <c r="E59" s="1221">
        <f>+'1.mell._Össz_Mérleg2020'!C59</f>
        <v>0</v>
      </c>
      <c r="F59" s="1062">
        <f>+'1.mell._Össz_Mérleg2020'!D59</f>
        <v>0</v>
      </c>
      <c r="G59" s="1062">
        <f>+'1.mell._Össz_Mérleg2020'!E59</f>
        <v>0</v>
      </c>
      <c r="H59" s="1295" t="str">
        <f t="shared" si="0"/>
        <v>-</v>
      </c>
      <c r="J59" s="3"/>
    </row>
    <row r="60" spans="1:10" ht="12.75" customHeight="1">
      <c r="A60" s="85" t="s">
        <v>67</v>
      </c>
      <c r="B60" s="67" t="s">
        <v>121</v>
      </c>
      <c r="C60" s="396">
        <v>5264</v>
      </c>
      <c r="D60" s="16">
        <v>3607</v>
      </c>
      <c r="E60" s="1223">
        <f>+'1.mell._Össz_Mérleg2020'!C60</f>
        <v>40350</v>
      </c>
      <c r="F60" s="1064">
        <f>+'1.mell._Össz_Mérleg2020'!D60</f>
        <v>42412</v>
      </c>
      <c r="G60" s="1064">
        <f>+'1.mell._Össz_Mérleg2020'!E60</f>
        <v>41909</v>
      </c>
      <c r="H60" s="1296">
        <f t="shared" si="0"/>
        <v>0.98814014901442992</v>
      </c>
      <c r="J60" s="3"/>
    </row>
    <row r="61" spans="1:10" ht="12.75" customHeight="1">
      <c r="A61" s="85" t="s">
        <v>68</v>
      </c>
      <c r="B61" s="67" t="s">
        <v>122</v>
      </c>
      <c r="C61" s="396">
        <v>1600</v>
      </c>
      <c r="D61" s="16">
        <v>415</v>
      </c>
      <c r="E61" s="1223">
        <f>+'1.mell._Össz_Mérleg2020'!C61</f>
        <v>0</v>
      </c>
      <c r="F61" s="1064">
        <f>+'1.mell._Össz_Mérleg2020'!D61</f>
        <v>15</v>
      </c>
      <c r="G61" s="1064">
        <f>+'1.mell._Össz_Mérleg2020'!E61</f>
        <v>15</v>
      </c>
      <c r="H61" s="1296">
        <f t="shared" si="0"/>
        <v>1</v>
      </c>
      <c r="J61" s="3"/>
    </row>
    <row r="62" spans="1:10" ht="12.75" customHeight="1">
      <c r="A62" s="85" t="s">
        <v>229</v>
      </c>
      <c r="B62" s="67" t="s">
        <v>123</v>
      </c>
      <c r="C62" s="396"/>
      <c r="D62" s="16"/>
      <c r="E62" s="1223">
        <f>+'1.mell._Össz_Mérleg2020'!C62</f>
        <v>0</v>
      </c>
      <c r="F62" s="1064">
        <f>+'1.mell._Össz_Mérleg2020'!D62</f>
        <v>0</v>
      </c>
      <c r="G62" s="1064">
        <f>+'1.mell._Össz_Mérleg2020'!E62</f>
        <v>0</v>
      </c>
      <c r="H62" s="1296" t="str">
        <f t="shared" si="0"/>
        <v>-</v>
      </c>
      <c r="J62" s="3"/>
    </row>
    <row r="63" spans="1:10" ht="12.75" customHeight="1" thickBot="1">
      <c r="A63" s="78" t="s">
        <v>230</v>
      </c>
      <c r="B63" s="68" t="s">
        <v>124</v>
      </c>
      <c r="C63" s="397"/>
      <c r="D63" s="23"/>
      <c r="E63" s="1224">
        <f>+'1.mell._Össz_Mérleg2020'!C63</f>
        <v>0</v>
      </c>
      <c r="F63" s="1065">
        <f>+'1.mell._Össz_Mérleg2020'!D63</f>
        <v>0</v>
      </c>
      <c r="G63" s="1065">
        <f>+'1.mell._Össz_Mérleg2020'!E63</f>
        <v>0</v>
      </c>
      <c r="H63" s="1298" t="str">
        <f t="shared" si="0"/>
        <v>-</v>
      </c>
      <c r="J63" s="3"/>
    </row>
    <row r="64" spans="1:10" s="3" customFormat="1" ht="12.75" thickBot="1">
      <c r="A64" s="83" t="s">
        <v>12</v>
      </c>
      <c r="B64" s="64" t="s">
        <v>903</v>
      </c>
      <c r="C64" s="129">
        <f>+C65+C66+C67+C68+C69</f>
        <v>3009</v>
      </c>
      <c r="D64" s="29">
        <f>+D65+D66+D67+D68+D69</f>
        <v>838</v>
      </c>
      <c r="E64" s="1220">
        <f>+E65+E66+E67+E68+E69</f>
        <v>1100</v>
      </c>
      <c r="F64" s="1061">
        <f>+F65+F66+F67+F68+F69</f>
        <v>5714</v>
      </c>
      <c r="G64" s="1061">
        <f>+G65+G66+G67+G68+G69</f>
        <v>664</v>
      </c>
      <c r="H64" s="1294">
        <f t="shared" si="0"/>
        <v>0.11620581029051452</v>
      </c>
    </row>
    <row r="65" spans="1:10">
      <c r="A65" s="84" t="s">
        <v>69</v>
      </c>
      <c r="B65" s="65" t="s">
        <v>125</v>
      </c>
      <c r="C65" s="398"/>
      <c r="D65" s="35"/>
      <c r="E65" s="1221">
        <f>+'1.mell._Össz_Mérleg2020'!C65</f>
        <v>0</v>
      </c>
      <c r="F65" s="1062">
        <f>+'1.mell._Össz_Mérleg2020'!D65</f>
        <v>0</v>
      </c>
      <c r="G65" s="1062">
        <f>+'1.mell._Össz_Mérleg2020'!E65</f>
        <v>0</v>
      </c>
      <c r="H65" s="1295" t="str">
        <f t="shared" si="0"/>
        <v>-</v>
      </c>
      <c r="J65" s="3"/>
    </row>
    <row r="66" spans="1:10">
      <c r="A66" s="84" t="s">
        <v>70</v>
      </c>
      <c r="B66" s="65" t="s">
        <v>904</v>
      </c>
      <c r="C66" s="398"/>
      <c r="D66" s="35"/>
      <c r="E66" s="1221">
        <f>+'1.mell._Össz_Mérleg2020'!C66</f>
        <v>0</v>
      </c>
      <c r="F66" s="1062">
        <f>+'1.mell._Össz_Mérleg2020'!D66</f>
        <v>0</v>
      </c>
      <c r="G66" s="1062">
        <f>+'1.mell._Össz_Mérleg2020'!E66</f>
        <v>0</v>
      </c>
      <c r="H66" s="1295" t="str">
        <f t="shared" si="0"/>
        <v>-</v>
      </c>
      <c r="J66" s="3"/>
    </row>
    <row r="67" spans="1:10">
      <c r="A67" s="84" t="s">
        <v>71</v>
      </c>
      <c r="B67" s="65" t="s">
        <v>905</v>
      </c>
      <c r="C67" s="398"/>
      <c r="D67" s="35"/>
      <c r="E67" s="1221">
        <f>+'1.mell._Össz_Mérleg2020'!C67</f>
        <v>0</v>
      </c>
      <c r="F67" s="1062">
        <f>+'1.mell._Össz_Mérleg2020'!D67</f>
        <v>0</v>
      </c>
      <c r="G67" s="1062">
        <f>+'1.mell._Össz_Mérleg2020'!E67</f>
        <v>0</v>
      </c>
      <c r="H67" s="1295" t="str">
        <f t="shared" si="0"/>
        <v>-</v>
      </c>
      <c r="J67" s="3"/>
    </row>
    <row r="68" spans="1:10">
      <c r="A68" s="85" t="s">
        <v>72</v>
      </c>
      <c r="B68" s="67" t="s">
        <v>901</v>
      </c>
      <c r="C68" s="396">
        <v>1009</v>
      </c>
      <c r="D68" s="16">
        <v>838</v>
      </c>
      <c r="E68" s="1223">
        <f>+'1.mell._Össz_Mérleg2020'!C68</f>
        <v>1100</v>
      </c>
      <c r="F68" s="1064">
        <f>+'1.mell._Össz_Mérleg2020'!D68</f>
        <v>5678</v>
      </c>
      <c r="G68" s="1064">
        <f>+'1.mell._Össz_Mérleg2020'!E68</f>
        <v>664</v>
      </c>
      <c r="H68" s="1296">
        <f t="shared" si="0"/>
        <v>0.11694258541740049</v>
      </c>
      <c r="J68" s="3"/>
    </row>
    <row r="69" spans="1:10" ht="12.75" thickBot="1">
      <c r="A69" s="78" t="s">
        <v>900</v>
      </c>
      <c r="B69" s="68" t="s">
        <v>902</v>
      </c>
      <c r="C69" s="980">
        <v>2000</v>
      </c>
      <c r="D69" s="930"/>
      <c r="E69" s="1224">
        <f>+'1.mell._Össz_Mérleg2020'!C69</f>
        <v>0</v>
      </c>
      <c r="F69" s="1065">
        <f>+'1.mell._Össz_Mérleg2020'!D69</f>
        <v>36</v>
      </c>
      <c r="G69" s="1065">
        <f>+'1.mell._Össz_Mérleg2020'!E69</f>
        <v>0</v>
      </c>
      <c r="H69" s="1298">
        <f t="shared" si="0"/>
        <v>0</v>
      </c>
      <c r="J69" s="3"/>
    </row>
    <row r="70" spans="1:10" s="3" customFormat="1" ht="12.75" thickBot="1">
      <c r="A70" s="83" t="s">
        <v>11</v>
      </c>
      <c r="B70" s="69" t="s">
        <v>302</v>
      </c>
      <c r="C70" s="129">
        <f>+C10+C50</f>
        <v>3417980</v>
      </c>
      <c r="D70" s="29">
        <f>+D10+D50</f>
        <v>3258557</v>
      </c>
      <c r="E70" s="1220">
        <f>+E10+E50</f>
        <v>1666925</v>
      </c>
      <c r="F70" s="1061">
        <f>+F10+F50</f>
        <v>2342938</v>
      </c>
      <c r="G70" s="1061">
        <f>+G10+G50</f>
        <v>2138080</v>
      </c>
      <c r="H70" s="1294">
        <f t="shared" si="0"/>
        <v>0.91256362737725027</v>
      </c>
    </row>
    <row r="71" spans="1:10" s="3" customFormat="1" ht="12.75" thickBot="1">
      <c r="A71" s="83" t="s">
        <v>10</v>
      </c>
      <c r="B71" s="70" t="s">
        <v>303</v>
      </c>
      <c r="C71" s="129">
        <f>+C72</f>
        <v>449560</v>
      </c>
      <c r="D71" s="29">
        <f>+D72</f>
        <v>704310</v>
      </c>
      <c r="E71" s="1220">
        <f>+E72</f>
        <v>2876249</v>
      </c>
      <c r="F71" s="1061">
        <f>+F72</f>
        <v>797622</v>
      </c>
      <c r="G71" s="1061">
        <f>+G72</f>
        <v>797622</v>
      </c>
      <c r="H71" s="1294">
        <f t="shared" si="0"/>
        <v>1</v>
      </c>
    </row>
    <row r="72" spans="1:10" s="3" customFormat="1" ht="12.75" thickBot="1">
      <c r="A72" s="83" t="s">
        <v>9</v>
      </c>
      <c r="B72" s="64" t="s">
        <v>912</v>
      </c>
      <c r="C72" s="129">
        <f>+C73+C83+C84+C85</f>
        <v>449560</v>
      </c>
      <c r="D72" s="29">
        <f>+D73+D83+D84+D85</f>
        <v>704310</v>
      </c>
      <c r="E72" s="1220">
        <f>+E73+E83+E84+E85</f>
        <v>2876249</v>
      </c>
      <c r="F72" s="1061">
        <f>+F73+F83+F84+F85</f>
        <v>797622</v>
      </c>
      <c r="G72" s="1061">
        <f>+G73+G83+G84+G85</f>
        <v>797622</v>
      </c>
      <c r="H72" s="1294">
        <f t="shared" si="0"/>
        <v>1</v>
      </c>
    </row>
    <row r="73" spans="1:10">
      <c r="A73" s="84" t="s">
        <v>73</v>
      </c>
      <c r="B73" s="65" t="s">
        <v>907</v>
      </c>
      <c r="C73" s="398">
        <f>+C74+C75+C76+C77+C78+C79+C80+C81+C82</f>
        <v>449560</v>
      </c>
      <c r="D73" s="35">
        <f>+D74+D75+D76+D77+D78+D79+D80+D81+D82</f>
        <v>704310</v>
      </c>
      <c r="E73" s="1221">
        <f>+E74+E75+E76+E77+E78+E79+E80+E81+E82</f>
        <v>2876249</v>
      </c>
      <c r="F73" s="1062">
        <f>+F74+F75+F76+F77+F78+F79+F80+F81+F82</f>
        <v>797622</v>
      </c>
      <c r="G73" s="1062">
        <f>+G74+G75+G76+G77+G78+G79+G80+G81+G82</f>
        <v>797622</v>
      </c>
      <c r="H73" s="1295">
        <f t="shared" si="0"/>
        <v>1</v>
      </c>
      <c r="J73" s="3"/>
    </row>
    <row r="74" spans="1:10" s="13" customFormat="1">
      <c r="A74" s="86" t="s">
        <v>195</v>
      </c>
      <c r="B74" s="66" t="s">
        <v>906</v>
      </c>
      <c r="C74" s="394">
        <v>85565</v>
      </c>
      <c r="D74" s="15">
        <v>65277</v>
      </c>
      <c r="E74" s="1222">
        <f>+'1.mell._Össz_Mérleg2020'!C74</f>
        <v>0</v>
      </c>
      <c r="F74" s="1063">
        <f>+'1.mell._Össz_Mérleg2020'!D74</f>
        <v>77939</v>
      </c>
      <c r="G74" s="1063">
        <f>+'1.mell._Össz_Mérleg2020'!E74</f>
        <v>77939</v>
      </c>
      <c r="H74" s="1296">
        <f t="shared" ref="H74:H102" si="1">IF(ISERROR(G74/F74),"-",G74/F74)</f>
        <v>1</v>
      </c>
      <c r="J74" s="3"/>
    </row>
    <row r="75" spans="1:10" s="13" customFormat="1">
      <c r="A75" s="86" t="s">
        <v>196</v>
      </c>
      <c r="B75" s="66" t="s">
        <v>246</v>
      </c>
      <c r="C75" s="394"/>
      <c r="D75" s="15"/>
      <c r="E75" s="1222">
        <f>+'1.mell._Össz_Mérleg2020'!C75</f>
        <v>0</v>
      </c>
      <c r="F75" s="1063">
        <f>+'1.mell._Össz_Mérleg2020'!D75</f>
        <v>0</v>
      </c>
      <c r="G75" s="1063">
        <f>+'1.mell._Össz_Mérleg2020'!E75</f>
        <v>0</v>
      </c>
      <c r="H75" s="1296" t="str">
        <f t="shared" si="1"/>
        <v>-</v>
      </c>
      <c r="J75" s="3"/>
    </row>
    <row r="76" spans="1:10" s="13" customFormat="1">
      <c r="A76" s="86" t="s">
        <v>197</v>
      </c>
      <c r="B76" s="66" t="s">
        <v>247</v>
      </c>
      <c r="C76" s="394">
        <v>337324</v>
      </c>
      <c r="D76" s="15">
        <v>608587</v>
      </c>
      <c r="E76" s="1222">
        <f>+'1.mell._Össz_Mérleg2020'!C76</f>
        <v>2876249</v>
      </c>
      <c r="F76" s="1063">
        <f>+'1.mell._Össz_Mérleg2020'!D76</f>
        <v>682647</v>
      </c>
      <c r="G76" s="1063">
        <f>+'1.mell._Össz_Mérleg2020'!E76</f>
        <v>682647</v>
      </c>
      <c r="H76" s="1296">
        <f t="shared" si="1"/>
        <v>1</v>
      </c>
      <c r="J76" s="3"/>
    </row>
    <row r="77" spans="1:10" s="13" customFormat="1">
      <c r="A77" s="86" t="s">
        <v>198</v>
      </c>
      <c r="B77" s="66" t="s">
        <v>248</v>
      </c>
      <c r="C77" s="394">
        <v>26671</v>
      </c>
      <c r="D77" s="15">
        <v>30446</v>
      </c>
      <c r="E77" s="1222">
        <f>+'1.mell._Össz_Mérleg2020'!C77</f>
        <v>0</v>
      </c>
      <c r="F77" s="1063">
        <f>+'1.mell._Össz_Mérleg2020'!D77</f>
        <v>37036</v>
      </c>
      <c r="G77" s="1063">
        <f>+'1.mell._Össz_Mérleg2020'!E77</f>
        <v>37036</v>
      </c>
      <c r="H77" s="1296">
        <f t="shared" si="1"/>
        <v>1</v>
      </c>
      <c r="J77" s="3"/>
    </row>
    <row r="78" spans="1:10" s="13" customFormat="1">
      <c r="A78" s="86" t="s">
        <v>199</v>
      </c>
      <c r="B78" s="66" t="s">
        <v>249</v>
      </c>
      <c r="C78" s="394"/>
      <c r="D78" s="15"/>
      <c r="E78" s="1222">
        <f>+'1.mell._Össz_Mérleg2020'!C78</f>
        <v>0</v>
      </c>
      <c r="F78" s="1063">
        <f>+'1.mell._Össz_Mérleg2020'!D78</f>
        <v>0</v>
      </c>
      <c r="G78" s="1063">
        <f>+'1.mell._Össz_Mérleg2020'!E78</f>
        <v>0</v>
      </c>
      <c r="H78" s="1296" t="str">
        <f t="shared" si="1"/>
        <v>-</v>
      </c>
      <c r="J78" s="3"/>
    </row>
    <row r="79" spans="1:10" s="13" customFormat="1">
      <c r="A79" s="103" t="s">
        <v>200</v>
      </c>
      <c r="B79" s="104" t="s">
        <v>250</v>
      </c>
      <c r="C79" s="393"/>
      <c r="D79" s="107"/>
      <c r="E79" s="1228">
        <f>+'1.mell._Össz_Mérleg2020'!C79</f>
        <v>0</v>
      </c>
      <c r="F79" s="1166">
        <f>+'1.mell._Össz_Mérleg2020'!D79</f>
        <v>0</v>
      </c>
      <c r="G79" s="1166">
        <f>+'1.mell._Össz_Mérleg2020'!E79</f>
        <v>0</v>
      </c>
      <c r="H79" s="1370" t="str">
        <f t="shared" si="1"/>
        <v>-</v>
      </c>
      <c r="J79" s="3"/>
    </row>
    <row r="80" spans="1:10" s="13" customFormat="1">
      <c r="A80" s="86" t="s">
        <v>203</v>
      </c>
      <c r="B80" s="66" t="s">
        <v>251</v>
      </c>
      <c r="C80" s="394"/>
      <c r="D80" s="15"/>
      <c r="E80" s="1222">
        <f>+'1.mell._Össz_Mérleg2020'!C80</f>
        <v>0</v>
      </c>
      <c r="F80" s="1063">
        <f>+'1.mell._Össz_Mérleg2020'!D80</f>
        <v>0</v>
      </c>
      <c r="G80" s="1063">
        <f>+'1.mell._Össz_Mérleg2020'!E80</f>
        <v>0</v>
      </c>
      <c r="H80" s="1296" t="str">
        <f t="shared" si="1"/>
        <v>-</v>
      </c>
      <c r="J80" s="3"/>
    </row>
    <row r="81" spans="1:10" s="13" customFormat="1">
      <c r="A81" s="86" t="s">
        <v>201</v>
      </c>
      <c r="B81" s="66" t="s">
        <v>244</v>
      </c>
      <c r="C81" s="394"/>
      <c r="D81" s="15"/>
      <c r="E81" s="1222">
        <f>+'1.mell._Össz_Mérleg2020'!C81</f>
        <v>0</v>
      </c>
      <c r="F81" s="1063">
        <f>+'1.mell._Össz_Mérleg2020'!D81</f>
        <v>0</v>
      </c>
      <c r="G81" s="1063">
        <f>+'1.mell._Össz_Mérleg2020'!E81</f>
        <v>0</v>
      </c>
      <c r="H81" s="1296" t="str">
        <f t="shared" si="1"/>
        <v>-</v>
      </c>
      <c r="J81" s="3"/>
    </row>
    <row r="82" spans="1:10" s="13" customFormat="1">
      <c r="A82" s="86" t="s">
        <v>908</v>
      </c>
      <c r="B82" s="66" t="s">
        <v>909</v>
      </c>
      <c r="C82" s="394"/>
      <c r="D82" s="15"/>
      <c r="E82" s="1222">
        <f>+'1.mell._Össz_Mérleg2020'!C82</f>
        <v>0</v>
      </c>
      <c r="F82" s="1063">
        <f>+'1.mell._Össz_Mérleg2020'!D82</f>
        <v>0</v>
      </c>
      <c r="G82" s="1063">
        <f>+'1.mell._Össz_Mérleg2020'!E82</f>
        <v>0</v>
      </c>
      <c r="H82" s="1296" t="str">
        <f t="shared" si="1"/>
        <v>-</v>
      </c>
      <c r="J82" s="3"/>
    </row>
    <row r="83" spans="1:10">
      <c r="A83" s="85" t="s">
        <v>74</v>
      </c>
      <c r="B83" s="67" t="s">
        <v>242</v>
      </c>
      <c r="C83" s="396"/>
      <c r="D83" s="16"/>
      <c r="E83" s="1223">
        <f>+'1.mell._Össz_Mérleg2020'!C83</f>
        <v>0</v>
      </c>
      <c r="F83" s="1064">
        <f>+'1.mell._Össz_Mérleg2020'!D83</f>
        <v>0</v>
      </c>
      <c r="G83" s="1064">
        <f>+'1.mell._Össz_Mérleg2020'!E83</f>
        <v>0</v>
      </c>
      <c r="H83" s="1296" t="str">
        <f t="shared" si="1"/>
        <v>-</v>
      </c>
      <c r="J83" s="3"/>
    </row>
    <row r="84" spans="1:10">
      <c r="A84" s="78" t="s">
        <v>202</v>
      </c>
      <c r="B84" s="68" t="s">
        <v>243</v>
      </c>
      <c r="C84" s="397"/>
      <c r="D84" s="23"/>
      <c r="E84" s="1224">
        <f>+'1.mell._Össz_Mérleg2020'!C84</f>
        <v>0</v>
      </c>
      <c r="F84" s="1065">
        <f>+'1.mell._Össz_Mérleg2020'!D84</f>
        <v>0</v>
      </c>
      <c r="G84" s="1065">
        <f>+'1.mell._Össz_Mérleg2020'!E84</f>
        <v>0</v>
      </c>
      <c r="H84" s="1298" t="str">
        <f t="shared" si="1"/>
        <v>-</v>
      </c>
      <c r="J84" s="3"/>
    </row>
    <row r="85" spans="1:10" ht="12.75" thickBot="1">
      <c r="A85" s="78" t="s">
        <v>910</v>
      </c>
      <c r="B85" s="68" t="s">
        <v>911</v>
      </c>
      <c r="C85" s="397"/>
      <c r="D85" s="23"/>
      <c r="E85" s="1224">
        <f>+'1.mell._Össz_Mérleg2020'!C85</f>
        <v>0</v>
      </c>
      <c r="F85" s="1065">
        <f>+'1.mell._Össz_Mérleg2020'!D85</f>
        <v>0</v>
      </c>
      <c r="G85" s="1065">
        <f>+'1.mell._Össz_Mérleg2020'!E85</f>
        <v>0</v>
      </c>
      <c r="H85" s="1298" t="str">
        <f t="shared" si="1"/>
        <v>-</v>
      </c>
      <c r="J85" s="3"/>
    </row>
    <row r="86" spans="1:10" s="3" customFormat="1" ht="12.75" thickBot="1">
      <c r="A86" s="83" t="s">
        <v>45</v>
      </c>
      <c r="B86" s="70" t="s">
        <v>304</v>
      </c>
      <c r="C86" s="129">
        <f>+C87</f>
        <v>1857788</v>
      </c>
      <c r="D86" s="29">
        <f>+D87</f>
        <v>2492294</v>
      </c>
      <c r="E86" s="1220">
        <f>+E87</f>
        <v>10000</v>
      </c>
      <c r="F86" s="1061">
        <f>+F87</f>
        <v>2653354</v>
      </c>
      <c r="G86" s="1061">
        <f>+G87</f>
        <v>2653354</v>
      </c>
      <c r="H86" s="1294">
        <f t="shared" si="1"/>
        <v>1</v>
      </c>
    </row>
    <row r="87" spans="1:10" s="3" customFormat="1" ht="12.75" thickBot="1">
      <c r="A87" s="83" t="s">
        <v>44</v>
      </c>
      <c r="B87" s="64" t="s">
        <v>914</v>
      </c>
      <c r="C87" s="129">
        <f>+C88+C98+C99+C100</f>
        <v>1857788</v>
      </c>
      <c r="D87" s="29">
        <f>+D88+D98+D99+D100</f>
        <v>2492294</v>
      </c>
      <c r="E87" s="1220">
        <f>+E88+E98+E99+E100</f>
        <v>10000</v>
      </c>
      <c r="F87" s="1061">
        <f>+F88+F98+F99+F100</f>
        <v>2653354</v>
      </c>
      <c r="G87" s="1061">
        <f>+G88+G98+G99+G100</f>
        <v>2653354</v>
      </c>
      <c r="H87" s="1294">
        <f t="shared" si="1"/>
        <v>1</v>
      </c>
    </row>
    <row r="88" spans="1:10">
      <c r="A88" s="84" t="s">
        <v>231</v>
      </c>
      <c r="B88" s="65" t="s">
        <v>966</v>
      </c>
      <c r="C88" s="398">
        <f>+C89+C90+C91+C92+C93+C94+C95+C96+C97</f>
        <v>1857788</v>
      </c>
      <c r="D88" s="35">
        <f>+D89+D90+D91+D92+D93+D94+D95+D96+D97</f>
        <v>2492294</v>
      </c>
      <c r="E88" s="1221">
        <f>+E89+E90+E91+E92+E93+E94+E95+E96+E97</f>
        <v>10000</v>
      </c>
      <c r="F88" s="1062">
        <f>+F89+F90+F91+F92+F93+F94+F95+F96+F97</f>
        <v>2653354</v>
      </c>
      <c r="G88" s="1062">
        <f>+G89+G90+G91+G92+G93+G94+G95+G96+G97</f>
        <v>2653354</v>
      </c>
      <c r="H88" s="1295">
        <f t="shared" si="1"/>
        <v>1</v>
      </c>
      <c r="J88" s="3"/>
    </row>
    <row r="89" spans="1:10" s="13" customFormat="1">
      <c r="A89" s="86" t="s">
        <v>232</v>
      </c>
      <c r="B89" s="66" t="s">
        <v>906</v>
      </c>
      <c r="C89" s="394"/>
      <c r="D89" s="15"/>
      <c r="E89" s="1222">
        <f>+'1.mell._Össz_Mérleg2020'!C89</f>
        <v>10000</v>
      </c>
      <c r="F89" s="1063">
        <f>+'1.mell._Össz_Mérleg2020'!D89</f>
        <v>9322</v>
      </c>
      <c r="G89" s="1063">
        <f>+'1.mell._Össz_Mérleg2020'!E89</f>
        <v>9322</v>
      </c>
      <c r="H89" s="1296">
        <f t="shared" si="1"/>
        <v>1</v>
      </c>
      <c r="J89" s="3"/>
    </row>
    <row r="90" spans="1:10" s="13" customFormat="1">
      <c r="A90" s="86" t="s">
        <v>233</v>
      </c>
      <c r="B90" s="66" t="s">
        <v>246</v>
      </c>
      <c r="C90" s="394"/>
      <c r="D90" s="15"/>
      <c r="E90" s="1222">
        <f>+'1.mell._Össz_Mérleg2020'!C90</f>
        <v>0</v>
      </c>
      <c r="F90" s="1063">
        <f>+'1.mell._Össz_Mérleg2020'!D90</f>
        <v>0</v>
      </c>
      <c r="G90" s="1063">
        <f>+'1.mell._Össz_Mérleg2020'!E90</f>
        <v>0</v>
      </c>
      <c r="H90" s="1296" t="str">
        <f t="shared" si="1"/>
        <v>-</v>
      </c>
      <c r="J90" s="3"/>
    </row>
    <row r="91" spans="1:10" s="13" customFormat="1">
      <c r="A91" s="86" t="s">
        <v>234</v>
      </c>
      <c r="B91" s="66" t="s">
        <v>247</v>
      </c>
      <c r="C91" s="394">
        <v>1857788</v>
      </c>
      <c r="D91" s="15">
        <v>2492294</v>
      </c>
      <c r="E91" s="1222">
        <f>+'1.mell._Össz_Mérleg2020'!C91</f>
        <v>0</v>
      </c>
      <c r="F91" s="1063">
        <f>+'1.mell._Össz_Mérleg2020'!D91</f>
        <v>2644032</v>
      </c>
      <c r="G91" s="1063">
        <f>+'1.mell._Össz_Mérleg2020'!E91</f>
        <v>2644032</v>
      </c>
      <c r="H91" s="1296">
        <f t="shared" si="1"/>
        <v>1</v>
      </c>
      <c r="J91" s="3"/>
    </row>
    <row r="92" spans="1:10" s="13" customFormat="1">
      <c r="A92" s="86" t="s">
        <v>235</v>
      </c>
      <c r="B92" s="66" t="s">
        <v>248</v>
      </c>
      <c r="C92" s="394"/>
      <c r="D92" s="15"/>
      <c r="E92" s="1222">
        <f>+'1.mell._Össz_Mérleg2020'!C92</f>
        <v>0</v>
      </c>
      <c r="F92" s="1063">
        <f>+'1.mell._Össz_Mérleg2020'!D92</f>
        <v>0</v>
      </c>
      <c r="G92" s="1063">
        <f>+'1.mell._Össz_Mérleg2020'!E92</f>
        <v>0</v>
      </c>
      <c r="H92" s="1296" t="str">
        <f t="shared" si="1"/>
        <v>-</v>
      </c>
      <c r="J92" s="3"/>
    </row>
    <row r="93" spans="1:10" s="13" customFormat="1">
      <c r="A93" s="86" t="s">
        <v>236</v>
      </c>
      <c r="B93" s="66" t="s">
        <v>249</v>
      </c>
      <c r="C93" s="394"/>
      <c r="D93" s="15"/>
      <c r="E93" s="1222">
        <f>+'1.mell._Össz_Mérleg2020'!C93</f>
        <v>0</v>
      </c>
      <c r="F93" s="1063">
        <f>+'1.mell._Össz_Mérleg2020'!D93</f>
        <v>0</v>
      </c>
      <c r="G93" s="1063">
        <f>+'1.mell._Össz_Mérleg2020'!E93</f>
        <v>0</v>
      </c>
      <c r="H93" s="1296" t="str">
        <f t="shared" si="1"/>
        <v>-</v>
      </c>
      <c r="J93" s="3"/>
    </row>
    <row r="94" spans="1:10" s="13" customFormat="1">
      <c r="A94" s="103" t="s">
        <v>237</v>
      </c>
      <c r="B94" s="104" t="s">
        <v>250</v>
      </c>
      <c r="C94" s="393"/>
      <c r="D94" s="107"/>
      <c r="E94" s="1228">
        <f>+'1.mell._Össz_Mérleg2020'!C94</f>
        <v>0</v>
      </c>
      <c r="F94" s="1166">
        <f>+'1.mell._Össz_Mérleg2020'!D94</f>
        <v>0</v>
      </c>
      <c r="G94" s="1166">
        <f>+'1.mell._Össz_Mérleg2020'!E94</f>
        <v>0</v>
      </c>
      <c r="H94" s="1370" t="str">
        <f t="shared" si="1"/>
        <v>-</v>
      </c>
      <c r="J94" s="3"/>
    </row>
    <row r="95" spans="1:10" s="13" customFormat="1">
      <c r="A95" s="86" t="s">
        <v>238</v>
      </c>
      <c r="B95" s="66" t="s">
        <v>251</v>
      </c>
      <c r="C95" s="394"/>
      <c r="D95" s="15"/>
      <c r="E95" s="1222">
        <f>+'1.mell._Össz_Mérleg2020'!C95</f>
        <v>0</v>
      </c>
      <c r="F95" s="1063">
        <f>+'1.mell._Össz_Mérleg2020'!D95</f>
        <v>0</v>
      </c>
      <c r="G95" s="1063">
        <f>+'1.mell._Össz_Mérleg2020'!E95</f>
        <v>0</v>
      </c>
      <c r="H95" s="1296" t="str">
        <f t="shared" si="1"/>
        <v>-</v>
      </c>
      <c r="J95" s="3"/>
    </row>
    <row r="96" spans="1:10" s="13" customFormat="1">
      <c r="A96" s="86" t="s">
        <v>239</v>
      </c>
      <c r="B96" s="66" t="s">
        <v>244</v>
      </c>
      <c r="C96" s="394"/>
      <c r="D96" s="15"/>
      <c r="E96" s="1222">
        <f>+'1.mell._Össz_Mérleg2020'!C96</f>
        <v>0</v>
      </c>
      <c r="F96" s="1063">
        <f>+'1.mell._Össz_Mérleg2020'!D96</f>
        <v>0</v>
      </c>
      <c r="G96" s="1063">
        <f>+'1.mell._Össz_Mérleg2020'!E96</f>
        <v>0</v>
      </c>
      <c r="H96" s="1296" t="str">
        <f t="shared" si="1"/>
        <v>-</v>
      </c>
      <c r="J96" s="3"/>
    </row>
    <row r="97" spans="1:12" s="13" customFormat="1">
      <c r="A97" s="86" t="s">
        <v>913</v>
      </c>
      <c r="B97" s="66" t="s">
        <v>909</v>
      </c>
      <c r="C97" s="394"/>
      <c r="D97" s="15"/>
      <c r="E97" s="1222">
        <f>+'1.mell._Össz_Mérleg2020'!C97</f>
        <v>0</v>
      </c>
      <c r="F97" s="1063">
        <f>+'1.mell._Össz_Mérleg2020'!D97</f>
        <v>0</v>
      </c>
      <c r="G97" s="1063">
        <f>+'1.mell._Össz_Mérleg2020'!E97</f>
        <v>0</v>
      </c>
      <c r="H97" s="1296" t="str">
        <f t="shared" si="1"/>
        <v>-</v>
      </c>
      <c r="J97" s="3"/>
    </row>
    <row r="98" spans="1:12">
      <c r="A98" s="85" t="s">
        <v>240</v>
      </c>
      <c r="B98" s="67" t="s">
        <v>242</v>
      </c>
      <c r="C98" s="396"/>
      <c r="D98" s="16"/>
      <c r="E98" s="1223">
        <f>+'1.mell._Össz_Mérleg2020'!C98</f>
        <v>0</v>
      </c>
      <c r="F98" s="1064">
        <f>+'1.mell._Össz_Mérleg2020'!D98</f>
        <v>0</v>
      </c>
      <c r="G98" s="1064">
        <f>+'1.mell._Össz_Mérleg2020'!E98</f>
        <v>0</v>
      </c>
      <c r="H98" s="1296" t="str">
        <f t="shared" si="1"/>
        <v>-</v>
      </c>
      <c r="J98" s="3"/>
    </row>
    <row r="99" spans="1:12">
      <c r="A99" s="78" t="s">
        <v>241</v>
      </c>
      <c r="B99" s="68" t="s">
        <v>243</v>
      </c>
      <c r="C99" s="397"/>
      <c r="D99" s="23"/>
      <c r="E99" s="1224">
        <f>+'1.mell._Össz_Mérleg2020'!C99</f>
        <v>0</v>
      </c>
      <c r="F99" s="1065">
        <f>+'1.mell._Össz_Mérleg2020'!D99</f>
        <v>0</v>
      </c>
      <c r="G99" s="1065">
        <f>+'1.mell._Össz_Mérleg2020'!E99</f>
        <v>0</v>
      </c>
      <c r="H99" s="1298" t="str">
        <f t="shared" si="1"/>
        <v>-</v>
      </c>
      <c r="J99" s="3"/>
    </row>
    <row r="100" spans="1:12" ht="12.75" thickBot="1">
      <c r="A100" s="78" t="s">
        <v>915</v>
      </c>
      <c r="B100" s="68" t="s">
        <v>911</v>
      </c>
      <c r="C100" s="397"/>
      <c r="D100" s="23"/>
      <c r="E100" s="1224">
        <f>+'1.mell._Össz_Mérleg2020'!C100</f>
        <v>0</v>
      </c>
      <c r="F100" s="1065">
        <f>+'1.mell._Össz_Mérleg2020'!D100</f>
        <v>0</v>
      </c>
      <c r="G100" s="1065">
        <f>+'1.mell._Össz_Mérleg2020'!E100</f>
        <v>0</v>
      </c>
      <c r="H100" s="1298" t="str">
        <f t="shared" si="1"/>
        <v>-</v>
      </c>
      <c r="J100" s="3"/>
    </row>
    <row r="101" spans="1:12" s="3" customFormat="1" ht="12.75" thickBot="1">
      <c r="A101" s="83" t="s">
        <v>43</v>
      </c>
      <c r="B101" s="69" t="s">
        <v>305</v>
      </c>
      <c r="C101" s="129">
        <f>+C71+C86</f>
        <v>2307348</v>
      </c>
      <c r="D101" s="29">
        <f>+D71+D86</f>
        <v>3196604</v>
      </c>
      <c r="E101" s="1220">
        <f>+E71+E86</f>
        <v>2886249</v>
      </c>
      <c r="F101" s="1061">
        <f>+F71+F86</f>
        <v>3450976</v>
      </c>
      <c r="G101" s="1061">
        <f>+G71+G86</f>
        <v>3450976</v>
      </c>
      <c r="H101" s="1294">
        <f t="shared" si="1"/>
        <v>1</v>
      </c>
      <c r="J101" s="4">
        <f>+C214+C221</f>
        <v>608587</v>
      </c>
      <c r="K101" s="4">
        <f>+D214+D221</f>
        <v>686696</v>
      </c>
    </row>
    <row r="102" spans="1:12" s="3" customFormat="1" ht="12.75" thickBot="1">
      <c r="A102" s="87" t="s">
        <v>40</v>
      </c>
      <c r="B102" s="71" t="s">
        <v>306</v>
      </c>
      <c r="C102" s="392">
        <f>+C70+C101</f>
        <v>5725328</v>
      </c>
      <c r="D102" s="26">
        <f>+D70+D101</f>
        <v>6455161</v>
      </c>
      <c r="E102" s="1229">
        <f>+E70+E101</f>
        <v>4553174</v>
      </c>
      <c r="F102" s="1072">
        <f>+F70+F101</f>
        <v>5793914</v>
      </c>
      <c r="G102" s="1072">
        <f>+G70+G101</f>
        <v>5589056</v>
      </c>
      <c r="H102" s="1301">
        <f t="shared" si="1"/>
        <v>0.96464255423880985</v>
      </c>
      <c r="J102" s="4">
        <f>+C215+C228</f>
        <v>2492294</v>
      </c>
      <c r="K102" s="4">
        <f>+D215+D228</f>
        <v>2644032</v>
      </c>
    </row>
    <row r="103" spans="1:12" s="13" customFormat="1">
      <c r="A103" s="657"/>
      <c r="B103" s="656"/>
      <c r="H103" s="1371"/>
      <c r="J103" s="656">
        <f>+C102-C208</f>
        <v>3100881</v>
      </c>
      <c r="K103" s="656">
        <f>+D102-D208</f>
        <v>3330728</v>
      </c>
      <c r="L103" s="656">
        <f>+G102-G208</f>
        <v>2398282</v>
      </c>
    </row>
    <row r="104" spans="1:12" s="36" customFormat="1">
      <c r="A104" s="658"/>
      <c r="B104" s="460"/>
      <c r="C104" s="460"/>
      <c r="D104" s="460"/>
      <c r="E104" s="460"/>
      <c r="F104" s="460"/>
      <c r="G104" s="460"/>
      <c r="H104" s="1302"/>
      <c r="J104" s="4">
        <f>+J101+J102-J103</f>
        <v>0</v>
      </c>
      <c r="K104" s="4">
        <f>+K101+K102-K103</f>
        <v>0</v>
      </c>
    </row>
    <row r="105" spans="1:12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J105" s="4">
        <f>+J103-D76-D91</f>
        <v>0</v>
      </c>
      <c r="K105" s="13">
        <f>+K103-G76-G91</f>
        <v>4049</v>
      </c>
    </row>
    <row r="106" spans="1:12" s="36" customFormat="1" ht="12.75" thickBot="1">
      <c r="A106" s="38" t="s">
        <v>278</v>
      </c>
      <c r="E106" s="37"/>
      <c r="F106" s="37"/>
      <c r="G106" s="37"/>
      <c r="H106" s="1368" t="s">
        <v>280</v>
      </c>
      <c r="J106" s="4" t="s">
        <v>2726</v>
      </c>
      <c r="K106" s="4">
        <v>-4262</v>
      </c>
      <c r="L106" s="4" t="s">
        <v>2585</v>
      </c>
    </row>
    <row r="107" spans="1:12" s="3" customFormat="1" ht="48.75" thickBot="1">
      <c r="A107" s="79" t="s">
        <v>17</v>
      </c>
      <c r="B107" s="80" t="s">
        <v>328</v>
      </c>
      <c r="C107" s="399" t="s">
        <v>1429</v>
      </c>
      <c r="D107" s="7" t="s">
        <v>2656</v>
      </c>
      <c r="E107" s="1055" t="s">
        <v>1540</v>
      </c>
      <c r="F107" s="6" t="s">
        <v>1541</v>
      </c>
      <c r="G107" s="6" t="s">
        <v>2654</v>
      </c>
      <c r="H107" s="1291" t="s">
        <v>1558</v>
      </c>
      <c r="K107" s="4">
        <v>5</v>
      </c>
      <c r="L107" s="4" t="s">
        <v>2586</v>
      </c>
    </row>
    <row r="108" spans="1:12" s="3" customFormat="1" ht="12.75" thickBot="1">
      <c r="A108" s="81" t="s">
        <v>252</v>
      </c>
      <c r="B108" s="82" t="s">
        <v>253</v>
      </c>
      <c r="C108" s="1735" t="s">
        <v>254</v>
      </c>
      <c r="D108" s="919" t="s">
        <v>360</v>
      </c>
      <c r="E108" s="1771" t="s">
        <v>361</v>
      </c>
      <c r="F108" s="1772"/>
      <c r="G108" s="1772"/>
      <c r="H108" s="1773"/>
      <c r="K108" s="4">
        <v>205</v>
      </c>
      <c r="L108" s="4" t="s">
        <v>2587</v>
      </c>
    </row>
    <row r="109" spans="1:12" s="3" customFormat="1" ht="12.75" thickBot="1">
      <c r="A109" s="83" t="s">
        <v>4</v>
      </c>
      <c r="B109" s="69" t="s">
        <v>307</v>
      </c>
      <c r="C109" s="129">
        <f>+C110+C114+C116+C123+C132</f>
        <v>1807005</v>
      </c>
      <c r="D109" s="29">
        <f>+D110+D114+D116+D123+D132</f>
        <v>1963655</v>
      </c>
      <c r="E109" s="1220">
        <f>+E110+E114+E116+E123+E132</f>
        <v>4018748</v>
      </c>
      <c r="F109" s="1061">
        <f>+F110+F114+F116+F123+F132</f>
        <v>4337116</v>
      </c>
      <c r="G109" s="1061">
        <f>+G110+G114+G116+G123+G132</f>
        <v>1874193</v>
      </c>
      <c r="H109" s="1294">
        <f t="shared" ref="H109:H172" si="2">IF(ISERROR(G109/F109),"-",G109/F109)</f>
        <v>0.43212886166752285</v>
      </c>
      <c r="K109" s="4">
        <v>2</v>
      </c>
      <c r="L109" s="4" t="s">
        <v>2588</v>
      </c>
    </row>
    <row r="110" spans="1:12" s="3" customFormat="1" ht="12.75" thickBot="1">
      <c r="A110" s="83" t="s">
        <v>5</v>
      </c>
      <c r="B110" s="64" t="s">
        <v>308</v>
      </c>
      <c r="C110" s="129">
        <f>+C112+C113</f>
        <v>839058</v>
      </c>
      <c r="D110" s="29">
        <f>+D112+D113</f>
        <v>915906</v>
      </c>
      <c r="E110" s="1220">
        <f>+E112+E113</f>
        <v>715534</v>
      </c>
      <c r="F110" s="1061">
        <f>+F112+F113</f>
        <v>952919</v>
      </c>
      <c r="G110" s="1061">
        <f>+G112+G113</f>
        <v>941098</v>
      </c>
      <c r="H110" s="1294">
        <f t="shared" si="2"/>
        <v>0.98759495822834886</v>
      </c>
      <c r="K110" s="4">
        <v>1</v>
      </c>
      <c r="L110" s="4" t="s">
        <v>2589</v>
      </c>
    </row>
    <row r="111" spans="1:12" s="36" customFormat="1">
      <c r="A111" s="752" t="s">
        <v>348</v>
      </c>
      <c r="B111" s="753" t="s">
        <v>349</v>
      </c>
      <c r="C111" s="981">
        <v>96862</v>
      </c>
      <c r="D111" s="982">
        <v>150406</v>
      </c>
      <c r="E111" s="1232">
        <f>+'1.mell._Össz_Mérleg2020'!C111</f>
        <v>0</v>
      </c>
      <c r="F111" s="1074">
        <f>+'1.mell._Össz_Mérleg2020'!D111</f>
        <v>130730</v>
      </c>
      <c r="G111" s="1074">
        <f>+'1.mell._Össz_Mérleg2020'!E111</f>
        <v>130730</v>
      </c>
      <c r="H111" s="1304">
        <f t="shared" si="2"/>
        <v>1</v>
      </c>
      <c r="J111" s="3"/>
    </row>
    <row r="112" spans="1:12">
      <c r="A112" s="84" t="s">
        <v>54</v>
      </c>
      <c r="B112" s="65" t="s">
        <v>126</v>
      </c>
      <c r="C112" s="398">
        <v>746559</v>
      </c>
      <c r="D112" s="35">
        <v>817664</v>
      </c>
      <c r="E112" s="1221">
        <f>+'1.mell._Össz_Mérleg2020'!C112</f>
        <v>670542</v>
      </c>
      <c r="F112" s="1062">
        <f>+'1.mell._Össz_Mérleg2020'!D112</f>
        <v>858006</v>
      </c>
      <c r="G112" s="1062">
        <f>+'1.mell._Össz_Mérleg2020'!E112</f>
        <v>847335</v>
      </c>
      <c r="H112" s="1295">
        <f t="shared" si="2"/>
        <v>0.98756302403479701</v>
      </c>
      <c r="J112" s="3"/>
    </row>
    <row r="113" spans="1:10" ht="12.75" thickBot="1">
      <c r="A113" s="78" t="s">
        <v>55</v>
      </c>
      <c r="B113" s="68" t="s">
        <v>127</v>
      </c>
      <c r="C113" s="397">
        <v>92499</v>
      </c>
      <c r="D113" s="23">
        <v>98242</v>
      </c>
      <c r="E113" s="1224">
        <f>+'1.mell._Össz_Mérleg2020'!C113</f>
        <v>44991.999999999993</v>
      </c>
      <c r="F113" s="1065">
        <f>+'1.mell._Össz_Mérleg2020'!D113</f>
        <v>94913</v>
      </c>
      <c r="G113" s="1065">
        <f>+'1.mell._Össz_Mérleg2020'!E113</f>
        <v>93763</v>
      </c>
      <c r="H113" s="1298">
        <f t="shared" si="2"/>
        <v>0.98788364080789781</v>
      </c>
      <c r="J113" s="3"/>
    </row>
    <row r="114" spans="1:10" s="3" customFormat="1" ht="12.75" thickBot="1">
      <c r="A114" s="83" t="s">
        <v>6</v>
      </c>
      <c r="B114" s="64" t="s">
        <v>255</v>
      </c>
      <c r="C114" s="129">
        <v>153994</v>
      </c>
      <c r="D114" s="29">
        <v>169543</v>
      </c>
      <c r="E114" s="1220">
        <f>+'1.mell._Össz_Mérleg2020'!C114</f>
        <v>130817</v>
      </c>
      <c r="F114" s="1061">
        <f>+'1.mell._Össz_Mérleg2020'!D114</f>
        <v>167067</v>
      </c>
      <c r="G114" s="1061">
        <f>+'1.mell._Össz_Mérleg2020'!E114</f>
        <v>158725</v>
      </c>
      <c r="H114" s="1294">
        <f t="shared" si="2"/>
        <v>0.95006793681576851</v>
      </c>
    </row>
    <row r="115" spans="1:10" s="36" customFormat="1" ht="12.75" thickBot="1">
      <c r="A115" s="752" t="s">
        <v>345</v>
      </c>
      <c r="B115" s="753" t="s">
        <v>346</v>
      </c>
      <c r="C115" s="981">
        <v>16944</v>
      </c>
      <c r="D115" s="982">
        <v>26165</v>
      </c>
      <c r="E115" s="1232">
        <f>+'1.mell._Össz_Mérleg2020'!C115</f>
        <v>0</v>
      </c>
      <c r="F115" s="1074">
        <f>+'1.mell._Össz_Mérleg2020'!D115</f>
        <v>19369</v>
      </c>
      <c r="G115" s="1074">
        <f>+'1.mell._Össz_Mérleg2020'!E115</f>
        <v>19369</v>
      </c>
      <c r="H115" s="1304">
        <f t="shared" si="2"/>
        <v>1</v>
      </c>
      <c r="J115" s="3"/>
    </row>
    <row r="116" spans="1:10" s="3" customFormat="1" ht="12.75" thickBot="1">
      <c r="A116" s="83" t="s">
        <v>3</v>
      </c>
      <c r="B116" s="64" t="s">
        <v>342</v>
      </c>
      <c r="C116" s="129">
        <f>+C118+C119+C120+C121+C122</f>
        <v>690773</v>
      </c>
      <c r="D116" s="29">
        <f>+D118+D119+D120+D121+D122</f>
        <v>745686</v>
      </c>
      <c r="E116" s="1220">
        <f>+E118+E119+E120+E121+E122</f>
        <v>401997</v>
      </c>
      <c r="F116" s="1061">
        <f>+F118+F119+F120+F121+F122</f>
        <v>744360</v>
      </c>
      <c r="G116" s="1061">
        <f>+G118+G119+G120+G121+G122</f>
        <v>628275</v>
      </c>
      <c r="H116" s="1294">
        <f t="shared" si="2"/>
        <v>0.8440472352087699</v>
      </c>
    </row>
    <row r="117" spans="1:10" s="36" customFormat="1">
      <c r="A117" s="752" t="s">
        <v>340</v>
      </c>
      <c r="B117" s="753" t="s">
        <v>347</v>
      </c>
      <c r="C117" s="981">
        <v>271494</v>
      </c>
      <c r="D117" s="982">
        <v>272137</v>
      </c>
      <c r="E117" s="1232">
        <f>+'1.mell._Össz_Mérleg2020'!C117</f>
        <v>0</v>
      </c>
      <c r="F117" s="1074">
        <f>+'1.mell._Össz_Mérleg2020'!D117</f>
        <v>168804</v>
      </c>
      <c r="G117" s="1074">
        <f>+'1.mell._Össz_Mérleg2020'!E117</f>
        <v>168804</v>
      </c>
      <c r="H117" s="1304">
        <f t="shared" si="2"/>
        <v>1</v>
      </c>
      <c r="J117" s="3"/>
    </row>
    <row r="118" spans="1:10">
      <c r="A118" s="84" t="s">
        <v>61</v>
      </c>
      <c r="B118" s="65" t="s">
        <v>128</v>
      </c>
      <c r="C118" s="398">
        <v>70377</v>
      </c>
      <c r="D118" s="35">
        <v>76493</v>
      </c>
      <c r="E118" s="1221">
        <f>+'1.mell._Össz_Mérleg2020'!C118</f>
        <v>37355</v>
      </c>
      <c r="F118" s="1062">
        <f>+'1.mell._Össz_Mérleg2020'!D118</f>
        <v>98344</v>
      </c>
      <c r="G118" s="1062">
        <f>+'1.mell._Össz_Mérleg2020'!E118</f>
        <v>94481</v>
      </c>
      <c r="H118" s="1295">
        <f t="shared" si="2"/>
        <v>0.96071951517123566</v>
      </c>
      <c r="J118" s="3"/>
    </row>
    <row r="119" spans="1:10">
      <c r="A119" s="85" t="s">
        <v>62</v>
      </c>
      <c r="B119" s="67" t="s">
        <v>129</v>
      </c>
      <c r="C119" s="396">
        <v>24473</v>
      </c>
      <c r="D119" s="16">
        <v>25144</v>
      </c>
      <c r="E119" s="1223">
        <f>+'1.mell._Össz_Mérleg2020'!C119</f>
        <v>27387</v>
      </c>
      <c r="F119" s="1064">
        <f>+'1.mell._Össz_Mérleg2020'!D119</f>
        <v>25316</v>
      </c>
      <c r="G119" s="1064">
        <f>+'1.mell._Össz_Mérleg2020'!E119</f>
        <v>23756</v>
      </c>
      <c r="H119" s="1296">
        <f t="shared" si="2"/>
        <v>0.93837889082003478</v>
      </c>
      <c r="J119" s="3"/>
    </row>
    <row r="120" spans="1:10">
      <c r="A120" s="85" t="s">
        <v>63</v>
      </c>
      <c r="B120" s="67" t="s">
        <v>130</v>
      </c>
      <c r="C120" s="396">
        <v>437818</v>
      </c>
      <c r="D120" s="16">
        <v>430183</v>
      </c>
      <c r="E120" s="1223">
        <f>+'1.mell._Össz_Mérleg2020'!C120</f>
        <v>225919</v>
      </c>
      <c r="F120" s="1064">
        <f>+'1.mell._Össz_Mérleg2020'!D120</f>
        <v>418371</v>
      </c>
      <c r="G120" s="1064">
        <f>+'1.mell._Össz_Mérleg2020'!E120</f>
        <v>340217</v>
      </c>
      <c r="H120" s="1296">
        <f t="shared" si="2"/>
        <v>0.81319450917965153</v>
      </c>
      <c r="J120" s="3"/>
    </row>
    <row r="121" spans="1:10">
      <c r="A121" s="85" t="s">
        <v>64</v>
      </c>
      <c r="B121" s="67" t="s">
        <v>131</v>
      </c>
      <c r="C121" s="396">
        <v>3099</v>
      </c>
      <c r="D121" s="16">
        <v>6254</v>
      </c>
      <c r="E121" s="1223">
        <f>+'1.mell._Össz_Mérleg2020'!C121</f>
        <v>2380</v>
      </c>
      <c r="F121" s="1064">
        <f>+'1.mell._Össz_Mérleg2020'!D121</f>
        <v>7232</v>
      </c>
      <c r="G121" s="1064">
        <f>+'1.mell._Össz_Mérleg2020'!E121</f>
        <v>6998</v>
      </c>
      <c r="H121" s="1296">
        <f t="shared" si="2"/>
        <v>0.96764380530973448</v>
      </c>
      <c r="J121" s="3"/>
    </row>
    <row r="122" spans="1:10" ht="12.75" thickBot="1">
      <c r="A122" s="78" t="s">
        <v>65</v>
      </c>
      <c r="B122" s="68" t="s">
        <v>132</v>
      </c>
      <c r="C122" s="397">
        <v>155006</v>
      </c>
      <c r="D122" s="23">
        <v>207612</v>
      </c>
      <c r="E122" s="1224">
        <f>+'1.mell._Össz_Mérleg2020'!C122</f>
        <v>108956</v>
      </c>
      <c r="F122" s="1065">
        <f>+'1.mell._Össz_Mérleg2020'!D122</f>
        <v>195097</v>
      </c>
      <c r="G122" s="1065">
        <f>+'1.mell._Össz_Mérleg2020'!E122</f>
        <v>162823</v>
      </c>
      <c r="H122" s="1298">
        <f t="shared" si="2"/>
        <v>0.83457459622649244</v>
      </c>
      <c r="J122" s="3"/>
    </row>
    <row r="123" spans="1:10" s="3" customFormat="1" ht="12.75" thickBot="1">
      <c r="A123" s="83" t="s">
        <v>16</v>
      </c>
      <c r="B123" s="64" t="s">
        <v>309</v>
      </c>
      <c r="C123" s="129">
        <f>+C124+C125+C126+C127+C128+C129+C130+C131</f>
        <v>54350</v>
      </c>
      <c r="D123" s="29">
        <f>+D124+D125+D126+D127+D128+D129+D130+D131</f>
        <v>43161</v>
      </c>
      <c r="E123" s="1220">
        <f>+E124+E125+E126+E127+E128+E129+E130+E131</f>
        <v>52779</v>
      </c>
      <c r="F123" s="1061">
        <f>+F124+F125+F126+F127+F128+F129+F130+F131</f>
        <v>48429</v>
      </c>
      <c r="G123" s="1061">
        <f>+G124+G125+G126+G127+G128+G129+G130+G131</f>
        <v>48427</v>
      </c>
      <c r="H123" s="1294">
        <f t="shared" si="2"/>
        <v>0.999958702430362</v>
      </c>
    </row>
    <row r="124" spans="1:10">
      <c r="A124" s="84" t="s">
        <v>226</v>
      </c>
      <c r="B124" s="65" t="s">
        <v>133</v>
      </c>
      <c r="C124" s="398"/>
      <c r="D124" s="35"/>
      <c r="E124" s="1221">
        <f>+'1.mell._Össz_Mérleg2020'!C124</f>
        <v>0</v>
      </c>
      <c r="F124" s="1062">
        <f>+'1.mell._Össz_Mérleg2020'!D124</f>
        <v>0</v>
      </c>
      <c r="G124" s="1062">
        <f>+'1.mell._Össz_Mérleg2020'!E124</f>
        <v>0</v>
      </c>
      <c r="H124" s="1295" t="str">
        <f t="shared" si="2"/>
        <v>-</v>
      </c>
      <c r="J124" s="3"/>
    </row>
    <row r="125" spans="1:10">
      <c r="A125" s="85" t="s">
        <v>227</v>
      </c>
      <c r="B125" s="67" t="s">
        <v>134</v>
      </c>
      <c r="C125" s="396">
        <v>12775</v>
      </c>
      <c r="D125" s="16"/>
      <c r="E125" s="1223">
        <f>+'1.mell._Össz_Mérleg2020'!C125</f>
        <v>0</v>
      </c>
      <c r="F125" s="1064">
        <f>+'1.mell._Össz_Mérleg2020'!D125</f>
        <v>0</v>
      </c>
      <c r="G125" s="1064">
        <f>+'1.mell._Össz_Mérleg2020'!E125</f>
        <v>0</v>
      </c>
      <c r="H125" s="1296" t="str">
        <f t="shared" si="2"/>
        <v>-</v>
      </c>
      <c r="J125" s="3"/>
    </row>
    <row r="126" spans="1:10">
      <c r="A126" s="85" t="s">
        <v>228</v>
      </c>
      <c r="B126" s="67" t="s">
        <v>135</v>
      </c>
      <c r="C126" s="396"/>
      <c r="D126" s="16"/>
      <c r="E126" s="1223">
        <f>+'1.mell._Össz_Mérleg2020'!C126</f>
        <v>0</v>
      </c>
      <c r="F126" s="1064">
        <f>+'1.mell._Össz_Mérleg2020'!D126</f>
        <v>0</v>
      </c>
      <c r="G126" s="1064">
        <f>+'1.mell._Össz_Mérleg2020'!E126</f>
        <v>0</v>
      </c>
      <c r="H126" s="1296" t="str">
        <f t="shared" si="2"/>
        <v>-</v>
      </c>
      <c r="J126" s="3"/>
    </row>
    <row r="127" spans="1:10">
      <c r="A127" s="85" t="s">
        <v>256</v>
      </c>
      <c r="B127" s="67" t="s">
        <v>136</v>
      </c>
      <c r="C127" s="396"/>
      <c r="D127" s="16"/>
      <c r="E127" s="1223">
        <f>+'1.mell._Össz_Mérleg2020'!C127</f>
        <v>2400</v>
      </c>
      <c r="F127" s="1064">
        <f>+'1.mell._Össz_Mérleg2020'!D127</f>
        <v>0</v>
      </c>
      <c r="G127" s="1064">
        <f>+'1.mell._Össz_Mérleg2020'!E127</f>
        <v>0</v>
      </c>
      <c r="H127" s="1296" t="str">
        <f t="shared" si="2"/>
        <v>-</v>
      </c>
      <c r="J127" s="3"/>
    </row>
    <row r="128" spans="1:10">
      <c r="A128" s="85" t="s">
        <v>257</v>
      </c>
      <c r="B128" s="67" t="s">
        <v>137</v>
      </c>
      <c r="C128" s="396"/>
      <c r="D128" s="16"/>
      <c r="E128" s="1223">
        <f>+'1.mell._Össz_Mérleg2020'!C128</f>
        <v>0</v>
      </c>
      <c r="F128" s="1064">
        <f>+'1.mell._Össz_Mérleg2020'!D128</f>
        <v>0</v>
      </c>
      <c r="G128" s="1064">
        <f>+'1.mell._Össz_Mérleg2020'!E128</f>
        <v>0</v>
      </c>
      <c r="H128" s="1296" t="str">
        <f t="shared" si="2"/>
        <v>-</v>
      </c>
      <c r="J128" s="3"/>
    </row>
    <row r="129" spans="1:10">
      <c r="A129" s="85" t="s">
        <v>258</v>
      </c>
      <c r="B129" s="67" t="s">
        <v>138</v>
      </c>
      <c r="C129" s="396"/>
      <c r="D129" s="16"/>
      <c r="E129" s="1223">
        <f>+'1.mell._Össz_Mérleg2020'!C129</f>
        <v>19200</v>
      </c>
      <c r="F129" s="1064">
        <f>+'1.mell._Össz_Mérleg2020'!D129</f>
        <v>0</v>
      </c>
      <c r="G129" s="1064">
        <f>+'1.mell._Össz_Mérleg2020'!E129</f>
        <v>0</v>
      </c>
      <c r="H129" s="1296" t="str">
        <f t="shared" si="2"/>
        <v>-</v>
      </c>
      <c r="J129" s="3"/>
    </row>
    <row r="130" spans="1:10">
      <c r="A130" s="85" t="s">
        <v>259</v>
      </c>
      <c r="B130" s="67" t="s">
        <v>139</v>
      </c>
      <c r="C130" s="396">
        <v>2300</v>
      </c>
      <c r="D130" s="16">
        <v>2461</v>
      </c>
      <c r="E130" s="1223">
        <f>+'1.mell._Össz_Mérleg2020'!C130</f>
        <v>8299</v>
      </c>
      <c r="F130" s="1064">
        <f>+'1.mell._Össz_Mérleg2020'!D130</f>
        <v>2376</v>
      </c>
      <c r="G130" s="1064">
        <f>+'1.mell._Össz_Mérleg2020'!E130</f>
        <v>2376</v>
      </c>
      <c r="H130" s="1296">
        <f t="shared" si="2"/>
        <v>1</v>
      </c>
      <c r="J130" s="3"/>
    </row>
    <row r="131" spans="1:10" ht="12.75" thickBot="1">
      <c r="A131" s="78" t="s">
        <v>260</v>
      </c>
      <c r="B131" s="68" t="s">
        <v>140</v>
      </c>
      <c r="C131" s="397">
        <v>39275</v>
      </c>
      <c r="D131" s="23">
        <v>40700</v>
      </c>
      <c r="E131" s="1224">
        <f>+'1.mell._Össz_Mérleg2020'!C131</f>
        <v>22880</v>
      </c>
      <c r="F131" s="1065">
        <f>+'1.mell._Össz_Mérleg2020'!D131</f>
        <v>46053</v>
      </c>
      <c r="G131" s="1065">
        <f>+'1.mell._Össz_Mérleg2020'!E131</f>
        <v>46051</v>
      </c>
      <c r="H131" s="1298">
        <f t="shared" si="2"/>
        <v>0.99995657177599717</v>
      </c>
      <c r="J131" s="3"/>
    </row>
    <row r="132" spans="1:10" s="3" customFormat="1" ht="12.75" thickBot="1">
      <c r="A132" s="83" t="s">
        <v>15</v>
      </c>
      <c r="B132" s="64" t="s">
        <v>919</v>
      </c>
      <c r="C132" s="129">
        <f>+C133+C134+C135+C136+C137+C138+C140+C141+C142+C143+C144+C145+C146</f>
        <v>68830</v>
      </c>
      <c r="D132" s="29">
        <f>+D133+D134+D135+D136+D137+D138+D140+D141+D142+D143+D144+D145+D146</f>
        <v>89359</v>
      </c>
      <c r="E132" s="1220">
        <f>+E133+E134+E135+E136+E137+E138+E140+E141+E142+E143+E144+E145+E146</f>
        <v>2717621</v>
      </c>
      <c r="F132" s="1061">
        <f>+F133+F134+F135+F136+F137+F138+F140+F141+F142+F143+F144+F145+F146</f>
        <v>2424341</v>
      </c>
      <c r="G132" s="1061">
        <f>+G133+G134+G135+G136+G137+G138+G140+G141+G142+G143+G144+G145+G146</f>
        <v>97668</v>
      </c>
      <c r="H132" s="1294">
        <f t="shared" si="2"/>
        <v>4.0286411853777994E-2</v>
      </c>
    </row>
    <row r="133" spans="1:10">
      <c r="A133" s="84" t="s">
        <v>87</v>
      </c>
      <c r="B133" s="65" t="s">
        <v>141</v>
      </c>
      <c r="C133" s="398"/>
      <c r="D133" s="35"/>
      <c r="E133" s="1221">
        <f>+'1.mell._Össz_Mérleg2020'!C133</f>
        <v>0</v>
      </c>
      <c r="F133" s="1062">
        <f>+'1.mell._Össz_Mérleg2020'!D133</f>
        <v>0</v>
      </c>
      <c r="G133" s="1062">
        <f>+'1.mell._Össz_Mérleg2020'!E133</f>
        <v>0</v>
      </c>
      <c r="H133" s="1295" t="str">
        <f t="shared" si="2"/>
        <v>-</v>
      </c>
      <c r="J133" s="3"/>
    </row>
    <row r="134" spans="1:10">
      <c r="A134" s="85" t="s">
        <v>88</v>
      </c>
      <c r="B134" s="67" t="s">
        <v>142</v>
      </c>
      <c r="C134" s="396">
        <v>4931</v>
      </c>
      <c r="D134" s="16">
        <f>10258-1</f>
        <v>10257</v>
      </c>
      <c r="E134" s="1223">
        <f>+'1.mell._Össz_Mérleg2020'!C134</f>
        <v>9014</v>
      </c>
      <c r="F134" s="1064">
        <f>+'1.mell._Össz_Mérleg2020'!D134</f>
        <v>7687</v>
      </c>
      <c r="G134" s="1064">
        <f>+'1.mell._Össz_Mérleg2020'!E134</f>
        <v>7687</v>
      </c>
      <c r="H134" s="1296">
        <f t="shared" si="2"/>
        <v>1</v>
      </c>
      <c r="J134" s="3"/>
    </row>
    <row r="135" spans="1:10">
      <c r="A135" s="85" t="s">
        <v>181</v>
      </c>
      <c r="B135" s="67" t="s">
        <v>143</v>
      </c>
      <c r="C135" s="396"/>
      <c r="D135" s="16"/>
      <c r="E135" s="1223">
        <f>+'1.mell._Össz_Mérleg2020'!C135</f>
        <v>0</v>
      </c>
      <c r="F135" s="1064">
        <f>+'1.mell._Össz_Mérleg2020'!D135</f>
        <v>0</v>
      </c>
      <c r="G135" s="1064">
        <f>+'1.mell._Össz_Mérleg2020'!E135</f>
        <v>0</v>
      </c>
      <c r="H135" s="1296" t="str">
        <f t="shared" si="2"/>
        <v>-</v>
      </c>
      <c r="J135" s="3"/>
    </row>
    <row r="136" spans="1:10">
      <c r="A136" s="85" t="s">
        <v>182</v>
      </c>
      <c r="B136" s="67" t="s">
        <v>144</v>
      </c>
      <c r="C136" s="396"/>
      <c r="D136" s="16"/>
      <c r="E136" s="1223">
        <f>+'1.mell._Össz_Mérleg2020'!C136</f>
        <v>0</v>
      </c>
      <c r="F136" s="1064">
        <f>+'1.mell._Össz_Mérleg2020'!D136</f>
        <v>0</v>
      </c>
      <c r="G136" s="1064">
        <f>+'1.mell._Össz_Mérleg2020'!E136</f>
        <v>0</v>
      </c>
      <c r="H136" s="1296" t="str">
        <f t="shared" si="2"/>
        <v>-</v>
      </c>
      <c r="J136" s="3"/>
    </row>
    <row r="137" spans="1:10">
      <c r="A137" s="85" t="s">
        <v>183</v>
      </c>
      <c r="B137" s="67" t="s">
        <v>145</v>
      </c>
      <c r="C137" s="396"/>
      <c r="D137" s="16"/>
      <c r="E137" s="1223">
        <f>+'1.mell._Össz_Mérleg2020'!C137</f>
        <v>0</v>
      </c>
      <c r="F137" s="1064">
        <f>+'1.mell._Össz_Mérleg2020'!D137</f>
        <v>0</v>
      </c>
      <c r="G137" s="1064">
        <f>+'1.mell._Össz_Mérleg2020'!E137</f>
        <v>0</v>
      </c>
      <c r="H137" s="1296" t="str">
        <f t="shared" si="2"/>
        <v>-</v>
      </c>
      <c r="J137" s="3"/>
    </row>
    <row r="138" spans="1:10">
      <c r="A138" s="85" t="s">
        <v>261</v>
      </c>
      <c r="B138" s="67" t="s">
        <v>146</v>
      </c>
      <c r="C138" s="396">
        <v>10526</v>
      </c>
      <c r="D138" s="16">
        <v>17991</v>
      </c>
      <c r="E138" s="1223">
        <f>+'1.mell._Össz_Mérleg2020'!C138</f>
        <v>9332</v>
      </c>
      <c r="F138" s="1064">
        <f>+'1.mell._Össz_Mérleg2020'!D138</f>
        <v>10925</v>
      </c>
      <c r="G138" s="1064">
        <f>+'1.mell._Össz_Mérleg2020'!E138</f>
        <v>9479</v>
      </c>
      <c r="H138" s="1296">
        <f t="shared" si="2"/>
        <v>0.86764302059496567</v>
      </c>
      <c r="J138" s="3"/>
    </row>
    <row r="139" spans="1:10" s="13" customFormat="1">
      <c r="A139" s="89" t="s">
        <v>335</v>
      </c>
      <c r="B139" s="751" t="s">
        <v>925</v>
      </c>
      <c r="C139" s="977">
        <v>2720</v>
      </c>
      <c r="D139" s="978">
        <v>8300</v>
      </c>
      <c r="E139" s="1225">
        <f>+'1.mell._Össz_Mérleg2020'!C139</f>
        <v>0</v>
      </c>
      <c r="F139" s="1066">
        <f>+'1.mell._Össz_Mérleg2020'!D139</f>
        <v>10234</v>
      </c>
      <c r="G139" s="1066">
        <f>+'1.mell._Össz_Mérleg2020'!E139</f>
        <v>10234</v>
      </c>
      <c r="H139" s="1298">
        <f t="shared" si="2"/>
        <v>1</v>
      </c>
      <c r="J139" s="3"/>
    </row>
    <row r="140" spans="1:10">
      <c r="A140" s="85" t="s">
        <v>262</v>
      </c>
      <c r="B140" s="67" t="s">
        <v>147</v>
      </c>
      <c r="C140" s="396"/>
      <c r="D140" s="16"/>
      <c r="E140" s="1223">
        <f>+'1.mell._Össz_Mérleg2020'!C140</f>
        <v>0</v>
      </c>
      <c r="F140" s="1064">
        <f>+'1.mell._Össz_Mérleg2020'!D140</f>
        <v>0</v>
      </c>
      <c r="G140" s="1064">
        <f>+'1.mell._Össz_Mérleg2020'!E140</f>
        <v>0</v>
      </c>
      <c r="H140" s="1296" t="str">
        <f t="shared" si="2"/>
        <v>-</v>
      </c>
      <c r="J140" s="3"/>
    </row>
    <row r="141" spans="1:10">
      <c r="A141" s="85" t="s">
        <v>263</v>
      </c>
      <c r="B141" s="67" t="s">
        <v>148</v>
      </c>
      <c r="C141" s="396">
        <v>9401</v>
      </c>
      <c r="D141" s="16">
        <v>8814</v>
      </c>
      <c r="E141" s="1223">
        <f>+'1.mell._Össz_Mérleg2020'!C141</f>
        <v>0</v>
      </c>
      <c r="F141" s="1064">
        <f>+'1.mell._Össz_Mérleg2020'!D141</f>
        <v>10850</v>
      </c>
      <c r="G141" s="1064">
        <f>+'1.mell._Össz_Mérleg2020'!E141</f>
        <v>10850</v>
      </c>
      <c r="H141" s="1296">
        <f t="shared" si="2"/>
        <v>1</v>
      </c>
      <c r="J141" s="3"/>
    </row>
    <row r="142" spans="1:10">
      <c r="A142" s="85" t="s">
        <v>264</v>
      </c>
      <c r="B142" s="67" t="s">
        <v>149</v>
      </c>
      <c r="C142" s="396"/>
      <c r="D142" s="16"/>
      <c r="E142" s="1223">
        <f>+'1.mell._Össz_Mérleg2020'!C142</f>
        <v>0</v>
      </c>
      <c r="F142" s="1064">
        <f>+'1.mell._Össz_Mérleg2020'!D142</f>
        <v>0</v>
      </c>
      <c r="G142" s="1064">
        <f>+'1.mell._Össz_Mérleg2020'!E142</f>
        <v>0</v>
      </c>
      <c r="H142" s="1296" t="str">
        <f t="shared" si="2"/>
        <v>-</v>
      </c>
      <c r="J142" s="3"/>
    </row>
    <row r="143" spans="1:10">
      <c r="A143" s="85" t="s">
        <v>265</v>
      </c>
      <c r="B143" s="67" t="s">
        <v>150</v>
      </c>
      <c r="C143" s="396"/>
      <c r="D143" s="16"/>
      <c r="E143" s="1223">
        <f>+'1.mell._Össz_Mérleg2020'!C143</f>
        <v>0</v>
      </c>
      <c r="F143" s="1064">
        <f>+'1.mell._Össz_Mérleg2020'!D143</f>
        <v>0</v>
      </c>
      <c r="G143" s="1064">
        <f>+'1.mell._Össz_Mérleg2020'!E143</f>
        <v>0</v>
      </c>
      <c r="H143" s="1296" t="str">
        <f t="shared" si="2"/>
        <v>-</v>
      </c>
      <c r="J143" s="3"/>
    </row>
    <row r="144" spans="1:10">
      <c r="A144" s="85" t="s">
        <v>266</v>
      </c>
      <c r="B144" s="67" t="s">
        <v>920</v>
      </c>
      <c r="C144" s="396"/>
      <c r="D144" s="16"/>
      <c r="E144" s="1223">
        <f>+'1.mell._Össz_Mérleg2020'!C144</f>
        <v>0</v>
      </c>
      <c r="F144" s="1064">
        <f>+'1.mell._Össz_Mérleg2020'!D144</f>
        <v>0</v>
      </c>
      <c r="G144" s="1064">
        <f>+'1.mell._Össz_Mérleg2020'!E144</f>
        <v>0</v>
      </c>
      <c r="H144" s="1296" t="str">
        <f t="shared" si="2"/>
        <v>-</v>
      </c>
      <c r="J144" s="3"/>
    </row>
    <row r="145" spans="1:10">
      <c r="A145" s="85" t="s">
        <v>267</v>
      </c>
      <c r="B145" s="67" t="s">
        <v>921</v>
      </c>
      <c r="C145" s="396">
        <v>43972</v>
      </c>
      <c r="D145" s="16">
        <v>52297</v>
      </c>
      <c r="E145" s="1223">
        <f>+'1.mell._Össz_Mérleg2020'!C145</f>
        <v>51350</v>
      </c>
      <c r="F145" s="1064">
        <f>+'1.mell._Össz_Mérleg2020'!D145</f>
        <v>70796</v>
      </c>
      <c r="G145" s="1064">
        <f>+'1.mell._Össz_Mérleg2020'!E145</f>
        <v>69652</v>
      </c>
      <c r="H145" s="1296">
        <f t="shared" si="2"/>
        <v>0.98384089496581728</v>
      </c>
      <c r="J145" s="3"/>
    </row>
    <row r="146" spans="1:10">
      <c r="A146" s="78" t="s">
        <v>916</v>
      </c>
      <c r="B146" s="68" t="s">
        <v>922</v>
      </c>
      <c r="C146" s="397">
        <f>+C147+C148</f>
        <v>0</v>
      </c>
      <c r="D146" s="23">
        <f>+D147+D148</f>
        <v>0</v>
      </c>
      <c r="E146" s="1224">
        <f>+E147+E148</f>
        <v>2647925</v>
      </c>
      <c r="F146" s="1065">
        <f>+F147+F148</f>
        <v>2324083</v>
      </c>
      <c r="G146" s="1065">
        <f>+G147+G148</f>
        <v>0</v>
      </c>
      <c r="H146" s="1298">
        <f t="shared" si="2"/>
        <v>0</v>
      </c>
      <c r="J146" s="3"/>
    </row>
    <row r="147" spans="1:10" s="13" customFormat="1">
      <c r="A147" s="89" t="s">
        <v>917</v>
      </c>
      <c r="B147" s="74" t="s">
        <v>923</v>
      </c>
      <c r="C147" s="395"/>
      <c r="D147" s="44"/>
      <c r="E147" s="1225">
        <f>+'1.mell._Össz_Mérleg2020'!C147</f>
        <v>15000</v>
      </c>
      <c r="F147" s="1066">
        <f>+'1.mell._Össz_Mérleg2020'!D147</f>
        <v>2324083</v>
      </c>
      <c r="G147" s="1066">
        <f>+'1.mell._Össz_Mérleg2020'!E147</f>
        <v>0</v>
      </c>
      <c r="H147" s="1298">
        <f t="shared" si="2"/>
        <v>0</v>
      </c>
      <c r="J147" s="3"/>
    </row>
    <row r="148" spans="1:10" s="13" customFormat="1" ht="12.75" thickBot="1">
      <c r="A148" s="89" t="s">
        <v>918</v>
      </c>
      <c r="B148" s="74" t="s">
        <v>924</v>
      </c>
      <c r="C148" s="395"/>
      <c r="D148" s="44"/>
      <c r="E148" s="1225">
        <f>+'1.mell._Össz_Mérleg2020'!C148</f>
        <v>2632925</v>
      </c>
      <c r="F148" s="1066">
        <f>+'1.mell._Össz_Mérleg2020'!D148</f>
        <v>0</v>
      </c>
      <c r="G148" s="1066">
        <f>+'1.mell._Össz_Mérleg2020'!E148</f>
        <v>0</v>
      </c>
      <c r="H148" s="1298" t="str">
        <f t="shared" si="2"/>
        <v>-</v>
      </c>
      <c r="J148" s="3"/>
    </row>
    <row r="149" spans="1:10" s="3" customFormat="1" ht="12.75" thickBot="1">
      <c r="A149" s="83" t="s">
        <v>14</v>
      </c>
      <c r="B149" s="69" t="s">
        <v>310</v>
      </c>
      <c r="C149" s="129">
        <f>+C150+C159+C165</f>
        <v>706531</v>
      </c>
      <c r="D149" s="29">
        <f>+D150+D159+D165</f>
        <v>1068830</v>
      </c>
      <c r="E149" s="1220">
        <f>+E150+E159+E165</f>
        <v>503980</v>
      </c>
      <c r="F149" s="1061">
        <f>+F150+F159+F165</f>
        <v>1347672</v>
      </c>
      <c r="G149" s="1061">
        <f>+G150+G159+G165</f>
        <v>1207455</v>
      </c>
      <c r="H149" s="1294">
        <f t="shared" si="2"/>
        <v>0.89595613769522553</v>
      </c>
    </row>
    <row r="150" spans="1:10" s="3" customFormat="1" ht="12.75" thickBot="1">
      <c r="A150" s="83" t="s">
        <v>13</v>
      </c>
      <c r="B150" s="64" t="s">
        <v>311</v>
      </c>
      <c r="C150" s="129">
        <f>+C152+C153+C154+C155+C156+C157+C158</f>
        <v>476531</v>
      </c>
      <c r="D150" s="29">
        <f>+D152+D153+D154+D155+D156+D157+D158</f>
        <v>816299</v>
      </c>
      <c r="E150" s="1220">
        <f>+E152+E153+E154+E155+E156+E157+E158</f>
        <v>436722</v>
      </c>
      <c r="F150" s="1061">
        <f>+F152+F153+F154+F155+F156+F157+F158</f>
        <v>807961</v>
      </c>
      <c r="G150" s="1061">
        <f>+G152+G153+G154+G155+G156+G157+G158</f>
        <v>704564</v>
      </c>
      <c r="H150" s="1294">
        <f t="shared" si="2"/>
        <v>0.87202723893851308</v>
      </c>
    </row>
    <row r="151" spans="1:10" s="36" customFormat="1">
      <c r="A151" s="752" t="s">
        <v>926</v>
      </c>
      <c r="B151" s="753" t="s">
        <v>341</v>
      </c>
      <c r="C151" s="981">
        <v>377145</v>
      </c>
      <c r="D151" s="982">
        <v>687310</v>
      </c>
      <c r="E151" s="1232">
        <f>+'1.mell._Össz_Mérleg2020'!C151</f>
        <v>0</v>
      </c>
      <c r="F151" s="1074">
        <f>+'1.mell._Össz_Mérleg2020'!D151</f>
        <v>513829</v>
      </c>
      <c r="G151" s="1074">
        <f>+'1.mell._Össz_Mérleg2020'!E151</f>
        <v>513829</v>
      </c>
      <c r="H151" s="1304">
        <f t="shared" si="2"/>
        <v>1</v>
      </c>
      <c r="J151" s="3"/>
    </row>
    <row r="152" spans="1:10">
      <c r="A152" s="84" t="s">
        <v>66</v>
      </c>
      <c r="B152" s="65" t="s">
        <v>151</v>
      </c>
      <c r="C152" s="398">
        <v>1102</v>
      </c>
      <c r="D152" s="35">
        <v>265</v>
      </c>
      <c r="E152" s="1221">
        <f>+'1.mell._Össz_Mérleg2020'!C152</f>
        <v>11811</v>
      </c>
      <c r="F152" s="1062">
        <f>+'1.mell._Össz_Mérleg2020'!D152</f>
        <v>1043</v>
      </c>
      <c r="G152" s="1062">
        <f>+'1.mell._Össz_Mérleg2020'!E152</f>
        <v>1043</v>
      </c>
      <c r="H152" s="1295">
        <f t="shared" si="2"/>
        <v>1</v>
      </c>
      <c r="J152" s="3"/>
    </row>
    <row r="153" spans="1:10">
      <c r="A153" s="85" t="s">
        <v>67</v>
      </c>
      <c r="B153" s="67" t="s">
        <v>152</v>
      </c>
      <c r="C153" s="396">
        <v>312152</v>
      </c>
      <c r="D153" s="16">
        <v>753532</v>
      </c>
      <c r="E153" s="1223">
        <f>+'1.mell._Össz_Mérleg2020'!C153</f>
        <v>328543</v>
      </c>
      <c r="F153" s="1064">
        <f>+'1.mell._Össz_Mérleg2020'!D153</f>
        <v>680108</v>
      </c>
      <c r="G153" s="1064">
        <f>+'1.mell._Össz_Mérleg2020'!E153</f>
        <v>583319</v>
      </c>
      <c r="H153" s="1296">
        <f t="shared" si="2"/>
        <v>0.85768583813159083</v>
      </c>
      <c r="J153" s="3"/>
    </row>
    <row r="154" spans="1:10">
      <c r="A154" s="85" t="s">
        <v>68</v>
      </c>
      <c r="B154" s="67" t="s">
        <v>153</v>
      </c>
      <c r="C154" s="396">
        <v>19415</v>
      </c>
      <c r="D154" s="16">
        <v>3390</v>
      </c>
      <c r="E154" s="1223">
        <f>+'1.mell._Össz_Mérleg2020'!C154</f>
        <v>3700</v>
      </c>
      <c r="F154" s="1064">
        <f>+'1.mell._Össz_Mérleg2020'!D154</f>
        <v>1356</v>
      </c>
      <c r="G154" s="1064">
        <f>+'1.mell._Össz_Mérleg2020'!E154</f>
        <v>1356</v>
      </c>
      <c r="H154" s="1296">
        <f t="shared" si="2"/>
        <v>1</v>
      </c>
      <c r="J154" s="3"/>
    </row>
    <row r="155" spans="1:10">
      <c r="A155" s="85" t="s">
        <v>229</v>
      </c>
      <c r="B155" s="67" t="s">
        <v>154</v>
      </c>
      <c r="C155" s="396">
        <v>55680</v>
      </c>
      <c r="D155" s="16">
        <v>40252</v>
      </c>
      <c r="E155" s="1223">
        <f>+'1.mell._Össz_Mérleg2020'!C155</f>
        <v>10449</v>
      </c>
      <c r="F155" s="1064">
        <f>+'1.mell._Össz_Mérleg2020'!D155</f>
        <v>72602</v>
      </c>
      <c r="G155" s="1064">
        <f>+'1.mell._Össz_Mérleg2020'!E155</f>
        <v>70275</v>
      </c>
      <c r="H155" s="1296">
        <f t="shared" si="2"/>
        <v>0.96794854136249686</v>
      </c>
      <c r="J155" s="3"/>
    </row>
    <row r="156" spans="1:10">
      <c r="A156" s="85" t="s">
        <v>230</v>
      </c>
      <c r="B156" s="67" t="s">
        <v>155</v>
      </c>
      <c r="C156" s="396">
        <v>5000</v>
      </c>
      <c r="D156" s="16"/>
      <c r="E156" s="1223">
        <f>+'1.mell._Össz_Mérleg2020'!C156</f>
        <v>0</v>
      </c>
      <c r="F156" s="1064">
        <f>+'1.mell._Össz_Mérleg2020'!D156</f>
        <v>6000</v>
      </c>
      <c r="G156" s="1064">
        <f>+'1.mell._Össz_Mérleg2020'!E156</f>
        <v>6000</v>
      </c>
      <c r="H156" s="1296">
        <f t="shared" si="2"/>
        <v>1</v>
      </c>
      <c r="J156" s="3"/>
    </row>
    <row r="157" spans="1:10">
      <c r="A157" s="85" t="s">
        <v>268</v>
      </c>
      <c r="B157" s="67" t="s">
        <v>156</v>
      </c>
      <c r="C157" s="396">
        <v>0</v>
      </c>
      <c r="D157" s="16"/>
      <c r="E157" s="1223">
        <f>+'1.mell._Össz_Mérleg2020'!C157</f>
        <v>0</v>
      </c>
      <c r="F157" s="1064">
        <f>+'1.mell._Össz_Mérleg2020'!D157</f>
        <v>0</v>
      </c>
      <c r="G157" s="1064">
        <f>+'1.mell._Össz_Mérleg2020'!E157</f>
        <v>0</v>
      </c>
      <c r="H157" s="1296" t="str">
        <f t="shared" si="2"/>
        <v>-</v>
      </c>
      <c r="J157" s="3"/>
    </row>
    <row r="158" spans="1:10" ht="12.75" thickBot="1">
      <c r="A158" s="78" t="s">
        <v>269</v>
      </c>
      <c r="B158" s="68" t="s">
        <v>157</v>
      </c>
      <c r="C158" s="397">
        <v>83182</v>
      </c>
      <c r="D158" s="23">
        <v>18860</v>
      </c>
      <c r="E158" s="1224">
        <f>+'1.mell._Össz_Mérleg2020'!C158</f>
        <v>82219</v>
      </c>
      <c r="F158" s="1065">
        <f>+'1.mell._Össz_Mérleg2020'!D158</f>
        <v>46852</v>
      </c>
      <c r="G158" s="1065">
        <f>+'1.mell._Össz_Mérleg2020'!E158</f>
        <v>42571</v>
      </c>
      <c r="H158" s="1298">
        <f t="shared" si="2"/>
        <v>0.9086271663963118</v>
      </c>
      <c r="J158" s="3"/>
    </row>
    <row r="159" spans="1:10" s="3" customFormat="1" ht="12.75" thickBot="1">
      <c r="A159" s="83" t="s">
        <v>12</v>
      </c>
      <c r="B159" s="64" t="s">
        <v>312</v>
      </c>
      <c r="C159" s="129">
        <f>+C161+C162+C163+C164</f>
        <v>228800</v>
      </c>
      <c r="D159" s="29">
        <f>+D161+D162+D163+D164</f>
        <v>252513</v>
      </c>
      <c r="E159" s="1220">
        <f>+E161+E162+E163+E164</f>
        <v>67258</v>
      </c>
      <c r="F159" s="1061">
        <f>+F161+F162+F163+F164</f>
        <v>539711</v>
      </c>
      <c r="G159" s="1061">
        <f>+G161+G162+G163+G164</f>
        <v>502891</v>
      </c>
      <c r="H159" s="1294">
        <f t="shared" si="2"/>
        <v>0.93177830357357916</v>
      </c>
    </row>
    <row r="160" spans="1:10" s="36" customFormat="1">
      <c r="A160" s="752" t="s">
        <v>343</v>
      </c>
      <c r="B160" s="753" t="s">
        <v>344</v>
      </c>
      <c r="C160" s="981">
        <v>212673</v>
      </c>
      <c r="D160" s="982">
        <v>187057</v>
      </c>
      <c r="E160" s="1232">
        <f>+'1.mell._Össz_Mérleg2020'!C160</f>
        <v>0</v>
      </c>
      <c r="F160" s="1074">
        <f>+'1.mell._Össz_Mérleg2020'!D160</f>
        <v>423059</v>
      </c>
      <c r="G160" s="1074">
        <f>+'1.mell._Össz_Mérleg2020'!E160</f>
        <v>423059</v>
      </c>
      <c r="H160" s="1304">
        <f t="shared" si="2"/>
        <v>1</v>
      </c>
      <c r="J160" s="3"/>
    </row>
    <row r="161" spans="1:10">
      <c r="A161" s="84" t="s">
        <v>69</v>
      </c>
      <c r="B161" s="65" t="s">
        <v>158</v>
      </c>
      <c r="C161" s="398">
        <v>178158</v>
      </c>
      <c r="D161" s="35">
        <v>208582</v>
      </c>
      <c r="E161" s="1221">
        <f>+'1.mell._Össz_Mérleg2020'!C161</f>
        <v>52959</v>
      </c>
      <c r="F161" s="1062">
        <f>+'1.mell._Össz_Mérleg2020'!D161</f>
        <v>461033</v>
      </c>
      <c r="G161" s="1062">
        <f>+'1.mell._Össz_Mérleg2020'!E161</f>
        <v>424692</v>
      </c>
      <c r="H161" s="1295">
        <f t="shared" si="2"/>
        <v>0.92117483997891692</v>
      </c>
      <c r="J161" s="3"/>
    </row>
    <row r="162" spans="1:10">
      <c r="A162" s="85" t="s">
        <v>70</v>
      </c>
      <c r="B162" s="67" t="s">
        <v>159</v>
      </c>
      <c r="C162" s="396">
        <v>0</v>
      </c>
      <c r="D162" s="16"/>
      <c r="E162" s="1223">
        <f>+'1.mell._Össz_Mérleg2020'!C162</f>
        <v>0</v>
      </c>
      <c r="F162" s="1064">
        <f>+'1.mell._Össz_Mérleg2020'!D162</f>
        <v>0</v>
      </c>
      <c r="G162" s="1064">
        <f>+'1.mell._Össz_Mérleg2020'!E162</f>
        <v>0</v>
      </c>
      <c r="H162" s="1296" t="str">
        <f t="shared" si="2"/>
        <v>-</v>
      </c>
      <c r="J162" s="3"/>
    </row>
    <row r="163" spans="1:10">
      <c r="A163" s="85" t="s">
        <v>71</v>
      </c>
      <c r="B163" s="67" t="s">
        <v>160</v>
      </c>
      <c r="C163" s="396">
        <v>2109</v>
      </c>
      <c r="D163" s="16"/>
      <c r="E163" s="1223">
        <f>+'1.mell._Össz_Mérleg2020'!C163</f>
        <v>0</v>
      </c>
      <c r="F163" s="1064">
        <f>+'1.mell._Össz_Mérleg2020'!D163</f>
        <v>0</v>
      </c>
      <c r="G163" s="1064">
        <f>+'1.mell._Össz_Mérleg2020'!E163</f>
        <v>0</v>
      </c>
      <c r="H163" s="1296" t="str">
        <f t="shared" si="2"/>
        <v>-</v>
      </c>
      <c r="J163" s="3"/>
    </row>
    <row r="164" spans="1:10" ht="12.75" thickBot="1">
      <c r="A164" s="78" t="s">
        <v>72</v>
      </c>
      <c r="B164" s="68" t="s">
        <v>161</v>
      </c>
      <c r="C164" s="397">
        <v>48533</v>
      </c>
      <c r="D164" s="23">
        <v>43931</v>
      </c>
      <c r="E164" s="1224">
        <f>+'1.mell._Össz_Mérleg2020'!C164</f>
        <v>14299</v>
      </c>
      <c r="F164" s="1065">
        <f>+'1.mell._Össz_Mérleg2020'!D164</f>
        <v>78678</v>
      </c>
      <c r="G164" s="1065">
        <f>+'1.mell._Össz_Mérleg2020'!E164</f>
        <v>78199</v>
      </c>
      <c r="H164" s="1298">
        <f t="shared" si="2"/>
        <v>0.99391189404916236</v>
      </c>
      <c r="J164" s="3"/>
    </row>
    <row r="165" spans="1:10" s="3" customFormat="1" ht="12.75" thickBot="1">
      <c r="A165" s="83" t="s">
        <v>11</v>
      </c>
      <c r="B165" s="64" t="s">
        <v>928</v>
      </c>
      <c r="C165" s="129">
        <f>+C166+C167+C168+C169+C171+C172+C173+C174+C175</f>
        <v>1200</v>
      </c>
      <c r="D165" s="29">
        <f>+D166+D167+D168+D169+D171+D172+D173+D174+D175</f>
        <v>18</v>
      </c>
      <c r="E165" s="1220">
        <f>+E166+E167+E168+E169+E171+E172+E173+E174+E175</f>
        <v>0</v>
      </c>
      <c r="F165" s="1061">
        <f>+F166+F167+F168+F169+F171+F172+F173+F174+F175</f>
        <v>0</v>
      </c>
      <c r="G165" s="1061">
        <f>+G166+G167+G168+G169+G171+G172+G173+G174+G175</f>
        <v>0</v>
      </c>
      <c r="H165" s="1294" t="str">
        <f t="shared" si="2"/>
        <v>-</v>
      </c>
    </row>
    <row r="166" spans="1:10">
      <c r="A166" s="84" t="s">
        <v>270</v>
      </c>
      <c r="B166" s="65" t="s">
        <v>162</v>
      </c>
      <c r="C166" s="398"/>
      <c r="D166" s="35"/>
      <c r="E166" s="1221">
        <f>+'1.mell._Össz_Mérleg2020'!C166</f>
        <v>0</v>
      </c>
      <c r="F166" s="1062">
        <f>+'1.mell._Össz_Mérleg2020'!D166</f>
        <v>0</v>
      </c>
      <c r="G166" s="1062">
        <f>+'1.mell._Össz_Mérleg2020'!E166</f>
        <v>0</v>
      </c>
      <c r="H166" s="1295" t="str">
        <f t="shared" si="2"/>
        <v>-</v>
      </c>
      <c r="J166" s="3"/>
    </row>
    <row r="167" spans="1:10">
      <c r="A167" s="85" t="s">
        <v>271</v>
      </c>
      <c r="B167" s="67" t="s">
        <v>163</v>
      </c>
      <c r="C167" s="396"/>
      <c r="D167" s="16"/>
      <c r="E167" s="1223">
        <f>+'1.mell._Össz_Mérleg2020'!C167</f>
        <v>0</v>
      </c>
      <c r="F167" s="1064">
        <f>+'1.mell._Össz_Mérleg2020'!D167</f>
        <v>0</v>
      </c>
      <c r="G167" s="1064">
        <f>+'1.mell._Össz_Mérleg2020'!E167</f>
        <v>0</v>
      </c>
      <c r="H167" s="1296" t="str">
        <f t="shared" si="2"/>
        <v>-</v>
      </c>
      <c r="J167" s="3"/>
    </row>
    <row r="168" spans="1:10">
      <c r="A168" s="85" t="s">
        <v>272</v>
      </c>
      <c r="B168" s="67" t="s">
        <v>164</v>
      </c>
      <c r="C168" s="396"/>
      <c r="D168" s="16"/>
      <c r="E168" s="1223">
        <f>+'1.mell._Össz_Mérleg2020'!C168</f>
        <v>0</v>
      </c>
      <c r="F168" s="1064">
        <f>+'1.mell._Össz_Mérleg2020'!D168</f>
        <v>0</v>
      </c>
      <c r="G168" s="1064">
        <f>+'1.mell._Össz_Mérleg2020'!E168</f>
        <v>0</v>
      </c>
      <c r="H168" s="1296" t="str">
        <f t="shared" si="2"/>
        <v>-</v>
      </c>
      <c r="J168" s="3"/>
    </row>
    <row r="169" spans="1:10">
      <c r="A169" s="85" t="s">
        <v>273</v>
      </c>
      <c r="B169" s="67" t="s">
        <v>165</v>
      </c>
      <c r="C169" s="396">
        <v>1200</v>
      </c>
      <c r="D169" s="16"/>
      <c r="E169" s="1223">
        <f>+'1.mell._Össz_Mérleg2020'!C169</f>
        <v>0</v>
      </c>
      <c r="F169" s="1064">
        <f>+'1.mell._Össz_Mérleg2020'!D169</f>
        <v>0</v>
      </c>
      <c r="G169" s="1064">
        <f>+'1.mell._Össz_Mérleg2020'!E169</f>
        <v>0</v>
      </c>
      <c r="H169" s="1296" t="str">
        <f t="shared" si="2"/>
        <v>-</v>
      </c>
      <c r="J169" s="3"/>
    </row>
    <row r="170" spans="1:10" s="13" customFormat="1">
      <c r="A170" s="89" t="s">
        <v>338</v>
      </c>
      <c r="B170" s="751" t="s">
        <v>339</v>
      </c>
      <c r="C170" s="395"/>
      <c r="D170" s="44"/>
      <c r="E170" s="1225">
        <f>+'1.mell._Össz_Mérleg2020'!C170</f>
        <v>0</v>
      </c>
      <c r="F170" s="1066">
        <f>+'1.mell._Össz_Mérleg2020'!D170</f>
        <v>0</v>
      </c>
      <c r="G170" s="1066">
        <f>+'1.mell._Össz_Mérleg2020'!E170</f>
        <v>0</v>
      </c>
      <c r="H170" s="1298" t="str">
        <f t="shared" si="2"/>
        <v>-</v>
      </c>
      <c r="J170" s="3"/>
    </row>
    <row r="171" spans="1:10">
      <c r="A171" s="85" t="s">
        <v>274</v>
      </c>
      <c r="B171" s="67" t="s">
        <v>166</v>
      </c>
      <c r="C171" s="396"/>
      <c r="D171" s="16"/>
      <c r="E171" s="1223">
        <f>+'1.mell._Össz_Mérleg2020'!C171</f>
        <v>0</v>
      </c>
      <c r="F171" s="1064">
        <f>+'1.mell._Össz_Mérleg2020'!D171</f>
        <v>0</v>
      </c>
      <c r="G171" s="1064">
        <f>+'1.mell._Össz_Mérleg2020'!E171</f>
        <v>0</v>
      </c>
      <c r="H171" s="1296" t="str">
        <f t="shared" si="2"/>
        <v>-</v>
      </c>
      <c r="J171" s="3"/>
    </row>
    <row r="172" spans="1:10">
      <c r="A172" s="85" t="s">
        <v>275</v>
      </c>
      <c r="B172" s="67" t="s">
        <v>167</v>
      </c>
      <c r="C172" s="396"/>
      <c r="D172" s="16"/>
      <c r="E172" s="1223">
        <f>+'1.mell._Össz_Mérleg2020'!C172</f>
        <v>0</v>
      </c>
      <c r="F172" s="1064">
        <f>+'1.mell._Össz_Mérleg2020'!D172</f>
        <v>0</v>
      </c>
      <c r="G172" s="1064">
        <f>+'1.mell._Össz_Mérleg2020'!E172</f>
        <v>0</v>
      </c>
      <c r="H172" s="1296" t="str">
        <f t="shared" si="2"/>
        <v>-</v>
      </c>
      <c r="J172" s="3"/>
    </row>
    <row r="173" spans="1:10">
      <c r="A173" s="85" t="s">
        <v>276</v>
      </c>
      <c r="B173" s="67" t="s">
        <v>168</v>
      </c>
      <c r="C173" s="396"/>
      <c r="D173" s="16"/>
      <c r="E173" s="1223">
        <f>+'1.mell._Össz_Mérleg2020'!C173</f>
        <v>0</v>
      </c>
      <c r="F173" s="1064">
        <f>+'1.mell._Össz_Mérleg2020'!D173</f>
        <v>0</v>
      </c>
      <c r="G173" s="1064">
        <f>+'1.mell._Össz_Mérleg2020'!E173</f>
        <v>0</v>
      </c>
      <c r="H173" s="1296" t="str">
        <f t="shared" ref="H173:H208" si="3">IF(ISERROR(G173/F173),"-",G173/F173)</f>
        <v>-</v>
      </c>
      <c r="J173" s="3"/>
    </row>
    <row r="174" spans="1:10">
      <c r="A174" s="85" t="s">
        <v>277</v>
      </c>
      <c r="B174" s="67" t="s">
        <v>929</v>
      </c>
      <c r="C174" s="396"/>
      <c r="D174" s="16"/>
      <c r="E174" s="1223">
        <f>+'1.mell._Össz_Mérleg2020'!C174</f>
        <v>0</v>
      </c>
      <c r="F174" s="1064">
        <f>+'1.mell._Össz_Mérleg2020'!D174</f>
        <v>0</v>
      </c>
      <c r="G174" s="1064">
        <f>+'1.mell._Össz_Mérleg2020'!E174</f>
        <v>0</v>
      </c>
      <c r="H174" s="1296" t="str">
        <f t="shared" si="3"/>
        <v>-</v>
      </c>
      <c r="J174" s="3"/>
    </row>
    <row r="175" spans="1:10" ht="12.75" thickBot="1">
      <c r="A175" s="78" t="s">
        <v>927</v>
      </c>
      <c r="B175" s="68" t="s">
        <v>930</v>
      </c>
      <c r="C175" s="397"/>
      <c r="D175" s="23">
        <v>18</v>
      </c>
      <c r="E175" s="1224">
        <f>+'1.mell._Össz_Mérleg2020'!C175</f>
        <v>0</v>
      </c>
      <c r="F175" s="1065">
        <f>+'1.mell._Össz_Mérleg2020'!D175</f>
        <v>0</v>
      </c>
      <c r="G175" s="1065">
        <f>+'1.mell._Össz_Mérleg2020'!E175</f>
        <v>0</v>
      </c>
      <c r="H175" s="1298" t="str">
        <f t="shared" si="3"/>
        <v>-</v>
      </c>
      <c r="J175" s="3"/>
    </row>
    <row r="176" spans="1:10" s="3" customFormat="1" ht="12.75" thickBot="1">
      <c r="A176" s="83" t="s">
        <v>10</v>
      </c>
      <c r="B176" s="69" t="s">
        <v>313</v>
      </c>
      <c r="C176" s="129">
        <f>+C109+C149</f>
        <v>2513536</v>
      </c>
      <c r="D176" s="29">
        <f>+D109+D149</f>
        <v>3032485</v>
      </c>
      <c r="E176" s="1220">
        <f>+E109+E149</f>
        <v>4522728</v>
      </c>
      <c r="F176" s="1061">
        <f>+F109+F149</f>
        <v>5684788</v>
      </c>
      <c r="G176" s="1061">
        <f>+G109+G149</f>
        <v>3081648</v>
      </c>
      <c r="H176" s="1294">
        <f t="shared" si="3"/>
        <v>0.54208670578392726</v>
      </c>
    </row>
    <row r="177" spans="1:10" s="3" customFormat="1" ht="12.75" thickBot="1">
      <c r="A177" s="83" t="s">
        <v>9</v>
      </c>
      <c r="B177" s="70" t="s">
        <v>314</v>
      </c>
      <c r="C177" s="129">
        <f>+C178</f>
        <v>110911</v>
      </c>
      <c r="D177" s="29">
        <f>+D178</f>
        <v>91948</v>
      </c>
      <c r="E177" s="1220">
        <f>+E178</f>
        <v>30446</v>
      </c>
      <c r="F177" s="1061">
        <f>+F178</f>
        <v>109126</v>
      </c>
      <c r="G177" s="1061">
        <f>+G178</f>
        <v>109126</v>
      </c>
      <c r="H177" s="1294">
        <f t="shared" si="3"/>
        <v>1</v>
      </c>
    </row>
    <row r="178" spans="1:10" s="3" customFormat="1" ht="12.75" thickBot="1">
      <c r="A178" s="83" t="s">
        <v>45</v>
      </c>
      <c r="B178" s="64" t="s">
        <v>937</v>
      </c>
      <c r="C178" s="129">
        <f>+C179+C189+C190+C191</f>
        <v>110911</v>
      </c>
      <c r="D178" s="29">
        <f>+D179+D189+D190+D191</f>
        <v>91948</v>
      </c>
      <c r="E178" s="1220">
        <f>+E179+E189+E190+E191</f>
        <v>30446</v>
      </c>
      <c r="F178" s="1061">
        <f>+F179+F189+F190+F191</f>
        <v>109126</v>
      </c>
      <c r="G178" s="1061">
        <f>+G179+G189+G190+G191</f>
        <v>109126</v>
      </c>
      <c r="H178" s="1294">
        <f t="shared" si="3"/>
        <v>1</v>
      </c>
    </row>
    <row r="179" spans="1:10">
      <c r="A179" s="84" t="s">
        <v>75</v>
      </c>
      <c r="B179" s="65" t="s">
        <v>938</v>
      </c>
      <c r="C179" s="398">
        <f>+C180+C181+C182+C183+C184+C185+C186+C187+C188</f>
        <v>110911</v>
      </c>
      <c r="D179" s="35">
        <f>+D180+D181+D182+D183+D184+D185+D186+D187+D188</f>
        <v>91948</v>
      </c>
      <c r="E179" s="1221">
        <f>+E180+E181+E182+E183+E184+E185+E186+E187+E188</f>
        <v>30446</v>
      </c>
      <c r="F179" s="1062">
        <f>+F180+F181+F182+F183+F184+F185+F186+F187+F188</f>
        <v>109126</v>
      </c>
      <c r="G179" s="1062">
        <f>+G180+G181+G182+G183+G184+G185+G186+G187+G188</f>
        <v>109126</v>
      </c>
      <c r="H179" s="1295">
        <f t="shared" si="3"/>
        <v>1</v>
      </c>
      <c r="J179" s="3"/>
    </row>
    <row r="180" spans="1:10" s="13" customFormat="1">
      <c r="A180" s="86" t="s">
        <v>204</v>
      </c>
      <c r="B180" s="66" t="s">
        <v>169</v>
      </c>
      <c r="C180" s="394">
        <v>85565</v>
      </c>
      <c r="D180" s="15">
        <v>65277</v>
      </c>
      <c r="E180" s="1222">
        <f>+'1.mell._Össz_Mérleg2020'!C180</f>
        <v>0</v>
      </c>
      <c r="F180" s="1063">
        <f>+'1.mell._Össz_Mérleg2020'!D180</f>
        <v>77939</v>
      </c>
      <c r="G180" s="1063">
        <f>+'1.mell._Össz_Mérleg2020'!E180</f>
        <v>77939</v>
      </c>
      <c r="H180" s="1296">
        <f t="shared" si="3"/>
        <v>1</v>
      </c>
      <c r="J180" s="3"/>
    </row>
    <row r="181" spans="1:10" s="13" customFormat="1">
      <c r="A181" s="86" t="s">
        <v>205</v>
      </c>
      <c r="B181" s="66" t="s">
        <v>170</v>
      </c>
      <c r="C181" s="394"/>
      <c r="D181" s="15"/>
      <c r="E181" s="1222">
        <f>+'1.mell._Össz_Mérleg2020'!C181</f>
        <v>0</v>
      </c>
      <c r="F181" s="1063">
        <f>+'1.mell._Össz_Mérleg2020'!D181</f>
        <v>0</v>
      </c>
      <c r="G181" s="1063">
        <f>+'1.mell._Össz_Mérleg2020'!E181</f>
        <v>0</v>
      </c>
      <c r="H181" s="1296" t="str">
        <f t="shared" si="3"/>
        <v>-</v>
      </c>
      <c r="J181" s="3"/>
    </row>
    <row r="182" spans="1:10" s="13" customFormat="1">
      <c r="A182" s="86" t="s">
        <v>206</v>
      </c>
      <c r="B182" s="66" t="s">
        <v>171</v>
      </c>
      <c r="C182" s="394"/>
      <c r="D182" s="15"/>
      <c r="E182" s="1222">
        <f>+'1.mell._Össz_Mérleg2020'!C182</f>
        <v>0</v>
      </c>
      <c r="F182" s="1063">
        <f>+'1.mell._Össz_Mérleg2020'!D182</f>
        <v>0</v>
      </c>
      <c r="G182" s="1063">
        <f>+'1.mell._Össz_Mérleg2020'!E182</f>
        <v>0</v>
      </c>
      <c r="H182" s="1296" t="str">
        <f t="shared" si="3"/>
        <v>-</v>
      </c>
      <c r="J182" s="3"/>
    </row>
    <row r="183" spans="1:10" s="13" customFormat="1">
      <c r="A183" s="86" t="s">
        <v>207</v>
      </c>
      <c r="B183" s="66" t="s">
        <v>172</v>
      </c>
      <c r="C183" s="394">
        <v>25346</v>
      </c>
      <c r="D183" s="15">
        <v>26671</v>
      </c>
      <c r="E183" s="1222">
        <f>+'1.mell._Össz_Mérleg2020'!C183</f>
        <v>30446</v>
      </c>
      <c r="F183" s="1063">
        <f>+'1.mell._Össz_Mérleg2020'!D183</f>
        <v>31187</v>
      </c>
      <c r="G183" s="1063">
        <f>+'1.mell._Össz_Mérleg2020'!E183</f>
        <v>31187</v>
      </c>
      <c r="H183" s="1296">
        <f t="shared" si="3"/>
        <v>1</v>
      </c>
      <c r="J183" s="3"/>
    </row>
    <row r="184" spans="1:10" s="13" customFormat="1">
      <c r="A184" s="103" t="s">
        <v>208</v>
      </c>
      <c r="B184" s="104" t="s">
        <v>173</v>
      </c>
      <c r="C184" s="393"/>
      <c r="D184" s="107"/>
      <c r="E184" s="1228">
        <f>+'1.mell._Össz_Mérleg2020'!C184</f>
        <v>0</v>
      </c>
      <c r="F184" s="1166">
        <f>+'1.mell._Össz_Mérleg2020'!D184</f>
        <v>0</v>
      </c>
      <c r="G184" s="1166">
        <f>+'1.mell._Össz_Mérleg2020'!E184</f>
        <v>0</v>
      </c>
      <c r="H184" s="1370" t="str">
        <f t="shared" si="3"/>
        <v>-</v>
      </c>
      <c r="J184" s="3"/>
    </row>
    <row r="185" spans="1:10" s="13" customFormat="1">
      <c r="A185" s="86" t="s">
        <v>209</v>
      </c>
      <c r="B185" s="66" t="s">
        <v>178</v>
      </c>
      <c r="C185" s="394"/>
      <c r="D185" s="15"/>
      <c r="E185" s="1222">
        <f>+'1.mell._Össz_Mérleg2020'!C185</f>
        <v>0</v>
      </c>
      <c r="F185" s="1063">
        <f>+'1.mell._Össz_Mérleg2020'!D185</f>
        <v>0</v>
      </c>
      <c r="G185" s="1063">
        <f>+'1.mell._Össz_Mérleg2020'!E185</f>
        <v>0</v>
      </c>
      <c r="H185" s="1296" t="str">
        <f t="shared" si="3"/>
        <v>-</v>
      </c>
      <c r="J185" s="3"/>
    </row>
    <row r="186" spans="1:10" s="13" customFormat="1">
      <c r="A186" s="86" t="s">
        <v>210</v>
      </c>
      <c r="B186" s="66" t="s">
        <v>174</v>
      </c>
      <c r="C186" s="394"/>
      <c r="D186" s="15"/>
      <c r="E186" s="1222">
        <f>+'1.mell._Össz_Mérleg2020'!C186</f>
        <v>0</v>
      </c>
      <c r="F186" s="1063">
        <f>+'1.mell._Össz_Mérleg2020'!D186</f>
        <v>0</v>
      </c>
      <c r="G186" s="1063">
        <f>+'1.mell._Össz_Mérleg2020'!E186</f>
        <v>0</v>
      </c>
      <c r="H186" s="1296" t="str">
        <f t="shared" si="3"/>
        <v>-</v>
      </c>
      <c r="J186" s="3"/>
    </row>
    <row r="187" spans="1:10" s="13" customFormat="1">
      <c r="A187" s="86" t="s">
        <v>211</v>
      </c>
      <c r="B187" s="66" t="s">
        <v>175</v>
      </c>
      <c r="C187" s="394"/>
      <c r="D187" s="15"/>
      <c r="E187" s="1222">
        <f>+'1.mell._Össz_Mérleg2020'!C187</f>
        <v>0</v>
      </c>
      <c r="F187" s="1063">
        <f>+'1.mell._Össz_Mérleg2020'!D187</f>
        <v>0</v>
      </c>
      <c r="G187" s="1063">
        <f>+'1.mell._Össz_Mérleg2020'!E187</f>
        <v>0</v>
      </c>
      <c r="H187" s="1296" t="str">
        <f t="shared" si="3"/>
        <v>-</v>
      </c>
      <c r="J187" s="3"/>
    </row>
    <row r="188" spans="1:10" s="13" customFormat="1">
      <c r="A188" s="86" t="s">
        <v>931</v>
      </c>
      <c r="B188" s="66" t="s">
        <v>933</v>
      </c>
      <c r="C188" s="394"/>
      <c r="D188" s="15"/>
      <c r="E188" s="1222">
        <f>+'1.mell._Össz_Mérleg2020'!C188</f>
        <v>0</v>
      </c>
      <c r="F188" s="1063">
        <f>+'1.mell._Össz_Mérleg2020'!D188</f>
        <v>0</v>
      </c>
      <c r="G188" s="1063">
        <f>+'1.mell._Össz_Mérleg2020'!E188</f>
        <v>0</v>
      </c>
      <c r="H188" s="1296" t="str">
        <f t="shared" si="3"/>
        <v>-</v>
      </c>
      <c r="J188" s="3"/>
    </row>
    <row r="189" spans="1:10">
      <c r="A189" s="85" t="s">
        <v>76</v>
      </c>
      <c r="B189" s="67" t="s">
        <v>176</v>
      </c>
      <c r="C189" s="396"/>
      <c r="D189" s="16"/>
      <c r="E189" s="1223">
        <f>+'1.mell._Össz_Mérleg2020'!C189</f>
        <v>0</v>
      </c>
      <c r="F189" s="1064">
        <f>+'1.mell._Össz_Mérleg2020'!D189</f>
        <v>0</v>
      </c>
      <c r="G189" s="1064">
        <f>+'1.mell._Össz_Mérleg2020'!E189</f>
        <v>0</v>
      </c>
      <c r="H189" s="1296" t="str">
        <f t="shared" si="3"/>
        <v>-</v>
      </c>
      <c r="J189" s="3"/>
    </row>
    <row r="190" spans="1:10">
      <c r="A190" s="78" t="s">
        <v>77</v>
      </c>
      <c r="B190" s="68" t="s">
        <v>177</v>
      </c>
      <c r="C190" s="397"/>
      <c r="D190" s="23"/>
      <c r="E190" s="1224">
        <f>+'1.mell._Össz_Mérleg2020'!C190</f>
        <v>0</v>
      </c>
      <c r="F190" s="1065">
        <f>+'1.mell._Össz_Mérleg2020'!D190</f>
        <v>0</v>
      </c>
      <c r="G190" s="1065">
        <f>+'1.mell._Össz_Mérleg2020'!E190</f>
        <v>0</v>
      </c>
      <c r="H190" s="1298" t="str">
        <f t="shared" si="3"/>
        <v>-</v>
      </c>
      <c r="J190" s="3"/>
    </row>
    <row r="191" spans="1:10" ht="12.75" thickBot="1">
      <c r="A191" s="78" t="s">
        <v>936</v>
      </c>
      <c r="B191" s="68" t="s">
        <v>934</v>
      </c>
      <c r="C191" s="397"/>
      <c r="D191" s="23"/>
      <c r="E191" s="1224">
        <f>+'1.mell._Össz_Mérleg2020'!C191</f>
        <v>0</v>
      </c>
      <c r="F191" s="1065">
        <f>+'1.mell._Össz_Mérleg2020'!D191</f>
        <v>0</v>
      </c>
      <c r="G191" s="1065">
        <f>+'1.mell._Össz_Mérleg2020'!E191</f>
        <v>0</v>
      </c>
      <c r="H191" s="1298" t="str">
        <f t="shared" si="3"/>
        <v>-</v>
      </c>
      <c r="J191" s="3"/>
    </row>
    <row r="192" spans="1:10" s="3" customFormat="1" ht="12.75" thickBot="1">
      <c r="A192" s="83" t="s">
        <v>44</v>
      </c>
      <c r="B192" s="69" t="s">
        <v>315</v>
      </c>
      <c r="C192" s="129">
        <f>+C193</f>
        <v>0</v>
      </c>
      <c r="D192" s="29">
        <f>+D193</f>
        <v>0</v>
      </c>
      <c r="E192" s="1220">
        <f>+E193</f>
        <v>0</v>
      </c>
      <c r="F192" s="1061">
        <f>+F193</f>
        <v>0</v>
      </c>
      <c r="G192" s="1061">
        <f>+G193</f>
        <v>0</v>
      </c>
      <c r="H192" s="1294" t="str">
        <f t="shared" si="3"/>
        <v>-</v>
      </c>
    </row>
    <row r="193" spans="1:10" s="3" customFormat="1" ht="12.75" thickBot="1">
      <c r="A193" s="83" t="s">
        <v>43</v>
      </c>
      <c r="B193" s="64" t="s">
        <v>932</v>
      </c>
      <c r="C193" s="129">
        <f>+C194+C204+C205+C206</f>
        <v>0</v>
      </c>
      <c r="D193" s="29">
        <f>+D194+D204+D205+D206</f>
        <v>0</v>
      </c>
      <c r="E193" s="1220">
        <f>+E194+E204+E205+E206</f>
        <v>0</v>
      </c>
      <c r="F193" s="1061">
        <f>+F194+F204+F205+F206</f>
        <v>0</v>
      </c>
      <c r="G193" s="1061">
        <f>+G194+G204+G205+G206</f>
        <v>0</v>
      </c>
      <c r="H193" s="1294" t="str">
        <f t="shared" si="3"/>
        <v>-</v>
      </c>
    </row>
    <row r="194" spans="1:10">
      <c r="A194" s="84" t="s">
        <v>78</v>
      </c>
      <c r="B194" s="65" t="s">
        <v>967</v>
      </c>
      <c r="C194" s="398">
        <f>+C195+C196+C197+C198+C199+C200+C201+C202+C203</f>
        <v>0</v>
      </c>
      <c r="D194" s="35">
        <f>+D195+D196+D197+D198+D199+D200+D201+D202+D203</f>
        <v>0</v>
      </c>
      <c r="E194" s="1221">
        <f>+E195+E196+E197+E198+E199+E200+E201+E202+E203</f>
        <v>0</v>
      </c>
      <c r="F194" s="1062">
        <f>+F195+F196+F197+F198+F199+F200+F201+F202+F203</f>
        <v>0</v>
      </c>
      <c r="G194" s="1062">
        <f>+G195+G196+G197+G198+G199+G200+G201+G202+G203</f>
        <v>0</v>
      </c>
      <c r="H194" s="1295" t="str">
        <f t="shared" si="3"/>
        <v>-</v>
      </c>
      <c r="J194" s="3"/>
    </row>
    <row r="195" spans="1:10" s="13" customFormat="1">
      <c r="A195" s="86" t="s">
        <v>212</v>
      </c>
      <c r="B195" s="66" t="s">
        <v>169</v>
      </c>
      <c r="C195" s="394"/>
      <c r="D195" s="15"/>
      <c r="E195" s="1222">
        <f>+'1.mell._Össz_Mérleg2020'!C195</f>
        <v>0</v>
      </c>
      <c r="F195" s="1063">
        <f>+'1.mell._Össz_Mérleg2020'!D195</f>
        <v>0</v>
      </c>
      <c r="G195" s="1063">
        <f>+'1.mell._Össz_Mérleg2020'!E195</f>
        <v>0</v>
      </c>
      <c r="H195" s="1296" t="str">
        <f t="shared" si="3"/>
        <v>-</v>
      </c>
      <c r="J195" s="3"/>
    </row>
    <row r="196" spans="1:10" s="13" customFormat="1">
      <c r="A196" s="86" t="s">
        <v>213</v>
      </c>
      <c r="B196" s="66" t="s">
        <v>170</v>
      </c>
      <c r="C196" s="394"/>
      <c r="D196" s="15"/>
      <c r="E196" s="1222">
        <f>+'1.mell._Össz_Mérleg2020'!C196</f>
        <v>0</v>
      </c>
      <c r="F196" s="1063">
        <f>+'1.mell._Össz_Mérleg2020'!D196</f>
        <v>0</v>
      </c>
      <c r="G196" s="1063">
        <f>+'1.mell._Össz_Mérleg2020'!E196</f>
        <v>0</v>
      </c>
      <c r="H196" s="1296" t="str">
        <f t="shared" si="3"/>
        <v>-</v>
      </c>
      <c r="J196" s="3"/>
    </row>
    <row r="197" spans="1:10" s="13" customFormat="1">
      <c r="A197" s="86" t="s">
        <v>214</v>
      </c>
      <c r="B197" s="66" t="s">
        <v>171</v>
      </c>
      <c r="C197" s="394"/>
      <c r="D197" s="15"/>
      <c r="E197" s="1222">
        <f>+'1.mell._Össz_Mérleg2020'!C197</f>
        <v>0</v>
      </c>
      <c r="F197" s="1063">
        <f>+'1.mell._Össz_Mérleg2020'!D197</f>
        <v>0</v>
      </c>
      <c r="G197" s="1063">
        <f>+'1.mell._Össz_Mérleg2020'!E197</f>
        <v>0</v>
      </c>
      <c r="H197" s="1296" t="str">
        <f t="shared" si="3"/>
        <v>-</v>
      </c>
      <c r="J197" s="3"/>
    </row>
    <row r="198" spans="1:10" s="13" customFormat="1">
      <c r="A198" s="86" t="s">
        <v>215</v>
      </c>
      <c r="B198" s="66" t="s">
        <v>172</v>
      </c>
      <c r="C198" s="394"/>
      <c r="D198" s="15"/>
      <c r="E198" s="1222">
        <f>+'1.mell._Össz_Mérleg2020'!C198</f>
        <v>0</v>
      </c>
      <c r="F198" s="1063">
        <f>+'1.mell._Össz_Mérleg2020'!D198</f>
        <v>0</v>
      </c>
      <c r="G198" s="1063">
        <f>+'1.mell._Össz_Mérleg2020'!E198</f>
        <v>0</v>
      </c>
      <c r="H198" s="1296" t="str">
        <f t="shared" si="3"/>
        <v>-</v>
      </c>
      <c r="J198" s="3"/>
    </row>
    <row r="199" spans="1:10" s="13" customFormat="1">
      <c r="A199" s="103" t="s">
        <v>216</v>
      </c>
      <c r="B199" s="104" t="s">
        <v>173</v>
      </c>
      <c r="C199" s="393"/>
      <c r="D199" s="107"/>
      <c r="E199" s="1228">
        <f>+'1.mell._Össz_Mérleg2020'!C199</f>
        <v>0</v>
      </c>
      <c r="F199" s="1166">
        <f>+'1.mell._Össz_Mérleg2020'!D199</f>
        <v>0</v>
      </c>
      <c r="G199" s="1166">
        <f>+'1.mell._Össz_Mérleg2020'!E199</f>
        <v>0</v>
      </c>
      <c r="H199" s="1370" t="str">
        <f t="shared" si="3"/>
        <v>-</v>
      </c>
      <c r="J199" s="3"/>
    </row>
    <row r="200" spans="1:10" s="13" customFormat="1">
      <c r="A200" s="86" t="s">
        <v>217</v>
      </c>
      <c r="B200" s="66" t="s">
        <v>178</v>
      </c>
      <c r="C200" s="394"/>
      <c r="D200" s="15"/>
      <c r="E200" s="1222">
        <f>+'1.mell._Össz_Mérleg2020'!C200</f>
        <v>0</v>
      </c>
      <c r="F200" s="1063">
        <f>+'1.mell._Össz_Mérleg2020'!D200</f>
        <v>0</v>
      </c>
      <c r="G200" s="1063">
        <f>+'1.mell._Össz_Mérleg2020'!E200</f>
        <v>0</v>
      </c>
      <c r="H200" s="1296" t="str">
        <f t="shared" si="3"/>
        <v>-</v>
      </c>
      <c r="J200" s="3"/>
    </row>
    <row r="201" spans="1:10" s="13" customFormat="1">
      <c r="A201" s="86" t="s">
        <v>218</v>
      </c>
      <c r="B201" s="66" t="s">
        <v>174</v>
      </c>
      <c r="C201" s="394"/>
      <c r="D201" s="15"/>
      <c r="E201" s="1222">
        <f>+'1.mell._Össz_Mérleg2020'!C201</f>
        <v>0</v>
      </c>
      <c r="F201" s="1063">
        <f>+'1.mell._Össz_Mérleg2020'!D201</f>
        <v>0</v>
      </c>
      <c r="G201" s="1063">
        <f>+'1.mell._Össz_Mérleg2020'!E201</f>
        <v>0</v>
      </c>
      <c r="H201" s="1296" t="str">
        <f t="shared" si="3"/>
        <v>-</v>
      </c>
      <c r="J201" s="3"/>
    </row>
    <row r="202" spans="1:10" s="13" customFormat="1">
      <c r="A202" s="86" t="s">
        <v>219</v>
      </c>
      <c r="B202" s="66" t="s">
        <v>175</v>
      </c>
      <c r="C202" s="394"/>
      <c r="D202" s="15"/>
      <c r="E202" s="1222">
        <f>+'1.mell._Össz_Mérleg2020'!C202</f>
        <v>0</v>
      </c>
      <c r="F202" s="1063">
        <f>+'1.mell._Össz_Mérleg2020'!D202</f>
        <v>0</v>
      </c>
      <c r="G202" s="1063">
        <f>+'1.mell._Össz_Mérleg2020'!E202</f>
        <v>0</v>
      </c>
      <c r="H202" s="1296" t="str">
        <f t="shared" si="3"/>
        <v>-</v>
      </c>
      <c r="J202" s="3"/>
    </row>
    <row r="203" spans="1:10" s="13" customFormat="1">
      <c r="A203" s="86" t="s">
        <v>931</v>
      </c>
      <c r="B203" s="66" t="s">
        <v>933</v>
      </c>
      <c r="C203" s="394"/>
      <c r="D203" s="15"/>
      <c r="E203" s="1222">
        <f>+'1.mell._Össz_Mérleg2020'!C203</f>
        <v>0</v>
      </c>
      <c r="F203" s="1063">
        <f>+'1.mell._Össz_Mérleg2020'!D203</f>
        <v>0</v>
      </c>
      <c r="G203" s="1063">
        <f>+'1.mell._Össz_Mérleg2020'!E203</f>
        <v>0</v>
      </c>
      <c r="H203" s="1296" t="str">
        <f t="shared" si="3"/>
        <v>-</v>
      </c>
      <c r="J203" s="3"/>
    </row>
    <row r="204" spans="1:10">
      <c r="A204" s="85" t="s">
        <v>79</v>
      </c>
      <c r="B204" s="67" t="s">
        <v>176</v>
      </c>
      <c r="C204" s="396"/>
      <c r="D204" s="16"/>
      <c r="E204" s="1223">
        <f>+'1.mell._Össz_Mérleg2020'!C204</f>
        <v>0</v>
      </c>
      <c r="F204" s="1064">
        <f>+'1.mell._Össz_Mérleg2020'!D204</f>
        <v>0</v>
      </c>
      <c r="G204" s="1064">
        <f>+'1.mell._Össz_Mérleg2020'!E204</f>
        <v>0</v>
      </c>
      <c r="H204" s="1296" t="str">
        <f t="shared" si="3"/>
        <v>-</v>
      </c>
      <c r="J204" s="3"/>
    </row>
    <row r="205" spans="1:10">
      <c r="A205" s="78" t="s">
        <v>220</v>
      </c>
      <c r="B205" s="68" t="s">
        <v>177</v>
      </c>
      <c r="C205" s="397"/>
      <c r="D205" s="23"/>
      <c r="E205" s="1224">
        <f>+'1.mell._Össz_Mérleg2020'!C205</f>
        <v>0</v>
      </c>
      <c r="F205" s="1065">
        <f>+'1.mell._Össz_Mérleg2020'!D205</f>
        <v>0</v>
      </c>
      <c r="G205" s="1065">
        <f>+'1.mell._Össz_Mérleg2020'!E205</f>
        <v>0</v>
      </c>
      <c r="H205" s="1298" t="str">
        <f t="shared" si="3"/>
        <v>-</v>
      </c>
      <c r="J205" s="3"/>
    </row>
    <row r="206" spans="1:10" ht="12.75" thickBot="1">
      <c r="A206" s="78" t="s">
        <v>935</v>
      </c>
      <c r="B206" s="68" t="s">
        <v>934</v>
      </c>
      <c r="C206" s="397"/>
      <c r="D206" s="23"/>
      <c r="E206" s="1224">
        <f>+'1.mell._Össz_Mérleg2020'!C206</f>
        <v>0</v>
      </c>
      <c r="F206" s="1065">
        <f>+'1.mell._Össz_Mérleg2020'!D206</f>
        <v>0</v>
      </c>
      <c r="G206" s="1065">
        <f>+'1.mell._Össz_Mérleg2020'!E206</f>
        <v>0</v>
      </c>
      <c r="H206" s="1298" t="str">
        <f t="shared" si="3"/>
        <v>-</v>
      </c>
      <c r="J206" s="3"/>
    </row>
    <row r="207" spans="1:10" s="3" customFormat="1" ht="12.75" thickBot="1">
      <c r="A207" s="83" t="s">
        <v>40</v>
      </c>
      <c r="B207" s="69" t="s">
        <v>316</v>
      </c>
      <c r="C207" s="129">
        <f>+C177+C192</f>
        <v>110911</v>
      </c>
      <c r="D207" s="29">
        <f>+D177+D192</f>
        <v>91948</v>
      </c>
      <c r="E207" s="1220">
        <f>+E177+E192</f>
        <v>30446</v>
      </c>
      <c r="F207" s="1061">
        <f>+F177+F192</f>
        <v>109126</v>
      </c>
      <c r="G207" s="1061">
        <f>+G177+G192</f>
        <v>109126</v>
      </c>
      <c r="H207" s="1294">
        <f t="shared" si="3"/>
        <v>1</v>
      </c>
    </row>
    <row r="208" spans="1:10" s="3" customFormat="1" ht="12.75" thickBot="1">
      <c r="A208" s="87" t="s">
        <v>39</v>
      </c>
      <c r="B208" s="71" t="s">
        <v>334</v>
      </c>
      <c r="C208" s="392">
        <f>+C176+C207</f>
        <v>2624447</v>
      </c>
      <c r="D208" s="26">
        <f>+D176+D207</f>
        <v>3124433</v>
      </c>
      <c r="E208" s="1229">
        <f>+E176+E207</f>
        <v>4553174</v>
      </c>
      <c r="F208" s="1072">
        <f>+F176+F207</f>
        <v>5793914</v>
      </c>
      <c r="G208" s="1072">
        <f>+G176+G207</f>
        <v>3190774</v>
      </c>
      <c r="H208" s="1301">
        <f t="shared" si="3"/>
        <v>0.55071131535607876</v>
      </c>
    </row>
    <row r="209" spans="1:27" s="13" customFormat="1">
      <c r="H209" s="1305"/>
      <c r="J209" s="3"/>
    </row>
    <row r="210" spans="1:27" s="36" customFormat="1">
      <c r="H210" s="1290"/>
      <c r="J210" s="3"/>
    </row>
    <row r="211" spans="1:27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s="36" customFormat="1" ht="12.75" thickBot="1">
      <c r="A212" s="38" t="s">
        <v>281</v>
      </c>
      <c r="E212" s="37"/>
      <c r="F212" s="37"/>
      <c r="G212" s="37"/>
      <c r="H212" s="1368" t="s">
        <v>280</v>
      </c>
      <c r="J212" s="3"/>
    </row>
    <row r="213" spans="1:27" s="3" customFormat="1" ht="12.75" thickBot="1">
      <c r="A213" s="83" t="s">
        <v>4</v>
      </c>
      <c r="B213" s="69" t="s">
        <v>317</v>
      </c>
      <c r="C213" s="129">
        <f>+C214+C215</f>
        <v>904444</v>
      </c>
      <c r="D213" s="29">
        <f>+D214+D215</f>
        <v>226072</v>
      </c>
      <c r="E213" s="1220">
        <f>+E214+E215</f>
        <v>-2855803</v>
      </c>
      <c r="F213" s="1061">
        <f>+F214+F215</f>
        <v>-3341850</v>
      </c>
      <c r="G213" s="1061">
        <f>+G214+G215</f>
        <v>-943568</v>
      </c>
      <c r="H213" s="1294">
        <f>IF(ISERROR(G213/F213),"-",G213/F213)</f>
        <v>0.2823489983093197</v>
      </c>
    </row>
    <row r="214" spans="1:27">
      <c r="A214" s="84" t="s">
        <v>81</v>
      </c>
      <c r="B214" s="72" t="s">
        <v>318</v>
      </c>
      <c r="C214" s="398">
        <f>+C10-C109</f>
        <v>269938</v>
      </c>
      <c r="D214" s="35">
        <f>+D10-D109</f>
        <v>74334</v>
      </c>
      <c r="E214" s="1221">
        <f>+E10-E109</f>
        <v>-2425549</v>
      </c>
      <c r="F214" s="1062">
        <f>+F10-F109</f>
        <v>-2261370</v>
      </c>
      <c r="G214" s="1062">
        <f>+G10-G109</f>
        <v>2248</v>
      </c>
      <c r="H214" s="1295">
        <f>IF(ISERROR(G214/F214),"-",G214/F214)</f>
        <v>-9.9408765482870997E-4</v>
      </c>
      <c r="J214" s="3"/>
    </row>
    <row r="215" spans="1:27" ht="12.75" thickBot="1">
      <c r="A215" s="88" t="s">
        <v>82</v>
      </c>
      <c r="B215" s="73" t="s">
        <v>319</v>
      </c>
      <c r="C215" s="391">
        <f>+C50-C149</f>
        <v>634506</v>
      </c>
      <c r="D215" s="39">
        <f>+D50-D149</f>
        <v>151738</v>
      </c>
      <c r="E215" s="1233">
        <f>+E50-E149</f>
        <v>-430254</v>
      </c>
      <c r="F215" s="1079">
        <f>+F50-F149</f>
        <v>-1080480</v>
      </c>
      <c r="G215" s="1079">
        <f>+G50-G149</f>
        <v>-945816</v>
      </c>
      <c r="H215" s="1307">
        <f>IF(ISERROR(G215/F215),"-",G215/F215)</f>
        <v>0.87536650377609948</v>
      </c>
      <c r="J215" s="3"/>
    </row>
    <row r="216" spans="1:27">
      <c r="J216" s="3"/>
    </row>
    <row r="217" spans="1:27">
      <c r="J217" s="3"/>
    </row>
    <row r="218" spans="1:27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s="36" customFormat="1" ht="12.75" thickBot="1">
      <c r="A219" s="38" t="s">
        <v>282</v>
      </c>
      <c r="E219" s="37"/>
      <c r="F219" s="37"/>
      <c r="G219" s="37"/>
      <c r="H219" s="1368" t="s">
        <v>280</v>
      </c>
      <c r="J219" s="3"/>
    </row>
    <row r="220" spans="1:27" s="3" customFormat="1" ht="12.75" thickBot="1">
      <c r="A220" s="83" t="s">
        <v>4</v>
      </c>
      <c r="B220" s="69" t="s">
        <v>320</v>
      </c>
      <c r="C220" s="129">
        <f>+C221+C228</f>
        <v>2196437</v>
      </c>
      <c r="D220" s="29">
        <f>+D221+D228</f>
        <v>3104656</v>
      </c>
      <c r="E220" s="1220">
        <f>+E221+E228</f>
        <v>2855803</v>
      </c>
      <c r="F220" s="1061">
        <f>+F221+F228</f>
        <v>3341850</v>
      </c>
      <c r="G220" s="1061">
        <f>+G221+G228</f>
        <v>3341850</v>
      </c>
      <c r="H220" s="1294">
        <f t="shared" ref="H220:H234" si="4">IF(ISERROR(G220/F220),"-",G220/F220)</f>
        <v>1</v>
      </c>
    </row>
    <row r="221" spans="1:27" s="3" customFormat="1" ht="12.75" thickBot="1">
      <c r="A221" s="83" t="s">
        <v>5</v>
      </c>
      <c r="B221" s="64" t="s">
        <v>321</v>
      </c>
      <c r="C221" s="129">
        <f>+C222-C225</f>
        <v>338649</v>
      </c>
      <c r="D221" s="29">
        <f>+D222-D225</f>
        <v>612362</v>
      </c>
      <c r="E221" s="1220">
        <f>+E222-E225</f>
        <v>2845803</v>
      </c>
      <c r="F221" s="1061">
        <f>+F222-F225</f>
        <v>688496</v>
      </c>
      <c r="G221" s="1061">
        <f>+G222-G225</f>
        <v>688496</v>
      </c>
      <c r="H221" s="1294">
        <f t="shared" si="4"/>
        <v>1</v>
      </c>
    </row>
    <row r="222" spans="1:27">
      <c r="A222" s="84" t="s">
        <v>54</v>
      </c>
      <c r="B222" s="65" t="s">
        <v>322</v>
      </c>
      <c r="C222" s="398">
        <f>+C223+C224</f>
        <v>449560</v>
      </c>
      <c r="D222" s="35">
        <f>+D223+D224</f>
        <v>704310</v>
      </c>
      <c r="E222" s="1221">
        <f>+E223+E224</f>
        <v>2876249</v>
      </c>
      <c r="F222" s="1062">
        <f>+F223+F224</f>
        <v>797622</v>
      </c>
      <c r="G222" s="1062">
        <f>+G223+G224</f>
        <v>797622</v>
      </c>
      <c r="H222" s="1295">
        <f t="shared" si="4"/>
        <v>1</v>
      </c>
      <c r="J222" s="3"/>
    </row>
    <row r="223" spans="1:27" s="13" customFormat="1">
      <c r="A223" s="86" t="s">
        <v>189</v>
      </c>
      <c r="B223" s="66" t="s">
        <v>284</v>
      </c>
      <c r="C223" s="394">
        <f>+C76+C80</f>
        <v>337324</v>
      </c>
      <c r="D223" s="15">
        <f>+D76+D80</f>
        <v>608587</v>
      </c>
      <c r="E223" s="1222">
        <f>+E76+E80</f>
        <v>2876249</v>
      </c>
      <c r="F223" s="1063">
        <f>+F76+F80</f>
        <v>682647</v>
      </c>
      <c r="G223" s="1063">
        <f>+G76+G80</f>
        <v>682647</v>
      </c>
      <c r="H223" s="1296">
        <f t="shared" si="4"/>
        <v>1</v>
      </c>
      <c r="J223" s="3"/>
    </row>
    <row r="224" spans="1:27" s="13" customFormat="1">
      <c r="A224" s="86" t="s">
        <v>190</v>
      </c>
      <c r="B224" s="66" t="s">
        <v>285</v>
      </c>
      <c r="C224" s="394">
        <f>+C74+C75+C77+C78+C79+C81</f>
        <v>112236</v>
      </c>
      <c r="D224" s="15">
        <f>+D74+D75+D77+D78+D79+D81</f>
        <v>95723</v>
      </c>
      <c r="E224" s="1222">
        <f>+E74+E75+E77+E78+E79+E81</f>
        <v>0</v>
      </c>
      <c r="F224" s="1063">
        <f>+F74+F75+F77+F78+F79+F81</f>
        <v>114975</v>
      </c>
      <c r="G224" s="1063">
        <f>+G74+G75+G77+G78+G79+G81</f>
        <v>114975</v>
      </c>
      <c r="H224" s="1296">
        <f t="shared" si="4"/>
        <v>1</v>
      </c>
      <c r="J224" s="3"/>
    </row>
    <row r="225" spans="1:27">
      <c r="A225" s="85" t="s">
        <v>55</v>
      </c>
      <c r="B225" s="67" t="s">
        <v>323</v>
      </c>
      <c r="C225" s="396">
        <f>+C227</f>
        <v>110911</v>
      </c>
      <c r="D225" s="16">
        <f>+D227</f>
        <v>91948</v>
      </c>
      <c r="E225" s="1223">
        <f>+E227</f>
        <v>30446</v>
      </c>
      <c r="F225" s="1064">
        <f>+F227</f>
        <v>109126</v>
      </c>
      <c r="G225" s="1064">
        <f>+G227</f>
        <v>109126</v>
      </c>
      <c r="H225" s="1296">
        <f t="shared" si="4"/>
        <v>1</v>
      </c>
      <c r="J225" s="3"/>
    </row>
    <row r="226" spans="1:27" s="13" customFormat="1">
      <c r="A226" s="86" t="s">
        <v>56</v>
      </c>
      <c r="B226" s="66" t="s">
        <v>286</v>
      </c>
      <c r="C226" s="394">
        <f>+C185</f>
        <v>0</v>
      </c>
      <c r="D226" s="15">
        <f>+D185</f>
        <v>0</v>
      </c>
      <c r="E226" s="1222">
        <f>+E185</f>
        <v>0</v>
      </c>
      <c r="F226" s="1063">
        <f>+F185</f>
        <v>0</v>
      </c>
      <c r="G226" s="1063">
        <f>+G185</f>
        <v>0</v>
      </c>
      <c r="H226" s="1296" t="str">
        <f t="shared" si="4"/>
        <v>-</v>
      </c>
      <c r="J226" s="3"/>
    </row>
    <row r="227" spans="1:27" s="13" customFormat="1" ht="12.75" thickBot="1">
      <c r="A227" s="89" t="s">
        <v>57</v>
      </c>
      <c r="B227" s="74" t="s">
        <v>287</v>
      </c>
      <c r="C227" s="395">
        <f>+C180+C181+C182+C183+C184+C186+C187</f>
        <v>110911</v>
      </c>
      <c r="D227" s="44">
        <f>+D180+D181+D182+D183+D184+D186+D187</f>
        <v>91948</v>
      </c>
      <c r="E227" s="1225">
        <f>+E180+E181+E182+E183+E184+E186+E187</f>
        <v>30446</v>
      </c>
      <c r="F227" s="1066">
        <f>+F180+F181+F182+F183+F184+F186+F187</f>
        <v>109126</v>
      </c>
      <c r="G227" s="1066">
        <f>+G180+G181+G182+G183+G184+G186+G187</f>
        <v>109126</v>
      </c>
      <c r="H227" s="1298">
        <f t="shared" si="4"/>
        <v>1</v>
      </c>
      <c r="J227" s="3"/>
    </row>
    <row r="228" spans="1:27" s="3" customFormat="1" ht="12.75" thickBot="1">
      <c r="A228" s="83" t="s">
        <v>6</v>
      </c>
      <c r="B228" s="64" t="s">
        <v>324</v>
      </c>
      <c r="C228" s="129">
        <f>+C229-C232</f>
        <v>1857788</v>
      </c>
      <c r="D228" s="29">
        <f>+D229-D232</f>
        <v>2492294</v>
      </c>
      <c r="E228" s="1220">
        <f>+E229-E232</f>
        <v>10000</v>
      </c>
      <c r="F228" s="1061">
        <f>+F229-F232</f>
        <v>2653354</v>
      </c>
      <c r="G228" s="1061">
        <f>+G229-G232</f>
        <v>2653354</v>
      </c>
      <c r="H228" s="1294">
        <f t="shared" si="4"/>
        <v>1</v>
      </c>
    </row>
    <row r="229" spans="1:27">
      <c r="A229" s="84" t="s">
        <v>58</v>
      </c>
      <c r="B229" s="65" t="s">
        <v>325</v>
      </c>
      <c r="C229" s="398">
        <f>+C230+C231</f>
        <v>1857788</v>
      </c>
      <c r="D229" s="35">
        <f>+D230+D231</f>
        <v>2492294</v>
      </c>
      <c r="E229" s="1221">
        <f>+E230+E231</f>
        <v>10000</v>
      </c>
      <c r="F229" s="1062">
        <f>+F230+F231</f>
        <v>2653354</v>
      </c>
      <c r="G229" s="1062">
        <f>+G230+G231</f>
        <v>2653354</v>
      </c>
      <c r="H229" s="1295">
        <f t="shared" si="4"/>
        <v>1</v>
      </c>
      <c r="J229" s="3"/>
    </row>
    <row r="230" spans="1:27" s="13" customFormat="1">
      <c r="A230" s="86" t="s">
        <v>292</v>
      </c>
      <c r="B230" s="66" t="s">
        <v>290</v>
      </c>
      <c r="C230" s="394">
        <f>+C91+C95</f>
        <v>1857788</v>
      </c>
      <c r="D230" s="15">
        <f>+D91+D95</f>
        <v>2492294</v>
      </c>
      <c r="E230" s="1222">
        <f>+E91+E95</f>
        <v>0</v>
      </c>
      <c r="F230" s="1063">
        <f>+F91+F95</f>
        <v>2644032</v>
      </c>
      <c r="G230" s="1063">
        <f>+G91+G95</f>
        <v>2644032</v>
      </c>
      <c r="H230" s="1296">
        <f t="shared" si="4"/>
        <v>1</v>
      </c>
      <c r="J230" s="3"/>
    </row>
    <row r="231" spans="1:27" s="13" customFormat="1">
      <c r="A231" s="86" t="s">
        <v>293</v>
      </c>
      <c r="B231" s="66" t="s">
        <v>291</v>
      </c>
      <c r="C231" s="394">
        <f>+C89+C90+C92+C93+C94+C96</f>
        <v>0</v>
      </c>
      <c r="D231" s="15">
        <f>+D89+D90+D92+D93+D94+D96</f>
        <v>0</v>
      </c>
      <c r="E231" s="1222">
        <f>+E89+E90+E92+E93+E94+E96</f>
        <v>10000</v>
      </c>
      <c r="F231" s="1063">
        <f>+F89+F90+F92+F93+F94+F96</f>
        <v>9322</v>
      </c>
      <c r="G231" s="1063">
        <f>+G89+G90+G92+G93+G94+G96</f>
        <v>9322</v>
      </c>
      <c r="H231" s="1296">
        <f t="shared" si="4"/>
        <v>1</v>
      </c>
      <c r="J231" s="3"/>
    </row>
    <row r="232" spans="1:27">
      <c r="A232" s="85" t="s">
        <v>59</v>
      </c>
      <c r="B232" s="67" t="s">
        <v>326</v>
      </c>
      <c r="C232" s="396">
        <f>+C233+C234</f>
        <v>0</v>
      </c>
      <c r="D232" s="16">
        <f>+D233+D234</f>
        <v>0</v>
      </c>
      <c r="E232" s="1223">
        <f>+E233+E234</f>
        <v>0</v>
      </c>
      <c r="F232" s="1064">
        <f>+F233+F234</f>
        <v>0</v>
      </c>
      <c r="G232" s="1064">
        <f>+G233+G234</f>
        <v>0</v>
      </c>
      <c r="H232" s="1296" t="str">
        <f t="shared" si="4"/>
        <v>-</v>
      </c>
      <c r="J232" s="3"/>
    </row>
    <row r="233" spans="1:27" s="13" customFormat="1">
      <c r="A233" s="86" t="s">
        <v>294</v>
      </c>
      <c r="B233" s="66" t="s">
        <v>288</v>
      </c>
      <c r="C233" s="394">
        <f>+C200</f>
        <v>0</v>
      </c>
      <c r="D233" s="15">
        <f>+D200</f>
        <v>0</v>
      </c>
      <c r="E233" s="1222">
        <f>+E200</f>
        <v>0</v>
      </c>
      <c r="F233" s="1063">
        <f>+F200</f>
        <v>0</v>
      </c>
      <c r="G233" s="1063">
        <f>+G200</f>
        <v>0</v>
      </c>
      <c r="H233" s="1296" t="str">
        <f t="shared" si="4"/>
        <v>-</v>
      </c>
      <c r="J233" s="3"/>
    </row>
    <row r="234" spans="1:27" s="13" customFormat="1" ht="12.75" thickBot="1">
      <c r="A234" s="90" t="s">
        <v>295</v>
      </c>
      <c r="B234" s="75" t="s">
        <v>289</v>
      </c>
      <c r="C234" s="390">
        <f>+C195+C196+C197+C198+C199+C201+C202</f>
        <v>0</v>
      </c>
      <c r="D234" s="42">
        <f>+D195+D196+D197+D198+D199+D201+D202</f>
        <v>0</v>
      </c>
      <c r="E234" s="1234">
        <f>+E195+E196+E197+E198+E199+E201+E202</f>
        <v>0</v>
      </c>
      <c r="F234" s="1161">
        <f>+F195+F196+F197+F198+F199+F201+F202</f>
        <v>0</v>
      </c>
      <c r="G234" s="1161">
        <f>+G195+G196+G197+G198+G199+G201+G202</f>
        <v>0</v>
      </c>
      <c r="H234" s="1307" t="str">
        <f t="shared" si="4"/>
        <v>-</v>
      </c>
      <c r="J234" s="3"/>
    </row>
    <row r="235" spans="1:27">
      <c r="J235" s="3"/>
    </row>
    <row r="236" spans="1:27">
      <c r="J236" s="3"/>
    </row>
    <row r="237" spans="1:27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s="36" customFormat="1" ht="12.75" thickBot="1">
      <c r="A238" s="38" t="s">
        <v>283</v>
      </c>
      <c r="E238" s="37"/>
      <c r="F238" s="37"/>
      <c r="G238" s="37"/>
      <c r="H238" s="1290"/>
      <c r="J238" s="3"/>
    </row>
    <row r="239" spans="1:27" s="3" customFormat="1">
      <c r="A239" s="91" t="s">
        <v>4</v>
      </c>
      <c r="B239" s="76" t="s">
        <v>91</v>
      </c>
      <c r="C239" s="983">
        <v>214</v>
      </c>
      <c r="D239" s="984">
        <v>231</v>
      </c>
      <c r="E239" s="1235">
        <f>+'1.mell._Össz_Mérleg2020'!C239</f>
        <v>196</v>
      </c>
      <c r="F239" s="1162">
        <f>+'1.mell._Össz_Mérleg2020'!D239</f>
        <v>278</v>
      </c>
      <c r="G239" s="1162">
        <f>+'1.mell._Össz_Mérleg2020'!E239</f>
        <v>245</v>
      </c>
      <c r="H239" s="1304">
        <f>IF(ISERROR(G239/F239),"-",G239/F239)</f>
        <v>0.88129496402877694</v>
      </c>
    </row>
    <row r="240" spans="1:27" s="13" customFormat="1">
      <c r="A240" s="89" t="s">
        <v>350</v>
      </c>
      <c r="B240" s="99" t="s">
        <v>351</v>
      </c>
      <c r="C240" s="985">
        <v>19</v>
      </c>
      <c r="D240" s="986">
        <v>27</v>
      </c>
      <c r="E240" s="1236">
        <f>+'1.mell._Össz_Mérleg2020'!C240</f>
        <v>0</v>
      </c>
      <c r="F240" s="1163">
        <f>+'1.mell._Össz_Mérleg2020'!D240</f>
        <v>28</v>
      </c>
      <c r="G240" s="1163">
        <f>+'1.mell._Össz_Mérleg2020'!E240</f>
        <v>28</v>
      </c>
      <c r="H240" s="1298">
        <f>IF(ISERROR(G240/F240),"-",G240/F240)</f>
        <v>1</v>
      </c>
      <c r="J240" s="3"/>
    </row>
    <row r="241" spans="1:10" s="3" customFormat="1" ht="12.75" thickBot="1">
      <c r="A241" s="92" t="s">
        <v>5</v>
      </c>
      <c r="B241" s="77" t="s">
        <v>92</v>
      </c>
      <c r="C241" s="987">
        <v>164</v>
      </c>
      <c r="D241" s="988">
        <v>121</v>
      </c>
      <c r="E241" s="1237">
        <f>+'1.mell._Össz_Mérleg2020'!C241</f>
        <v>148</v>
      </c>
      <c r="F241" s="1164">
        <f>+'1.mell._Össz_Mérleg2020'!D241</f>
        <v>159</v>
      </c>
      <c r="G241" s="1164">
        <f>+'1.mell._Össz_Mérleg2020'!E241</f>
        <v>106</v>
      </c>
      <c r="H241" s="1312">
        <f>IF(ISERROR(G241/F241),"-",G241/F241)</f>
        <v>0.66666666666666663</v>
      </c>
    </row>
    <row r="242" spans="1:10" s="3" customFormat="1" ht="12.75" thickBot="1">
      <c r="A242" s="83" t="s">
        <v>6</v>
      </c>
      <c r="B242" s="69" t="s">
        <v>329</v>
      </c>
      <c r="C242" s="989">
        <f>+C239+C241</f>
        <v>378</v>
      </c>
      <c r="D242" s="990">
        <f>+D239+D241</f>
        <v>352</v>
      </c>
      <c r="E242" s="1238">
        <f>+E239+E241</f>
        <v>344</v>
      </c>
      <c r="F242" s="1165">
        <f>+F239+F241</f>
        <v>437</v>
      </c>
      <c r="G242" s="1165">
        <f>+G239+G241</f>
        <v>351</v>
      </c>
      <c r="H242" s="1294">
        <f>IF(ISERROR(G242/F242),"-",G242/F242)</f>
        <v>0.80320366132723109</v>
      </c>
    </row>
    <row r="243" spans="1:10">
      <c r="J243" s="3"/>
    </row>
    <row r="244" spans="1:10" hidden="1">
      <c r="C244" s="4">
        <f>+C214+C221</f>
        <v>608587</v>
      </c>
      <c r="D244" s="4">
        <f>+D214+D221</f>
        <v>686696</v>
      </c>
      <c r="E244" s="4">
        <f>+E214+E221</f>
        <v>420254</v>
      </c>
      <c r="F244" s="4">
        <f>+F214+F221</f>
        <v>-1572874</v>
      </c>
      <c r="G244" s="4">
        <f>+G214+G221</f>
        <v>690744</v>
      </c>
      <c r="J244" s="3"/>
    </row>
    <row r="245" spans="1:10" hidden="1">
      <c r="C245" s="4">
        <f>+C215+C228</f>
        <v>2492294</v>
      </c>
      <c r="D245" s="4">
        <f>+D215+D228</f>
        <v>2644032</v>
      </c>
      <c r="E245" s="4">
        <f>+E215+E228</f>
        <v>-420254</v>
      </c>
      <c r="F245" s="4">
        <f>+F215+F228</f>
        <v>1572874</v>
      </c>
      <c r="G245" s="4">
        <f>+G215+G228</f>
        <v>1707538</v>
      </c>
      <c r="J245" s="3"/>
    </row>
    <row r="246" spans="1:10">
      <c r="J246" s="3"/>
    </row>
    <row r="247" spans="1:10">
      <c r="J247" s="3"/>
    </row>
    <row r="248" spans="1:10">
      <c r="J248" s="3"/>
    </row>
    <row r="249" spans="1:10">
      <c r="J249" s="3"/>
    </row>
    <row r="250" spans="1:10">
      <c r="J250" s="3"/>
    </row>
    <row r="251" spans="1:10">
      <c r="J251" s="3"/>
    </row>
    <row r="252" spans="1:10">
      <c r="J252" s="3"/>
    </row>
    <row r="253" spans="1:10">
      <c r="J253" s="3"/>
    </row>
    <row r="254" spans="1:10">
      <c r="J254" s="3"/>
    </row>
    <row r="255" spans="1:10">
      <c r="J255" s="3"/>
    </row>
    <row r="256" spans="1:10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J137"/>
  <sheetViews>
    <sheetView zoomScaleNormal="100" workbookViewId="0"/>
  </sheetViews>
  <sheetFormatPr defaultColWidth="71.140625" defaultRowHeight="12"/>
  <cols>
    <col min="1" max="1" width="6.28515625" style="565" customWidth="1"/>
    <col min="2" max="2" width="3.85546875" style="806" hidden="1" customWidth="1"/>
    <col min="3" max="3" width="87.85546875" style="425" customWidth="1"/>
    <col min="4" max="7" width="13.28515625" style="425" customWidth="1"/>
    <col min="8" max="8" width="9" style="425" customWidth="1"/>
    <col min="9" max="10" width="9" style="425" hidden="1" customWidth="1"/>
    <col min="11" max="11" width="9" style="425" customWidth="1"/>
    <col min="12" max="23" width="11.42578125" style="425" customWidth="1"/>
    <col min="24" max="16384" width="71.140625" style="425"/>
  </cols>
  <sheetData>
    <row r="1" spans="1:7" s="562" customFormat="1" ht="15.75">
      <c r="A1" s="560"/>
      <c r="B1" s="800"/>
      <c r="C1" s="561"/>
      <c r="D1" s="188"/>
      <c r="E1" s="188"/>
      <c r="F1" s="188"/>
      <c r="G1" s="188" t="s">
        <v>478</v>
      </c>
    </row>
    <row r="2" spans="1:7" s="562" customFormat="1" ht="15.75">
      <c r="A2" s="560"/>
      <c r="B2" s="800"/>
      <c r="C2" s="561"/>
      <c r="D2" s="414"/>
      <c r="E2" s="414"/>
      <c r="F2" s="414"/>
      <c r="G2" s="414"/>
    </row>
    <row r="3" spans="1:7" s="562" customFormat="1" ht="15.75">
      <c r="A3" s="1849" t="s">
        <v>1431</v>
      </c>
      <c r="B3" s="1849"/>
      <c r="C3" s="1849"/>
      <c r="D3" s="1849"/>
      <c r="E3" s="1849"/>
      <c r="F3" s="1849"/>
      <c r="G3" s="1849"/>
    </row>
    <row r="4" spans="1:7">
      <c r="A4" s="563"/>
      <c r="B4" s="801"/>
      <c r="C4" s="409"/>
      <c r="D4" s="409"/>
      <c r="E4" s="409"/>
      <c r="F4" s="409"/>
      <c r="G4" s="409"/>
    </row>
    <row r="5" spans="1:7" ht="12.75" thickBot="1">
      <c r="A5" s="563"/>
      <c r="B5" s="801"/>
      <c r="C5" s="410"/>
      <c r="D5" s="350"/>
      <c r="E5" s="350"/>
      <c r="F5" s="350"/>
      <c r="G5" s="350" t="s">
        <v>553</v>
      </c>
    </row>
    <row r="6" spans="1:7" ht="36.75" thickBot="1">
      <c r="A6" s="1750" t="s">
        <v>17</v>
      </c>
      <c r="B6" s="799" t="s">
        <v>1038</v>
      </c>
      <c r="C6" s="407" t="s">
        <v>541</v>
      </c>
      <c r="D6" s="6" t="s">
        <v>1540</v>
      </c>
      <c r="E6" s="6" t="s">
        <v>1541</v>
      </c>
      <c r="F6" s="6" t="s">
        <v>2654</v>
      </c>
      <c r="G6" s="1291" t="s">
        <v>1558</v>
      </c>
    </row>
    <row r="7" spans="1:7" ht="13.5" customHeight="1" thickBot="1">
      <c r="A7" s="1746" t="s">
        <v>542</v>
      </c>
      <c r="B7" s="793"/>
      <c r="C7" s="1748">
        <v>2</v>
      </c>
      <c r="D7" s="1853">
        <v>3</v>
      </c>
      <c r="E7" s="1854"/>
      <c r="F7" s="1854"/>
      <c r="G7" s="1855"/>
    </row>
    <row r="8" spans="1:7" ht="12.75" thickBot="1">
      <c r="A8" s="1850" t="s">
        <v>585</v>
      </c>
      <c r="B8" s="1851"/>
      <c r="C8" s="1851"/>
      <c r="D8" s="1851"/>
      <c r="E8" s="1851"/>
      <c r="F8" s="1851"/>
      <c r="G8" s="1852"/>
    </row>
    <row r="9" spans="1:7">
      <c r="A9" s="423" t="s">
        <v>4</v>
      </c>
      <c r="B9" s="798"/>
      <c r="C9" s="424" t="s">
        <v>554</v>
      </c>
      <c r="D9" s="1239">
        <f>+D10+D11+D16+D18+D19+D20+D21</f>
        <v>219791570</v>
      </c>
      <c r="E9" s="1249">
        <f>+E10+E11+E16+E18+E19+E20+E21</f>
        <v>246918976</v>
      </c>
      <c r="F9" s="1249">
        <f>+F10+F11+F16+F18+F19+F20+F21</f>
        <v>246918976</v>
      </c>
      <c r="G9" s="1372">
        <f t="shared" ref="G9:G70" si="0">IF(ISERROR(F9/E9),"-",F9/E9)</f>
        <v>1</v>
      </c>
    </row>
    <row r="10" spans="1:7">
      <c r="A10" s="344" t="s">
        <v>555</v>
      </c>
      <c r="B10" s="792">
        <v>12</v>
      </c>
      <c r="C10" s="418" t="s">
        <v>1108</v>
      </c>
      <c r="D10" s="1240">
        <f>ROUND(31.87*4580000,0)</f>
        <v>145964600</v>
      </c>
      <c r="E10" s="1240">
        <f>172383500+790750</f>
        <v>173174250</v>
      </c>
      <c r="F10" s="1240">
        <f>172383500+790750</f>
        <v>173174250</v>
      </c>
      <c r="G10" s="1372">
        <f t="shared" si="0"/>
        <v>1</v>
      </c>
    </row>
    <row r="11" spans="1:7">
      <c r="A11" s="344" t="s">
        <v>556</v>
      </c>
      <c r="B11" s="792"/>
      <c r="C11" s="418" t="s">
        <v>1432</v>
      </c>
      <c r="D11" s="1240">
        <f>+D12+D13+D14+D15</f>
        <v>60244390</v>
      </c>
      <c r="E11" s="1240">
        <f>+E12+E13+E14+E15</f>
        <v>60244390</v>
      </c>
      <c r="F11" s="1240">
        <f>+F12+F13+F14+F15</f>
        <v>60244390</v>
      </c>
      <c r="G11" s="1372">
        <f t="shared" si="0"/>
        <v>1</v>
      </c>
    </row>
    <row r="12" spans="1:7" s="564" customFormat="1">
      <c r="A12" s="411" t="s">
        <v>557</v>
      </c>
      <c r="B12" s="802">
        <v>4</v>
      </c>
      <c r="C12" s="417" t="s">
        <v>1433</v>
      </c>
      <c r="D12" s="1241">
        <v>15266160</v>
      </c>
      <c r="E12" s="1241">
        <v>15266160</v>
      </c>
      <c r="F12" s="1241">
        <v>15266160</v>
      </c>
      <c r="G12" s="1372">
        <f t="shared" si="0"/>
        <v>1</v>
      </c>
    </row>
    <row r="13" spans="1:7" s="564" customFormat="1">
      <c r="A13" s="411" t="s">
        <v>558</v>
      </c>
      <c r="B13" s="802">
        <v>3</v>
      </c>
      <c r="C13" s="417" t="s">
        <v>1434</v>
      </c>
      <c r="D13" s="1241">
        <v>26600000</v>
      </c>
      <c r="E13" s="1241">
        <v>26600000</v>
      </c>
      <c r="F13" s="1241">
        <v>26600000</v>
      </c>
      <c r="G13" s="1372">
        <f t="shared" si="0"/>
        <v>1</v>
      </c>
    </row>
    <row r="14" spans="1:7" s="564" customFormat="1">
      <c r="A14" s="411" t="s">
        <v>559</v>
      </c>
      <c r="B14" s="802">
        <v>2</v>
      </c>
      <c r="C14" s="417" t="s">
        <v>1435</v>
      </c>
      <c r="D14" s="1241">
        <v>3460080</v>
      </c>
      <c r="E14" s="1241">
        <v>3460080</v>
      </c>
      <c r="F14" s="1241">
        <v>3460080</v>
      </c>
      <c r="G14" s="1372">
        <f t="shared" si="0"/>
        <v>1</v>
      </c>
    </row>
    <row r="15" spans="1:7" s="564" customFormat="1">
      <c r="A15" s="411" t="s">
        <v>560</v>
      </c>
      <c r="B15" s="802">
        <v>5</v>
      </c>
      <c r="C15" s="417" t="s">
        <v>1436</v>
      </c>
      <c r="D15" s="1241">
        <v>14918150</v>
      </c>
      <c r="E15" s="1241">
        <v>14918150</v>
      </c>
      <c r="F15" s="1241">
        <v>14918150</v>
      </c>
      <c r="G15" s="1372">
        <f t="shared" si="0"/>
        <v>1</v>
      </c>
    </row>
    <row r="16" spans="1:7" s="564" customFormat="1">
      <c r="A16" s="411" t="s">
        <v>561</v>
      </c>
      <c r="B16" s="802">
        <v>8</v>
      </c>
      <c r="C16" s="817" t="s">
        <v>562</v>
      </c>
      <c r="D16" s="1240">
        <v>28503900</v>
      </c>
      <c r="E16" s="1240">
        <f>28503900</f>
        <v>28503900</v>
      </c>
      <c r="F16" s="1240">
        <f>28503900</f>
        <v>28503900</v>
      </c>
      <c r="G16" s="1372">
        <f t="shared" si="0"/>
        <v>1</v>
      </c>
    </row>
    <row r="17" spans="1:10" s="564" customFormat="1">
      <c r="A17" s="911"/>
      <c r="B17" s="802"/>
      <c r="C17" s="910" t="s">
        <v>1438</v>
      </c>
      <c r="D17" s="1242">
        <f>+D16+D20</f>
        <v>12512680</v>
      </c>
      <c r="E17" s="1242">
        <f>+E16+E20</f>
        <v>12512680</v>
      </c>
      <c r="F17" s="1242">
        <f>+F16+F20</f>
        <v>12512680</v>
      </c>
      <c r="G17" s="1373">
        <f t="shared" si="0"/>
        <v>1</v>
      </c>
    </row>
    <row r="18" spans="1:10">
      <c r="A18" s="344" t="s">
        <v>563</v>
      </c>
      <c r="B18" s="792">
        <v>8</v>
      </c>
      <c r="C18" s="418" t="s">
        <v>26</v>
      </c>
      <c r="D18" s="1240">
        <v>943500</v>
      </c>
      <c r="E18" s="1240">
        <v>943500</v>
      </c>
      <c r="F18" s="1240">
        <v>943500</v>
      </c>
      <c r="G18" s="1372">
        <f t="shared" si="0"/>
        <v>1</v>
      </c>
    </row>
    <row r="19" spans="1:10">
      <c r="A19" s="344" t="s">
        <v>566</v>
      </c>
      <c r="B19" s="792">
        <v>8</v>
      </c>
      <c r="C19" s="418" t="s">
        <v>27</v>
      </c>
      <c r="D19" s="1240">
        <v>126400</v>
      </c>
      <c r="E19" s="1240">
        <f>44156</f>
        <v>44156</v>
      </c>
      <c r="F19" s="1240">
        <f>44156</f>
        <v>44156</v>
      </c>
      <c r="G19" s="1372">
        <f t="shared" si="0"/>
        <v>1</v>
      </c>
    </row>
    <row r="20" spans="1:10">
      <c r="A20" s="908" t="s">
        <v>567</v>
      </c>
      <c r="B20" s="909">
        <v>8</v>
      </c>
      <c r="C20" s="419" t="s">
        <v>1437</v>
      </c>
      <c r="D20" s="1243">
        <v>-15991220</v>
      </c>
      <c r="E20" s="1243">
        <v>-15991220</v>
      </c>
      <c r="F20" s="1243">
        <v>-15991220</v>
      </c>
      <c r="G20" s="1372">
        <f t="shared" si="0"/>
        <v>1</v>
      </c>
    </row>
    <row r="21" spans="1:10">
      <c r="A21" s="908" t="s">
        <v>568</v>
      </c>
      <c r="B21" s="909">
        <v>8</v>
      </c>
      <c r="C21" s="419" t="s">
        <v>1439</v>
      </c>
      <c r="D21" s="1243"/>
      <c r="E21" s="1243"/>
      <c r="F21" s="1243"/>
      <c r="G21" s="1372" t="str">
        <f t="shared" si="0"/>
        <v>-</v>
      </c>
    </row>
    <row r="22" spans="1:10">
      <c r="A22" s="423" t="s">
        <v>5</v>
      </c>
      <c r="B22" s="798"/>
      <c r="C22" s="424" t="s">
        <v>564</v>
      </c>
      <c r="D22" s="1239"/>
      <c r="E22" s="1239"/>
      <c r="F22" s="1239"/>
      <c r="G22" s="1372" t="str">
        <f t="shared" si="0"/>
        <v>-</v>
      </c>
    </row>
    <row r="23" spans="1:10">
      <c r="A23" s="344" t="s">
        <v>6</v>
      </c>
      <c r="B23" s="792"/>
      <c r="C23" s="406" t="s">
        <v>978</v>
      </c>
      <c r="D23" s="1240"/>
      <c r="E23" s="1240"/>
      <c r="F23" s="1240"/>
      <c r="G23" s="1372" t="str">
        <f t="shared" si="0"/>
        <v>-</v>
      </c>
    </row>
    <row r="24" spans="1:10">
      <c r="A24" s="344" t="s">
        <v>3</v>
      </c>
      <c r="B24" s="792"/>
      <c r="C24" s="406" t="s">
        <v>977</v>
      </c>
      <c r="D24" s="1240"/>
      <c r="E24" s="1240"/>
      <c r="F24" s="1240"/>
      <c r="G24" s="1372" t="str">
        <f t="shared" si="0"/>
        <v>-</v>
      </c>
    </row>
    <row r="25" spans="1:10" ht="12.75" thickBot="1">
      <c r="A25" s="344" t="s">
        <v>16</v>
      </c>
      <c r="B25" s="792">
        <v>1</v>
      </c>
      <c r="C25" s="406" t="s">
        <v>1170</v>
      </c>
      <c r="D25" s="1240">
        <v>1793900</v>
      </c>
      <c r="E25" s="1240">
        <v>1793900</v>
      </c>
      <c r="F25" s="1240">
        <v>1793900</v>
      </c>
      <c r="G25" s="1372">
        <f t="shared" si="0"/>
        <v>1</v>
      </c>
    </row>
    <row r="26" spans="1:10" ht="12.75" thickBot="1">
      <c r="A26" s="415" t="s">
        <v>23</v>
      </c>
      <c r="B26" s="803"/>
      <c r="C26" s="405" t="s">
        <v>1440</v>
      </c>
      <c r="D26" s="1244">
        <f>+D9+D22+D23+D24+D25</f>
        <v>221585470</v>
      </c>
      <c r="E26" s="1244">
        <f>+E9+E22+E23+E24+E25</f>
        <v>248712876</v>
      </c>
      <c r="F26" s="1244">
        <f>+F9+F22+F23+F24+F25</f>
        <v>248712876</v>
      </c>
      <c r="G26" s="1350">
        <f t="shared" si="0"/>
        <v>1</v>
      </c>
      <c r="I26" s="574">
        <f>+'1.mell._Össz_Mérleg2020'!E13</f>
        <v>249155</v>
      </c>
      <c r="J26" s="574">
        <f>+ROUND(F26/1000,0)-I26</f>
        <v>-442</v>
      </c>
    </row>
    <row r="27" spans="1:10">
      <c r="A27" s="412" t="s">
        <v>4</v>
      </c>
      <c r="B27" s="790"/>
      <c r="C27" s="403" t="s">
        <v>1297</v>
      </c>
      <c r="D27" s="1245">
        <f>144696650+52800000</f>
        <v>197496650</v>
      </c>
      <c r="E27" s="1245">
        <f>148193850+52800000+18024733</f>
        <v>219018583</v>
      </c>
      <c r="F27" s="1245">
        <f>148193850+52800000+18024733</f>
        <v>219018583</v>
      </c>
      <c r="G27" s="1372">
        <f t="shared" si="0"/>
        <v>1</v>
      </c>
    </row>
    <row r="28" spans="1:10">
      <c r="A28" s="347" t="s">
        <v>5</v>
      </c>
      <c r="B28" s="790"/>
      <c r="C28" s="402" t="s">
        <v>543</v>
      </c>
      <c r="D28" s="1243">
        <v>36398380</v>
      </c>
      <c r="E28" s="1243">
        <v>36427600</v>
      </c>
      <c r="F28" s="1243">
        <v>36427600</v>
      </c>
      <c r="G28" s="1372">
        <f t="shared" si="0"/>
        <v>1</v>
      </c>
    </row>
    <row r="29" spans="1:10">
      <c r="A29" s="347" t="s">
        <v>6</v>
      </c>
      <c r="B29" s="790"/>
      <c r="C29" s="402" t="s">
        <v>544</v>
      </c>
      <c r="D29" s="1243"/>
      <c r="E29" s="1243"/>
      <c r="F29" s="1243"/>
      <c r="G29" s="1372" t="str">
        <f t="shared" si="0"/>
        <v>-</v>
      </c>
    </row>
    <row r="30" spans="1:10" ht="24">
      <c r="A30" s="347" t="s">
        <v>3</v>
      </c>
      <c r="B30" s="790"/>
      <c r="C30" s="402" t="s">
        <v>1171</v>
      </c>
      <c r="D30" s="1243">
        <f>3173600+1447300</f>
        <v>4620900</v>
      </c>
      <c r="E30" s="1243">
        <f>2737230+363642+578920</f>
        <v>3679792</v>
      </c>
      <c r="F30" s="1243">
        <f>2737230+363642+578920</f>
        <v>3679792</v>
      </c>
      <c r="G30" s="1372">
        <f t="shared" si="0"/>
        <v>1</v>
      </c>
    </row>
    <row r="31" spans="1:10" ht="12.75" thickBot="1">
      <c r="A31" s="347" t="s">
        <v>16</v>
      </c>
      <c r="B31" s="790"/>
      <c r="C31" s="402" t="s">
        <v>1299</v>
      </c>
      <c r="D31" s="1243"/>
      <c r="E31" s="1243"/>
      <c r="F31" s="1243"/>
      <c r="G31" s="1372" t="str">
        <f t="shared" si="0"/>
        <v>-</v>
      </c>
    </row>
    <row r="32" spans="1:10" ht="12.75" thickBot="1">
      <c r="A32" s="415" t="s">
        <v>22</v>
      </c>
      <c r="B32" s="803">
        <v>19</v>
      </c>
      <c r="C32" s="405" t="s">
        <v>1298</v>
      </c>
      <c r="D32" s="1244">
        <f>+D27+D28+D29+D30+D31</f>
        <v>238515930</v>
      </c>
      <c r="E32" s="1244">
        <f>+E27+E28+E29+E30+E31</f>
        <v>259125975</v>
      </c>
      <c r="F32" s="1244">
        <f>+F27+F28+F29+F30+F31</f>
        <v>259125975</v>
      </c>
      <c r="G32" s="1350">
        <f t="shared" si="0"/>
        <v>1</v>
      </c>
      <c r="I32" s="574">
        <f>+'1.mell._Össz_Mérleg2020'!E14</f>
        <v>259126</v>
      </c>
      <c r="J32" s="574">
        <f>+ROUND(F32/1000,0)-I32</f>
        <v>0</v>
      </c>
    </row>
    <row r="33" spans="1:7">
      <c r="A33" s="347" t="s">
        <v>4</v>
      </c>
      <c r="B33" s="791">
        <v>6</v>
      </c>
      <c r="C33" s="402" t="s">
        <v>979</v>
      </c>
      <c r="D33" s="1243">
        <v>119888998</v>
      </c>
      <c r="E33" s="1243">
        <v>119888998</v>
      </c>
      <c r="F33" s="1243">
        <v>119888998</v>
      </c>
      <c r="G33" s="1372">
        <f t="shared" si="0"/>
        <v>1</v>
      </c>
    </row>
    <row r="34" spans="1:7">
      <c r="A34" s="347" t="s">
        <v>5</v>
      </c>
      <c r="B34" s="791"/>
      <c r="C34" s="402" t="s">
        <v>545</v>
      </c>
      <c r="D34" s="1243">
        <f>+D35+D36+D37+D38+D41+D42+D43+D44+D45+D46+D47+D48+D49+D50</f>
        <v>73898586</v>
      </c>
      <c r="E34" s="1243">
        <f>+E35+E36+E37+E38+E41+E42+E43+E44+E45+E46+E47+E48+E49+E50</f>
        <v>85963586</v>
      </c>
      <c r="F34" s="1243">
        <f>+F35+F36+F37+F38+F41+F42+F43+F44+F45+F46+F47+F48+F49+F50</f>
        <v>85963586</v>
      </c>
      <c r="G34" s="1372">
        <f t="shared" si="0"/>
        <v>1</v>
      </c>
    </row>
    <row r="35" spans="1:7">
      <c r="A35" s="347" t="s">
        <v>565</v>
      </c>
      <c r="B35" s="791">
        <v>32</v>
      </c>
      <c r="C35" s="419" t="s">
        <v>980</v>
      </c>
      <c r="D35" s="1243">
        <v>25500000</v>
      </c>
      <c r="E35" s="1243">
        <f>32130000+2882500</f>
        <v>35012500</v>
      </c>
      <c r="F35" s="1243">
        <f>32130000+2882500</f>
        <v>35012500</v>
      </c>
      <c r="G35" s="1372">
        <f t="shared" si="0"/>
        <v>1</v>
      </c>
    </row>
    <row r="36" spans="1:7">
      <c r="A36" s="347" t="s">
        <v>556</v>
      </c>
      <c r="B36" s="791">
        <v>32</v>
      </c>
      <c r="C36" s="419" t="s">
        <v>981</v>
      </c>
      <c r="D36" s="1243">
        <v>29040000</v>
      </c>
      <c r="E36" s="1243">
        <f>28710000+2882500</f>
        <v>31592500</v>
      </c>
      <c r="F36" s="1243">
        <f>28710000+2882500</f>
        <v>31592500</v>
      </c>
      <c r="G36" s="1372">
        <f t="shared" si="0"/>
        <v>1</v>
      </c>
    </row>
    <row r="37" spans="1:7">
      <c r="A37" s="347" t="s">
        <v>561</v>
      </c>
      <c r="B37" s="791"/>
      <c r="C37" s="419" t="s">
        <v>546</v>
      </c>
      <c r="D37" s="1243"/>
      <c r="E37" s="1243"/>
      <c r="F37" s="1243"/>
      <c r="G37" s="1372" t="str">
        <f t="shared" si="0"/>
        <v>-</v>
      </c>
    </row>
    <row r="38" spans="1:7">
      <c r="A38" s="347" t="s">
        <v>563</v>
      </c>
      <c r="B38" s="791"/>
      <c r="C38" s="419" t="s">
        <v>547</v>
      </c>
      <c r="D38" s="1243">
        <f>+D39+D40</f>
        <v>0</v>
      </c>
      <c r="E38" s="1243">
        <f>+E39+E40</f>
        <v>0</v>
      </c>
      <c r="F38" s="1243">
        <f>+F39+F40</f>
        <v>0</v>
      </c>
      <c r="G38" s="1372" t="str">
        <f t="shared" si="0"/>
        <v>-</v>
      </c>
    </row>
    <row r="39" spans="1:7" s="564" customFormat="1">
      <c r="A39" s="413" t="s">
        <v>1109</v>
      </c>
      <c r="B39" s="804"/>
      <c r="C39" s="420" t="s">
        <v>1111</v>
      </c>
      <c r="D39" s="1246"/>
      <c r="E39" s="1246"/>
      <c r="F39" s="1246"/>
      <c r="G39" s="1372" t="str">
        <f t="shared" si="0"/>
        <v>-</v>
      </c>
    </row>
    <row r="40" spans="1:7" s="564" customFormat="1">
      <c r="A40" s="413" t="s">
        <v>1110</v>
      </c>
      <c r="B40" s="804"/>
      <c r="C40" s="420" t="s">
        <v>1112</v>
      </c>
      <c r="D40" s="1246"/>
      <c r="E40" s="1246"/>
      <c r="F40" s="1246"/>
      <c r="G40" s="1372" t="str">
        <f t="shared" si="0"/>
        <v>-</v>
      </c>
    </row>
    <row r="41" spans="1:7">
      <c r="A41" s="347" t="s">
        <v>566</v>
      </c>
      <c r="B41" s="791"/>
      <c r="C41" s="419" t="s">
        <v>548</v>
      </c>
      <c r="D41" s="1243"/>
      <c r="E41" s="1243"/>
      <c r="F41" s="1243"/>
      <c r="G41" s="1372" t="str">
        <f t="shared" si="0"/>
        <v>-</v>
      </c>
    </row>
    <row r="42" spans="1:7">
      <c r="A42" s="347" t="s">
        <v>567</v>
      </c>
      <c r="B42" s="791"/>
      <c r="C42" s="419" t="s">
        <v>549</v>
      </c>
      <c r="D42" s="1243"/>
      <c r="E42" s="1243"/>
      <c r="F42" s="1243"/>
      <c r="G42" s="1372" t="str">
        <f t="shared" si="0"/>
        <v>-</v>
      </c>
    </row>
    <row r="43" spans="1:7">
      <c r="A43" s="347" t="s">
        <v>568</v>
      </c>
      <c r="B43" s="791"/>
      <c r="C43" s="419" t="s">
        <v>550</v>
      </c>
      <c r="D43" s="1243"/>
      <c r="E43" s="1243"/>
      <c r="F43" s="1243"/>
      <c r="G43" s="1372" t="str">
        <f t="shared" si="0"/>
        <v>-</v>
      </c>
    </row>
    <row r="44" spans="1:7">
      <c r="A44" s="347" t="s">
        <v>569</v>
      </c>
      <c r="B44" s="791"/>
      <c r="C44" s="419" t="s">
        <v>570</v>
      </c>
      <c r="D44" s="1243"/>
      <c r="E44" s="1243"/>
      <c r="F44" s="1243"/>
      <c r="G44" s="1372" t="str">
        <f t="shared" si="0"/>
        <v>-</v>
      </c>
    </row>
    <row r="45" spans="1:7">
      <c r="A45" s="347" t="s">
        <v>571</v>
      </c>
      <c r="B45" s="791"/>
      <c r="C45" s="419" t="s">
        <v>551</v>
      </c>
      <c r="D45" s="1243"/>
      <c r="E45" s="1243"/>
      <c r="F45" s="1243"/>
      <c r="G45" s="1372" t="str">
        <f t="shared" si="0"/>
        <v>-</v>
      </c>
    </row>
    <row r="46" spans="1:7">
      <c r="A46" s="347" t="s">
        <v>572</v>
      </c>
      <c r="B46" s="791"/>
      <c r="C46" s="419" t="s">
        <v>1113</v>
      </c>
      <c r="D46" s="1243"/>
      <c r="E46" s="1243"/>
      <c r="F46" s="1243"/>
      <c r="G46" s="1372" t="str">
        <f t="shared" si="0"/>
        <v>-</v>
      </c>
    </row>
    <row r="47" spans="1:7">
      <c r="A47" s="347" t="s">
        <v>574</v>
      </c>
      <c r="B47" s="791"/>
      <c r="C47" s="419" t="s">
        <v>575</v>
      </c>
      <c r="D47" s="1243"/>
      <c r="E47" s="1243"/>
      <c r="F47" s="1243"/>
      <c r="G47" s="1372" t="str">
        <f t="shared" si="0"/>
        <v>-</v>
      </c>
    </row>
    <row r="48" spans="1:7">
      <c r="A48" s="347" t="s">
        <v>576</v>
      </c>
      <c r="B48" s="791"/>
      <c r="C48" s="419" t="s">
        <v>1114</v>
      </c>
      <c r="D48" s="1243"/>
      <c r="E48" s="1243"/>
      <c r="F48" s="1243"/>
      <c r="G48" s="1372" t="str">
        <f t="shared" si="0"/>
        <v>-</v>
      </c>
    </row>
    <row r="49" spans="1:10">
      <c r="A49" s="347" t="s">
        <v>1115</v>
      </c>
      <c r="B49" s="791"/>
      <c r="C49" s="419" t="s">
        <v>1116</v>
      </c>
      <c r="D49" s="1243"/>
      <c r="E49" s="1243"/>
      <c r="F49" s="1243"/>
      <c r="G49" s="1372" t="str">
        <f t="shared" si="0"/>
        <v>-</v>
      </c>
    </row>
    <row r="50" spans="1:10">
      <c r="A50" s="347" t="s">
        <v>1173</v>
      </c>
      <c r="B50" s="791">
        <v>32</v>
      </c>
      <c r="C50" s="419" t="s">
        <v>1172</v>
      </c>
      <c r="D50" s="1243">
        <v>19358586</v>
      </c>
      <c r="E50" s="1243">
        <v>19358586</v>
      </c>
      <c r="F50" s="1243">
        <v>19358586</v>
      </c>
      <c r="G50" s="1372">
        <f t="shared" si="0"/>
        <v>1</v>
      </c>
    </row>
    <row r="51" spans="1:10">
      <c r="A51" s="347" t="s">
        <v>6</v>
      </c>
      <c r="B51" s="791">
        <v>21</v>
      </c>
      <c r="C51" s="402" t="s">
        <v>1174</v>
      </c>
      <c r="D51" s="1243">
        <f>+D52+D53</f>
        <v>23729500</v>
      </c>
      <c r="E51" s="1243">
        <f>+E52+E53</f>
        <v>31525000</v>
      </c>
      <c r="F51" s="1243">
        <f>+F52+F53</f>
        <v>31525000</v>
      </c>
      <c r="G51" s="1372">
        <f t="shared" si="0"/>
        <v>1</v>
      </c>
    </row>
    <row r="52" spans="1:10">
      <c r="A52" s="347" t="s">
        <v>565</v>
      </c>
      <c r="B52" s="791"/>
      <c r="C52" s="419" t="s">
        <v>577</v>
      </c>
      <c r="D52" s="1243">
        <v>19454500</v>
      </c>
      <c r="E52" s="1243">
        <f>4419000+19454500+862500+3225000</f>
        <v>27961000</v>
      </c>
      <c r="F52" s="1243">
        <f>4419000+19454500+862500+3225000</f>
        <v>27961000</v>
      </c>
      <c r="G52" s="1372">
        <f t="shared" si="0"/>
        <v>1</v>
      </c>
    </row>
    <row r="53" spans="1:10">
      <c r="A53" s="347" t="s">
        <v>556</v>
      </c>
      <c r="B53" s="791"/>
      <c r="C53" s="419" t="s">
        <v>1175</v>
      </c>
      <c r="D53" s="1243">
        <v>4275000</v>
      </c>
      <c r="E53" s="1243">
        <v>3564000</v>
      </c>
      <c r="F53" s="1243">
        <v>3564000</v>
      </c>
      <c r="G53" s="1372">
        <f t="shared" si="0"/>
        <v>1</v>
      </c>
    </row>
    <row r="54" spans="1:10" ht="24">
      <c r="A54" s="347" t="s">
        <v>3</v>
      </c>
      <c r="B54" s="791"/>
      <c r="C54" s="402" t="s">
        <v>982</v>
      </c>
      <c r="D54" s="1243">
        <f>+D55+D56</f>
        <v>0</v>
      </c>
      <c r="E54" s="1243">
        <f>+E55+E56</f>
        <v>0</v>
      </c>
      <c r="F54" s="1243">
        <f>+F55+F56</f>
        <v>0</v>
      </c>
      <c r="G54" s="1372" t="str">
        <f t="shared" si="0"/>
        <v>-</v>
      </c>
    </row>
    <row r="55" spans="1:10">
      <c r="A55" s="347" t="s">
        <v>565</v>
      </c>
      <c r="B55" s="791"/>
      <c r="C55" s="419" t="s">
        <v>577</v>
      </c>
      <c r="D55" s="1243"/>
      <c r="E55" s="1243"/>
      <c r="F55" s="1243"/>
      <c r="G55" s="1372" t="str">
        <f t="shared" si="0"/>
        <v>-</v>
      </c>
    </row>
    <row r="56" spans="1:10">
      <c r="A56" s="347" t="s">
        <v>556</v>
      </c>
      <c r="B56" s="791"/>
      <c r="C56" s="419" t="s">
        <v>578</v>
      </c>
      <c r="D56" s="1243"/>
      <c r="E56" s="1243"/>
      <c r="F56" s="1243"/>
      <c r="G56" s="1372" t="str">
        <f t="shared" si="0"/>
        <v>-</v>
      </c>
    </row>
    <row r="57" spans="1:10">
      <c r="A57" s="347" t="s">
        <v>16</v>
      </c>
      <c r="B57" s="791"/>
      <c r="C57" s="402" t="s">
        <v>1304</v>
      </c>
      <c r="D57" s="1243">
        <f>+D58+D61</f>
        <v>70329187</v>
      </c>
      <c r="E57" s="1243">
        <f>+E58+E61</f>
        <v>81670860</v>
      </c>
      <c r="F57" s="1243">
        <f>+F58+F61</f>
        <v>81670860</v>
      </c>
      <c r="G57" s="1372">
        <f t="shared" si="0"/>
        <v>1</v>
      </c>
    </row>
    <row r="58" spans="1:10">
      <c r="A58" s="347" t="s">
        <v>565</v>
      </c>
      <c r="B58" s="791">
        <v>20</v>
      </c>
      <c r="C58" s="419" t="s">
        <v>1301</v>
      </c>
      <c r="D58" s="1243">
        <f>+D59+D60</f>
        <v>67762275</v>
      </c>
      <c r="E58" s="1243">
        <f>+E59+E60</f>
        <v>78943516</v>
      </c>
      <c r="F58" s="1243">
        <f>+F59+F60</f>
        <v>78943516</v>
      </c>
      <c r="G58" s="1372">
        <f t="shared" si="0"/>
        <v>1</v>
      </c>
    </row>
    <row r="59" spans="1:10" s="564" customFormat="1">
      <c r="A59" s="413" t="s">
        <v>1302</v>
      </c>
      <c r="B59" s="804"/>
      <c r="C59" s="420" t="s">
        <v>983</v>
      </c>
      <c r="D59" s="1246">
        <v>41932000</v>
      </c>
      <c r="E59" s="1246">
        <f>41932000+3354560</f>
        <v>45286560</v>
      </c>
      <c r="F59" s="1246">
        <f>41932000+3354560</f>
        <v>45286560</v>
      </c>
      <c r="G59" s="1372">
        <f t="shared" si="0"/>
        <v>1</v>
      </c>
    </row>
    <row r="60" spans="1:10" s="564" customFormat="1">
      <c r="A60" s="413" t="s">
        <v>1303</v>
      </c>
      <c r="B60" s="804"/>
      <c r="C60" s="420" t="s">
        <v>984</v>
      </c>
      <c r="D60" s="1246">
        <v>25830275</v>
      </c>
      <c r="E60" s="1246">
        <v>33656956</v>
      </c>
      <c r="F60" s="1246">
        <v>33656956</v>
      </c>
      <c r="G60" s="1372">
        <f t="shared" si="0"/>
        <v>1</v>
      </c>
    </row>
    <row r="61" spans="1:10" ht="12.75" thickBot="1">
      <c r="A61" s="347" t="s">
        <v>556</v>
      </c>
      <c r="B61" s="791">
        <v>6</v>
      </c>
      <c r="C61" s="419" t="s">
        <v>1117</v>
      </c>
      <c r="D61" s="1243">
        <v>2566912</v>
      </c>
      <c r="E61" s="1243">
        <v>2727344</v>
      </c>
      <c r="F61" s="1243">
        <v>2727344</v>
      </c>
      <c r="G61" s="1372">
        <f t="shared" si="0"/>
        <v>1</v>
      </c>
    </row>
    <row r="62" spans="1:10" ht="24.75" thickBot="1">
      <c r="A62" s="415" t="s">
        <v>21</v>
      </c>
      <c r="B62" s="803"/>
      <c r="C62" s="405" t="s">
        <v>1441</v>
      </c>
      <c r="D62" s="1244">
        <f>+D33+D34+D51+D54+D57</f>
        <v>287846271</v>
      </c>
      <c r="E62" s="1244">
        <f>+E33+E34+E51+E54+E57</f>
        <v>319048444</v>
      </c>
      <c r="F62" s="1244">
        <f>+F33+F34+F51+F54+F57</f>
        <v>319048444</v>
      </c>
      <c r="G62" s="1350">
        <f t="shared" si="0"/>
        <v>1</v>
      </c>
      <c r="I62" s="574">
        <f>+'1.mell._Össz_Mérleg2020'!E15</f>
        <v>337720</v>
      </c>
      <c r="J62" s="574">
        <f>+ROUND(F62/1000,0)-I62</f>
        <v>-18672</v>
      </c>
    </row>
    <row r="63" spans="1:10">
      <c r="A63" s="412" t="s">
        <v>565</v>
      </c>
      <c r="B63" s="790"/>
      <c r="C63" s="421" t="s">
        <v>1118</v>
      </c>
      <c r="D63" s="1245"/>
      <c r="E63" s="1245"/>
      <c r="F63" s="1245"/>
      <c r="G63" s="1372" t="str">
        <f t="shared" si="0"/>
        <v>-</v>
      </c>
    </row>
    <row r="64" spans="1:10" ht="12.75">
      <c r="A64" s="412" t="s">
        <v>556</v>
      </c>
      <c r="B64" s="818">
        <v>25</v>
      </c>
      <c r="C64" s="421" t="s">
        <v>1119</v>
      </c>
      <c r="D64" s="1245">
        <v>13206807</v>
      </c>
      <c r="E64" s="1245">
        <f>13206807+4539510</f>
        <v>17746317</v>
      </c>
      <c r="F64" s="1245">
        <f>13206807+4539510</f>
        <v>17746317</v>
      </c>
      <c r="G64" s="1372">
        <f t="shared" si="0"/>
        <v>1</v>
      </c>
      <c r="H64" s="1724"/>
      <c r="I64" s="1725"/>
    </row>
    <row r="65" spans="1:10">
      <c r="A65" s="412" t="s">
        <v>561</v>
      </c>
      <c r="B65" s="790"/>
      <c r="C65" s="421" t="s">
        <v>1120</v>
      </c>
      <c r="D65" s="1245"/>
      <c r="E65" s="1245"/>
      <c r="F65" s="1245"/>
      <c r="G65" s="1372" t="str">
        <f t="shared" si="0"/>
        <v>-</v>
      </c>
    </row>
    <row r="66" spans="1:10">
      <c r="A66" s="412" t="s">
        <v>563</v>
      </c>
      <c r="B66" s="790"/>
      <c r="C66" s="421" t="s">
        <v>1121</v>
      </c>
      <c r="D66" s="1245"/>
      <c r="E66" s="1245"/>
      <c r="F66" s="1245"/>
      <c r="G66" s="1372" t="str">
        <f t="shared" si="0"/>
        <v>-</v>
      </c>
    </row>
    <row r="67" spans="1:10" ht="12.75" thickBot="1">
      <c r="A67" s="412" t="s">
        <v>566</v>
      </c>
      <c r="B67" s="790"/>
      <c r="C67" s="421" t="s">
        <v>1176</v>
      </c>
      <c r="D67" s="1245"/>
      <c r="E67" s="1245"/>
      <c r="F67" s="1245"/>
      <c r="G67" s="1372" t="str">
        <f t="shared" si="0"/>
        <v>-</v>
      </c>
    </row>
    <row r="68" spans="1:10" ht="12.75" thickBot="1">
      <c r="A68" s="415" t="s">
        <v>20</v>
      </c>
      <c r="B68" s="803"/>
      <c r="C68" s="405" t="s">
        <v>1442</v>
      </c>
      <c r="D68" s="1244">
        <f>+D63+D64+D65+D66+D67</f>
        <v>13206807</v>
      </c>
      <c r="E68" s="1244">
        <f>+E63+E64+E65+E66+E67</f>
        <v>17746317</v>
      </c>
      <c r="F68" s="1244">
        <f>+F63+F64+F65+F66+F67</f>
        <v>17746317</v>
      </c>
      <c r="G68" s="1350">
        <f t="shared" si="0"/>
        <v>1</v>
      </c>
      <c r="I68" s="574">
        <f>+'1.mell._Össz_Mérleg2020'!E16</f>
        <v>26951</v>
      </c>
      <c r="J68" s="574">
        <f>+ROUND(F68/1000,0)-I68</f>
        <v>-9205</v>
      </c>
    </row>
    <row r="69" spans="1:10" s="564" customFormat="1" ht="12.75" thickBot="1">
      <c r="A69" s="914" t="s">
        <v>552</v>
      </c>
      <c r="B69" s="915"/>
      <c r="C69" s="916" t="s">
        <v>1443</v>
      </c>
      <c r="D69" s="1247"/>
      <c r="E69" s="1247"/>
      <c r="F69" s="1247"/>
      <c r="G69" s="1372" t="str">
        <f t="shared" si="0"/>
        <v>-</v>
      </c>
      <c r="I69" s="918"/>
      <c r="J69" s="918"/>
    </row>
    <row r="70" spans="1:10" ht="24.75" thickBot="1">
      <c r="A70" s="422" t="s">
        <v>587</v>
      </c>
      <c r="B70" s="797"/>
      <c r="C70" s="405" t="s">
        <v>879</v>
      </c>
      <c r="D70" s="1244">
        <f>+D26+D32+D62+D68+D69</f>
        <v>761154478</v>
      </c>
      <c r="E70" s="1244">
        <f>+E26+E32+E62+E68+E69</f>
        <v>844633612</v>
      </c>
      <c r="F70" s="1244">
        <f>+F26+F32+F62+F68+F69</f>
        <v>844633612</v>
      </c>
      <c r="G70" s="1350">
        <f t="shared" si="0"/>
        <v>1</v>
      </c>
      <c r="I70" s="574"/>
    </row>
    <row r="71" spans="1:10" ht="12.75" thickBot="1">
      <c r="A71" s="416"/>
      <c r="B71" s="805"/>
      <c r="C71" s="408"/>
      <c r="D71" s="1248"/>
      <c r="E71" s="1250"/>
      <c r="F71" s="1250"/>
      <c r="G71" s="1350"/>
    </row>
    <row r="72" spans="1:10" ht="12.75" customHeight="1" thickBot="1">
      <c r="A72" s="1374" t="s">
        <v>586</v>
      </c>
      <c r="B72" s="1766"/>
      <c r="C72" s="1747"/>
      <c r="D72" s="1747"/>
      <c r="E72" s="1747"/>
      <c r="F72" s="1747"/>
      <c r="G72" s="1350"/>
    </row>
    <row r="73" spans="1:10">
      <c r="A73" s="347" t="s">
        <v>4</v>
      </c>
      <c r="B73" s="791"/>
      <c r="C73" s="402" t="s">
        <v>31</v>
      </c>
      <c r="D73" s="1243"/>
      <c r="E73" s="1252"/>
      <c r="F73" s="1252"/>
      <c r="G73" s="1372" t="str">
        <f t="shared" ref="G73:G135" si="1">IF(ISERROR(F73/E73),"-",F73/E73)</f>
        <v>-</v>
      </c>
    </row>
    <row r="74" spans="1:10">
      <c r="A74" s="347" t="s">
        <v>5</v>
      </c>
      <c r="B74" s="791"/>
      <c r="C74" s="402" t="s">
        <v>1122</v>
      </c>
      <c r="D74" s="1243"/>
      <c r="E74" s="1243"/>
      <c r="F74" s="1243"/>
      <c r="G74" s="1372" t="str">
        <f t="shared" si="1"/>
        <v>-</v>
      </c>
    </row>
    <row r="75" spans="1:10">
      <c r="A75" s="347" t="s">
        <v>6</v>
      </c>
      <c r="B75" s="791"/>
      <c r="C75" s="402" t="s">
        <v>1123</v>
      </c>
      <c r="D75" s="1243"/>
      <c r="E75" s="1243"/>
      <c r="F75" s="1243"/>
      <c r="G75" s="1372" t="str">
        <f t="shared" si="1"/>
        <v>-</v>
      </c>
    </row>
    <row r="76" spans="1:10">
      <c r="A76" s="347" t="s">
        <v>3</v>
      </c>
      <c r="B76" s="791"/>
      <c r="C76" s="402" t="s">
        <v>584</v>
      </c>
      <c r="D76" s="1243"/>
      <c r="E76" s="1243"/>
      <c r="F76" s="1243"/>
      <c r="G76" s="1372" t="str">
        <f t="shared" si="1"/>
        <v>-</v>
      </c>
    </row>
    <row r="77" spans="1:10">
      <c r="A77" s="347" t="s">
        <v>16</v>
      </c>
      <c r="B77" s="791"/>
      <c r="C77" s="402" t="s">
        <v>25</v>
      </c>
      <c r="D77" s="1243"/>
      <c r="E77" s="1243"/>
      <c r="F77" s="1243"/>
      <c r="G77" s="1372" t="str">
        <f t="shared" si="1"/>
        <v>-</v>
      </c>
    </row>
    <row r="78" spans="1:10">
      <c r="A78" s="347" t="s">
        <v>15</v>
      </c>
      <c r="B78" s="792"/>
      <c r="C78" s="763" t="s">
        <v>875</v>
      </c>
      <c r="D78" s="1251"/>
      <c r="E78" s="1251"/>
      <c r="F78" s="1251"/>
      <c r="G78" s="1372" t="str">
        <f t="shared" si="1"/>
        <v>-</v>
      </c>
    </row>
    <row r="79" spans="1:10" ht="24">
      <c r="A79" s="347" t="s">
        <v>14</v>
      </c>
      <c r="B79" s="792"/>
      <c r="C79" s="819" t="s">
        <v>1124</v>
      </c>
      <c r="D79" s="1251"/>
      <c r="E79" s="1251"/>
      <c r="F79" s="1251"/>
      <c r="G79" s="1372" t="str">
        <f t="shared" si="1"/>
        <v>-</v>
      </c>
    </row>
    <row r="80" spans="1:10">
      <c r="A80" s="347" t="s">
        <v>13</v>
      </c>
      <c r="B80" s="792"/>
      <c r="C80" s="763" t="s">
        <v>1125</v>
      </c>
      <c r="D80" s="1251"/>
      <c r="E80" s="1251"/>
      <c r="F80" s="1251"/>
      <c r="G80" s="1372" t="str">
        <f t="shared" si="1"/>
        <v>-</v>
      </c>
    </row>
    <row r="81" spans="1:10">
      <c r="A81" s="347" t="s">
        <v>12</v>
      </c>
      <c r="B81" s="791">
        <v>8</v>
      </c>
      <c r="C81" s="402" t="s">
        <v>989</v>
      </c>
      <c r="D81" s="1243">
        <f>264842000-115619000</f>
        <v>149223000</v>
      </c>
      <c r="E81" s="1243">
        <v>93932109</v>
      </c>
      <c r="F81" s="1243">
        <v>93932109</v>
      </c>
      <c r="G81" s="1372">
        <f t="shared" si="1"/>
        <v>1</v>
      </c>
    </row>
    <row r="82" spans="1:10">
      <c r="A82" s="347" t="s">
        <v>11</v>
      </c>
      <c r="B82" s="791">
        <v>8</v>
      </c>
      <c r="C82" s="402" t="s">
        <v>990</v>
      </c>
      <c r="D82" s="1243"/>
      <c r="E82" s="1243">
        <f>25600+147340</f>
        <v>172940</v>
      </c>
      <c r="F82" s="1243">
        <f>25600+147340</f>
        <v>172940</v>
      </c>
      <c r="G82" s="1372">
        <f t="shared" si="1"/>
        <v>1</v>
      </c>
    </row>
    <row r="83" spans="1:10">
      <c r="A83" s="347" t="s">
        <v>10</v>
      </c>
      <c r="B83" s="883">
        <v>8</v>
      </c>
      <c r="C83" s="402" t="s">
        <v>1444</v>
      </c>
      <c r="D83" s="1243"/>
      <c r="E83" s="1243">
        <v>442467</v>
      </c>
      <c r="F83" s="1243">
        <v>442467</v>
      </c>
      <c r="G83" s="1372">
        <f t="shared" si="1"/>
        <v>1</v>
      </c>
    </row>
    <row r="84" spans="1:10">
      <c r="A84" s="347" t="s">
        <v>9</v>
      </c>
      <c r="B84" s="791">
        <v>32</v>
      </c>
      <c r="C84" s="402" t="s">
        <v>1300</v>
      </c>
      <c r="D84" s="1243"/>
      <c r="E84" s="1243">
        <v>18671865</v>
      </c>
      <c r="F84" s="1243">
        <v>18671865</v>
      </c>
      <c r="G84" s="1372">
        <f t="shared" si="1"/>
        <v>1</v>
      </c>
    </row>
    <row r="85" spans="1:10">
      <c r="A85" s="347" t="s">
        <v>45</v>
      </c>
      <c r="B85" s="791"/>
      <c r="C85" s="402" t="s">
        <v>1448</v>
      </c>
      <c r="D85" s="1243">
        <f>+D86+D87+D88+D89+D90+D91+D92</f>
        <v>6679000</v>
      </c>
      <c r="E85" s="1243">
        <f>+E86+E87+E88+E89+E90+E91+E92</f>
        <v>7039000</v>
      </c>
      <c r="F85" s="1243">
        <f>+F86+F87+F88+F89+F90+F91+F92</f>
        <v>7039000</v>
      </c>
      <c r="G85" s="1372">
        <f t="shared" si="1"/>
        <v>1</v>
      </c>
    </row>
    <row r="86" spans="1:10">
      <c r="A86" s="347" t="s">
        <v>565</v>
      </c>
      <c r="B86" s="791"/>
      <c r="C86" s="419" t="s">
        <v>1445</v>
      </c>
      <c r="D86" s="1243"/>
      <c r="E86" s="1243"/>
      <c r="F86" s="1243"/>
      <c r="G86" s="1372" t="str">
        <f t="shared" si="1"/>
        <v>-</v>
      </c>
    </row>
    <row r="87" spans="1:10">
      <c r="A87" s="347" t="s">
        <v>556</v>
      </c>
      <c r="B87" s="791"/>
      <c r="C87" s="419" t="s">
        <v>1446</v>
      </c>
      <c r="D87" s="1243"/>
      <c r="E87" s="1243"/>
      <c r="F87" s="1243"/>
      <c r="G87" s="1372" t="str">
        <f t="shared" si="1"/>
        <v>-</v>
      </c>
    </row>
    <row r="88" spans="1:10">
      <c r="A88" s="347" t="s">
        <v>561</v>
      </c>
      <c r="B88" s="791">
        <v>26</v>
      </c>
      <c r="C88" s="419" t="s">
        <v>24</v>
      </c>
      <c r="D88" s="1243">
        <f>0+6679000</f>
        <v>6679000</v>
      </c>
      <c r="E88" s="1243">
        <v>6679000</v>
      </c>
      <c r="F88" s="1243">
        <v>6679000</v>
      </c>
      <c r="G88" s="1372">
        <f t="shared" si="1"/>
        <v>1</v>
      </c>
    </row>
    <row r="89" spans="1:10">
      <c r="A89" s="347" t="s">
        <v>563</v>
      </c>
      <c r="B89" s="791">
        <v>24</v>
      </c>
      <c r="C89" s="419" t="s">
        <v>985</v>
      </c>
      <c r="D89" s="1243"/>
      <c r="E89" s="1243">
        <v>360000</v>
      </c>
      <c r="F89" s="1243">
        <v>360000</v>
      </c>
      <c r="G89" s="1372">
        <f t="shared" si="1"/>
        <v>1</v>
      </c>
    </row>
    <row r="90" spans="1:10">
      <c r="A90" s="347" t="s">
        <v>566</v>
      </c>
      <c r="B90" s="791"/>
      <c r="C90" s="419" t="s">
        <v>579</v>
      </c>
      <c r="D90" s="1243"/>
      <c r="E90" s="1243"/>
      <c r="F90" s="1243"/>
      <c r="G90" s="1372" t="str">
        <f t="shared" si="1"/>
        <v>-</v>
      </c>
    </row>
    <row r="91" spans="1:10">
      <c r="A91" s="347" t="s">
        <v>567</v>
      </c>
      <c r="B91" s="791"/>
      <c r="C91" s="419" t="s">
        <v>580</v>
      </c>
      <c r="D91" s="1243"/>
      <c r="E91" s="1243"/>
      <c r="F91" s="1243"/>
      <c r="G91" s="1372" t="str">
        <f t="shared" si="1"/>
        <v>-</v>
      </c>
    </row>
    <row r="92" spans="1:10">
      <c r="A92" s="347" t="s">
        <v>568</v>
      </c>
      <c r="B92" s="791"/>
      <c r="C92" s="419" t="s">
        <v>581</v>
      </c>
      <c r="D92" s="1243"/>
      <c r="E92" s="1243"/>
      <c r="F92" s="1243"/>
      <c r="G92" s="1372" t="str">
        <f t="shared" si="1"/>
        <v>-</v>
      </c>
    </row>
    <row r="93" spans="1:10" ht="12.75" thickBot="1">
      <c r="A93" s="347" t="s">
        <v>44</v>
      </c>
      <c r="B93" s="883">
        <v>25</v>
      </c>
      <c r="C93" s="402" t="s">
        <v>1177</v>
      </c>
      <c r="D93" s="1243"/>
      <c r="E93" s="1245">
        <v>2165434</v>
      </c>
      <c r="F93" s="1245">
        <v>2165434</v>
      </c>
      <c r="G93" s="1372">
        <f t="shared" si="1"/>
        <v>1</v>
      </c>
    </row>
    <row r="94" spans="1:10" s="764" customFormat="1" ht="12.75" thickBot="1">
      <c r="A94" s="343" t="s">
        <v>23</v>
      </c>
      <c r="B94" s="807"/>
      <c r="C94" s="405" t="s">
        <v>1447</v>
      </c>
      <c r="D94" s="1244">
        <f>+D73+D74+D75+D76+D77+D78+D79+D80+D81+D82+D83+D84+D85+D93</f>
        <v>155902000</v>
      </c>
      <c r="E94" s="1244">
        <f>+E73+E74+E75+E76+E77+E78+E79+E80+E81+E82+E83+E84+E85+E93</f>
        <v>122423815</v>
      </c>
      <c r="F94" s="1244">
        <f>+F73+F74+F75+F76+F77+F78+F79+F80+F81+F82+F83+F84+F85+F93</f>
        <v>122423815</v>
      </c>
      <c r="G94" s="1350">
        <f t="shared" si="1"/>
        <v>1</v>
      </c>
      <c r="I94" s="574">
        <f>+'1.mell._Össz_Mérleg2020'!E17</f>
        <v>93958</v>
      </c>
      <c r="J94" s="574">
        <f>+ROUND(F94/1000,0)-I94</f>
        <v>28466</v>
      </c>
    </row>
    <row r="95" spans="1:10">
      <c r="A95" s="347" t="s">
        <v>4</v>
      </c>
      <c r="B95" s="791"/>
      <c r="C95" s="402" t="s">
        <v>30</v>
      </c>
      <c r="D95" s="1243"/>
      <c r="E95" s="1243"/>
      <c r="F95" s="1243"/>
      <c r="G95" s="1372" t="str">
        <f t="shared" si="1"/>
        <v>-</v>
      </c>
    </row>
    <row r="96" spans="1:10">
      <c r="A96" s="347" t="s">
        <v>5</v>
      </c>
      <c r="B96" s="791"/>
      <c r="C96" s="402" t="s">
        <v>28</v>
      </c>
      <c r="D96" s="1243">
        <f>+D97+D98+D99</f>
        <v>0</v>
      </c>
      <c r="E96" s="1243">
        <f>+E97+E98+E99</f>
        <v>37000000</v>
      </c>
      <c r="F96" s="1243">
        <f>+F97+F98+F99</f>
        <v>37000000</v>
      </c>
      <c r="G96" s="1372">
        <f t="shared" si="1"/>
        <v>1</v>
      </c>
    </row>
    <row r="97" spans="1:7">
      <c r="A97" s="347" t="s">
        <v>565</v>
      </c>
      <c r="B97" s="791"/>
      <c r="C97" s="419" t="s">
        <v>582</v>
      </c>
      <c r="D97" s="1243"/>
      <c r="E97" s="1243">
        <v>37000000</v>
      </c>
      <c r="F97" s="1243">
        <v>37000000</v>
      </c>
      <c r="G97" s="1372">
        <f t="shared" si="1"/>
        <v>1</v>
      </c>
    </row>
    <row r="98" spans="1:7">
      <c r="A98" s="347" t="s">
        <v>556</v>
      </c>
      <c r="B98" s="791"/>
      <c r="C98" s="419" t="s">
        <v>583</v>
      </c>
      <c r="D98" s="1243"/>
      <c r="E98" s="1243"/>
      <c r="F98" s="1243"/>
      <c r="G98" s="1372" t="str">
        <f t="shared" si="1"/>
        <v>-</v>
      </c>
    </row>
    <row r="99" spans="1:7">
      <c r="A99" s="347" t="s">
        <v>561</v>
      </c>
      <c r="B99" s="791"/>
      <c r="C99" s="419" t="s">
        <v>986</v>
      </c>
      <c r="D99" s="1243"/>
      <c r="E99" s="1243"/>
      <c r="F99" s="1243"/>
      <c r="G99" s="1372" t="str">
        <f t="shared" si="1"/>
        <v>-</v>
      </c>
    </row>
    <row r="100" spans="1:7">
      <c r="A100" s="347" t="s">
        <v>6</v>
      </c>
      <c r="B100" s="791"/>
      <c r="C100" s="402" t="s">
        <v>988</v>
      </c>
      <c r="D100" s="1243"/>
      <c r="E100" s="1243"/>
      <c r="F100" s="1243"/>
      <c r="G100" s="1372" t="str">
        <f t="shared" si="1"/>
        <v>-</v>
      </c>
    </row>
    <row r="101" spans="1:7">
      <c r="A101" s="347" t="s">
        <v>3</v>
      </c>
      <c r="B101" s="791"/>
      <c r="C101" s="402" t="s">
        <v>876</v>
      </c>
      <c r="D101" s="1243">
        <f>+D102+D103+D104</f>
        <v>0</v>
      </c>
      <c r="E101" s="1243">
        <f>+E102+E103+E104</f>
        <v>2307000</v>
      </c>
      <c r="F101" s="1243">
        <f>+F102+F103+F104</f>
        <v>2307000</v>
      </c>
      <c r="G101" s="1372">
        <f t="shared" si="1"/>
        <v>1</v>
      </c>
    </row>
    <row r="102" spans="1:7">
      <c r="A102" s="347" t="s">
        <v>565</v>
      </c>
      <c r="B102" s="791"/>
      <c r="C102" s="419" t="s">
        <v>877</v>
      </c>
      <c r="D102" s="1243"/>
      <c r="E102" s="1243">
        <v>2307000</v>
      </c>
      <c r="F102" s="1243">
        <v>2307000</v>
      </c>
      <c r="G102" s="1372">
        <f t="shared" si="1"/>
        <v>1</v>
      </c>
    </row>
    <row r="103" spans="1:7">
      <c r="A103" s="347" t="s">
        <v>556</v>
      </c>
      <c r="B103" s="791"/>
      <c r="C103" s="419" t="s">
        <v>987</v>
      </c>
      <c r="D103" s="1243"/>
      <c r="E103" s="1243"/>
      <c r="F103" s="1243"/>
      <c r="G103" s="1372" t="str">
        <f t="shared" si="1"/>
        <v>-</v>
      </c>
    </row>
    <row r="104" spans="1:7">
      <c r="A104" s="347" t="s">
        <v>561</v>
      </c>
      <c r="B104" s="791"/>
      <c r="C104" s="419" t="s">
        <v>878</v>
      </c>
      <c r="D104" s="1243"/>
      <c r="E104" s="1243"/>
      <c r="F104" s="1243"/>
      <c r="G104" s="1372" t="str">
        <f t="shared" si="1"/>
        <v>-</v>
      </c>
    </row>
    <row r="105" spans="1:7">
      <c r="A105" s="347" t="s">
        <v>16</v>
      </c>
      <c r="B105" s="791"/>
      <c r="C105" s="402" t="s">
        <v>29</v>
      </c>
      <c r="D105" s="1243"/>
      <c r="E105" s="1243"/>
      <c r="F105" s="1243"/>
      <c r="G105" s="1372" t="str">
        <f t="shared" si="1"/>
        <v>-</v>
      </c>
    </row>
    <row r="106" spans="1:7">
      <c r="A106" s="347" t="s">
        <v>15</v>
      </c>
      <c r="B106" s="791"/>
      <c r="C106" s="782" t="s">
        <v>1305</v>
      </c>
      <c r="D106" s="1243"/>
      <c r="E106" s="1243"/>
      <c r="F106" s="1243"/>
      <c r="G106" s="1372" t="str">
        <f t="shared" si="1"/>
        <v>-</v>
      </c>
    </row>
    <row r="107" spans="1:7">
      <c r="A107" s="412" t="s">
        <v>14</v>
      </c>
      <c r="B107" s="790"/>
      <c r="C107" s="403" t="s">
        <v>1449</v>
      </c>
      <c r="D107" s="1245"/>
      <c r="E107" s="1245"/>
      <c r="F107" s="1245"/>
      <c r="G107" s="1372" t="str">
        <f t="shared" si="1"/>
        <v>-</v>
      </c>
    </row>
    <row r="108" spans="1:7">
      <c r="A108" s="412" t="s">
        <v>13</v>
      </c>
      <c r="B108" s="790"/>
      <c r="C108" s="403" t="s">
        <v>1450</v>
      </c>
      <c r="D108" s="1245"/>
      <c r="E108" s="1245"/>
      <c r="F108" s="1245"/>
      <c r="G108" s="1372" t="str">
        <f t="shared" si="1"/>
        <v>-</v>
      </c>
    </row>
    <row r="109" spans="1:7">
      <c r="A109" s="412" t="s">
        <v>12</v>
      </c>
      <c r="B109" s="790"/>
      <c r="C109" s="403" t="s">
        <v>1451</v>
      </c>
      <c r="D109" s="1245"/>
      <c r="E109" s="1245"/>
      <c r="F109" s="1245"/>
      <c r="G109" s="1372" t="str">
        <f t="shared" si="1"/>
        <v>-</v>
      </c>
    </row>
    <row r="110" spans="1:7">
      <c r="A110" s="412" t="s">
        <v>11</v>
      </c>
      <c r="B110" s="790"/>
      <c r="C110" s="403" t="s">
        <v>1452</v>
      </c>
      <c r="D110" s="1245"/>
      <c r="E110" s="1245"/>
      <c r="F110" s="1245"/>
      <c r="G110" s="1372" t="str">
        <f t="shared" si="1"/>
        <v>-</v>
      </c>
    </row>
    <row r="111" spans="1:7">
      <c r="A111" s="412" t="s">
        <v>10</v>
      </c>
      <c r="B111" s="790"/>
      <c r="C111" s="403" t="s">
        <v>1453</v>
      </c>
      <c r="D111" s="1245"/>
      <c r="E111" s="1245"/>
      <c r="F111" s="1245"/>
      <c r="G111" s="1372" t="str">
        <f t="shared" si="1"/>
        <v>-</v>
      </c>
    </row>
    <row r="112" spans="1:7">
      <c r="A112" s="412" t="s">
        <v>9</v>
      </c>
      <c r="B112" s="790"/>
      <c r="C112" s="403" t="s">
        <v>1454</v>
      </c>
      <c r="D112" s="1245"/>
      <c r="E112" s="1245"/>
      <c r="F112" s="1245"/>
      <c r="G112" s="1372" t="str">
        <f t="shared" si="1"/>
        <v>-</v>
      </c>
    </row>
    <row r="113" spans="1:7">
      <c r="A113" s="412" t="s">
        <v>45</v>
      </c>
      <c r="B113" s="790"/>
      <c r="C113" s="403" t="s">
        <v>1455</v>
      </c>
      <c r="D113" s="1245"/>
      <c r="E113" s="1245"/>
      <c r="F113" s="1245"/>
      <c r="G113" s="1372" t="str">
        <f t="shared" si="1"/>
        <v>-</v>
      </c>
    </row>
    <row r="114" spans="1:7">
      <c r="A114" s="412" t="s">
        <v>44</v>
      </c>
      <c r="B114" s="790"/>
      <c r="C114" s="403" t="s">
        <v>1456</v>
      </c>
      <c r="D114" s="1245"/>
      <c r="E114" s="1245"/>
      <c r="F114" s="1245"/>
      <c r="G114" s="1372" t="str">
        <f t="shared" si="1"/>
        <v>-</v>
      </c>
    </row>
    <row r="115" spans="1:7">
      <c r="A115" s="412" t="s">
        <v>43</v>
      </c>
      <c r="B115" s="790"/>
      <c r="C115" s="403" t="s">
        <v>1457</v>
      </c>
      <c r="D115" s="1245"/>
      <c r="E115" s="1245"/>
      <c r="F115" s="1245"/>
      <c r="G115" s="1372" t="str">
        <f t="shared" si="1"/>
        <v>-</v>
      </c>
    </row>
    <row r="116" spans="1:7">
      <c r="A116" s="412" t="s">
        <v>40</v>
      </c>
      <c r="B116" s="790"/>
      <c r="C116" s="403" t="s">
        <v>1458</v>
      </c>
      <c r="D116" s="1245"/>
      <c r="E116" s="1245"/>
      <c r="F116" s="1245"/>
      <c r="G116" s="1372" t="str">
        <f t="shared" si="1"/>
        <v>-</v>
      </c>
    </row>
    <row r="117" spans="1:7">
      <c r="A117" s="412" t="s">
        <v>39</v>
      </c>
      <c r="B117" s="790"/>
      <c r="C117" s="403" t="s">
        <v>1459</v>
      </c>
      <c r="D117" s="1245"/>
      <c r="E117" s="1245"/>
      <c r="F117" s="1245"/>
      <c r="G117" s="1372" t="str">
        <f t="shared" si="1"/>
        <v>-</v>
      </c>
    </row>
    <row r="118" spans="1:7">
      <c r="A118" s="412" t="s">
        <v>38</v>
      </c>
      <c r="B118" s="790"/>
      <c r="C118" s="403" t="s">
        <v>1460</v>
      </c>
      <c r="D118" s="1245"/>
      <c r="E118" s="1245"/>
      <c r="F118" s="1245"/>
      <c r="G118" s="1372" t="str">
        <f t="shared" si="1"/>
        <v>-</v>
      </c>
    </row>
    <row r="119" spans="1:7">
      <c r="A119" s="412" t="s">
        <v>36</v>
      </c>
      <c r="B119" s="790"/>
      <c r="C119" s="403" t="s">
        <v>1461</v>
      </c>
      <c r="D119" s="1245"/>
      <c r="E119" s="1245"/>
      <c r="F119" s="1245"/>
      <c r="G119" s="1372" t="str">
        <f t="shared" si="1"/>
        <v>-</v>
      </c>
    </row>
    <row r="120" spans="1:7">
      <c r="A120" s="412" t="s">
        <v>35</v>
      </c>
      <c r="B120" s="790"/>
      <c r="C120" s="403" t="s">
        <v>1462</v>
      </c>
      <c r="D120" s="1245"/>
      <c r="E120" s="1245"/>
      <c r="F120" s="1245"/>
      <c r="G120" s="1372" t="str">
        <f t="shared" si="1"/>
        <v>-</v>
      </c>
    </row>
    <row r="121" spans="1:7">
      <c r="A121" s="412" t="s">
        <v>34</v>
      </c>
      <c r="B121" s="790"/>
      <c r="C121" s="403" t="s">
        <v>1463</v>
      </c>
      <c r="D121" s="1245"/>
      <c r="E121" s="1245"/>
      <c r="F121" s="1245"/>
      <c r="G121" s="1372" t="str">
        <f t="shared" si="1"/>
        <v>-</v>
      </c>
    </row>
    <row r="122" spans="1:7">
      <c r="A122" s="412" t="s">
        <v>33</v>
      </c>
      <c r="B122" s="790"/>
      <c r="C122" s="403" t="s">
        <v>1464</v>
      </c>
      <c r="D122" s="1245"/>
      <c r="E122" s="1245"/>
      <c r="F122" s="1245"/>
      <c r="G122" s="1372" t="str">
        <f t="shared" si="1"/>
        <v>-</v>
      </c>
    </row>
    <row r="123" spans="1:7">
      <c r="A123" s="412" t="s">
        <v>32</v>
      </c>
      <c r="B123" s="790"/>
      <c r="C123" s="403" t="s">
        <v>1465</v>
      </c>
      <c r="D123" s="1245"/>
      <c r="E123" s="1245"/>
      <c r="F123" s="1245"/>
      <c r="G123" s="1372" t="str">
        <f t="shared" si="1"/>
        <v>-</v>
      </c>
    </row>
    <row r="124" spans="1:7">
      <c r="A124" s="412" t="s">
        <v>470</v>
      </c>
      <c r="B124" s="790"/>
      <c r="C124" s="403" t="s">
        <v>1466</v>
      </c>
      <c r="D124" s="1245"/>
      <c r="E124" s="1245"/>
      <c r="F124" s="1245"/>
      <c r="G124" s="1372" t="str">
        <f t="shared" si="1"/>
        <v>-</v>
      </c>
    </row>
    <row r="125" spans="1:7">
      <c r="A125" s="412" t="s">
        <v>471</v>
      </c>
      <c r="B125" s="790"/>
      <c r="C125" s="403" t="s">
        <v>1467</v>
      </c>
      <c r="D125" s="1245"/>
      <c r="E125" s="1245"/>
      <c r="F125" s="1245"/>
      <c r="G125" s="1372" t="str">
        <f t="shared" si="1"/>
        <v>-</v>
      </c>
    </row>
    <row r="126" spans="1:7">
      <c r="A126" s="412" t="s">
        <v>472</v>
      </c>
      <c r="B126" s="790"/>
      <c r="C126" s="403" t="s">
        <v>1468</v>
      </c>
      <c r="D126" s="1245"/>
      <c r="E126" s="1245"/>
      <c r="F126" s="1245"/>
      <c r="G126" s="1372" t="str">
        <f t="shared" si="1"/>
        <v>-</v>
      </c>
    </row>
    <row r="127" spans="1:7">
      <c r="A127" s="412" t="s">
        <v>473</v>
      </c>
      <c r="B127" s="790"/>
      <c r="C127" s="403" t="s">
        <v>1469</v>
      </c>
      <c r="D127" s="1245"/>
      <c r="E127" s="1245"/>
      <c r="F127" s="1245"/>
      <c r="G127" s="1372" t="str">
        <f t="shared" si="1"/>
        <v>-</v>
      </c>
    </row>
    <row r="128" spans="1:7">
      <c r="A128" s="412" t="s">
        <v>486</v>
      </c>
      <c r="B128" s="790"/>
      <c r="C128" s="403" t="s">
        <v>1470</v>
      </c>
      <c r="D128" s="1245"/>
      <c r="E128" s="1245"/>
      <c r="F128" s="1245"/>
      <c r="G128" s="1372" t="str">
        <f t="shared" si="1"/>
        <v>-</v>
      </c>
    </row>
    <row r="129" spans="1:10">
      <c r="A129" s="412" t="s">
        <v>487</v>
      </c>
      <c r="B129" s="790"/>
      <c r="C129" s="403" t="s">
        <v>1471</v>
      </c>
      <c r="D129" s="1245"/>
      <c r="E129" s="1245"/>
      <c r="F129" s="1245"/>
      <c r="G129" s="1372" t="str">
        <f t="shared" si="1"/>
        <v>-</v>
      </c>
    </row>
    <row r="130" spans="1:10">
      <c r="A130" s="412" t="s">
        <v>488</v>
      </c>
      <c r="B130" s="790"/>
      <c r="C130" s="403" t="s">
        <v>1472</v>
      </c>
      <c r="D130" s="1245"/>
      <c r="E130" s="1245"/>
      <c r="F130" s="1245"/>
      <c r="G130" s="1372" t="str">
        <f t="shared" si="1"/>
        <v>-</v>
      </c>
    </row>
    <row r="131" spans="1:10" ht="12.75" thickBot="1">
      <c r="A131" s="412" t="s">
        <v>1388</v>
      </c>
      <c r="B131" s="790"/>
      <c r="C131" s="403" t="s">
        <v>1473</v>
      </c>
      <c r="D131" s="1245"/>
      <c r="E131" s="1245"/>
      <c r="F131" s="1245"/>
      <c r="G131" s="1372" t="str">
        <f t="shared" si="1"/>
        <v>-</v>
      </c>
    </row>
    <row r="132" spans="1:10" s="764" customFormat="1" ht="12.75" thickBot="1">
      <c r="A132" s="343" t="s">
        <v>22</v>
      </c>
      <c r="B132" s="807">
        <v>8</v>
      </c>
      <c r="C132" s="405" t="s">
        <v>1474</v>
      </c>
      <c r="D132" s="1244">
        <f>D95+D96+D100+D101+D105+D106+D107+D108+D109+D110+D111+D112+D113+D114+D115+D116+D117+D118+D119+D120+D121+D122+D123+D124+D125+D126+D127+D128+D129+D130+D131</f>
        <v>0</v>
      </c>
      <c r="E132" s="1244">
        <f>E95+E96+E100+E101+E105+E106+E107+E108+E109+E110+E111+E112+E113+E114+E115+E116+E117+E118+E119+E120+E121+E122+E123+E124+E125+E126+E127+E128+E129+E130+E131</f>
        <v>39307000</v>
      </c>
      <c r="F132" s="1244">
        <f>F95+F96+F100+F101+F105+F106+F107+F108+F109+F110+F111+F112+F113+F114+F115+F116+F117+F118+F119+F120+F121+F122+F123+F124+F125+F126+F127+F128+F129+F130+F131</f>
        <v>39307000</v>
      </c>
      <c r="G132" s="1350">
        <f t="shared" si="1"/>
        <v>1</v>
      </c>
    </row>
    <row r="133" spans="1:10" ht="12.75" thickBot="1">
      <c r="A133" s="347" t="s">
        <v>4</v>
      </c>
      <c r="B133" s="791"/>
      <c r="C133" s="402" t="s">
        <v>880</v>
      </c>
      <c r="D133" s="1243"/>
      <c r="E133" s="1243"/>
      <c r="F133" s="1243"/>
      <c r="G133" s="1375" t="str">
        <f t="shared" si="1"/>
        <v>-</v>
      </c>
    </row>
    <row r="134" spans="1:10" ht="12.75" thickBot="1">
      <c r="A134" s="422" t="s">
        <v>21</v>
      </c>
      <c r="B134" s="807">
        <v>8</v>
      </c>
      <c r="C134" s="405" t="s">
        <v>968</v>
      </c>
      <c r="D134" s="1244">
        <f>+D133</f>
        <v>0</v>
      </c>
      <c r="E134" s="1244">
        <f>+E133</f>
        <v>0</v>
      </c>
      <c r="F134" s="1244">
        <f>+F133</f>
        <v>0</v>
      </c>
      <c r="G134" s="1350" t="str">
        <f t="shared" si="1"/>
        <v>-</v>
      </c>
      <c r="I134" s="574">
        <f>+'1.mell._Össz_Mérleg2020'!E52</f>
        <v>39307</v>
      </c>
      <c r="J134" s="574">
        <f>+ROUND((F132+F134)/1000,0)-I134</f>
        <v>0</v>
      </c>
    </row>
    <row r="135" spans="1:10" ht="15.75" customHeight="1" thickBot="1">
      <c r="A135" s="415" t="s">
        <v>588</v>
      </c>
      <c r="B135" s="803"/>
      <c r="C135" s="405" t="s">
        <v>1178</v>
      </c>
      <c r="D135" s="1244">
        <f>+D94+D132+D134</f>
        <v>155902000</v>
      </c>
      <c r="E135" s="1244">
        <f>+E94+E132+E134</f>
        <v>161730815</v>
      </c>
      <c r="F135" s="1244">
        <f>+F94+F132+F134</f>
        <v>161730815</v>
      </c>
      <c r="G135" s="1350">
        <f t="shared" si="1"/>
        <v>1</v>
      </c>
      <c r="I135" s="574"/>
      <c r="J135" s="574"/>
    </row>
    <row r="136" spans="1:10" ht="12.75" thickBot="1">
      <c r="A136" s="415"/>
      <c r="B136" s="803"/>
      <c r="C136" s="405"/>
      <c r="D136" s="1244"/>
      <c r="E136" s="1244"/>
      <c r="F136" s="1244"/>
      <c r="G136" s="404"/>
    </row>
    <row r="137" spans="1:10" ht="12.75" thickBot="1">
      <c r="A137" s="415" t="s">
        <v>589</v>
      </c>
      <c r="B137" s="803"/>
      <c r="C137" s="405" t="s">
        <v>969</v>
      </c>
      <c r="D137" s="1244">
        <f>+D70+D135</f>
        <v>917056478</v>
      </c>
      <c r="E137" s="1244">
        <f>+E70+E135</f>
        <v>1006364427</v>
      </c>
      <c r="F137" s="1244">
        <f>+F70+F135</f>
        <v>1006364427</v>
      </c>
      <c r="G137" s="1350">
        <f>IF(ISERROR(F137/E137),"-",F137/E137)</f>
        <v>1</v>
      </c>
      <c r="I137" s="574">
        <f>+'1.mell._Össz_Mérleg2020'!E12+'1.mell._Össz_Mérleg2020'!E52</f>
        <v>1006364</v>
      </c>
      <c r="J137" s="574">
        <f>+ROUND(F137/1000,0)-I137</f>
        <v>0</v>
      </c>
    </row>
  </sheetData>
  <mergeCells count="3">
    <mergeCell ref="A3:G3"/>
    <mergeCell ref="A8:G8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fitToHeight="2" orientation="portrait" r:id="rId1"/>
  <headerFooter>
    <oddHeader>&amp;C 10. melléklet - &amp;P. oldal</oddHeader>
  </headerFooter>
  <rowBreaks count="1" manualBreakCount="1">
    <brk id="70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P132"/>
  <sheetViews>
    <sheetView zoomScale="90" zoomScaleNormal="90" workbookViewId="0"/>
  </sheetViews>
  <sheetFormatPr defaultColWidth="68.85546875" defaultRowHeight="12"/>
  <cols>
    <col min="1" max="1" width="98.7109375" style="425" bestFit="1" customWidth="1"/>
    <col min="2" max="3" width="10.28515625" style="425" customWidth="1"/>
    <col min="4" max="4" width="10.5703125" style="425" customWidth="1"/>
    <col min="5" max="7" width="10.28515625" style="425" customWidth="1"/>
    <col min="8" max="8" width="10.28515625" style="179" customWidth="1"/>
    <col min="9" max="10" width="10.28515625" style="425" customWidth="1"/>
    <col min="11" max="11" width="9.28515625" style="425" customWidth="1"/>
    <col min="12" max="16" width="9.28515625" style="425" hidden="1" customWidth="1"/>
    <col min="17" max="48" width="9.28515625" style="425" customWidth="1"/>
    <col min="49" max="16384" width="68.85546875" style="425"/>
  </cols>
  <sheetData>
    <row r="1" spans="1:16" s="842" customFormat="1" ht="15.75">
      <c r="A1" s="1749"/>
      <c r="B1" s="439"/>
      <c r="C1" s="439"/>
      <c r="D1" s="439"/>
      <c r="E1" s="439"/>
      <c r="F1" s="439"/>
      <c r="G1" s="439"/>
      <c r="H1" s="439"/>
      <c r="I1" s="439"/>
      <c r="J1" s="188" t="s">
        <v>510</v>
      </c>
    </row>
    <row r="2" spans="1:16" s="842" customFormat="1" ht="15.75">
      <c r="A2" s="1749"/>
      <c r="B2" s="439"/>
      <c r="C2" s="439"/>
      <c r="D2" s="439"/>
      <c r="E2" s="439"/>
      <c r="F2" s="439"/>
      <c r="G2" s="439"/>
      <c r="H2" s="439"/>
      <c r="I2" s="439"/>
      <c r="J2" s="188"/>
    </row>
    <row r="3" spans="1:16" s="842" customFormat="1" ht="15.75">
      <c r="A3" s="1856" t="s">
        <v>330</v>
      </c>
      <c r="B3" s="1856"/>
      <c r="C3" s="1856"/>
      <c r="D3" s="1856"/>
      <c r="E3" s="1856"/>
      <c r="F3" s="1856"/>
      <c r="G3" s="1856"/>
      <c r="H3" s="1856"/>
      <c r="I3" s="1856"/>
      <c r="J3" s="1856"/>
    </row>
    <row r="4" spans="1:16" s="842" customFormat="1" ht="15.75">
      <c r="A4" s="1856" t="s">
        <v>1476</v>
      </c>
      <c r="B4" s="1856"/>
      <c r="C4" s="1856"/>
      <c r="D4" s="1856"/>
      <c r="E4" s="1856"/>
      <c r="F4" s="1856"/>
      <c r="G4" s="1856"/>
      <c r="H4" s="1856"/>
      <c r="I4" s="1856"/>
      <c r="J4" s="1856"/>
    </row>
    <row r="5" spans="1:16" ht="12.75" thickBot="1">
      <c r="A5" s="869"/>
      <c r="B5" s="869"/>
      <c r="C5" s="869"/>
      <c r="D5" s="869"/>
      <c r="E5" s="869"/>
      <c r="F5" s="869"/>
      <c r="G5" s="869"/>
      <c r="H5" s="141"/>
      <c r="I5" s="1857" t="s">
        <v>49</v>
      </c>
      <c r="J5" s="1857"/>
    </row>
    <row r="6" spans="1:16" ht="48.75" thickBot="1">
      <c r="A6" s="698" t="s">
        <v>620</v>
      </c>
      <c r="B6" s="710" t="s">
        <v>606</v>
      </c>
      <c r="C6" s="440" t="s">
        <v>592</v>
      </c>
      <c r="D6" s="430" t="s">
        <v>1475</v>
      </c>
      <c r="E6" s="1055" t="s">
        <v>1540</v>
      </c>
      <c r="F6" s="6" t="s">
        <v>1541</v>
      </c>
      <c r="G6" s="6" t="s">
        <v>2654</v>
      </c>
      <c r="H6" s="1330" t="s">
        <v>1558</v>
      </c>
      <c r="I6" s="440" t="s">
        <v>605</v>
      </c>
      <c r="J6" s="754" t="s">
        <v>1477</v>
      </c>
    </row>
    <row r="7" spans="1:16" ht="13.5" customHeight="1" thickBot="1">
      <c r="A7" s="699">
        <v>1</v>
      </c>
      <c r="B7" s="711">
        <v>2</v>
      </c>
      <c r="C7" s="441">
        <v>3</v>
      </c>
      <c r="D7" s="429">
        <v>4</v>
      </c>
      <c r="E7" s="1858">
        <v>5</v>
      </c>
      <c r="F7" s="1859"/>
      <c r="G7" s="1859"/>
      <c r="H7" s="1860"/>
      <c r="I7" s="441">
        <v>6</v>
      </c>
      <c r="J7" s="755" t="s">
        <v>593</v>
      </c>
    </row>
    <row r="8" spans="1:16">
      <c r="A8" s="700" t="s">
        <v>599</v>
      </c>
      <c r="B8" s="442"/>
      <c r="C8" s="706"/>
      <c r="D8" s="428"/>
      <c r="E8" s="1253"/>
      <c r="F8" s="1258"/>
      <c r="G8" s="1258"/>
      <c r="H8" s="1376"/>
      <c r="I8" s="427"/>
      <c r="J8" s="756"/>
    </row>
    <row r="9" spans="1:16">
      <c r="A9" s="701" t="s">
        <v>1155</v>
      </c>
      <c r="B9" s="281">
        <v>26408</v>
      </c>
      <c r="C9" s="707"/>
      <c r="D9" s="306"/>
      <c r="E9" s="305">
        <f>2000+2000+13205+19807+12988</f>
        <v>50000</v>
      </c>
      <c r="F9" s="306">
        <f>26408+13043+87398+1</f>
        <v>126850</v>
      </c>
      <c r="G9" s="306">
        <f>13862+19216-70-6600</f>
        <v>26408</v>
      </c>
      <c r="H9" s="1357">
        <f t="shared" ref="H9:H19" si="0">IF(ISERROR(G9/F9),"-",G9/F9)</f>
        <v>0.20818289318092234</v>
      </c>
      <c r="I9" s="426"/>
      <c r="J9" s="757">
        <f t="shared" ref="J9:J19" si="1">+B9-D9-MIN(F9,G9)</f>
        <v>0</v>
      </c>
      <c r="O9" s="574">
        <f>+G9</f>
        <v>26408</v>
      </c>
      <c r="P9" s="574">
        <f t="shared" ref="P9:P19" si="2">+G9-O9</f>
        <v>0</v>
      </c>
    </row>
    <row r="10" spans="1:16">
      <c r="A10" s="701" t="s">
        <v>1498</v>
      </c>
      <c r="B10" s="281">
        <v>0</v>
      </c>
      <c r="C10" s="707"/>
      <c r="D10" s="306"/>
      <c r="E10" s="305">
        <v>10000</v>
      </c>
      <c r="F10" s="306">
        <v>0</v>
      </c>
      <c r="G10" s="306"/>
      <c r="H10" s="1357" t="str">
        <f t="shared" si="0"/>
        <v>-</v>
      </c>
      <c r="I10" s="426"/>
      <c r="J10" s="757">
        <f t="shared" si="1"/>
        <v>0</v>
      </c>
      <c r="O10" s="574">
        <f t="shared" ref="O10:O19" si="3">+ROUND(G10/1.27,0)</f>
        <v>0</v>
      </c>
      <c r="P10" s="574">
        <f t="shared" si="2"/>
        <v>0</v>
      </c>
    </row>
    <row r="11" spans="1:16">
      <c r="A11" s="701" t="s">
        <v>1156</v>
      </c>
      <c r="B11" s="281">
        <v>0</v>
      </c>
      <c r="C11" s="707"/>
      <c r="D11" s="306"/>
      <c r="E11" s="305">
        <v>5000</v>
      </c>
      <c r="F11" s="306">
        <v>0</v>
      </c>
      <c r="G11" s="306"/>
      <c r="H11" s="1357" t="str">
        <f t="shared" si="0"/>
        <v>-</v>
      </c>
      <c r="I11" s="426"/>
      <c r="J11" s="757">
        <f t="shared" si="1"/>
        <v>0</v>
      </c>
      <c r="O11" s="574">
        <f t="shared" si="3"/>
        <v>0</v>
      </c>
      <c r="P11" s="574">
        <f t="shared" si="2"/>
        <v>0</v>
      </c>
    </row>
    <row r="12" spans="1:16">
      <c r="A12" s="701" t="s">
        <v>1159</v>
      </c>
      <c r="B12" s="281">
        <v>8382</v>
      </c>
      <c r="C12" s="707"/>
      <c r="D12" s="306"/>
      <c r="E12" s="305">
        <v>8500</v>
      </c>
      <c r="F12" s="306">
        <v>8382</v>
      </c>
      <c r="G12" s="306">
        <v>8382</v>
      </c>
      <c r="H12" s="1357">
        <f t="shared" si="0"/>
        <v>1</v>
      </c>
      <c r="I12" s="426"/>
      <c r="J12" s="757">
        <f t="shared" si="1"/>
        <v>0</v>
      </c>
      <c r="O12" s="574">
        <f t="shared" si="3"/>
        <v>6600</v>
      </c>
      <c r="P12" s="574">
        <f t="shared" si="2"/>
        <v>1782</v>
      </c>
    </row>
    <row r="13" spans="1:16">
      <c r="A13" s="701" t="s">
        <v>1339</v>
      </c>
      <c r="B13" s="281">
        <f>2000-500-1500</f>
        <v>0</v>
      </c>
      <c r="C13" s="707"/>
      <c r="D13" s="306"/>
      <c r="E13" s="305">
        <f>2000-500</f>
        <v>1500</v>
      </c>
      <c r="F13" s="306">
        <v>0</v>
      </c>
      <c r="G13" s="306"/>
      <c r="H13" s="1357" t="str">
        <f t="shared" si="0"/>
        <v>-</v>
      </c>
      <c r="I13" s="426"/>
      <c r="J13" s="757">
        <f t="shared" si="1"/>
        <v>0</v>
      </c>
      <c r="O13" s="574">
        <f t="shared" si="3"/>
        <v>0</v>
      </c>
      <c r="P13" s="574">
        <f t="shared" si="2"/>
        <v>0</v>
      </c>
    </row>
    <row r="14" spans="1:16">
      <c r="A14" s="701" t="s">
        <v>1344</v>
      </c>
      <c r="B14" s="281">
        <v>350000</v>
      </c>
      <c r="C14" s="707"/>
      <c r="D14" s="306">
        <v>4750</v>
      </c>
      <c r="E14" s="305">
        <v>345250</v>
      </c>
      <c r="F14" s="306">
        <v>62605</v>
      </c>
      <c r="G14" s="306">
        <v>62605</v>
      </c>
      <c r="H14" s="1357">
        <f t="shared" si="0"/>
        <v>1</v>
      </c>
      <c r="I14" s="426">
        <v>350000</v>
      </c>
      <c r="J14" s="757">
        <f t="shared" si="1"/>
        <v>282645</v>
      </c>
      <c r="O14" s="574">
        <f t="shared" si="3"/>
        <v>49295</v>
      </c>
      <c r="P14" s="574">
        <f t="shared" si="2"/>
        <v>13310</v>
      </c>
    </row>
    <row r="15" spans="1:16">
      <c r="A15" s="701" t="s">
        <v>1548</v>
      </c>
      <c r="B15" s="281">
        <v>8814</v>
      </c>
      <c r="C15" s="707"/>
      <c r="D15" s="306"/>
      <c r="E15" s="305"/>
      <c r="F15" s="306">
        <v>8814</v>
      </c>
      <c r="G15" s="306">
        <v>8814</v>
      </c>
      <c r="H15" s="1357">
        <f t="shared" si="0"/>
        <v>1</v>
      </c>
      <c r="I15" s="426"/>
      <c r="J15" s="757">
        <f t="shared" si="1"/>
        <v>0</v>
      </c>
      <c r="O15" s="574">
        <f>+ROUND(G15/1.27,0)</f>
        <v>6940</v>
      </c>
      <c r="P15" s="574">
        <f>+G15-O15</f>
        <v>1874</v>
      </c>
    </row>
    <row r="16" spans="1:16">
      <c r="A16" s="701" t="s">
        <v>1549</v>
      </c>
      <c r="B16" s="281">
        <v>3000</v>
      </c>
      <c r="C16" s="707"/>
      <c r="D16" s="306"/>
      <c r="E16" s="305"/>
      <c r="F16" s="306">
        <v>3000</v>
      </c>
      <c r="G16" s="306">
        <v>3000</v>
      </c>
      <c r="H16" s="1357">
        <f t="shared" si="0"/>
        <v>1</v>
      </c>
      <c r="I16" s="426"/>
      <c r="J16" s="757">
        <f t="shared" si="1"/>
        <v>0</v>
      </c>
      <c r="O16" s="574">
        <f>+ROUND(G16/1.27,0)</f>
        <v>2362</v>
      </c>
      <c r="P16" s="574">
        <f>+G16-O16</f>
        <v>638</v>
      </c>
    </row>
    <row r="17" spans="1:16">
      <c r="A17" s="701" t="s">
        <v>1550</v>
      </c>
      <c r="B17" s="281">
        <v>3000</v>
      </c>
      <c r="C17" s="707"/>
      <c r="D17" s="306"/>
      <c r="E17" s="305"/>
      <c r="F17" s="306">
        <v>3000</v>
      </c>
      <c r="G17" s="306">
        <v>3000</v>
      </c>
      <c r="H17" s="1357">
        <f t="shared" si="0"/>
        <v>1</v>
      </c>
      <c r="I17" s="426"/>
      <c r="J17" s="757">
        <f t="shared" si="1"/>
        <v>0</v>
      </c>
      <c r="O17" s="574">
        <f>+ROUND(G17/1.27,0)</f>
        <v>2362</v>
      </c>
      <c r="P17" s="574">
        <f>+G17-O17</f>
        <v>638</v>
      </c>
    </row>
    <row r="18" spans="1:16">
      <c r="A18" s="701" t="s">
        <v>2770</v>
      </c>
      <c r="B18" s="281">
        <v>5512</v>
      </c>
      <c r="C18" s="707"/>
      <c r="D18" s="306"/>
      <c r="E18" s="305"/>
      <c r="F18" s="306">
        <v>5512</v>
      </c>
      <c r="G18" s="306">
        <v>5512</v>
      </c>
      <c r="H18" s="1357">
        <f t="shared" si="0"/>
        <v>1</v>
      </c>
      <c r="I18" s="426"/>
      <c r="J18" s="757">
        <f t="shared" si="1"/>
        <v>0</v>
      </c>
      <c r="O18" s="574">
        <f t="shared" si="3"/>
        <v>4340</v>
      </c>
      <c r="P18" s="574">
        <f t="shared" si="2"/>
        <v>1172</v>
      </c>
    </row>
    <row r="19" spans="1:16">
      <c r="A19" s="701" t="s">
        <v>2771</v>
      </c>
      <c r="B19" s="281">
        <v>6470</v>
      </c>
      <c r="C19" s="707"/>
      <c r="D19" s="306"/>
      <c r="E19" s="305"/>
      <c r="F19" s="306">
        <v>6470</v>
      </c>
      <c r="G19" s="306">
        <f>6400+70</f>
        <v>6470</v>
      </c>
      <c r="H19" s="1357">
        <f t="shared" si="0"/>
        <v>1</v>
      </c>
      <c r="I19" s="426"/>
      <c r="J19" s="757">
        <f t="shared" si="1"/>
        <v>0</v>
      </c>
      <c r="O19" s="574">
        <f t="shared" si="3"/>
        <v>5094</v>
      </c>
      <c r="P19" s="574">
        <f t="shared" si="2"/>
        <v>1376</v>
      </c>
    </row>
    <row r="20" spans="1:16">
      <c r="A20" s="701" t="s">
        <v>2775</v>
      </c>
      <c r="B20" s="281">
        <v>12747</v>
      </c>
      <c r="C20" s="707"/>
      <c r="D20" s="306"/>
      <c r="E20" s="305"/>
      <c r="F20" s="306">
        <v>12747</v>
      </c>
      <c r="G20" s="306">
        <v>12747</v>
      </c>
      <c r="H20" s="1357">
        <f t="shared" ref="H20:H25" si="4">IF(ISERROR(G20/F20),"-",G20/F20)</f>
        <v>1</v>
      </c>
      <c r="I20" s="426"/>
      <c r="J20" s="757">
        <f t="shared" ref="J20:J25" si="5">+B20-D20-MIN(F20,G20)</f>
        <v>0</v>
      </c>
      <c r="O20" s="574">
        <f t="shared" ref="O20:O25" si="6">+ROUND(G20/1.27,0)</f>
        <v>10037</v>
      </c>
      <c r="P20" s="574">
        <f t="shared" ref="P20:P25" si="7">+G20-O20</f>
        <v>2710</v>
      </c>
    </row>
    <row r="21" spans="1:16">
      <c r="A21" s="701" t="s">
        <v>2812</v>
      </c>
      <c r="B21" s="281">
        <v>8412</v>
      </c>
      <c r="C21" s="707"/>
      <c r="D21" s="306"/>
      <c r="E21" s="305"/>
      <c r="F21" s="306">
        <v>8412</v>
      </c>
      <c r="G21" s="306">
        <v>8412</v>
      </c>
      <c r="H21" s="1357">
        <f t="shared" si="4"/>
        <v>1</v>
      </c>
      <c r="I21" s="426"/>
      <c r="J21" s="757">
        <f t="shared" si="5"/>
        <v>0</v>
      </c>
      <c r="O21" s="574">
        <f t="shared" si="6"/>
        <v>6624</v>
      </c>
      <c r="P21" s="574">
        <f t="shared" si="7"/>
        <v>1788</v>
      </c>
    </row>
    <row r="22" spans="1:16">
      <c r="A22" s="701" t="s">
        <v>2776</v>
      </c>
      <c r="B22" s="281">
        <v>5870</v>
      </c>
      <c r="C22" s="707"/>
      <c r="D22" s="306"/>
      <c r="E22" s="305"/>
      <c r="F22" s="306">
        <v>5870</v>
      </c>
      <c r="G22" s="306">
        <v>5870</v>
      </c>
      <c r="H22" s="1357">
        <f t="shared" si="4"/>
        <v>1</v>
      </c>
      <c r="I22" s="426"/>
      <c r="J22" s="757">
        <f t="shared" si="5"/>
        <v>0</v>
      </c>
      <c r="O22" s="574">
        <f t="shared" si="6"/>
        <v>4622</v>
      </c>
      <c r="P22" s="574">
        <f t="shared" si="7"/>
        <v>1248</v>
      </c>
    </row>
    <row r="23" spans="1:16">
      <c r="A23" s="701" t="s">
        <v>2777</v>
      </c>
      <c r="B23" s="281">
        <v>8452</v>
      </c>
      <c r="C23" s="707"/>
      <c r="D23" s="306"/>
      <c r="E23" s="305"/>
      <c r="F23" s="306">
        <v>8452</v>
      </c>
      <c r="G23" s="306">
        <v>8452</v>
      </c>
      <c r="H23" s="1357">
        <f>IF(ISERROR(G23/F23),"-",G23/F23)</f>
        <v>1</v>
      </c>
      <c r="I23" s="426">
        <v>2626</v>
      </c>
      <c r="J23" s="757">
        <f>+B23-D23-MIN(F23,G23)</f>
        <v>0</v>
      </c>
      <c r="O23" s="574">
        <f t="shared" si="6"/>
        <v>6655</v>
      </c>
      <c r="P23" s="574">
        <f t="shared" si="7"/>
        <v>1797</v>
      </c>
    </row>
    <row r="24" spans="1:16">
      <c r="A24" s="701" t="s">
        <v>2778</v>
      </c>
      <c r="B24" s="281">
        <v>1484</v>
      </c>
      <c r="C24" s="707"/>
      <c r="D24" s="306"/>
      <c r="E24" s="305"/>
      <c r="F24" s="306">
        <v>1484</v>
      </c>
      <c r="G24" s="306">
        <v>1484</v>
      </c>
      <c r="H24" s="1357">
        <f>IF(ISERROR(G24/F24),"-",G24/F24)</f>
        <v>1</v>
      </c>
      <c r="I24" s="426"/>
      <c r="J24" s="757">
        <f>+B24-D24-MIN(F24,G24)</f>
        <v>0</v>
      </c>
      <c r="O24" s="574">
        <f t="shared" si="6"/>
        <v>1169</v>
      </c>
      <c r="P24" s="574">
        <f t="shared" si="7"/>
        <v>315</v>
      </c>
    </row>
    <row r="25" spans="1:16" ht="12.75" thickBot="1">
      <c r="A25" s="701" t="s">
        <v>2779</v>
      </c>
      <c r="B25" s="281">
        <v>6147</v>
      </c>
      <c r="C25" s="707"/>
      <c r="D25" s="306"/>
      <c r="E25" s="305"/>
      <c r="F25" s="306">
        <f>6147+209</f>
        <v>6356</v>
      </c>
      <c r="G25" s="306">
        <v>6147</v>
      </c>
      <c r="H25" s="1357">
        <f t="shared" si="4"/>
        <v>0.96711768407803655</v>
      </c>
      <c r="I25" s="426"/>
      <c r="J25" s="757">
        <f t="shared" si="5"/>
        <v>0</v>
      </c>
      <c r="O25" s="574">
        <f t="shared" si="6"/>
        <v>4840</v>
      </c>
      <c r="P25" s="574">
        <f t="shared" si="7"/>
        <v>1307</v>
      </c>
    </row>
    <row r="26" spans="1:16" ht="12.75" thickBot="1">
      <c r="A26" s="702" t="s">
        <v>600</v>
      </c>
      <c r="B26" s="315">
        <f>SUM(B8:B25)</f>
        <v>454698</v>
      </c>
      <c r="C26" s="991" t="s">
        <v>19</v>
      </c>
      <c r="D26" s="317">
        <f t="shared" ref="D26:I26" si="8">SUM(D8:D25)</f>
        <v>4750</v>
      </c>
      <c r="E26" s="316">
        <f t="shared" si="8"/>
        <v>420250</v>
      </c>
      <c r="F26" s="317">
        <f t="shared" si="8"/>
        <v>267954</v>
      </c>
      <c r="G26" s="317">
        <f>SUM(G8:G25)</f>
        <v>167303</v>
      </c>
      <c r="H26" s="1350">
        <f>IF(ISERROR(G26/F26),"-",G26/F26)</f>
        <v>0.6243720937175784</v>
      </c>
      <c r="I26" s="431">
        <f t="shared" si="8"/>
        <v>352626</v>
      </c>
      <c r="J26" s="298">
        <f>+B26-D26-MIN(F26,G26)</f>
        <v>282645</v>
      </c>
      <c r="L26" s="574">
        <f>+'1.1.mell._ÖNK_Mérleg2020'!D150-L67</f>
        <v>267954</v>
      </c>
      <c r="M26" s="574">
        <f>+'1.1.mell._ÖNK_Mérleg2020'!E150-M67</f>
        <v>167303</v>
      </c>
    </row>
    <row r="27" spans="1:16">
      <c r="A27" s="700" t="s">
        <v>869</v>
      </c>
      <c r="B27" s="442"/>
      <c r="C27" s="706"/>
      <c r="D27" s="428"/>
      <c r="E27" s="1253"/>
      <c r="F27" s="428"/>
      <c r="G27" s="428"/>
      <c r="H27" s="1357"/>
      <c r="I27" s="427"/>
      <c r="J27" s="756"/>
      <c r="L27" s="574">
        <f>+L26-F26</f>
        <v>0</v>
      </c>
      <c r="M27" s="574">
        <f>+M26-G26</f>
        <v>0</v>
      </c>
    </row>
    <row r="28" spans="1:16">
      <c r="A28" s="701" t="s">
        <v>1497</v>
      </c>
      <c r="B28" s="281">
        <v>1933</v>
      </c>
      <c r="C28" s="707"/>
      <c r="D28" s="306"/>
      <c r="E28" s="305">
        <v>4000</v>
      </c>
      <c r="F28" s="306">
        <v>1933</v>
      </c>
      <c r="G28" s="306">
        <v>1933</v>
      </c>
      <c r="H28" s="1357">
        <f>IF(ISERROR(G28/F28),"-",G28/F28)</f>
        <v>1</v>
      </c>
      <c r="I28" s="426"/>
      <c r="J28" s="757">
        <f>+B28-D28-MIN(F28,G28)</f>
        <v>0</v>
      </c>
    </row>
    <row r="29" spans="1:16">
      <c r="A29" s="701" t="s">
        <v>2774</v>
      </c>
      <c r="B29" s="281">
        <v>2794</v>
      </c>
      <c r="C29" s="707"/>
      <c r="D29" s="306"/>
      <c r="E29" s="305"/>
      <c r="F29" s="306">
        <v>2794</v>
      </c>
      <c r="G29" s="306">
        <v>2794</v>
      </c>
      <c r="H29" s="1357">
        <f>IF(ISERROR(G29/F29),"-",G29/F29)</f>
        <v>1</v>
      </c>
      <c r="I29" s="426"/>
      <c r="J29" s="757">
        <f>+B29-D29-MIN(F29,G29)</f>
        <v>0</v>
      </c>
    </row>
    <row r="30" spans="1:16" ht="12.75" thickBot="1">
      <c r="A30" s="701" t="s">
        <v>1158</v>
      </c>
      <c r="B30" s="281">
        <v>2072</v>
      </c>
      <c r="C30" s="707"/>
      <c r="D30" s="306"/>
      <c r="E30" s="305"/>
      <c r="F30" s="306">
        <v>2072</v>
      </c>
      <c r="G30" s="306">
        <v>2072</v>
      </c>
      <c r="H30" s="1357">
        <f>IF(ISERROR(G30/F30),"-",G30/F30)</f>
        <v>1</v>
      </c>
      <c r="I30" s="426"/>
      <c r="J30" s="757">
        <f>+B30-D30-MIN(F30,G30)</f>
        <v>0</v>
      </c>
      <c r="O30" s="574">
        <f>+ROUND(G30/1.27,0)</f>
        <v>1631</v>
      </c>
      <c r="P30" s="574">
        <f>+G30-O30</f>
        <v>441</v>
      </c>
    </row>
    <row r="31" spans="1:16" ht="12.75" thickBot="1">
      <c r="A31" s="702" t="s">
        <v>870</v>
      </c>
      <c r="B31" s="315">
        <f>SUM(B28:B30)</f>
        <v>6799</v>
      </c>
      <c r="C31" s="991" t="s">
        <v>19</v>
      </c>
      <c r="D31" s="317">
        <f>SUM(D28:D30)</f>
        <v>0</v>
      </c>
      <c r="E31" s="316">
        <f>SUM(E28:E30)</f>
        <v>4000</v>
      </c>
      <c r="F31" s="317">
        <f>SUM(F28:F30)</f>
        <v>6799</v>
      </c>
      <c r="G31" s="317">
        <f>SUM(G28:G30)</f>
        <v>6799</v>
      </c>
      <c r="H31" s="1350">
        <f>IF(ISERROR(G31/F31),"-",G31/F31)</f>
        <v>1</v>
      </c>
      <c r="I31" s="431">
        <f>SUM(I28:I30)</f>
        <v>0</v>
      </c>
      <c r="J31" s="298">
        <f>SUM(J28:J30)</f>
        <v>0</v>
      </c>
      <c r="L31" s="574">
        <f>+'1.2.mell._HKÖH_Mérleg2020'!D150</f>
        <v>6799</v>
      </c>
      <c r="M31" s="574">
        <f>+'1.2.mell._HKÖH_Mérleg2020'!E150</f>
        <v>6799</v>
      </c>
    </row>
    <row r="32" spans="1:16">
      <c r="A32" s="700" t="s">
        <v>601</v>
      </c>
      <c r="B32" s="442"/>
      <c r="C32" s="706"/>
      <c r="D32" s="428"/>
      <c r="E32" s="1253"/>
      <c r="F32" s="428"/>
      <c r="G32" s="428"/>
      <c r="H32" s="1376"/>
      <c r="I32" s="427"/>
      <c r="J32" s="756"/>
      <c r="L32" s="574">
        <f>+L31-F31</f>
        <v>0</v>
      </c>
      <c r="M32" s="574">
        <f>+M31-G31</f>
        <v>0</v>
      </c>
      <c r="O32" s="574"/>
      <c r="P32" s="574"/>
    </row>
    <row r="33" spans="1:16" ht="12.75" thickBot="1">
      <c r="A33" s="701" t="s">
        <v>1158</v>
      </c>
      <c r="B33" s="281">
        <v>680</v>
      </c>
      <c r="C33" s="707"/>
      <c r="D33" s="306"/>
      <c r="E33" s="305">
        <f>1600-500</f>
        <v>1100</v>
      </c>
      <c r="F33" s="306">
        <v>680</v>
      </c>
      <c r="G33" s="306">
        <v>680</v>
      </c>
      <c r="H33" s="1357">
        <f>IF(ISERROR(G33/F33),"-",G33/F33)</f>
        <v>1</v>
      </c>
      <c r="I33" s="426"/>
      <c r="J33" s="757">
        <f>+B33-D33-MIN(F33,G33)</f>
        <v>0</v>
      </c>
      <c r="O33" s="574">
        <f>+ROUND(G33/1.27,0)</f>
        <v>535</v>
      </c>
      <c r="P33" s="574">
        <f>+G33-O33</f>
        <v>145</v>
      </c>
    </row>
    <row r="34" spans="1:16" ht="12.75" thickBot="1">
      <c r="A34" s="702" t="s">
        <v>602</v>
      </c>
      <c r="B34" s="315">
        <f>+B33</f>
        <v>680</v>
      </c>
      <c r="C34" s="991" t="s">
        <v>19</v>
      </c>
      <c r="D34" s="317">
        <f t="shared" ref="D34:I34" si="9">+D33</f>
        <v>0</v>
      </c>
      <c r="E34" s="316">
        <f t="shared" si="9"/>
        <v>1100</v>
      </c>
      <c r="F34" s="317">
        <f t="shared" si="9"/>
        <v>680</v>
      </c>
      <c r="G34" s="317">
        <f t="shared" si="9"/>
        <v>680</v>
      </c>
      <c r="H34" s="1350">
        <f>IF(ISERROR(G34/F34),"-",G34/F34)</f>
        <v>1</v>
      </c>
      <c r="I34" s="431">
        <f t="shared" si="9"/>
        <v>0</v>
      </c>
      <c r="J34" s="298">
        <f>+B34-D34-MIN(F34,G34)</f>
        <v>0</v>
      </c>
      <c r="L34" s="574">
        <f>+'1.3.mell._HVÓBKI_Mérleg2020'!D150</f>
        <v>680</v>
      </c>
      <c r="M34" s="574">
        <f>+'1.3.mell._HVÓBKI_Mérleg2020'!E150</f>
        <v>680</v>
      </c>
    </row>
    <row r="35" spans="1:16">
      <c r="A35" s="700" t="s">
        <v>603</v>
      </c>
      <c r="B35" s="442"/>
      <c r="C35" s="706"/>
      <c r="D35" s="428"/>
      <c r="E35" s="1253"/>
      <c r="F35" s="428"/>
      <c r="G35" s="428"/>
      <c r="H35" s="1376"/>
      <c r="I35" s="427"/>
      <c r="J35" s="756"/>
      <c r="L35" s="574">
        <f>+L34-F34</f>
        <v>0</v>
      </c>
      <c r="M35" s="574">
        <f>+M34-G34</f>
        <v>0</v>
      </c>
    </row>
    <row r="36" spans="1:16">
      <c r="A36" s="701" t="s">
        <v>1496</v>
      </c>
      <c r="B36" s="281">
        <v>0</v>
      </c>
      <c r="C36" s="707"/>
      <c r="D36" s="306"/>
      <c r="E36" s="305">
        <f>10000-2653</f>
        <v>7347</v>
      </c>
      <c r="F36" s="306">
        <v>0</v>
      </c>
      <c r="G36" s="306"/>
      <c r="H36" s="1357" t="str">
        <f t="shared" ref="H36:H42" si="10">IF(ISERROR(G36/F36),"-",G36/F36)</f>
        <v>-</v>
      </c>
      <c r="I36" s="426">
        <f>2626-2626</f>
        <v>0</v>
      </c>
      <c r="J36" s="757">
        <f t="shared" ref="J36:J41" si="11">+B36-D36-MIN(F36,G36)</f>
        <v>0</v>
      </c>
      <c r="O36" s="574">
        <f t="shared" ref="O36:O41" si="12">+ROUND(G36/1.27,0)</f>
        <v>0</v>
      </c>
      <c r="P36" s="574">
        <f t="shared" ref="P36:P41" si="13">+G36-O36</f>
        <v>0</v>
      </c>
    </row>
    <row r="37" spans="1:16">
      <c r="A37" s="701" t="s">
        <v>1340</v>
      </c>
      <c r="B37" s="281">
        <v>0</v>
      </c>
      <c r="C37" s="707"/>
      <c r="D37" s="306"/>
      <c r="E37" s="305">
        <f>2032-1332</f>
        <v>700</v>
      </c>
      <c r="F37" s="306">
        <v>0</v>
      </c>
      <c r="G37" s="306"/>
      <c r="H37" s="1357" t="str">
        <f t="shared" si="10"/>
        <v>-</v>
      </c>
      <c r="I37" s="426"/>
      <c r="J37" s="757">
        <f t="shared" si="11"/>
        <v>0</v>
      </c>
      <c r="O37" s="574">
        <f t="shared" si="12"/>
        <v>0</v>
      </c>
      <c r="P37" s="574">
        <f t="shared" si="13"/>
        <v>0</v>
      </c>
    </row>
    <row r="38" spans="1:16">
      <c r="A38" s="701" t="s">
        <v>1158</v>
      </c>
      <c r="B38" s="281">
        <v>300</v>
      </c>
      <c r="C38" s="707"/>
      <c r="D38" s="306"/>
      <c r="E38" s="305">
        <f>495-240</f>
        <v>255</v>
      </c>
      <c r="F38" s="306">
        <v>300</v>
      </c>
      <c r="G38" s="306">
        <v>300</v>
      </c>
      <c r="H38" s="1357">
        <f t="shared" si="10"/>
        <v>1</v>
      </c>
      <c r="I38" s="426"/>
      <c r="J38" s="757">
        <f t="shared" si="11"/>
        <v>0</v>
      </c>
      <c r="O38" s="574">
        <f t="shared" si="12"/>
        <v>236</v>
      </c>
      <c r="P38" s="574">
        <f t="shared" si="13"/>
        <v>64</v>
      </c>
    </row>
    <row r="39" spans="1:16">
      <c r="A39" s="701" t="s">
        <v>1502</v>
      </c>
      <c r="B39" s="281">
        <v>0</v>
      </c>
      <c r="C39" s="707"/>
      <c r="D39" s="306"/>
      <c r="E39" s="305">
        <f>1650</f>
        <v>1650</v>
      </c>
      <c r="F39" s="306">
        <v>0</v>
      </c>
      <c r="G39" s="306"/>
      <c r="H39" s="1357" t="str">
        <f t="shared" si="10"/>
        <v>-</v>
      </c>
      <c r="I39" s="426"/>
      <c r="J39" s="757">
        <f t="shared" si="11"/>
        <v>0</v>
      </c>
      <c r="O39" s="574">
        <f t="shared" si="12"/>
        <v>0</v>
      </c>
      <c r="P39" s="574">
        <f t="shared" si="13"/>
        <v>0</v>
      </c>
    </row>
    <row r="40" spans="1:16">
      <c r="A40" s="701" t="s">
        <v>1501</v>
      </c>
      <c r="B40" s="281">
        <v>0</v>
      </c>
      <c r="C40" s="707"/>
      <c r="D40" s="306"/>
      <c r="E40" s="305">
        <v>420</v>
      </c>
      <c r="F40" s="306">
        <v>0</v>
      </c>
      <c r="G40" s="306"/>
      <c r="H40" s="1357" t="str">
        <f t="shared" si="10"/>
        <v>-</v>
      </c>
      <c r="I40" s="426"/>
      <c r="J40" s="757">
        <f t="shared" si="11"/>
        <v>0</v>
      </c>
      <c r="O40" s="574">
        <f t="shared" si="12"/>
        <v>0</v>
      </c>
      <c r="P40" s="574">
        <f t="shared" si="13"/>
        <v>0</v>
      </c>
    </row>
    <row r="41" spans="1:16" ht="12.75" thickBot="1">
      <c r="A41" s="701" t="s">
        <v>2814</v>
      </c>
      <c r="B41" s="281">
        <v>2746</v>
      </c>
      <c r="C41" s="707"/>
      <c r="D41" s="306"/>
      <c r="E41" s="305"/>
      <c r="F41" s="306">
        <v>2746</v>
      </c>
      <c r="G41" s="306"/>
      <c r="H41" s="1357">
        <f t="shared" si="10"/>
        <v>0</v>
      </c>
      <c r="I41" s="426"/>
      <c r="J41" s="757">
        <f t="shared" si="11"/>
        <v>0</v>
      </c>
      <c r="O41" s="574">
        <f t="shared" si="12"/>
        <v>0</v>
      </c>
      <c r="P41" s="574">
        <f t="shared" si="13"/>
        <v>0</v>
      </c>
    </row>
    <row r="42" spans="1:16" ht="12.75" thickBot="1">
      <c r="A42" s="702" t="s">
        <v>604</v>
      </c>
      <c r="B42" s="315">
        <f>SUM(B36:B41)</f>
        <v>3046</v>
      </c>
      <c r="C42" s="991" t="s">
        <v>19</v>
      </c>
      <c r="D42" s="317">
        <f>SUM(D36:D41)</f>
        <v>0</v>
      </c>
      <c r="E42" s="316">
        <f>SUM(E36:E41)</f>
        <v>10372</v>
      </c>
      <c r="F42" s="317">
        <f>SUM(F36:F41)</f>
        <v>3046</v>
      </c>
      <c r="G42" s="317">
        <f>SUM(G36:G41)</f>
        <v>300</v>
      </c>
      <c r="H42" s="1350">
        <f t="shared" si="10"/>
        <v>9.8489822718319103E-2</v>
      </c>
      <c r="I42" s="431">
        <f>SUM(I36:I41)</f>
        <v>0</v>
      </c>
      <c r="J42" s="298">
        <f>SUM(J36:J41)</f>
        <v>0</v>
      </c>
      <c r="L42" s="574">
        <f>+'1.4.mell._HKK_Mérleg2020'!D150</f>
        <v>3046</v>
      </c>
      <c r="M42" s="574">
        <f>+'1.4.mell._HKK_Mérleg2020'!E150</f>
        <v>300</v>
      </c>
    </row>
    <row r="43" spans="1:16">
      <c r="A43" s="700" t="s">
        <v>860</v>
      </c>
      <c r="B43" s="442"/>
      <c r="C43" s="706"/>
      <c r="D43" s="428"/>
      <c r="E43" s="1253"/>
      <c r="F43" s="428"/>
      <c r="G43" s="428"/>
      <c r="H43" s="1376"/>
      <c r="I43" s="427"/>
      <c r="J43" s="756"/>
      <c r="L43" s="574">
        <f>+L42-F42</f>
        <v>0</v>
      </c>
      <c r="M43" s="574">
        <f>+M42-G42</f>
        <v>0</v>
      </c>
    </row>
    <row r="44" spans="1:16" ht="12.75" thickBot="1">
      <c r="A44" s="701" t="s">
        <v>1157</v>
      </c>
      <c r="B44" s="281">
        <f>500-500+1000+1500-1500-1000</f>
        <v>0</v>
      </c>
      <c r="C44" s="707"/>
      <c r="D44" s="306"/>
      <c r="E44" s="305">
        <f>500-500+1000+1500-1500</f>
        <v>1000</v>
      </c>
      <c r="F44" s="306">
        <v>0</v>
      </c>
      <c r="G44" s="306"/>
      <c r="H44" s="1357" t="str">
        <f>IF(ISERROR(G44/F44),"-",G44/F44)</f>
        <v>-</v>
      </c>
      <c r="I44" s="426"/>
      <c r="J44" s="757">
        <f>+B44-D44-MIN(F44,G44)</f>
        <v>0</v>
      </c>
      <c r="O44" s="574">
        <f>+ROUND(G44/1.27,0)</f>
        <v>0</v>
      </c>
      <c r="P44" s="574">
        <f>+G44-O44</f>
        <v>0</v>
      </c>
    </row>
    <row r="45" spans="1:16" ht="12.75" thickBot="1">
      <c r="A45" s="702" t="s">
        <v>859</v>
      </c>
      <c r="B45" s="315">
        <f>+B44</f>
        <v>0</v>
      </c>
      <c r="C45" s="991" t="s">
        <v>19</v>
      </c>
      <c r="D45" s="317">
        <f t="shared" ref="D45:I45" si="14">+D44</f>
        <v>0</v>
      </c>
      <c r="E45" s="316">
        <f t="shared" si="14"/>
        <v>1000</v>
      </c>
      <c r="F45" s="317">
        <f t="shared" si="14"/>
        <v>0</v>
      </c>
      <c r="G45" s="317">
        <f t="shared" si="14"/>
        <v>0</v>
      </c>
      <c r="H45" s="1350" t="str">
        <f>IF(ISERROR(G45/F45),"-",G45/F45)</f>
        <v>-</v>
      </c>
      <c r="I45" s="431">
        <f t="shared" si="14"/>
        <v>0</v>
      </c>
      <c r="J45" s="298">
        <f>+B45-D45-MIN(F45,G45)</f>
        <v>0</v>
      </c>
      <c r="L45" s="574">
        <f>+'1.5._mell._MŐSZ_Mérleg2020'!D150</f>
        <v>0</v>
      </c>
      <c r="M45" s="574">
        <f>+'1.5._mell._MŐSZ_Mérleg2020'!E150</f>
        <v>0</v>
      </c>
    </row>
    <row r="46" spans="1:16">
      <c r="A46" s="700" t="s">
        <v>1266</v>
      </c>
      <c r="B46" s="442"/>
      <c r="C46" s="706"/>
      <c r="D46" s="428"/>
      <c r="E46" s="1253"/>
      <c r="F46" s="428"/>
      <c r="G46" s="428"/>
      <c r="H46" s="1357"/>
      <c r="I46" s="427"/>
      <c r="J46" s="756"/>
      <c r="L46" s="574">
        <f>+L45-F45</f>
        <v>0</v>
      </c>
      <c r="M46" s="574">
        <f>+M45-G45</f>
        <v>0</v>
      </c>
    </row>
    <row r="47" spans="1:16">
      <c r="A47" s="701" t="s">
        <v>2772</v>
      </c>
      <c r="B47" s="281">
        <v>12739</v>
      </c>
      <c r="C47" s="707"/>
      <c r="D47" s="306"/>
      <c r="E47" s="305"/>
      <c r="F47" s="306">
        <v>12739</v>
      </c>
      <c r="G47" s="306">
        <v>12739</v>
      </c>
      <c r="H47" s="1357">
        <f>IF(ISERROR(G47/F47),"-",G47/F47)</f>
        <v>1</v>
      </c>
      <c r="I47" s="426"/>
      <c r="J47" s="757">
        <f>+B47-D47-MIN(F47,G47)</f>
        <v>0</v>
      </c>
      <c r="O47" s="574">
        <f>+ROUND(G47/1.27,0)</f>
        <v>10031</v>
      </c>
      <c r="P47" s="574">
        <f>+G47-O47</f>
        <v>2708</v>
      </c>
    </row>
    <row r="48" spans="1:16">
      <c r="A48" s="701" t="s">
        <v>1340</v>
      </c>
      <c r="B48" s="281">
        <v>2434</v>
      </c>
      <c r="C48" s="707"/>
      <c r="D48" s="306"/>
      <c r="E48" s="305"/>
      <c r="F48" s="306">
        <v>2434</v>
      </c>
      <c r="G48" s="306">
        <v>2434</v>
      </c>
      <c r="H48" s="1357">
        <f>IF(ISERROR(G48/F48),"-",G48/F48)</f>
        <v>1</v>
      </c>
      <c r="I48" s="426"/>
      <c r="J48" s="757">
        <f>+B48-D48-MIN(F48,G48)</f>
        <v>0</v>
      </c>
      <c r="O48" s="574">
        <f>+ROUND(G48/1.27,0)</f>
        <v>1917</v>
      </c>
      <c r="P48" s="574">
        <f>+G48-O48</f>
        <v>517</v>
      </c>
    </row>
    <row r="49" spans="1:16" ht="12.75" thickBot="1">
      <c r="A49" s="701" t="s">
        <v>1158</v>
      </c>
      <c r="B49" s="281">
        <v>480</v>
      </c>
      <c r="C49" s="707"/>
      <c r="D49" s="306"/>
      <c r="E49" s="305"/>
      <c r="F49" s="306">
        <v>480</v>
      </c>
      <c r="G49" s="306">
        <v>480</v>
      </c>
      <c r="H49" s="1357">
        <f>IF(ISERROR(G49/F49),"-",G49/F49)</f>
        <v>1</v>
      </c>
      <c r="I49" s="426"/>
      <c r="J49" s="757">
        <f>+B49-D49-MIN(F49,G49)</f>
        <v>0</v>
      </c>
      <c r="O49" s="574">
        <f>+ROUND(G49/1.27,0)</f>
        <v>378</v>
      </c>
      <c r="P49" s="574">
        <f>+G49-O49</f>
        <v>102</v>
      </c>
    </row>
    <row r="50" spans="1:16" ht="12.75" thickBot="1">
      <c r="A50" s="702" t="s">
        <v>1267</v>
      </c>
      <c r="B50" s="315">
        <f>SUM(B47:B49)</f>
        <v>15653</v>
      </c>
      <c r="C50" s="991" t="s">
        <v>19</v>
      </c>
      <c r="D50" s="317">
        <f>SUM(D47:D49)</f>
        <v>0</v>
      </c>
      <c r="E50" s="316">
        <f>SUM(E47:E49)</f>
        <v>0</v>
      </c>
      <c r="F50" s="317">
        <f>SUM(F47:F49)</f>
        <v>15653</v>
      </c>
      <c r="G50" s="317">
        <f>SUM(G47:G49)</f>
        <v>15653</v>
      </c>
      <c r="H50" s="1350">
        <f>IF(ISERROR(G50/F50),"-",G50/F50)</f>
        <v>1</v>
      </c>
      <c r="I50" s="431">
        <f>SUM(I47:I49)</f>
        <v>0</v>
      </c>
      <c r="J50" s="298">
        <f>SUM(J47:J49)</f>
        <v>0</v>
      </c>
      <c r="L50" s="574">
        <f>+'1.6._mell._HVGYKCSSZ_Mérleg2020'!D150</f>
        <v>15653</v>
      </c>
      <c r="M50" s="574">
        <f>+'1.6._mell._HVGYKCSSZ_Mérleg2020'!E150</f>
        <v>15653</v>
      </c>
    </row>
    <row r="51" spans="1:16">
      <c r="A51" s="703" t="s">
        <v>615</v>
      </c>
      <c r="B51" s="443"/>
      <c r="C51" s="708"/>
      <c r="D51" s="432"/>
      <c r="E51" s="280"/>
      <c r="F51" s="432"/>
      <c r="G51" s="432"/>
      <c r="H51" s="1357"/>
      <c r="I51" s="433"/>
      <c r="J51" s="758"/>
      <c r="L51" s="574">
        <f>+L50-F50</f>
        <v>0</v>
      </c>
      <c r="M51" s="574">
        <f>+M50-G50</f>
        <v>0</v>
      </c>
    </row>
    <row r="52" spans="1:16">
      <c r="A52" s="701" t="s">
        <v>1106</v>
      </c>
      <c r="B52" s="281">
        <v>5124</v>
      </c>
      <c r="C52" s="707"/>
      <c r="D52" s="306">
        <v>5124</v>
      </c>
      <c r="E52" s="305"/>
      <c r="F52" s="306"/>
      <c r="G52" s="306"/>
      <c r="H52" s="1357" t="str">
        <f t="shared" ref="H52:H65" si="15">IF(ISERROR(G52/F52),"-",G52/F52)</f>
        <v>-</v>
      </c>
      <c r="I52" s="426"/>
      <c r="J52" s="757">
        <f t="shared" ref="J52:J65" si="16">+B52-D52-MIN(F52,G52)</f>
        <v>0</v>
      </c>
      <c r="O52" s="574">
        <f t="shared" ref="O52:O66" si="17">+ROUND(G52/1.27,0)</f>
        <v>0</v>
      </c>
      <c r="P52" s="574">
        <f t="shared" ref="P52:P66" si="18">+G52-O52</f>
        <v>0</v>
      </c>
    </row>
    <row r="53" spans="1:16">
      <c r="A53" s="701" t="s">
        <v>1358</v>
      </c>
      <c r="B53" s="281">
        <v>15411</v>
      </c>
      <c r="C53" s="707"/>
      <c r="D53" s="306">
        <v>15411</v>
      </c>
      <c r="E53" s="305"/>
      <c r="F53" s="306"/>
      <c r="G53" s="306"/>
      <c r="H53" s="1357" t="str">
        <f t="shared" si="15"/>
        <v>-</v>
      </c>
      <c r="I53" s="426"/>
      <c r="J53" s="757">
        <f t="shared" si="16"/>
        <v>0</v>
      </c>
      <c r="O53" s="574">
        <f t="shared" si="17"/>
        <v>0</v>
      </c>
      <c r="P53" s="574">
        <f t="shared" si="18"/>
        <v>0</v>
      </c>
    </row>
    <row r="54" spans="1:16" ht="24">
      <c r="A54" s="701" t="s">
        <v>2761</v>
      </c>
      <c r="B54" s="281">
        <v>6696</v>
      </c>
      <c r="C54" s="707"/>
      <c r="D54" s="306">
        <v>6696</v>
      </c>
      <c r="E54" s="305"/>
      <c r="F54" s="306"/>
      <c r="G54" s="306"/>
      <c r="H54" s="1357" t="str">
        <f t="shared" si="15"/>
        <v>-</v>
      </c>
      <c r="I54" s="426"/>
      <c r="J54" s="757">
        <f t="shared" si="16"/>
        <v>0</v>
      </c>
      <c r="O54" s="574">
        <f t="shared" si="17"/>
        <v>0</v>
      </c>
      <c r="P54" s="574">
        <f t="shared" si="18"/>
        <v>0</v>
      </c>
    </row>
    <row r="55" spans="1:16">
      <c r="A55" s="701" t="s">
        <v>2762</v>
      </c>
      <c r="B55" s="281">
        <v>309323</v>
      </c>
      <c r="C55" s="707"/>
      <c r="D55" s="306">
        <v>309323</v>
      </c>
      <c r="E55" s="305"/>
      <c r="F55" s="306"/>
      <c r="G55" s="306"/>
      <c r="H55" s="1357" t="str">
        <f t="shared" si="15"/>
        <v>-</v>
      </c>
      <c r="I55" s="426"/>
      <c r="J55" s="757">
        <f t="shared" si="16"/>
        <v>0</v>
      </c>
      <c r="O55" s="574">
        <f t="shared" si="17"/>
        <v>0</v>
      </c>
      <c r="P55" s="574">
        <f t="shared" si="18"/>
        <v>0</v>
      </c>
    </row>
    <row r="56" spans="1:16">
      <c r="A56" s="701" t="s">
        <v>1207</v>
      </c>
      <c r="B56" s="281">
        <v>296693</v>
      </c>
      <c r="C56" s="707"/>
      <c r="D56" s="306">
        <v>296693</v>
      </c>
      <c r="E56" s="305"/>
      <c r="F56" s="306"/>
      <c r="G56" s="306"/>
      <c r="H56" s="1357" t="str">
        <f t="shared" si="15"/>
        <v>-</v>
      </c>
      <c r="I56" s="426"/>
      <c r="J56" s="757">
        <f t="shared" si="16"/>
        <v>0</v>
      </c>
      <c r="O56" s="574">
        <f t="shared" si="17"/>
        <v>0</v>
      </c>
      <c r="P56" s="574">
        <f t="shared" si="18"/>
        <v>0</v>
      </c>
    </row>
    <row r="57" spans="1:16">
      <c r="A57" s="701" t="s">
        <v>1209</v>
      </c>
      <c r="B57" s="281">
        <v>812790</v>
      </c>
      <c r="C57" s="707"/>
      <c r="D57" s="306">
        <v>374946</v>
      </c>
      <c r="E57" s="305"/>
      <c r="F57" s="306">
        <v>437844</v>
      </c>
      <c r="G57" s="306">
        <v>437844</v>
      </c>
      <c r="H57" s="1357">
        <f t="shared" si="15"/>
        <v>1</v>
      </c>
      <c r="I57" s="426">
        <v>437844</v>
      </c>
      <c r="J57" s="757">
        <f t="shared" si="16"/>
        <v>0</v>
      </c>
      <c r="O57" s="574">
        <f t="shared" si="17"/>
        <v>344759</v>
      </c>
      <c r="P57" s="574">
        <f t="shared" si="18"/>
        <v>93085</v>
      </c>
    </row>
    <row r="58" spans="1:16">
      <c r="A58" s="701" t="s">
        <v>2763</v>
      </c>
      <c r="B58" s="281">
        <v>16000</v>
      </c>
      <c r="C58" s="707"/>
      <c r="D58" s="306">
        <v>16000</v>
      </c>
      <c r="E58" s="305"/>
      <c r="F58" s="306"/>
      <c r="G58" s="306"/>
      <c r="H58" s="1357" t="str">
        <f t="shared" si="15"/>
        <v>-</v>
      </c>
      <c r="I58" s="426"/>
      <c r="J58" s="757">
        <f t="shared" si="16"/>
        <v>0</v>
      </c>
      <c r="O58" s="574">
        <f t="shared" si="17"/>
        <v>0</v>
      </c>
      <c r="P58" s="574">
        <f t="shared" si="18"/>
        <v>0</v>
      </c>
    </row>
    <row r="59" spans="1:16">
      <c r="A59" s="701" t="s">
        <v>1492</v>
      </c>
      <c r="B59" s="281">
        <v>7262</v>
      </c>
      <c r="C59" s="707"/>
      <c r="D59" s="306"/>
      <c r="E59" s="305"/>
      <c r="F59" s="306">
        <v>7262</v>
      </c>
      <c r="G59" s="306">
        <v>7262</v>
      </c>
      <c r="H59" s="1357">
        <f>IF(ISERROR(G59/F59),"-",G59/F59)</f>
        <v>1</v>
      </c>
      <c r="I59" s="426">
        <v>7262</v>
      </c>
      <c r="J59" s="757">
        <f>+B59-D59-MIN(F59,G59)</f>
        <v>0</v>
      </c>
      <c r="O59" s="574">
        <f t="shared" si="17"/>
        <v>5718</v>
      </c>
      <c r="P59" s="574">
        <f t="shared" si="18"/>
        <v>1544</v>
      </c>
    </row>
    <row r="60" spans="1:16">
      <c r="A60" s="701" t="s">
        <v>2765</v>
      </c>
      <c r="B60" s="281">
        <v>4249</v>
      </c>
      <c r="C60" s="707"/>
      <c r="D60" s="306">
        <v>4249</v>
      </c>
      <c r="E60" s="305"/>
      <c r="F60" s="306"/>
      <c r="G60" s="306"/>
      <c r="H60" s="1357" t="str">
        <f t="shared" si="15"/>
        <v>-</v>
      </c>
      <c r="I60" s="426"/>
      <c r="J60" s="757">
        <f t="shared" si="16"/>
        <v>0</v>
      </c>
      <c r="O60" s="574">
        <f t="shared" si="17"/>
        <v>0</v>
      </c>
      <c r="P60" s="574">
        <f t="shared" si="18"/>
        <v>0</v>
      </c>
    </row>
    <row r="61" spans="1:16">
      <c r="A61" s="701" t="s">
        <v>2766</v>
      </c>
      <c r="B61" s="281">
        <v>5589</v>
      </c>
      <c r="C61" s="707"/>
      <c r="D61" s="306">
        <v>5589</v>
      </c>
      <c r="E61" s="305"/>
      <c r="F61" s="306"/>
      <c r="G61" s="306"/>
      <c r="H61" s="1357" t="str">
        <f t="shared" si="15"/>
        <v>-</v>
      </c>
      <c r="I61" s="426"/>
      <c r="J61" s="757">
        <f t="shared" si="16"/>
        <v>0</v>
      </c>
      <c r="O61" s="574">
        <f t="shared" si="17"/>
        <v>0</v>
      </c>
      <c r="P61" s="574">
        <f t="shared" si="18"/>
        <v>0</v>
      </c>
    </row>
    <row r="62" spans="1:16">
      <c r="A62" s="701" t="s">
        <v>2767</v>
      </c>
      <c r="B62" s="281">
        <v>5432</v>
      </c>
      <c r="C62" s="707"/>
      <c r="D62" s="306">
        <v>3424</v>
      </c>
      <c r="E62" s="305"/>
      <c r="F62" s="306">
        <v>2008</v>
      </c>
      <c r="G62" s="306">
        <v>2008</v>
      </c>
      <c r="H62" s="1357">
        <f t="shared" si="15"/>
        <v>1</v>
      </c>
      <c r="I62" s="426">
        <v>2008</v>
      </c>
      <c r="J62" s="757">
        <f t="shared" si="16"/>
        <v>0</v>
      </c>
      <c r="O62" s="574">
        <f t="shared" si="17"/>
        <v>1581</v>
      </c>
      <c r="P62" s="574">
        <f t="shared" si="18"/>
        <v>427</v>
      </c>
    </row>
    <row r="63" spans="1:16">
      <c r="A63" s="701" t="s">
        <v>1397</v>
      </c>
      <c r="B63" s="281">
        <v>54</v>
      </c>
      <c r="C63" s="707"/>
      <c r="D63" s="306"/>
      <c r="E63" s="305"/>
      <c r="F63" s="306">
        <v>54</v>
      </c>
      <c r="G63" s="306">
        <v>54</v>
      </c>
      <c r="H63" s="1357">
        <f t="shared" si="15"/>
        <v>1</v>
      </c>
      <c r="I63" s="426">
        <v>54</v>
      </c>
      <c r="J63" s="757">
        <f t="shared" si="16"/>
        <v>0</v>
      </c>
      <c r="O63" s="574">
        <f t="shared" si="17"/>
        <v>43</v>
      </c>
      <c r="P63" s="574">
        <f t="shared" si="18"/>
        <v>11</v>
      </c>
    </row>
    <row r="64" spans="1:16">
      <c r="A64" s="701" t="s">
        <v>2769</v>
      </c>
      <c r="B64" s="281">
        <v>256</v>
      </c>
      <c r="C64" s="707"/>
      <c r="D64" s="306"/>
      <c r="E64" s="305"/>
      <c r="F64" s="306">
        <v>256</v>
      </c>
      <c r="G64" s="306">
        <v>256</v>
      </c>
      <c r="H64" s="1357">
        <f t="shared" si="15"/>
        <v>1</v>
      </c>
      <c r="I64" s="426">
        <v>256</v>
      </c>
      <c r="J64" s="757">
        <f t="shared" si="16"/>
        <v>0</v>
      </c>
      <c r="O64" s="574">
        <f t="shared" si="17"/>
        <v>202</v>
      </c>
      <c r="P64" s="574">
        <f t="shared" si="18"/>
        <v>54</v>
      </c>
    </row>
    <row r="65" spans="1:16">
      <c r="A65" s="701" t="s">
        <v>1493</v>
      </c>
      <c r="B65" s="281">
        <v>13002</v>
      </c>
      <c r="C65" s="707"/>
      <c r="D65" s="306">
        <v>13002</v>
      </c>
      <c r="E65" s="305"/>
      <c r="F65" s="306"/>
      <c r="G65" s="306"/>
      <c r="H65" s="1357" t="str">
        <f t="shared" si="15"/>
        <v>-</v>
      </c>
      <c r="I65" s="426"/>
      <c r="J65" s="757">
        <f t="shared" si="16"/>
        <v>0</v>
      </c>
      <c r="O65" s="574">
        <f t="shared" si="17"/>
        <v>0</v>
      </c>
      <c r="P65" s="574">
        <f t="shared" si="18"/>
        <v>0</v>
      </c>
    </row>
    <row r="66" spans="1:16" ht="12.75" thickBot="1">
      <c r="A66" s="701" t="s">
        <v>2746</v>
      </c>
      <c r="B66" s="281">
        <v>66405</v>
      </c>
      <c r="C66" s="707"/>
      <c r="D66" s="306"/>
      <c r="E66" s="305"/>
      <c r="F66" s="306">
        <v>66405</v>
      </c>
      <c r="G66" s="306">
        <v>66405</v>
      </c>
      <c r="H66" s="1357">
        <f>IF(ISERROR(G66/F66),"-",G66/F66)</f>
        <v>1</v>
      </c>
      <c r="I66" s="426">
        <v>66405</v>
      </c>
      <c r="J66" s="757">
        <f>+B66-D66-MIN(F66,G66)</f>
        <v>0</v>
      </c>
      <c r="O66" s="574">
        <f t="shared" si="17"/>
        <v>52287</v>
      </c>
      <c r="P66" s="574">
        <f t="shared" si="18"/>
        <v>14118</v>
      </c>
    </row>
    <row r="67" spans="1:16" ht="12.75" thickBot="1">
      <c r="A67" s="702" t="s">
        <v>616</v>
      </c>
      <c r="B67" s="315">
        <f>SUM(B52:B66)</f>
        <v>1564286</v>
      </c>
      <c r="C67" s="991" t="s">
        <v>19</v>
      </c>
      <c r="D67" s="317">
        <f>SUM(D52:D66)</f>
        <v>1050457</v>
      </c>
      <c r="E67" s="316">
        <f>SUM(E52:E66)</f>
        <v>0</v>
      </c>
      <c r="F67" s="317">
        <f>SUM(F52:F66)</f>
        <v>513829</v>
      </c>
      <c r="G67" s="317">
        <f>SUM(G52:G66)</f>
        <v>513829</v>
      </c>
      <c r="H67" s="1350">
        <f>IF(ISERROR(G67/F67),"-",G67/F67)</f>
        <v>1</v>
      </c>
      <c r="I67" s="431">
        <f>SUM(I52:I66)</f>
        <v>513829</v>
      </c>
      <c r="J67" s="298">
        <f>SUM(J52:J66)</f>
        <v>0</v>
      </c>
      <c r="L67" s="574">
        <f>+'1.mell._Össz_Mérleg2020'!D151</f>
        <v>513829</v>
      </c>
      <c r="M67" s="574">
        <f>+'1.mell._Össz_Mérleg2020'!E151</f>
        <v>513829</v>
      </c>
    </row>
    <row r="68" spans="1:16" ht="12.75" thickBot="1">
      <c r="A68" s="704"/>
      <c r="B68" s="444"/>
      <c r="C68" s="709"/>
      <c r="D68" s="434"/>
      <c r="E68" s="1254"/>
      <c r="F68" s="434"/>
      <c r="G68" s="434"/>
      <c r="H68" s="1350"/>
      <c r="I68" s="435"/>
      <c r="J68" s="759"/>
      <c r="L68" s="574">
        <f>+F67-L67</f>
        <v>0</v>
      </c>
      <c r="M68" s="574">
        <f>+G67-M67</f>
        <v>0</v>
      </c>
    </row>
    <row r="69" spans="1:16" ht="12.75" thickBot="1">
      <c r="A69" s="705" t="s">
        <v>607</v>
      </c>
      <c r="B69" s="445">
        <f>+B26+B31+B34+B42+B45+B50+B67</f>
        <v>2045162</v>
      </c>
      <c r="C69" s="991" t="s">
        <v>19</v>
      </c>
      <c r="D69" s="436">
        <f>+D26+D31+D34+D42+D45+D50+D67</f>
        <v>1055207</v>
      </c>
      <c r="E69" s="1255">
        <f>+E26+E31+E34+E42+E45+E50+E67</f>
        <v>436722</v>
      </c>
      <c r="F69" s="436">
        <f>+F26+F31+F34+F42+F45+F50+F67</f>
        <v>807961</v>
      </c>
      <c r="G69" s="436">
        <f>+G26+G31+G34+G42+G45+G50+G67</f>
        <v>704564</v>
      </c>
      <c r="H69" s="1350">
        <f>IF(ISERROR(G69/F69),"-",G69/F69)</f>
        <v>0.87202723893851308</v>
      </c>
      <c r="I69" s="437">
        <f>+I26+I31+I34+I42+I45+I50+I67</f>
        <v>866455</v>
      </c>
      <c r="J69" s="760">
        <f>+J26+J31+J34+J42+J45+J50+J67</f>
        <v>282645</v>
      </c>
      <c r="L69" s="574">
        <f>+'1.mell._Össz_Mérleg2020'!D150</f>
        <v>807961</v>
      </c>
      <c r="M69" s="574">
        <f>+'1.mell._Össz_Mérleg2020'!E150</f>
        <v>704564</v>
      </c>
    </row>
    <row r="70" spans="1:16" ht="12.75" thickBot="1">
      <c r="A70" s="450"/>
      <c r="B70" s="446"/>
      <c r="C70" s="992"/>
      <c r="D70" s="446"/>
      <c r="E70" s="446"/>
      <c r="F70" s="446"/>
      <c r="G70" s="446"/>
      <c r="H70" s="1377"/>
      <c r="I70" s="446"/>
      <c r="J70" s="446"/>
      <c r="L70" s="574">
        <f>+F69-L69</f>
        <v>0</v>
      </c>
      <c r="M70" s="574">
        <f>+G69-M69</f>
        <v>0</v>
      </c>
    </row>
    <row r="71" spans="1:16">
      <c r="A71" s="712" t="s">
        <v>594</v>
      </c>
      <c r="B71" s="448"/>
      <c r="C71" s="713"/>
      <c r="D71" s="447"/>
      <c r="E71" s="1259"/>
      <c r="F71" s="447"/>
      <c r="G71" s="447"/>
      <c r="H71" s="1260"/>
      <c r="I71" s="449"/>
      <c r="J71" s="761"/>
    </row>
    <row r="72" spans="1:16">
      <c r="A72" s="701" t="s">
        <v>1341</v>
      </c>
      <c r="B72" s="281">
        <f>6000-6000</f>
        <v>0</v>
      </c>
      <c r="C72" s="707"/>
      <c r="D72" s="306"/>
      <c r="E72" s="305">
        <v>6000</v>
      </c>
      <c r="F72" s="306">
        <v>0</v>
      </c>
      <c r="G72" s="306"/>
      <c r="H72" s="1357" t="str">
        <f t="shared" ref="H72:H81" si="19">IF(ISERROR(G72/F72),"-",G72/F72)</f>
        <v>-</v>
      </c>
      <c r="I72" s="426"/>
      <c r="J72" s="757">
        <f t="shared" ref="J72:J80" si="20">+B72-D72-MIN(F72,G72)</f>
        <v>0</v>
      </c>
      <c r="O72" s="574">
        <f>+ROUND(G71/1.27,0)</f>
        <v>0</v>
      </c>
      <c r="P72" s="574">
        <f>+G71-O72</f>
        <v>0</v>
      </c>
    </row>
    <row r="73" spans="1:16">
      <c r="A73" s="701" t="s">
        <v>1499</v>
      </c>
      <c r="B73" s="281">
        <v>43712</v>
      </c>
      <c r="C73" s="707"/>
      <c r="D73" s="306"/>
      <c r="E73" s="305">
        <v>41258</v>
      </c>
      <c r="F73" s="306">
        <v>43712</v>
      </c>
      <c r="G73" s="306">
        <v>43712</v>
      </c>
      <c r="H73" s="1357">
        <f t="shared" si="19"/>
        <v>1</v>
      </c>
      <c r="I73" s="426">
        <v>30000</v>
      </c>
      <c r="J73" s="757">
        <f t="shared" si="20"/>
        <v>0</v>
      </c>
      <c r="O73" s="574">
        <f>+ROUND(G72/1.27,0)</f>
        <v>0</v>
      </c>
      <c r="P73" s="574">
        <f>+G72-O73</f>
        <v>0</v>
      </c>
    </row>
    <row r="74" spans="1:16">
      <c r="A74" s="701" t="s">
        <v>1503</v>
      </c>
      <c r="B74" s="281">
        <v>20570</v>
      </c>
      <c r="C74" s="707"/>
      <c r="D74" s="306"/>
      <c r="E74" s="305">
        <v>20000</v>
      </c>
      <c r="F74" s="306">
        <v>20570</v>
      </c>
      <c r="G74" s="306">
        <v>20570</v>
      </c>
      <c r="H74" s="1357">
        <f t="shared" si="19"/>
        <v>1</v>
      </c>
      <c r="I74" s="426"/>
      <c r="J74" s="757">
        <f t="shared" si="20"/>
        <v>0</v>
      </c>
      <c r="O74" s="574">
        <f>+ROUND(G73/1.27,0)</f>
        <v>34419</v>
      </c>
      <c r="P74" s="574">
        <f>+G73-O74</f>
        <v>9293</v>
      </c>
    </row>
    <row r="75" spans="1:16">
      <c r="A75" s="701" t="s">
        <v>1500</v>
      </c>
      <c r="B75" s="281">
        <f>4000-4000</f>
        <v>0</v>
      </c>
      <c r="C75" s="707"/>
      <c r="D75" s="306"/>
      <c r="E75" s="305">
        <f>4000-4000</f>
        <v>0</v>
      </c>
      <c r="F75" s="306">
        <f>4000-4000</f>
        <v>0</v>
      </c>
      <c r="G75" s="306"/>
      <c r="H75" s="1357" t="str">
        <f t="shared" si="19"/>
        <v>-</v>
      </c>
      <c r="I75" s="426"/>
      <c r="J75" s="757">
        <f t="shared" si="20"/>
        <v>0</v>
      </c>
      <c r="O75" s="574">
        <f>+ROUND(G73/1.27,0)</f>
        <v>34419</v>
      </c>
      <c r="P75" s="574">
        <f>+G73-O75</f>
        <v>9293</v>
      </c>
    </row>
    <row r="76" spans="1:16">
      <c r="A76" s="701" t="s">
        <v>2780</v>
      </c>
      <c r="B76" s="281">
        <v>1650</v>
      </c>
      <c r="C76" s="707"/>
      <c r="D76" s="306"/>
      <c r="E76" s="305"/>
      <c r="F76" s="306">
        <v>1650</v>
      </c>
      <c r="G76" s="306">
        <v>1650</v>
      </c>
      <c r="H76" s="1357">
        <f t="shared" si="19"/>
        <v>1</v>
      </c>
      <c r="I76" s="426"/>
      <c r="J76" s="757">
        <f t="shared" si="20"/>
        <v>0</v>
      </c>
      <c r="O76" s="574">
        <f>+ROUND(G72/1.27,0)</f>
        <v>0</v>
      </c>
      <c r="P76" s="574">
        <f>+G72-O76</f>
        <v>0</v>
      </c>
    </row>
    <row r="77" spans="1:16">
      <c r="A77" s="701" t="s">
        <v>2781</v>
      </c>
      <c r="B77" s="281">
        <v>1787</v>
      </c>
      <c r="C77" s="707"/>
      <c r="D77" s="306"/>
      <c r="E77" s="305"/>
      <c r="F77" s="306">
        <v>1787</v>
      </c>
      <c r="G77" s="306">
        <f>1746+41</f>
        <v>1787</v>
      </c>
      <c r="H77" s="1357">
        <f t="shared" si="19"/>
        <v>1</v>
      </c>
      <c r="I77" s="426"/>
      <c r="J77" s="757">
        <f t="shared" si="20"/>
        <v>0</v>
      </c>
      <c r="O77" s="574">
        <f>+ROUND(G73/1.27,0)</f>
        <v>34419</v>
      </c>
      <c r="P77" s="574">
        <f>+G73-O77</f>
        <v>9293</v>
      </c>
    </row>
    <row r="78" spans="1:16">
      <c r="A78" s="701" t="s">
        <v>2783</v>
      </c>
      <c r="B78" s="281">
        <v>5008</v>
      </c>
      <c r="C78" s="707"/>
      <c r="D78" s="306"/>
      <c r="E78" s="305"/>
      <c r="F78" s="306">
        <v>5008</v>
      </c>
      <c r="G78" s="306">
        <f>4216+793-1</f>
        <v>5008</v>
      </c>
      <c r="H78" s="1357">
        <f t="shared" si="19"/>
        <v>1</v>
      </c>
      <c r="I78" s="426"/>
      <c r="J78" s="757">
        <f t="shared" si="20"/>
        <v>0</v>
      </c>
      <c r="O78" s="574">
        <f>+ROUND(G73/1.27,0)</f>
        <v>34419</v>
      </c>
      <c r="P78" s="574">
        <f>+G73-O78</f>
        <v>9293</v>
      </c>
    </row>
    <row r="79" spans="1:16">
      <c r="A79" s="701" t="s">
        <v>2782</v>
      </c>
      <c r="B79" s="281">
        <v>7105</v>
      </c>
      <c r="C79" s="707"/>
      <c r="D79" s="306"/>
      <c r="E79" s="305"/>
      <c r="F79" s="306">
        <v>7105</v>
      </c>
      <c r="G79" s="306">
        <v>7105</v>
      </c>
      <c r="H79" s="1357">
        <f t="shared" si="19"/>
        <v>1</v>
      </c>
      <c r="I79" s="426"/>
      <c r="J79" s="757">
        <f t="shared" si="20"/>
        <v>0</v>
      </c>
      <c r="O79" s="574">
        <f>+ROUND(G74/1.27,0)</f>
        <v>16197</v>
      </c>
      <c r="P79" s="574">
        <f>+G74-O79</f>
        <v>4373</v>
      </c>
    </row>
    <row r="80" spans="1:16" ht="12.75" thickBot="1">
      <c r="A80" s="701" t="s">
        <v>2814</v>
      </c>
      <c r="B80" s="281">
        <v>36820</v>
      </c>
      <c r="C80" s="707"/>
      <c r="D80" s="306"/>
      <c r="E80" s="305"/>
      <c r="F80" s="306">
        <v>36820</v>
      </c>
      <c r="G80" s="306"/>
      <c r="H80" s="1357">
        <f t="shared" si="19"/>
        <v>0</v>
      </c>
      <c r="I80" s="426"/>
      <c r="J80" s="757">
        <f t="shared" si="20"/>
        <v>0</v>
      </c>
      <c r="O80" s="574">
        <f>+ROUND(G80/1.27,0)</f>
        <v>0</v>
      </c>
      <c r="P80" s="574">
        <f>+G80-O80</f>
        <v>0</v>
      </c>
    </row>
    <row r="81" spans="1:16" ht="12.75" thickBot="1">
      <c r="A81" s="702" t="s">
        <v>595</v>
      </c>
      <c r="B81" s="315">
        <f>SUM(B72:B80)</f>
        <v>116652</v>
      </c>
      <c r="C81" s="991" t="s">
        <v>19</v>
      </c>
      <c r="D81" s="317">
        <f>SUM(D72:D79)</f>
        <v>0</v>
      </c>
      <c r="E81" s="316">
        <f>SUM(E72:E80)</f>
        <v>67258</v>
      </c>
      <c r="F81" s="317">
        <f>SUM(F72:F80)</f>
        <v>116652</v>
      </c>
      <c r="G81" s="317">
        <f>SUM(G72:G80)</f>
        <v>79832</v>
      </c>
      <c r="H81" s="1350">
        <f t="shared" si="19"/>
        <v>0.68436031958303334</v>
      </c>
      <c r="I81" s="431">
        <f>SUM(I72:I80)</f>
        <v>30000</v>
      </c>
      <c r="J81" s="298">
        <f>SUM(J72:J80)</f>
        <v>0</v>
      </c>
      <c r="L81" s="574">
        <f>+'1.1.mell._ÖNK_Mérleg2020'!D159-L106</f>
        <v>116652</v>
      </c>
      <c r="M81" s="574">
        <f>+'1.1.mell._ÖNK_Mérleg2020'!E159-M106</f>
        <v>79832</v>
      </c>
    </row>
    <row r="82" spans="1:16">
      <c r="A82" s="700" t="s">
        <v>871</v>
      </c>
      <c r="B82" s="442"/>
      <c r="C82" s="706"/>
      <c r="D82" s="428"/>
      <c r="E82" s="1253"/>
      <c r="F82" s="428"/>
      <c r="G82" s="428"/>
      <c r="H82" s="1256"/>
      <c r="I82" s="427"/>
      <c r="J82" s="756"/>
      <c r="L82" s="574">
        <f>+L81-F81</f>
        <v>0</v>
      </c>
      <c r="M82" s="574">
        <f>+M81-G81</f>
        <v>0</v>
      </c>
    </row>
    <row r="83" spans="1:16" ht="12.75" thickBot="1">
      <c r="A83" s="701" t="s">
        <v>19</v>
      </c>
      <c r="B83" s="281"/>
      <c r="C83" s="707"/>
      <c r="D83" s="306"/>
      <c r="E83" s="305"/>
      <c r="F83" s="306"/>
      <c r="G83" s="306"/>
      <c r="H83" s="1357" t="str">
        <f>IF(ISERROR(G83/F83),"-",G83/F83)</f>
        <v>-</v>
      </c>
      <c r="I83" s="426"/>
      <c r="J83" s="757">
        <f>+B83-D83-MIN(F83,G83)</f>
        <v>0</v>
      </c>
    </row>
    <row r="84" spans="1:16" ht="12.75" thickBot="1">
      <c r="A84" s="702" t="s">
        <v>872</v>
      </c>
      <c r="B84" s="315">
        <f>+B83</f>
        <v>0</v>
      </c>
      <c r="C84" s="991" t="s">
        <v>19</v>
      </c>
      <c r="D84" s="317">
        <f t="shared" ref="D84:I84" si="21">+D83</f>
        <v>0</v>
      </c>
      <c r="E84" s="316">
        <f t="shared" si="21"/>
        <v>0</v>
      </c>
      <c r="F84" s="317">
        <f t="shared" si="21"/>
        <v>0</v>
      </c>
      <c r="G84" s="317">
        <f t="shared" si="21"/>
        <v>0</v>
      </c>
      <c r="H84" s="1350" t="str">
        <f>IF(ISERROR(G84/F84),"-",G84/F84)</f>
        <v>-</v>
      </c>
      <c r="I84" s="431">
        <f t="shared" si="21"/>
        <v>0</v>
      </c>
      <c r="J84" s="298">
        <f>+B84-D84-MIN(F84,G84)</f>
        <v>0</v>
      </c>
      <c r="L84" s="574">
        <f>+'1.2.mell._HKÖH_Mérleg2020'!D159</f>
        <v>0</v>
      </c>
      <c r="M84" s="574">
        <f>+'1.2.mell._HKÖH_Mérleg2020'!E159</f>
        <v>0</v>
      </c>
    </row>
    <row r="85" spans="1:16">
      <c r="A85" s="700" t="s">
        <v>596</v>
      </c>
      <c r="B85" s="442"/>
      <c r="C85" s="706"/>
      <c r="D85" s="428"/>
      <c r="E85" s="1253"/>
      <c r="F85" s="428"/>
      <c r="G85" s="428"/>
      <c r="H85" s="1256"/>
      <c r="I85" s="427"/>
      <c r="J85" s="756"/>
      <c r="L85" s="574">
        <f>+L84-F84</f>
        <v>0</v>
      </c>
      <c r="M85" s="574">
        <f>+M84-G84</f>
        <v>0</v>
      </c>
    </row>
    <row r="86" spans="1:16" ht="12.75" thickBot="1">
      <c r="A86" s="701" t="s">
        <v>19</v>
      </c>
      <c r="B86" s="281"/>
      <c r="C86" s="707"/>
      <c r="D86" s="306"/>
      <c r="E86" s="305"/>
      <c r="F86" s="306"/>
      <c r="G86" s="306"/>
      <c r="H86" s="1357" t="str">
        <f>IF(ISERROR(G86/F86),"-",G86/F86)</f>
        <v>-</v>
      </c>
      <c r="I86" s="426"/>
      <c r="J86" s="757">
        <f>+B86-D86-MIN(F86,G86)</f>
        <v>0</v>
      </c>
    </row>
    <row r="87" spans="1:16" ht="12.75" thickBot="1">
      <c r="A87" s="702" t="s">
        <v>597</v>
      </c>
      <c r="B87" s="315">
        <f>+B86</f>
        <v>0</v>
      </c>
      <c r="C87" s="991" t="s">
        <v>19</v>
      </c>
      <c r="D87" s="317">
        <f t="shared" ref="D87:I87" si="22">+D86</f>
        <v>0</v>
      </c>
      <c r="E87" s="316">
        <f t="shared" si="22"/>
        <v>0</v>
      </c>
      <c r="F87" s="317">
        <f t="shared" si="22"/>
        <v>0</v>
      </c>
      <c r="G87" s="317">
        <f t="shared" si="22"/>
        <v>0</v>
      </c>
      <c r="H87" s="1350" t="str">
        <f>IF(ISERROR(G87/F87),"-",G87/F87)</f>
        <v>-</v>
      </c>
      <c r="I87" s="431">
        <f t="shared" si="22"/>
        <v>0</v>
      </c>
      <c r="J87" s="298">
        <f>+B87-D87-MIN(F87,G87)</f>
        <v>0</v>
      </c>
      <c r="L87" s="574">
        <f>+'1.3.mell._HVÓBKI_Mérleg2020'!D159</f>
        <v>0</v>
      </c>
      <c r="M87" s="574">
        <f>+'1.3.mell._HVÓBKI_Mérleg2020'!E159</f>
        <v>0</v>
      </c>
    </row>
    <row r="88" spans="1:16">
      <c r="A88" s="700" t="s">
        <v>885</v>
      </c>
      <c r="B88" s="442"/>
      <c r="C88" s="706"/>
      <c r="D88" s="428"/>
      <c r="E88" s="1253"/>
      <c r="F88" s="428"/>
      <c r="G88" s="428"/>
      <c r="H88" s="1256"/>
      <c r="I88" s="427"/>
      <c r="J88" s="756"/>
      <c r="L88" s="574">
        <f>+L87-F87</f>
        <v>0</v>
      </c>
      <c r="M88" s="574">
        <f>+M87-G87</f>
        <v>0</v>
      </c>
    </row>
    <row r="89" spans="1:16" ht="12.75" thickBot="1">
      <c r="A89" s="701" t="s">
        <v>19</v>
      </c>
      <c r="B89" s="281"/>
      <c r="C89" s="707"/>
      <c r="D89" s="306"/>
      <c r="E89" s="305"/>
      <c r="F89" s="306"/>
      <c r="G89" s="306"/>
      <c r="H89" s="1357" t="str">
        <f>IF(ISERROR(G89/F89),"-",G89/F89)</f>
        <v>-</v>
      </c>
      <c r="I89" s="426"/>
      <c r="J89" s="757">
        <f>+B89-D89-MIN(F89,G89)</f>
        <v>0</v>
      </c>
      <c r="O89" s="574">
        <f>+ROUND(G88/1.27,0)</f>
        <v>0</v>
      </c>
      <c r="P89" s="574">
        <f>+G88-O89</f>
        <v>0</v>
      </c>
    </row>
    <row r="90" spans="1:16" ht="12.75" thickBot="1">
      <c r="A90" s="702" t="s">
        <v>598</v>
      </c>
      <c r="B90" s="315">
        <f>SUM(B89:B89)</f>
        <v>0</v>
      </c>
      <c r="C90" s="991" t="s">
        <v>19</v>
      </c>
      <c r="D90" s="317">
        <f t="shared" ref="D90:I90" si="23">SUM(D89:D89)</f>
        <v>0</v>
      </c>
      <c r="E90" s="316">
        <f t="shared" si="23"/>
        <v>0</v>
      </c>
      <c r="F90" s="317">
        <f t="shared" si="23"/>
        <v>0</v>
      </c>
      <c r="G90" s="317">
        <f t="shared" si="23"/>
        <v>0</v>
      </c>
      <c r="H90" s="1350" t="str">
        <f>IF(ISERROR(G90/F90),"-",G90/F90)</f>
        <v>-</v>
      </c>
      <c r="I90" s="431">
        <f t="shared" si="23"/>
        <v>0</v>
      </c>
      <c r="J90" s="298">
        <f>+B90-D90-MIN(F90,G90)</f>
        <v>0</v>
      </c>
      <c r="L90" s="574">
        <f>+'1.4.mell._HKK_Mérleg2020'!D159</f>
        <v>0</v>
      </c>
      <c r="M90" s="574">
        <f>+'1.4.mell._HKK_Mérleg2020'!E159</f>
        <v>0</v>
      </c>
    </row>
    <row r="91" spans="1:16">
      <c r="A91" s="700" t="s">
        <v>886</v>
      </c>
      <c r="B91" s="442"/>
      <c r="C91" s="706"/>
      <c r="D91" s="428"/>
      <c r="E91" s="1253"/>
      <c r="F91" s="428"/>
      <c r="G91" s="428"/>
      <c r="H91" s="1256"/>
      <c r="I91" s="427"/>
      <c r="J91" s="756"/>
      <c r="L91" s="574">
        <f>+L90-F90</f>
        <v>0</v>
      </c>
      <c r="M91" s="574">
        <f>+M90-G90</f>
        <v>0</v>
      </c>
    </row>
    <row r="92" spans="1:16" ht="12.75" thickBot="1">
      <c r="A92" s="701" t="s">
        <v>19</v>
      </c>
      <c r="B92" s="281"/>
      <c r="C92" s="707"/>
      <c r="D92" s="306"/>
      <c r="E92" s="305"/>
      <c r="F92" s="306"/>
      <c r="G92" s="306"/>
      <c r="H92" s="1357" t="str">
        <f>IF(ISERROR(G92/F92),"-",G92/F92)</f>
        <v>-</v>
      </c>
      <c r="I92" s="426"/>
      <c r="J92" s="757">
        <f>+B92-D92-MIN(F92,G92)</f>
        <v>0</v>
      </c>
    </row>
    <row r="93" spans="1:16" ht="12.75" thickBot="1">
      <c r="A93" s="702" t="s">
        <v>1270</v>
      </c>
      <c r="B93" s="315">
        <f>+B92</f>
        <v>0</v>
      </c>
      <c r="C93" s="991" t="s">
        <v>19</v>
      </c>
      <c r="D93" s="317">
        <f t="shared" ref="D93:I93" si="24">+D92</f>
        <v>0</v>
      </c>
      <c r="E93" s="316">
        <f t="shared" si="24"/>
        <v>0</v>
      </c>
      <c r="F93" s="317">
        <f t="shared" si="24"/>
        <v>0</v>
      </c>
      <c r="G93" s="317">
        <f t="shared" si="24"/>
        <v>0</v>
      </c>
      <c r="H93" s="1350" t="str">
        <f>IF(ISERROR(G93/F93),"-",G93/F93)</f>
        <v>-</v>
      </c>
      <c r="I93" s="431">
        <f t="shared" si="24"/>
        <v>0</v>
      </c>
      <c r="J93" s="298">
        <f>+B93-D93-MIN(F93,G93)</f>
        <v>0</v>
      </c>
      <c r="L93" s="574">
        <f>+'1.5._mell._MŐSZ_Mérleg2020'!D159</f>
        <v>0</v>
      </c>
      <c r="M93" s="574">
        <f>+'1.5._mell._MŐSZ_Mérleg2020'!E159</f>
        <v>0</v>
      </c>
    </row>
    <row r="94" spans="1:16">
      <c r="A94" s="700" t="s">
        <v>1268</v>
      </c>
      <c r="B94" s="442"/>
      <c r="C94" s="706"/>
      <c r="D94" s="428"/>
      <c r="E94" s="1253"/>
      <c r="F94" s="428"/>
      <c r="G94" s="428"/>
      <c r="H94" s="1256"/>
      <c r="I94" s="427"/>
      <c r="J94" s="756"/>
      <c r="L94" s="574">
        <f>+L93-F93</f>
        <v>0</v>
      </c>
      <c r="M94" s="574">
        <f>+M93-G93</f>
        <v>0</v>
      </c>
    </row>
    <row r="95" spans="1:16" ht="12.75" thickBot="1">
      <c r="A95" s="701" t="s">
        <v>19</v>
      </c>
      <c r="B95" s="281"/>
      <c r="C95" s="707"/>
      <c r="D95" s="306"/>
      <c r="E95" s="305"/>
      <c r="F95" s="306"/>
      <c r="G95" s="306"/>
      <c r="H95" s="1357" t="str">
        <f>IF(ISERROR(G95/F95),"-",G95/F95)</f>
        <v>-</v>
      </c>
      <c r="I95" s="426"/>
      <c r="J95" s="757">
        <f>+B95-D95-MIN(F95,G95)</f>
        <v>0</v>
      </c>
    </row>
    <row r="96" spans="1:16" ht="12.75" thickBot="1">
      <c r="A96" s="702" t="s">
        <v>1269</v>
      </c>
      <c r="B96" s="315">
        <f>+B95</f>
        <v>0</v>
      </c>
      <c r="C96" s="991" t="s">
        <v>19</v>
      </c>
      <c r="D96" s="317">
        <f t="shared" ref="D96:I96" si="25">+D95</f>
        <v>0</v>
      </c>
      <c r="E96" s="316">
        <f t="shared" si="25"/>
        <v>0</v>
      </c>
      <c r="F96" s="317">
        <f t="shared" si="25"/>
        <v>0</v>
      </c>
      <c r="G96" s="317">
        <f t="shared" si="25"/>
        <v>0</v>
      </c>
      <c r="H96" s="1350" t="str">
        <f>IF(ISERROR(G96/F96),"-",G96/F96)</f>
        <v>-</v>
      </c>
      <c r="I96" s="431">
        <f t="shared" si="25"/>
        <v>0</v>
      </c>
      <c r="J96" s="298">
        <f>+B96-D96-MIN(F96,G96)</f>
        <v>0</v>
      </c>
      <c r="L96" s="574">
        <f>+'1.6._mell._HVGYKCSSZ_Mérleg2020'!D159</f>
        <v>0</v>
      </c>
      <c r="M96" s="574">
        <f>+'1.6._mell._HVGYKCSSZ_Mérleg2020'!E159</f>
        <v>0</v>
      </c>
    </row>
    <row r="97" spans="1:16">
      <c r="A97" s="703" t="s">
        <v>617</v>
      </c>
      <c r="B97" s="443"/>
      <c r="C97" s="708"/>
      <c r="D97" s="432"/>
      <c r="E97" s="280"/>
      <c r="F97" s="432"/>
      <c r="G97" s="432"/>
      <c r="H97" s="1379"/>
      <c r="I97" s="433"/>
      <c r="J97" s="758"/>
      <c r="L97" s="574">
        <f>+L96-F96</f>
        <v>0</v>
      </c>
      <c r="M97" s="574">
        <f>+M96-G96</f>
        <v>0</v>
      </c>
    </row>
    <row r="98" spans="1:16">
      <c r="A98" s="701" t="s">
        <v>2760</v>
      </c>
      <c r="B98" s="281">
        <v>141922</v>
      </c>
      <c r="C98" s="707"/>
      <c r="D98" s="306">
        <v>8668</v>
      </c>
      <c r="E98" s="305"/>
      <c r="F98" s="306">
        <v>133254</v>
      </c>
      <c r="G98" s="306">
        <v>133254</v>
      </c>
      <c r="H98" s="1357">
        <f t="shared" ref="H98:H105" si="26">IF(ISERROR(G98/F98),"-",G98/F98)</f>
        <v>1</v>
      </c>
      <c r="I98" s="426"/>
      <c r="J98" s="757">
        <f t="shared" ref="J98:J105" si="27">+B98-D98-MIN(F98,G98)</f>
        <v>0</v>
      </c>
      <c r="O98" s="574">
        <f t="shared" ref="O98:O105" si="28">+ROUND(G98/1.27,0)</f>
        <v>104924</v>
      </c>
      <c r="P98" s="574">
        <f t="shared" ref="P98:P105" si="29">+G98-O98</f>
        <v>28330</v>
      </c>
    </row>
    <row r="99" spans="1:16" ht="24">
      <c r="A99" s="701" t="s">
        <v>2761</v>
      </c>
      <c r="B99" s="281">
        <v>132864</v>
      </c>
      <c r="C99" s="707"/>
      <c r="D99" s="306">
        <v>132864</v>
      </c>
      <c r="E99" s="305"/>
      <c r="F99" s="306"/>
      <c r="G99" s="306"/>
      <c r="H99" s="1357" t="str">
        <f t="shared" si="26"/>
        <v>-</v>
      </c>
      <c r="I99" s="426"/>
      <c r="J99" s="757">
        <f t="shared" si="27"/>
        <v>0</v>
      </c>
      <c r="O99" s="574">
        <f t="shared" si="28"/>
        <v>0</v>
      </c>
      <c r="P99" s="574">
        <f t="shared" si="29"/>
        <v>0</v>
      </c>
    </row>
    <row r="100" spans="1:16">
      <c r="A100" s="701" t="s">
        <v>2762</v>
      </c>
      <c r="B100" s="281">
        <v>124551</v>
      </c>
      <c r="C100" s="707"/>
      <c r="D100" s="306"/>
      <c r="E100" s="305"/>
      <c r="F100" s="306">
        <v>124551</v>
      </c>
      <c r="G100" s="306">
        <v>124551</v>
      </c>
      <c r="H100" s="1357">
        <f>IF(ISERROR(G100/F100),"-",G100/F100)</f>
        <v>1</v>
      </c>
      <c r="I100" s="426"/>
      <c r="J100" s="757">
        <f>+B100-D100-MIN(F100,G100)</f>
        <v>0</v>
      </c>
      <c r="O100" s="574">
        <f t="shared" si="28"/>
        <v>98072</v>
      </c>
      <c r="P100" s="574">
        <f t="shared" si="29"/>
        <v>26479</v>
      </c>
    </row>
    <row r="101" spans="1:16">
      <c r="A101" s="701" t="s">
        <v>1208</v>
      </c>
      <c r="B101" s="281">
        <v>57691</v>
      </c>
      <c r="C101" s="707"/>
      <c r="D101" s="306">
        <v>29816</v>
      </c>
      <c r="E101" s="305"/>
      <c r="F101" s="306">
        <v>27875</v>
      </c>
      <c r="G101" s="306">
        <v>27875</v>
      </c>
      <c r="H101" s="1357">
        <f>IF(ISERROR(G101/F101),"-",G101/F101)</f>
        <v>1</v>
      </c>
      <c r="I101" s="426"/>
      <c r="J101" s="757">
        <f>+B101-D101-MIN(F101,G101)</f>
        <v>0</v>
      </c>
      <c r="O101" s="574">
        <f t="shared" si="28"/>
        <v>21949</v>
      </c>
      <c r="P101" s="574">
        <f t="shared" si="29"/>
        <v>5926</v>
      </c>
    </row>
    <row r="102" spans="1:16">
      <c r="A102" s="701" t="s">
        <v>2764</v>
      </c>
      <c r="B102" s="281">
        <v>48117</v>
      </c>
      <c r="C102" s="707"/>
      <c r="D102" s="306"/>
      <c r="E102" s="305"/>
      <c r="F102" s="306">
        <v>48117</v>
      </c>
      <c r="G102" s="306">
        <v>48117</v>
      </c>
      <c r="H102" s="1357">
        <f t="shared" si="26"/>
        <v>1</v>
      </c>
      <c r="I102" s="426"/>
      <c r="J102" s="757">
        <f t="shared" si="27"/>
        <v>0</v>
      </c>
      <c r="O102" s="574">
        <f t="shared" si="28"/>
        <v>37887</v>
      </c>
      <c r="P102" s="574">
        <f t="shared" si="29"/>
        <v>10230</v>
      </c>
    </row>
    <row r="103" spans="1:16">
      <c r="A103" s="701" t="s">
        <v>1492</v>
      </c>
      <c r="B103" s="281">
        <v>166964</v>
      </c>
      <c r="C103" s="707"/>
      <c r="D103" s="306">
        <v>165142</v>
      </c>
      <c r="E103" s="305"/>
      <c r="F103" s="306">
        <v>1822</v>
      </c>
      <c r="G103" s="306">
        <v>1822</v>
      </c>
      <c r="H103" s="1357">
        <f t="shared" si="26"/>
        <v>1</v>
      </c>
      <c r="I103" s="426"/>
      <c r="J103" s="757">
        <f t="shared" si="27"/>
        <v>0</v>
      </c>
      <c r="O103" s="574">
        <f t="shared" si="28"/>
        <v>1435</v>
      </c>
      <c r="P103" s="574">
        <f t="shared" si="29"/>
        <v>387</v>
      </c>
    </row>
    <row r="104" spans="1:16">
      <c r="A104" s="701" t="s">
        <v>2767</v>
      </c>
      <c r="B104" s="281">
        <v>6145</v>
      </c>
      <c r="C104" s="707"/>
      <c r="D104" s="306">
        <v>508</v>
      </c>
      <c r="E104" s="305"/>
      <c r="F104" s="306">
        <v>5637</v>
      </c>
      <c r="G104" s="306">
        <v>5637</v>
      </c>
      <c r="H104" s="1357">
        <f>IF(ISERROR(G104/F104),"-",G104/F104)</f>
        <v>1</v>
      </c>
      <c r="I104" s="426"/>
      <c r="J104" s="757">
        <f>+B104-D104-MIN(F104,G104)</f>
        <v>0</v>
      </c>
      <c r="O104" s="574">
        <f t="shared" si="28"/>
        <v>4439</v>
      </c>
      <c r="P104" s="574">
        <f t="shared" si="29"/>
        <v>1198</v>
      </c>
    </row>
    <row r="105" spans="1:16" ht="12.75" thickBot="1">
      <c r="A105" s="701" t="s">
        <v>2768</v>
      </c>
      <c r="B105" s="281">
        <v>81803</v>
      </c>
      <c r="C105" s="707"/>
      <c r="D105" s="306"/>
      <c r="E105" s="305"/>
      <c r="F105" s="306">
        <v>81803</v>
      </c>
      <c r="G105" s="306">
        <v>81803</v>
      </c>
      <c r="H105" s="1357">
        <f t="shared" si="26"/>
        <v>1</v>
      </c>
      <c r="I105" s="426"/>
      <c r="J105" s="757">
        <f t="shared" si="27"/>
        <v>0</v>
      </c>
      <c r="O105" s="574">
        <f t="shared" si="28"/>
        <v>64412</v>
      </c>
      <c r="P105" s="574">
        <f t="shared" si="29"/>
        <v>17391</v>
      </c>
    </row>
    <row r="106" spans="1:16" ht="12.75" thickBot="1">
      <c r="A106" s="702" t="s">
        <v>618</v>
      </c>
      <c r="B106" s="315">
        <f>SUM(B98:B105)</f>
        <v>760057</v>
      </c>
      <c r="C106" s="991" t="s">
        <v>19</v>
      </c>
      <c r="D106" s="317">
        <f>SUM(D98:D105)</f>
        <v>336998</v>
      </c>
      <c r="E106" s="316">
        <f>SUM(E98:E105)</f>
        <v>0</v>
      </c>
      <c r="F106" s="317">
        <f>SUM(F98:F105)</f>
        <v>423059</v>
      </c>
      <c r="G106" s="317">
        <f>SUM(G98:G105)</f>
        <v>423059</v>
      </c>
      <c r="H106" s="1350">
        <f>IF(ISERROR(G106/F106),"-",G106/F106)</f>
        <v>1</v>
      </c>
      <c r="I106" s="431">
        <f>SUM(I98:I105)</f>
        <v>0</v>
      </c>
      <c r="J106" s="298">
        <f>SUM(J98:J105)</f>
        <v>0</v>
      </c>
      <c r="L106" s="574">
        <f>+'1.mell._Össz_Mérleg2020'!D160</f>
        <v>423059</v>
      </c>
      <c r="M106" s="574">
        <f>+'1.mell._Össz_Mérleg2020'!E160</f>
        <v>423059</v>
      </c>
    </row>
    <row r="107" spans="1:16" ht="12.75" thickBot="1">
      <c r="A107" s="704"/>
      <c r="B107" s="444"/>
      <c r="C107" s="709"/>
      <c r="D107" s="434"/>
      <c r="E107" s="1254"/>
      <c r="F107" s="434"/>
      <c r="G107" s="434"/>
      <c r="H107" s="1257"/>
      <c r="I107" s="435"/>
      <c r="J107" s="759"/>
      <c r="L107" s="574">
        <f>+F106-L106</f>
        <v>0</v>
      </c>
      <c r="M107" s="574">
        <f>+G106-M106</f>
        <v>0</v>
      </c>
    </row>
    <row r="108" spans="1:16" ht="12.75" thickBot="1">
      <c r="A108" s="705" t="s">
        <v>608</v>
      </c>
      <c r="B108" s="445">
        <f>+B81+B84+B87+B90+B93+B96+B106</f>
        <v>876709</v>
      </c>
      <c r="C108" s="991" t="s">
        <v>19</v>
      </c>
      <c r="D108" s="436">
        <f>+D81+D84+D87+D90+D93+D96+D106</f>
        <v>336998</v>
      </c>
      <c r="E108" s="1255">
        <f>+E81+E84+E87+E90+E93+E96+E106</f>
        <v>67258</v>
      </c>
      <c r="F108" s="436">
        <f>+F81+F84+F87+F90+F93+F96+F106</f>
        <v>539711</v>
      </c>
      <c r="G108" s="436">
        <f>+G81+G84+G87+G90+G93+G96+G106</f>
        <v>502891</v>
      </c>
      <c r="H108" s="1350">
        <f>IF(ISERROR(G108/F108),"-",G108/F108)</f>
        <v>0.93177830357357916</v>
      </c>
      <c r="I108" s="437">
        <f>+I81+I84+I87+I90+I93+I96+I106</f>
        <v>30000</v>
      </c>
      <c r="J108" s="760">
        <f>+J81+J84+J87+J90+J93+J96+J106</f>
        <v>0</v>
      </c>
      <c r="L108" s="574">
        <f>+'1.mell._Össz_Mérleg2020'!D159</f>
        <v>539711</v>
      </c>
      <c r="M108" s="574">
        <f>+'1.mell._Össz_Mérleg2020'!E159</f>
        <v>502891</v>
      </c>
    </row>
    <row r="109" spans="1:16" ht="12.75" thickBot="1">
      <c r="A109" s="438"/>
      <c r="B109" s="714"/>
      <c r="C109" s="438"/>
      <c r="D109" s="438"/>
      <c r="E109" s="438"/>
      <c r="F109" s="438"/>
      <c r="G109" s="438"/>
      <c r="H109" s="1378"/>
      <c r="I109" s="438"/>
      <c r="J109" s="762"/>
      <c r="L109" s="574">
        <f>+F108-L108</f>
        <v>0</v>
      </c>
      <c r="M109" s="574">
        <f>+G108-M108</f>
        <v>0</v>
      </c>
    </row>
    <row r="110" spans="1:16">
      <c r="A110" s="700" t="s">
        <v>609</v>
      </c>
      <c r="B110" s="442"/>
      <c r="C110" s="706"/>
      <c r="D110" s="428"/>
      <c r="E110" s="1253"/>
      <c r="F110" s="1258"/>
      <c r="G110" s="1258"/>
      <c r="H110" s="1256"/>
      <c r="I110" s="1762"/>
      <c r="J110" s="1763"/>
    </row>
    <row r="111" spans="1:16" ht="12.75" thickBot="1">
      <c r="A111" s="701" t="s">
        <v>2773</v>
      </c>
      <c r="B111" s="281">
        <v>19162</v>
      </c>
      <c r="C111" s="707"/>
      <c r="D111" s="306"/>
      <c r="E111" s="305"/>
      <c r="F111" s="306">
        <v>19162</v>
      </c>
      <c r="G111" s="306"/>
      <c r="H111" s="1357">
        <f>IF(ISERROR(G111/F111),"-",G111/F111)</f>
        <v>0</v>
      </c>
      <c r="I111" s="305"/>
      <c r="J111" s="757">
        <f>+B111-D111-MIN(F111,G111)</f>
        <v>0</v>
      </c>
    </row>
    <row r="112" spans="1:16" ht="12.75" thickBot="1">
      <c r="A112" s="702" t="s">
        <v>610</v>
      </c>
      <c r="B112" s="315">
        <f>+B111</f>
        <v>19162</v>
      </c>
      <c r="C112" s="991" t="s">
        <v>19</v>
      </c>
      <c r="D112" s="317">
        <f>+D111</f>
        <v>0</v>
      </c>
      <c r="E112" s="316">
        <f>+E111</f>
        <v>0</v>
      </c>
      <c r="F112" s="317">
        <f>+F111</f>
        <v>19162</v>
      </c>
      <c r="G112" s="317">
        <f>+G111</f>
        <v>0</v>
      </c>
      <c r="H112" s="1350">
        <f t="shared" ref="H112:H132" si="30">IF(ISERROR(G112/F112),"-",G112/F112)</f>
        <v>0</v>
      </c>
      <c r="I112" s="316">
        <f>+I111</f>
        <v>0</v>
      </c>
      <c r="J112" s="298">
        <f>+J111</f>
        <v>0</v>
      </c>
    </row>
    <row r="113" spans="1:10">
      <c r="A113" s="700" t="s">
        <v>873</v>
      </c>
      <c r="B113" s="442"/>
      <c r="C113" s="706"/>
      <c r="D113" s="428"/>
      <c r="E113" s="1253"/>
      <c r="F113" s="428"/>
      <c r="G113" s="428"/>
      <c r="H113" s="1256"/>
      <c r="I113" s="1253"/>
      <c r="J113" s="756"/>
    </row>
    <row r="114" spans="1:10" ht="12.75" thickBot="1">
      <c r="A114" s="701" t="s">
        <v>19</v>
      </c>
      <c r="B114" s="281"/>
      <c r="C114" s="707"/>
      <c r="D114" s="306"/>
      <c r="E114" s="305"/>
      <c r="F114" s="306"/>
      <c r="G114" s="306"/>
      <c r="H114" s="1357" t="str">
        <f t="shared" si="30"/>
        <v>-</v>
      </c>
      <c r="I114" s="305"/>
      <c r="J114" s="757">
        <f>+B114-D114-MIN(F114,G114)</f>
        <v>0</v>
      </c>
    </row>
    <row r="115" spans="1:10" ht="12.75" thickBot="1">
      <c r="A115" s="702" t="s">
        <v>874</v>
      </c>
      <c r="B115" s="315">
        <f>+B114</f>
        <v>0</v>
      </c>
      <c r="C115" s="991" t="s">
        <v>19</v>
      </c>
      <c r="D115" s="317">
        <f>+D114</f>
        <v>0</v>
      </c>
      <c r="E115" s="316">
        <f>+E114</f>
        <v>0</v>
      </c>
      <c r="F115" s="317">
        <f>+F114</f>
        <v>0</v>
      </c>
      <c r="G115" s="317">
        <f>+G114</f>
        <v>0</v>
      </c>
      <c r="H115" s="1350" t="str">
        <f t="shared" si="30"/>
        <v>-</v>
      </c>
      <c r="I115" s="316">
        <f>+I114</f>
        <v>0</v>
      </c>
      <c r="J115" s="320">
        <f>+J114</f>
        <v>0</v>
      </c>
    </row>
    <row r="116" spans="1:10">
      <c r="A116" s="700" t="s">
        <v>611</v>
      </c>
      <c r="B116" s="442"/>
      <c r="C116" s="706"/>
      <c r="D116" s="428"/>
      <c r="E116" s="1253"/>
      <c r="F116" s="428"/>
      <c r="G116" s="428"/>
      <c r="H116" s="1256"/>
      <c r="I116" s="1253"/>
      <c r="J116" s="756"/>
    </row>
    <row r="117" spans="1:10" ht="12.75" thickBot="1">
      <c r="A117" s="701" t="s">
        <v>19</v>
      </c>
      <c r="B117" s="281"/>
      <c r="C117" s="707"/>
      <c r="D117" s="306"/>
      <c r="E117" s="305"/>
      <c r="F117" s="306"/>
      <c r="G117" s="306"/>
      <c r="H117" s="1357" t="str">
        <f t="shared" si="30"/>
        <v>-</v>
      </c>
      <c r="I117" s="305"/>
      <c r="J117" s="757">
        <f>+B117-D117-MIN(F117,G117)</f>
        <v>0</v>
      </c>
    </row>
    <row r="118" spans="1:10" ht="12.75" thickBot="1">
      <c r="A118" s="702" t="s">
        <v>612</v>
      </c>
      <c r="B118" s="315">
        <f>+B117</f>
        <v>0</v>
      </c>
      <c r="C118" s="991" t="s">
        <v>19</v>
      </c>
      <c r="D118" s="317">
        <f>+D117</f>
        <v>0</v>
      </c>
      <c r="E118" s="316">
        <f>+E117</f>
        <v>0</v>
      </c>
      <c r="F118" s="317">
        <f>+F117</f>
        <v>0</v>
      </c>
      <c r="G118" s="317">
        <f>+G117</f>
        <v>0</v>
      </c>
      <c r="H118" s="1350" t="str">
        <f t="shared" si="30"/>
        <v>-</v>
      </c>
      <c r="I118" s="316">
        <f>+I117</f>
        <v>0</v>
      </c>
      <c r="J118" s="1764">
        <f>+J117</f>
        <v>0</v>
      </c>
    </row>
    <row r="119" spans="1:10">
      <c r="A119" s="700" t="s">
        <v>613</v>
      </c>
      <c r="B119" s="442"/>
      <c r="C119" s="706"/>
      <c r="D119" s="428"/>
      <c r="E119" s="1253"/>
      <c r="F119" s="428"/>
      <c r="G119" s="428"/>
      <c r="H119" s="1256"/>
      <c r="I119" s="1253"/>
      <c r="J119" s="756"/>
    </row>
    <row r="120" spans="1:10" ht="12.75" thickBot="1">
      <c r="A120" s="701" t="s">
        <v>19</v>
      </c>
      <c r="B120" s="281"/>
      <c r="C120" s="707"/>
      <c r="D120" s="306"/>
      <c r="E120" s="305"/>
      <c r="F120" s="306"/>
      <c r="G120" s="306"/>
      <c r="H120" s="1357" t="str">
        <f t="shared" si="30"/>
        <v>-</v>
      </c>
      <c r="I120" s="305"/>
      <c r="J120" s="757">
        <f>+B120-D120-MIN(F120,G120)</f>
        <v>0</v>
      </c>
    </row>
    <row r="121" spans="1:10" ht="12.75" thickBot="1">
      <c r="A121" s="702" t="s">
        <v>614</v>
      </c>
      <c r="B121" s="315">
        <f>+B120</f>
        <v>0</v>
      </c>
      <c r="C121" s="991" t="s">
        <v>19</v>
      </c>
      <c r="D121" s="317">
        <f>+D120</f>
        <v>0</v>
      </c>
      <c r="E121" s="316">
        <f>+E120</f>
        <v>0</v>
      </c>
      <c r="F121" s="317">
        <f>+F120</f>
        <v>0</v>
      </c>
      <c r="G121" s="317">
        <f>+G120</f>
        <v>0</v>
      </c>
      <c r="H121" s="1350" t="str">
        <f t="shared" si="30"/>
        <v>-</v>
      </c>
      <c r="I121" s="316">
        <f>+I120</f>
        <v>0</v>
      </c>
      <c r="J121" s="320">
        <f>+J120</f>
        <v>0</v>
      </c>
    </row>
    <row r="122" spans="1:10">
      <c r="A122" s="700" t="s">
        <v>861</v>
      </c>
      <c r="B122" s="442"/>
      <c r="C122" s="706"/>
      <c r="D122" s="428"/>
      <c r="E122" s="1253"/>
      <c r="F122" s="428"/>
      <c r="G122" s="428"/>
      <c r="H122" s="1256"/>
      <c r="I122" s="1253"/>
      <c r="J122" s="756"/>
    </row>
    <row r="123" spans="1:10" ht="12.75" thickBot="1">
      <c r="A123" s="701" t="s">
        <v>19</v>
      </c>
      <c r="B123" s="281"/>
      <c r="C123" s="707"/>
      <c r="D123" s="306"/>
      <c r="E123" s="305"/>
      <c r="F123" s="306"/>
      <c r="G123" s="306"/>
      <c r="H123" s="1357" t="str">
        <f t="shared" si="30"/>
        <v>-</v>
      </c>
      <c r="I123" s="305"/>
      <c r="J123" s="757">
        <f>+B123-D123-MIN(F123,G123)</f>
        <v>0</v>
      </c>
    </row>
    <row r="124" spans="1:10" ht="12.75" thickBot="1">
      <c r="A124" s="702" t="s">
        <v>862</v>
      </c>
      <c r="B124" s="315">
        <f>+B123</f>
        <v>0</v>
      </c>
      <c r="C124" s="991" t="s">
        <v>19</v>
      </c>
      <c r="D124" s="317">
        <f>+D123</f>
        <v>0</v>
      </c>
      <c r="E124" s="316">
        <f>+E123</f>
        <v>0</v>
      </c>
      <c r="F124" s="317">
        <f>+F123</f>
        <v>0</v>
      </c>
      <c r="G124" s="317">
        <f>+G123</f>
        <v>0</v>
      </c>
      <c r="H124" s="1350" t="str">
        <f t="shared" si="30"/>
        <v>-</v>
      </c>
      <c r="I124" s="316">
        <f>+I123</f>
        <v>0</v>
      </c>
      <c r="J124" s="320">
        <f>+J123</f>
        <v>0</v>
      </c>
    </row>
    <row r="125" spans="1:10">
      <c r="A125" s="700" t="s">
        <v>1271</v>
      </c>
      <c r="B125" s="442"/>
      <c r="C125" s="706"/>
      <c r="D125" s="428"/>
      <c r="E125" s="1253"/>
      <c r="F125" s="428"/>
      <c r="G125" s="428"/>
      <c r="H125" s="1256"/>
      <c r="I125" s="1253"/>
      <c r="J125" s="756"/>
    </row>
    <row r="126" spans="1:10" ht="12.75" thickBot="1">
      <c r="A126" s="701" t="s">
        <v>19</v>
      </c>
      <c r="B126" s="281"/>
      <c r="C126" s="707"/>
      <c r="D126" s="306"/>
      <c r="E126" s="305"/>
      <c r="F126" s="306"/>
      <c r="G126" s="306"/>
      <c r="H126" s="1357" t="str">
        <f t="shared" si="30"/>
        <v>-</v>
      </c>
      <c r="I126" s="305"/>
      <c r="J126" s="757">
        <f>+B126-D126-MIN(F126,G126)</f>
        <v>0</v>
      </c>
    </row>
    <row r="127" spans="1:10" ht="12.75" thickBot="1">
      <c r="A127" s="702" t="s">
        <v>1272</v>
      </c>
      <c r="B127" s="315">
        <f>+B126</f>
        <v>0</v>
      </c>
      <c r="C127" s="991" t="s">
        <v>19</v>
      </c>
      <c r="D127" s="317">
        <f>+D126</f>
        <v>0</v>
      </c>
      <c r="E127" s="316">
        <f>+E126</f>
        <v>0</v>
      </c>
      <c r="F127" s="317">
        <f>+F126</f>
        <v>0</v>
      </c>
      <c r="G127" s="317">
        <f>+G126</f>
        <v>0</v>
      </c>
      <c r="H127" s="1350" t="str">
        <f t="shared" si="30"/>
        <v>-</v>
      </c>
      <c r="I127" s="316">
        <f>+I126</f>
        <v>0</v>
      </c>
      <c r="J127" s="320">
        <f>+J126</f>
        <v>0</v>
      </c>
    </row>
    <row r="128" spans="1:10">
      <c r="A128" s="703" t="s">
        <v>950</v>
      </c>
      <c r="B128" s="443"/>
      <c r="C128" s="708"/>
      <c r="D128" s="432"/>
      <c r="E128" s="280"/>
      <c r="F128" s="432"/>
      <c r="G128" s="432"/>
      <c r="H128" s="304"/>
      <c r="I128" s="279"/>
      <c r="J128" s="758"/>
    </row>
    <row r="129" spans="1:13" ht="12.75" thickBot="1">
      <c r="A129" s="701" t="s">
        <v>19</v>
      </c>
      <c r="B129" s="281"/>
      <c r="C129" s="707"/>
      <c r="D129" s="306"/>
      <c r="E129" s="305"/>
      <c r="F129" s="306"/>
      <c r="G129" s="306"/>
      <c r="H129" s="1357" t="str">
        <f t="shared" si="30"/>
        <v>-</v>
      </c>
      <c r="I129" s="305"/>
      <c r="J129" s="757">
        <f>+B129-D129-MIN(F129,G129)</f>
        <v>0</v>
      </c>
    </row>
    <row r="130" spans="1:13" ht="12.75" thickBot="1">
      <c r="A130" s="702" t="s">
        <v>951</v>
      </c>
      <c r="B130" s="315">
        <f>+B129</f>
        <v>0</v>
      </c>
      <c r="C130" s="991" t="s">
        <v>19</v>
      </c>
      <c r="D130" s="317">
        <f>+D129</f>
        <v>0</v>
      </c>
      <c r="E130" s="316">
        <f>+E129</f>
        <v>0</v>
      </c>
      <c r="F130" s="317">
        <f>+F129</f>
        <v>0</v>
      </c>
      <c r="G130" s="317">
        <f>+G129</f>
        <v>0</v>
      </c>
      <c r="H130" s="1350" t="str">
        <f t="shared" si="30"/>
        <v>-</v>
      </c>
      <c r="I130" s="316">
        <f>+I129</f>
        <v>0</v>
      </c>
      <c r="J130" s="320">
        <f>+J129</f>
        <v>0</v>
      </c>
      <c r="L130" s="574">
        <f>+'1.mell._Össz_Mérleg2020'!E170</f>
        <v>0</v>
      </c>
      <c r="M130" s="574">
        <f>+G129-L130</f>
        <v>0</v>
      </c>
    </row>
    <row r="131" spans="1:13" ht="12.75" thickBot="1">
      <c r="A131" s="704"/>
      <c r="B131" s="444"/>
      <c r="C131" s="709"/>
      <c r="D131" s="434"/>
      <c r="E131" s="1254"/>
      <c r="F131" s="434"/>
      <c r="G131" s="434"/>
      <c r="H131" s="1257"/>
      <c r="I131" s="1254"/>
      <c r="J131" s="759"/>
    </row>
    <row r="132" spans="1:13" ht="12.75" thickBot="1">
      <c r="A132" s="705" t="s">
        <v>619</v>
      </c>
      <c r="B132" s="445">
        <f>+B112+B115+B118+B121+B124+B127+B130</f>
        <v>19162</v>
      </c>
      <c r="C132" s="991" t="s">
        <v>19</v>
      </c>
      <c r="D132" s="436">
        <f>+D112+D115+D118+D121+D124+D127+D130</f>
        <v>0</v>
      </c>
      <c r="E132" s="1255">
        <f>+E112+E115+E118+E121+E124+E127+E130</f>
        <v>0</v>
      </c>
      <c r="F132" s="436">
        <f>+F112+F115+F118+F121+F124+F127+F130</f>
        <v>19162</v>
      </c>
      <c r="G132" s="436">
        <f>+G112+G115+G118+G121+G124+G127+G130</f>
        <v>0</v>
      </c>
      <c r="H132" s="1350">
        <f t="shared" si="30"/>
        <v>0</v>
      </c>
      <c r="I132" s="1255">
        <f>+I112+I115+I118+I121+I124+I127+I130</f>
        <v>0</v>
      </c>
      <c r="J132" s="298">
        <f>+J112+J115+J118+J121+J124+J127+J130</f>
        <v>0</v>
      </c>
      <c r="L132" s="574">
        <f>+'1.mell._Össz_Mérleg2020'!E165</f>
        <v>0</v>
      </c>
      <c r="M132" s="574">
        <f>+G131-L132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305" customWidth="1"/>
    <col min="7" max="9" width="9.28515625" style="4" customWidth="1"/>
    <col min="10" max="12" width="10.5703125" style="4" hidden="1" customWidth="1"/>
    <col min="13" max="13" width="9.140625" style="4" hidden="1" customWidth="1"/>
    <col min="14" max="14" width="0" style="4" hidden="1" customWidth="1"/>
    <col min="15" max="16384" width="9.140625" style="4"/>
  </cols>
  <sheetData>
    <row r="1" spans="1:13" s="50" customFormat="1" ht="15.75">
      <c r="F1" s="1289"/>
      <c r="I1" s="51" t="s">
        <v>47</v>
      </c>
    </row>
    <row r="2" spans="1:13" s="50" customFormat="1" ht="15.75">
      <c r="F2" s="1289"/>
    </row>
    <row r="3" spans="1:13" s="52" customFormat="1" ht="15.75">
      <c r="A3" s="1769" t="s">
        <v>330</v>
      </c>
      <c r="B3" s="1769"/>
      <c r="C3" s="1769"/>
      <c r="D3" s="1769"/>
      <c r="E3" s="1769"/>
      <c r="F3" s="1769"/>
      <c r="G3" s="1769"/>
      <c r="H3" s="1769"/>
      <c r="I3" s="1769"/>
    </row>
    <row r="4" spans="1:13" s="52" customFormat="1" ht="15.75">
      <c r="A4" s="1769" t="s">
        <v>1416</v>
      </c>
      <c r="B4" s="1769"/>
      <c r="C4" s="1769"/>
      <c r="D4" s="1769"/>
      <c r="E4" s="1769"/>
      <c r="F4" s="1769"/>
      <c r="G4" s="1769"/>
      <c r="H4" s="1769"/>
      <c r="I4" s="1769"/>
    </row>
    <row r="5" spans="1:13" s="50" customFormat="1" ht="15.75">
      <c r="F5" s="1289"/>
    </row>
    <row r="6" spans="1:13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  <c r="I6" s="1769"/>
    </row>
    <row r="7" spans="1:13" s="36" customFormat="1" ht="12.75" thickBot="1">
      <c r="A7" s="38" t="s">
        <v>279</v>
      </c>
      <c r="F7" s="1290"/>
      <c r="I7" s="37" t="s">
        <v>280</v>
      </c>
    </row>
    <row r="8" spans="1:13" s="8" customFormat="1" ht="54" customHeight="1" thickBot="1">
      <c r="A8" s="79" t="s">
        <v>17</v>
      </c>
      <c r="B8" s="93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5" t="s">
        <v>51</v>
      </c>
      <c r="H8" s="6" t="s">
        <v>52</v>
      </c>
      <c r="I8" s="7" t="s">
        <v>53</v>
      </c>
    </row>
    <row r="9" spans="1:13" s="3" customFormat="1" ht="12.75" thickBot="1">
      <c r="A9" s="83" t="s">
        <v>252</v>
      </c>
      <c r="B9" s="94" t="s">
        <v>253</v>
      </c>
      <c r="C9" s="1771" t="s">
        <v>254</v>
      </c>
      <c r="D9" s="1772"/>
      <c r="E9" s="1772"/>
      <c r="F9" s="1772"/>
      <c r="G9" s="1772"/>
      <c r="H9" s="1772"/>
      <c r="I9" s="1773"/>
    </row>
    <row r="10" spans="1:13" s="3" customFormat="1" ht="12.75" thickBot="1">
      <c r="A10" s="95" t="s">
        <v>4</v>
      </c>
      <c r="B10" s="63" t="s">
        <v>296</v>
      </c>
      <c r="C10" s="401">
        <f>+C11+C25+C32+C44</f>
        <v>1593199</v>
      </c>
      <c r="D10" s="1060">
        <f>+D11+D25+D32+D44</f>
        <v>2075746</v>
      </c>
      <c r="E10" s="1060">
        <f>+E11+E25+E32+E44</f>
        <v>1876441</v>
      </c>
      <c r="F10" s="1293">
        <f t="shared" ref="F10:F73" si="0">IF(ISERROR(E10/D10),"-",E10/D10)</f>
        <v>0.90398391710739179</v>
      </c>
      <c r="G10" s="31">
        <f>+G11+G25+G32+G44</f>
        <v>1848202</v>
      </c>
      <c r="H10" s="32">
        <f>+H11+H25+H32+H44</f>
        <v>28239</v>
      </c>
      <c r="I10" s="33">
        <f>+I11+I25+I32+I44</f>
        <v>0</v>
      </c>
      <c r="J10" s="655">
        <f>+C10/$C$102</f>
        <v>0.34990953563382377</v>
      </c>
      <c r="K10" s="655">
        <f>+D10/$D$102</f>
        <v>0.35826317063042357</v>
      </c>
      <c r="L10" s="655">
        <f>+E10/$E$102</f>
        <v>0.33573487186387113</v>
      </c>
      <c r="M10" s="3">
        <f t="shared" ref="M10:M41" si="1">+E10-G10-H10-I10</f>
        <v>0</v>
      </c>
    </row>
    <row r="11" spans="1:13" s="3" customFormat="1" ht="12.75" customHeight="1" thickBot="1">
      <c r="A11" s="83" t="s">
        <v>5</v>
      </c>
      <c r="B11" s="64" t="s">
        <v>297</v>
      </c>
      <c r="C11" s="129">
        <f>+C12+C19+C20+C21+C22+C23</f>
        <v>992226</v>
      </c>
      <c r="D11" s="1061">
        <f>+D12+D19+D20+D21+D22+D23</f>
        <v>1347690</v>
      </c>
      <c r="E11" s="1061">
        <f>+E12+E19+E20+E21+E22+E23</f>
        <v>1347690</v>
      </c>
      <c r="F11" s="1294">
        <f t="shared" si="0"/>
        <v>1</v>
      </c>
      <c r="G11" s="27">
        <f>+G12+G19+G20+G21+G22+G23</f>
        <v>1347565</v>
      </c>
      <c r="H11" s="28">
        <f>+H12+H19+H20+H21+H22+H23</f>
        <v>125</v>
      </c>
      <c r="I11" s="29">
        <f>+I12+I19+I20+I21+I22+I23</f>
        <v>0</v>
      </c>
      <c r="J11" s="655">
        <f>+C11/$C$102</f>
        <v>0.21791963144830398</v>
      </c>
      <c r="K11" s="655">
        <f>+D11/$D$102</f>
        <v>0.23260441905074877</v>
      </c>
      <c r="L11" s="655">
        <f>+E11/$E$102</f>
        <v>0.24113016580975391</v>
      </c>
      <c r="M11" s="3">
        <f t="shared" si="1"/>
        <v>0</v>
      </c>
    </row>
    <row r="12" spans="1:13" s="3" customFormat="1">
      <c r="A12" s="84" t="s">
        <v>54</v>
      </c>
      <c r="B12" s="65" t="s">
        <v>298</v>
      </c>
      <c r="C12" s="398">
        <f>+C13+C14+C15+C16+C17+C18</f>
        <v>917056</v>
      </c>
      <c r="D12" s="1062">
        <f>+D13+D14+D15+D16+D17+D18</f>
        <v>967057</v>
      </c>
      <c r="E12" s="1062">
        <f>+E13+E14+E15+E16+E17+E18</f>
        <v>967057</v>
      </c>
      <c r="F12" s="1295">
        <f t="shared" si="0"/>
        <v>1</v>
      </c>
      <c r="G12" s="18">
        <f>+G13+G14+G15+G16+G17+G18</f>
        <v>967057</v>
      </c>
      <c r="H12" s="9">
        <f>+H13+H14+H15+H16+H17+H18</f>
        <v>0</v>
      </c>
      <c r="I12" s="14">
        <f>+I13+I14+I15+I16+I17+I18</f>
        <v>0</v>
      </c>
      <c r="M12" s="4">
        <f t="shared" si="1"/>
        <v>0</v>
      </c>
    </row>
    <row r="13" spans="1:13" s="13" customFormat="1">
      <c r="A13" s="86" t="s">
        <v>189</v>
      </c>
      <c r="B13" s="66" t="s">
        <v>93</v>
      </c>
      <c r="C13" s="394">
        <f>+'1.1.mell._ÖNK_Mérleg2020'!C13+'1.2.mell._HKÖH_Mérleg2020'!C13+'1.3.mell._HVÓBKI_Mérleg2020'!C13+'1.4.mell._HKK_Mérleg2020'!C13+'1.5._mell._MŐSZ_Mérleg2020'!C13+'1.6._mell._HVGYKCSSZ_Mérleg2020'!C13</f>
        <v>221585</v>
      </c>
      <c r="D13" s="1063">
        <f>+'1.1.mell._ÖNK_Mérleg2020'!D13+'1.2.mell._HKÖH_Mérleg2020'!D13+'1.3.mell._HVÓBKI_Mérleg2020'!D13+'1.4.mell._HKK_Mérleg2020'!D13+'1.5._mell._MŐSZ_Mérleg2020'!D13+'1.6._mell._HVGYKCSSZ_Mérleg2020'!D13</f>
        <v>249155</v>
      </c>
      <c r="E13" s="1063">
        <f>+'1.1.mell._ÖNK_Mérleg2020'!E13+'1.2.mell._HKÖH_Mérleg2020'!E13+'1.3.mell._HVÓBKI_Mérleg2020'!E13+'1.4.mell._HKK_Mérleg2020'!E13+'1.5._mell._MŐSZ_Mérleg2020'!E13+'1.6._mell._HVGYKCSSZ_Mérleg2020'!E13</f>
        <v>249155</v>
      </c>
      <c r="F13" s="1296">
        <f t="shared" si="0"/>
        <v>1</v>
      </c>
      <c r="G13" s="19">
        <f>+'1.1.mell._ÖNK_Mérleg2020'!G13+'1.2.mell._HKÖH_Mérleg2020'!G13+'1.3.mell._HVÓBKI_Mérleg2020'!G13+'1.4.mell._HKK_Mérleg2020'!G13+'1.5._mell._MŐSZ_Mérleg2020'!G13+'1.6._mell._HVGYKCSSZ_Mérleg2020'!G13</f>
        <v>249155</v>
      </c>
      <c r="H13" s="12">
        <f>+'1.1.mell._ÖNK_Mérleg2020'!H13+'1.2.mell._HKÖH_Mérleg2020'!H13+'1.3.mell._HVÓBKI_Mérleg2020'!H13+'1.4.mell._HKK_Mérleg2020'!H13+'1.5._mell._MŐSZ_Mérleg2020'!H13+'1.6._mell._HVGYKCSSZ_Mérleg2020'!H13</f>
        <v>0</v>
      </c>
      <c r="I13" s="15">
        <f>+'1.1.mell._ÖNK_Mérleg2020'!I13+'1.2.mell._HKÖH_Mérleg2020'!I13+'1.3.mell._HVÓBKI_Mérleg2020'!I13+'1.4.mell._HKK_Mérleg2020'!I13+'1.5._mell._MŐSZ_Mérleg2020'!I13+'1.6._mell._HVGYKCSSZ_Mérleg2020'!I13</f>
        <v>0</v>
      </c>
      <c r="M13" s="13">
        <f t="shared" si="1"/>
        <v>0</v>
      </c>
    </row>
    <row r="14" spans="1:13" s="13" customFormat="1">
      <c r="A14" s="86" t="s">
        <v>190</v>
      </c>
      <c r="B14" s="66" t="s">
        <v>94</v>
      </c>
      <c r="C14" s="394">
        <f>+'1.1.mell._ÖNK_Mérleg2020'!C14+'1.2.mell._HKÖH_Mérleg2020'!C14+'1.3.mell._HVÓBKI_Mérleg2020'!C14+'1.4.mell._HKK_Mérleg2020'!C14+'1.5._mell._MŐSZ_Mérleg2020'!C14+'1.6._mell._HVGYKCSSZ_Mérleg2020'!C14</f>
        <v>238516</v>
      </c>
      <c r="D14" s="1063">
        <f>+'1.1.mell._ÖNK_Mérleg2020'!D14+'1.2.mell._HKÖH_Mérleg2020'!D14+'1.3.mell._HVÓBKI_Mérleg2020'!D14+'1.4.mell._HKK_Mérleg2020'!D14+'1.5._mell._MŐSZ_Mérleg2020'!D14+'1.6._mell._HVGYKCSSZ_Mérleg2020'!D14</f>
        <v>259126</v>
      </c>
      <c r="E14" s="1063">
        <f>+'1.1.mell._ÖNK_Mérleg2020'!E14+'1.2.mell._HKÖH_Mérleg2020'!E14+'1.3.mell._HVÓBKI_Mérleg2020'!E14+'1.4.mell._HKK_Mérleg2020'!E14+'1.5._mell._MŐSZ_Mérleg2020'!E14+'1.6._mell._HVGYKCSSZ_Mérleg2020'!E14</f>
        <v>259126</v>
      </c>
      <c r="F14" s="1296">
        <f t="shared" si="0"/>
        <v>1</v>
      </c>
      <c r="G14" s="19">
        <f>+'1.1.mell._ÖNK_Mérleg2020'!G14+'1.2.mell._HKÖH_Mérleg2020'!G14+'1.3.mell._HVÓBKI_Mérleg2020'!G14+'1.4.mell._HKK_Mérleg2020'!G14+'1.5._mell._MŐSZ_Mérleg2020'!G14+'1.6._mell._HVGYKCSSZ_Mérleg2020'!G14</f>
        <v>259126</v>
      </c>
      <c r="H14" s="12">
        <f>+'1.1.mell._ÖNK_Mérleg2020'!H14+'1.2.mell._HKÖH_Mérleg2020'!H14+'1.3.mell._HVÓBKI_Mérleg2020'!H14+'1.4.mell._HKK_Mérleg2020'!H14+'1.5._mell._MŐSZ_Mérleg2020'!H14+'1.6._mell._HVGYKCSSZ_Mérleg2020'!H14</f>
        <v>0</v>
      </c>
      <c r="I14" s="15">
        <f>+'1.1.mell._ÖNK_Mérleg2020'!I14+'1.2.mell._HKÖH_Mérleg2020'!I14+'1.3.mell._HVÓBKI_Mérleg2020'!I14+'1.4.mell._HKK_Mérleg2020'!I14+'1.5._mell._MŐSZ_Mérleg2020'!I14+'1.6._mell._HVGYKCSSZ_Mérleg2020'!I14</f>
        <v>0</v>
      </c>
      <c r="M14" s="13">
        <f t="shared" si="1"/>
        <v>0</v>
      </c>
    </row>
    <row r="15" spans="1:13" s="13" customFormat="1">
      <c r="A15" s="86" t="s">
        <v>191</v>
      </c>
      <c r="B15" s="66" t="s">
        <v>95</v>
      </c>
      <c r="C15" s="394">
        <f>+'1.1.mell._ÖNK_Mérleg2020'!C15+'1.2.mell._HKÖH_Mérleg2020'!C15+'1.3.mell._HVÓBKI_Mérleg2020'!C15+'1.4.mell._HKK_Mérleg2020'!C15+'1.5._mell._MŐSZ_Mérleg2020'!C15+'1.6._mell._HVGYKCSSZ_Mérleg2020'!C15</f>
        <v>287846</v>
      </c>
      <c r="D15" s="1063">
        <f>+'1.1.mell._ÖNK_Mérleg2020'!D15+'1.2.mell._HKÖH_Mérleg2020'!D15+'1.3.mell._HVÓBKI_Mérleg2020'!D15+'1.4.mell._HKK_Mérleg2020'!D15+'1.5._mell._MŐSZ_Mérleg2020'!D15+'1.6._mell._HVGYKCSSZ_Mérleg2020'!D15</f>
        <v>337720</v>
      </c>
      <c r="E15" s="1063">
        <f>+'1.1.mell._ÖNK_Mérleg2020'!E15+'1.2.mell._HKÖH_Mérleg2020'!E15+'1.3.mell._HVÓBKI_Mérleg2020'!E15+'1.4.mell._HKK_Mérleg2020'!E15+'1.5._mell._MŐSZ_Mérleg2020'!E15+'1.6._mell._HVGYKCSSZ_Mérleg2020'!E15</f>
        <v>337720</v>
      </c>
      <c r="F15" s="1296">
        <f t="shared" si="0"/>
        <v>1</v>
      </c>
      <c r="G15" s="19">
        <f>+'1.1.mell._ÖNK_Mérleg2020'!G15+'1.2.mell._HKÖH_Mérleg2020'!G15+'1.3.mell._HVÓBKI_Mérleg2020'!G15+'1.4.mell._HKK_Mérleg2020'!G15+'1.5._mell._MŐSZ_Mérleg2020'!G15+'1.6._mell._HVGYKCSSZ_Mérleg2020'!G15</f>
        <v>337720</v>
      </c>
      <c r="H15" s="12">
        <f>+'1.1.mell._ÖNK_Mérleg2020'!H15+'1.2.mell._HKÖH_Mérleg2020'!H15+'1.3.mell._HVÓBKI_Mérleg2020'!H15+'1.4.mell._HKK_Mérleg2020'!H15+'1.5._mell._MŐSZ_Mérleg2020'!H15+'1.6._mell._HVGYKCSSZ_Mérleg2020'!H15</f>
        <v>0</v>
      </c>
      <c r="I15" s="15">
        <f>+'1.1.mell._ÖNK_Mérleg2020'!I15+'1.2.mell._HKÖH_Mérleg2020'!I15+'1.3.mell._HVÓBKI_Mérleg2020'!I15+'1.4.mell._HKK_Mérleg2020'!I15+'1.5._mell._MŐSZ_Mérleg2020'!I15+'1.6._mell._HVGYKCSSZ_Mérleg2020'!I15</f>
        <v>0</v>
      </c>
      <c r="M15" s="13">
        <f t="shared" si="1"/>
        <v>0</v>
      </c>
    </row>
    <row r="16" spans="1:13" s="13" customFormat="1">
      <c r="A16" s="86" t="s">
        <v>192</v>
      </c>
      <c r="B16" s="66" t="s">
        <v>96</v>
      </c>
      <c r="C16" s="394">
        <f>+'1.1.mell._ÖNK_Mérleg2020'!C16+'1.2.mell._HKÖH_Mérleg2020'!C16+'1.3.mell._HVÓBKI_Mérleg2020'!C16+'1.4.mell._HKK_Mérleg2020'!C16+'1.5._mell._MŐSZ_Mérleg2020'!C16+'1.6._mell._HVGYKCSSZ_Mérleg2020'!C16</f>
        <v>13207</v>
      </c>
      <c r="D16" s="1063">
        <f>+'1.1.mell._ÖNK_Mérleg2020'!D16+'1.2.mell._HKÖH_Mérleg2020'!D16+'1.3.mell._HVÓBKI_Mérleg2020'!D16+'1.4.mell._HKK_Mérleg2020'!D16+'1.5._mell._MŐSZ_Mérleg2020'!D16+'1.6._mell._HVGYKCSSZ_Mérleg2020'!D16</f>
        <v>26951</v>
      </c>
      <c r="E16" s="1063">
        <f>+'1.1.mell._ÖNK_Mérleg2020'!E16+'1.2.mell._HKÖH_Mérleg2020'!E16+'1.3.mell._HVÓBKI_Mérleg2020'!E16+'1.4.mell._HKK_Mérleg2020'!E16+'1.5._mell._MŐSZ_Mérleg2020'!E16+'1.6._mell._HVGYKCSSZ_Mérleg2020'!E16</f>
        <v>26951</v>
      </c>
      <c r="F16" s="1296">
        <f t="shared" si="0"/>
        <v>1</v>
      </c>
      <c r="G16" s="19">
        <f>+'1.1.mell._ÖNK_Mérleg2020'!G16+'1.2.mell._HKÖH_Mérleg2020'!G16+'1.3.mell._HVÓBKI_Mérleg2020'!G16+'1.4.mell._HKK_Mérleg2020'!G16+'1.5._mell._MŐSZ_Mérleg2020'!G16+'1.6._mell._HVGYKCSSZ_Mérleg2020'!G16</f>
        <v>26951</v>
      </c>
      <c r="H16" s="12">
        <f>+'1.1.mell._ÖNK_Mérleg2020'!H16+'1.2.mell._HKÖH_Mérleg2020'!H16+'1.3.mell._HVÓBKI_Mérleg2020'!H16+'1.4.mell._HKK_Mérleg2020'!H16+'1.5._mell._MŐSZ_Mérleg2020'!H16+'1.6._mell._HVGYKCSSZ_Mérleg2020'!H16</f>
        <v>0</v>
      </c>
      <c r="I16" s="15">
        <f>+'1.1.mell._ÖNK_Mérleg2020'!I16+'1.2.mell._HKÖH_Mérleg2020'!I16+'1.3.mell._HVÓBKI_Mérleg2020'!I16+'1.4.mell._HKK_Mérleg2020'!I16+'1.5._mell._MŐSZ_Mérleg2020'!I16+'1.6._mell._HVGYKCSSZ_Mérleg2020'!I16</f>
        <v>0</v>
      </c>
      <c r="M16" s="13">
        <f t="shared" si="1"/>
        <v>0</v>
      </c>
    </row>
    <row r="17" spans="1:13" s="117" customFormat="1">
      <c r="A17" s="86" t="s">
        <v>193</v>
      </c>
      <c r="B17" s="66" t="s">
        <v>891</v>
      </c>
      <c r="C17" s="1056">
        <f>+'1.1.mell._ÖNK_Mérleg2020'!C17+'1.2.mell._HKÖH_Mérleg2020'!C17+'1.3.mell._HVÓBKI_Mérleg2020'!C17+'1.4.mell._HKK_Mérleg2020'!C17+'1.5._mell._MŐSZ_Mérleg2020'!C17+'1.6._mell._HVGYKCSSZ_Mérleg2020'!C17</f>
        <v>155902</v>
      </c>
      <c r="D17" s="1067">
        <f>+'1.1.mell._ÖNK_Mérleg2020'!D17+'1.2.mell._HKÖH_Mérleg2020'!D17+'1.3.mell._HVÓBKI_Mérleg2020'!D17+'1.4.mell._HKK_Mérleg2020'!D17+'1.5._mell._MŐSZ_Mérleg2020'!D17+'1.6._mell._HVGYKCSSZ_Mérleg2020'!D17</f>
        <v>93958</v>
      </c>
      <c r="E17" s="1067">
        <f>+'1.1.mell._ÖNK_Mérleg2020'!E17+'1.2.mell._HKÖH_Mérleg2020'!E17+'1.3.mell._HVÓBKI_Mérleg2020'!E17+'1.4.mell._HKK_Mérleg2020'!E17+'1.5._mell._MŐSZ_Mérleg2020'!E17+'1.6._mell._HVGYKCSSZ_Mérleg2020'!E17</f>
        <v>93958</v>
      </c>
      <c r="F17" s="1297">
        <f t="shared" si="0"/>
        <v>1</v>
      </c>
      <c r="G17" s="686">
        <f>+'1.1.mell._ÖNK_Mérleg2020'!G17+'1.2.mell._HKÖH_Mérleg2020'!G17+'1.3.mell._HVÓBKI_Mérleg2020'!G17+'1.4.mell._HKK_Mérleg2020'!G17+'1.5._mell._MŐSZ_Mérleg2020'!G17+'1.6._mell._HVGYKCSSZ_Mérleg2020'!G17</f>
        <v>93958</v>
      </c>
      <c r="H17" s="687">
        <f>+'1.1.mell._ÖNK_Mérleg2020'!H17+'1.2.mell._HKÖH_Mérleg2020'!H17+'1.3.mell._HVÓBKI_Mérleg2020'!H17+'1.4.mell._HKK_Mérleg2020'!H17+'1.5._mell._MŐSZ_Mérleg2020'!H17+'1.6._mell._HVGYKCSSZ_Mérleg2020'!H17</f>
        <v>0</v>
      </c>
      <c r="I17" s="688">
        <f>+'1.1.mell._ÖNK_Mérleg2020'!I17+'1.2.mell._HKÖH_Mérleg2020'!I17+'1.3.mell._HVÓBKI_Mérleg2020'!I17+'1.4.mell._HKK_Mérleg2020'!I17+'1.5._mell._MŐSZ_Mérleg2020'!I17+'1.6._mell._HVGYKCSSZ_Mérleg2020'!I17</f>
        <v>0</v>
      </c>
      <c r="J17" s="655">
        <f>+C17/$C$102</f>
        <v>3.4240290399620135E-2</v>
      </c>
      <c r="K17" s="655">
        <f>+D17/$D$102</f>
        <v>1.6216671493570669E-2</v>
      </c>
      <c r="L17" s="655">
        <f>+E17/$E$102</f>
        <v>1.6811067915583598E-2</v>
      </c>
      <c r="M17" s="13">
        <f t="shared" si="1"/>
        <v>0</v>
      </c>
    </row>
    <row r="18" spans="1:13" s="117" customFormat="1">
      <c r="A18" s="86" t="s">
        <v>194</v>
      </c>
      <c r="B18" s="66" t="s">
        <v>892</v>
      </c>
      <c r="C18" s="1056">
        <f>+'1.1.mell._ÖNK_Mérleg2020'!C18+'1.2.mell._HKÖH_Mérleg2020'!C18+'1.3.mell._HVÓBKI_Mérleg2020'!C18+'1.4.mell._HKK_Mérleg2020'!C18+'1.5._mell._MŐSZ_Mérleg2020'!C18+'1.6._mell._HVGYKCSSZ_Mérleg2020'!C18</f>
        <v>0</v>
      </c>
      <c r="D18" s="1067">
        <f>+'1.1.mell._ÖNK_Mérleg2020'!D18+'1.2.mell._HKÖH_Mérleg2020'!D18+'1.3.mell._HVÓBKI_Mérleg2020'!D18+'1.4.mell._HKK_Mérleg2020'!D18+'1.5._mell._MŐSZ_Mérleg2020'!D18+'1.6._mell._HVGYKCSSZ_Mérleg2020'!D18</f>
        <v>147</v>
      </c>
      <c r="E18" s="1067">
        <f>+'1.1.mell._ÖNK_Mérleg2020'!E18+'1.2.mell._HKÖH_Mérleg2020'!E18+'1.3.mell._HVÓBKI_Mérleg2020'!E18+'1.4.mell._HKK_Mérleg2020'!E18+'1.5._mell._MŐSZ_Mérleg2020'!E18+'1.6._mell._HVGYKCSSZ_Mérleg2020'!E18</f>
        <v>147</v>
      </c>
      <c r="F18" s="1297">
        <f t="shared" si="0"/>
        <v>1</v>
      </c>
      <c r="G18" s="686">
        <f>+'1.1.mell._ÖNK_Mérleg2020'!G18+'1.2.mell._HKÖH_Mérleg2020'!G18+'1.3.mell._HVÓBKI_Mérleg2020'!G18+'1.4.mell._HKK_Mérleg2020'!G18+'1.5._mell._MŐSZ_Mérleg2020'!G18+'1.6._mell._HVGYKCSSZ_Mérleg2020'!G18</f>
        <v>147</v>
      </c>
      <c r="H18" s="687">
        <f>+'1.1.mell._ÖNK_Mérleg2020'!H18+'1.2.mell._HKÖH_Mérleg2020'!H18+'1.3.mell._HVÓBKI_Mérleg2020'!H18+'1.4.mell._HKK_Mérleg2020'!H18+'1.5._mell._MŐSZ_Mérleg2020'!H18+'1.6._mell._HVGYKCSSZ_Mérleg2020'!H18</f>
        <v>0</v>
      </c>
      <c r="I18" s="688">
        <f>+'1.1.mell._ÖNK_Mérleg2020'!I18+'1.2.mell._HKÖH_Mérleg2020'!I18+'1.3.mell._HVÓBKI_Mérleg2020'!I18+'1.4.mell._HKK_Mérleg2020'!I18+'1.5._mell._MŐSZ_Mérleg2020'!I18+'1.6._mell._HVGYKCSSZ_Mérleg2020'!I18</f>
        <v>0</v>
      </c>
      <c r="M18" s="13">
        <f t="shared" si="1"/>
        <v>0</v>
      </c>
    </row>
    <row r="19" spans="1:13">
      <c r="A19" s="85" t="s">
        <v>55</v>
      </c>
      <c r="B19" s="67" t="s">
        <v>97</v>
      </c>
      <c r="C19" s="396">
        <f>+'1.1.mell._ÖNK_Mérleg2020'!C19+'1.2.mell._HKÖH_Mérleg2020'!C19+'1.3.mell._HVÓBKI_Mérleg2020'!C19+'1.4.mell._HKK_Mérleg2020'!C19+'1.5._mell._MŐSZ_Mérleg2020'!C19+'1.6._mell._HVGYKCSSZ_Mérleg2020'!C19</f>
        <v>8014</v>
      </c>
      <c r="D19" s="1064">
        <f>+'1.1.mell._ÖNK_Mérleg2020'!D19+'1.2.mell._HKÖH_Mérleg2020'!D19+'1.3.mell._HVÓBKI_Mérleg2020'!D19+'1.4.mell._HKK_Mérleg2020'!D19+'1.5._mell._MŐSZ_Mérleg2020'!D19+'1.6._mell._HVGYKCSSZ_Mérleg2020'!D19</f>
        <v>1176</v>
      </c>
      <c r="E19" s="1064">
        <f>+'1.1.mell._ÖNK_Mérleg2020'!E19+'1.2.mell._HKÖH_Mérleg2020'!E19+'1.3.mell._HVÓBKI_Mérleg2020'!E19+'1.4.mell._HKK_Mérleg2020'!E19+'1.5._mell._MŐSZ_Mérleg2020'!E19+'1.6._mell._HVGYKCSSZ_Mérleg2020'!E19</f>
        <v>1176</v>
      </c>
      <c r="F19" s="1296">
        <f t="shared" si="0"/>
        <v>1</v>
      </c>
      <c r="G19" s="20">
        <f>+'1.1.mell._ÖNK_Mérleg2020'!G19+'1.2.mell._HKÖH_Mérleg2020'!G19+'1.3.mell._HVÓBKI_Mérleg2020'!G19+'1.4.mell._HKK_Mérleg2020'!G19+'1.5._mell._MŐSZ_Mérleg2020'!G19+'1.6._mell._HVGYKCSSZ_Mérleg2020'!G19</f>
        <v>1176</v>
      </c>
      <c r="H19" s="11">
        <f>+'1.1.mell._ÖNK_Mérleg2020'!H19+'1.2.mell._HKÖH_Mérleg2020'!H19+'1.3.mell._HVÓBKI_Mérleg2020'!H19+'1.4.mell._HKK_Mérleg2020'!H19+'1.5._mell._MŐSZ_Mérleg2020'!H19+'1.6._mell._HVGYKCSSZ_Mérleg2020'!H19</f>
        <v>0</v>
      </c>
      <c r="I19" s="16">
        <f>+'1.1.mell._ÖNK_Mérleg2020'!I19+'1.2.mell._HKÖH_Mérleg2020'!I19+'1.3.mell._HVÓBKI_Mérleg2020'!I19+'1.4.mell._HKK_Mérleg2020'!I19+'1.5._mell._MŐSZ_Mérleg2020'!I19+'1.6._mell._HVGYKCSSZ_Mérleg2020'!I19</f>
        <v>0</v>
      </c>
      <c r="M19" s="4">
        <f t="shared" si="1"/>
        <v>0</v>
      </c>
    </row>
    <row r="20" spans="1:13">
      <c r="A20" s="85" t="s">
        <v>83</v>
      </c>
      <c r="B20" s="67" t="s">
        <v>98</v>
      </c>
      <c r="C20" s="396">
        <f>+'1.1.mell._ÖNK_Mérleg2020'!C20+'1.2.mell._HKÖH_Mérleg2020'!C20+'1.3.mell._HVÓBKI_Mérleg2020'!C20+'1.4.mell._HKK_Mérleg2020'!C20+'1.5._mell._MŐSZ_Mérleg2020'!C20+'1.6._mell._HVGYKCSSZ_Mérleg2020'!C20</f>
        <v>0</v>
      </c>
      <c r="D20" s="1064">
        <f>+'1.1.mell._ÖNK_Mérleg2020'!D20+'1.2.mell._HKÖH_Mérleg2020'!D20+'1.3.mell._HVÓBKI_Mérleg2020'!D20+'1.4.mell._HKK_Mérleg2020'!D20+'1.5._mell._MŐSZ_Mérleg2020'!D20+'1.6._mell._HVGYKCSSZ_Mérleg2020'!D20</f>
        <v>0</v>
      </c>
      <c r="E20" s="1064">
        <f>+'1.1.mell._ÖNK_Mérleg2020'!E20+'1.2.mell._HKÖH_Mérleg2020'!E20+'1.3.mell._HVÓBKI_Mérleg2020'!E20+'1.4.mell._HKK_Mérleg2020'!E20+'1.5._mell._MŐSZ_Mérleg2020'!E20+'1.6._mell._HVGYKCSSZ_Mérleg2020'!E20</f>
        <v>0</v>
      </c>
      <c r="F20" s="1296" t="str">
        <f t="shared" si="0"/>
        <v>-</v>
      </c>
      <c r="G20" s="20">
        <f>+'1.1.mell._ÖNK_Mérleg2020'!G20+'1.2.mell._HKÖH_Mérleg2020'!G20+'1.3.mell._HVÓBKI_Mérleg2020'!G20+'1.4.mell._HKK_Mérleg2020'!G20+'1.5._mell._MŐSZ_Mérleg2020'!G20+'1.6._mell._HVGYKCSSZ_Mérleg2020'!G20</f>
        <v>0</v>
      </c>
      <c r="H20" s="11">
        <f>+'1.1.mell._ÖNK_Mérleg2020'!H20+'1.2.mell._HKÖH_Mérleg2020'!H20+'1.3.mell._HVÓBKI_Mérleg2020'!H20+'1.4.mell._HKK_Mérleg2020'!H20+'1.5._mell._MŐSZ_Mérleg2020'!H20+'1.6._mell._HVGYKCSSZ_Mérleg2020'!H20</f>
        <v>0</v>
      </c>
      <c r="I20" s="16">
        <f>+'1.1.mell._ÖNK_Mérleg2020'!I20+'1.2.mell._HKÖH_Mérleg2020'!I20+'1.3.mell._HVÓBKI_Mérleg2020'!I20+'1.4.mell._HKK_Mérleg2020'!I20+'1.5._mell._MŐSZ_Mérleg2020'!I20+'1.6._mell._HVGYKCSSZ_Mérleg2020'!I20</f>
        <v>0</v>
      </c>
      <c r="M20" s="4">
        <f t="shared" si="1"/>
        <v>0</v>
      </c>
    </row>
    <row r="21" spans="1:13">
      <c r="A21" s="85" t="s">
        <v>84</v>
      </c>
      <c r="B21" s="67" t="s">
        <v>99</v>
      </c>
      <c r="C21" s="396">
        <f>+'1.1.mell._ÖNK_Mérleg2020'!C21+'1.2.mell._HKÖH_Mérleg2020'!C21+'1.3.mell._HVÓBKI_Mérleg2020'!C21+'1.4.mell._HKK_Mérleg2020'!C21+'1.5._mell._MŐSZ_Mérleg2020'!C21+'1.6._mell._HVGYKCSSZ_Mérleg2020'!C21</f>
        <v>0</v>
      </c>
      <c r="D21" s="1064">
        <f>+'1.1.mell._ÖNK_Mérleg2020'!D21+'1.2.mell._HKÖH_Mérleg2020'!D21+'1.3.mell._HVÓBKI_Mérleg2020'!D21+'1.4.mell._HKK_Mérleg2020'!D21+'1.5._mell._MŐSZ_Mérleg2020'!D21+'1.6._mell._HVGYKCSSZ_Mérleg2020'!D21</f>
        <v>0</v>
      </c>
      <c r="E21" s="1064">
        <f>+'1.1.mell._ÖNK_Mérleg2020'!E21+'1.2.mell._HKÖH_Mérleg2020'!E21+'1.3.mell._HVÓBKI_Mérleg2020'!E21+'1.4.mell._HKK_Mérleg2020'!E21+'1.5._mell._MŐSZ_Mérleg2020'!E21+'1.6._mell._HVGYKCSSZ_Mérleg2020'!E21</f>
        <v>0</v>
      </c>
      <c r="F21" s="1296" t="str">
        <f t="shared" si="0"/>
        <v>-</v>
      </c>
      <c r="G21" s="20">
        <f>+'1.1.mell._ÖNK_Mérleg2020'!G21+'1.2.mell._HKÖH_Mérleg2020'!G21+'1.3.mell._HVÓBKI_Mérleg2020'!G21+'1.4.mell._HKK_Mérleg2020'!G21+'1.5._mell._MŐSZ_Mérleg2020'!G21+'1.6._mell._HVGYKCSSZ_Mérleg2020'!G21</f>
        <v>0</v>
      </c>
      <c r="H21" s="11">
        <f>+'1.1.mell._ÖNK_Mérleg2020'!H21+'1.2.mell._HKÖH_Mérleg2020'!H21+'1.3.mell._HVÓBKI_Mérleg2020'!H21+'1.4.mell._HKK_Mérleg2020'!H21+'1.5._mell._MŐSZ_Mérleg2020'!H21+'1.6._mell._HVGYKCSSZ_Mérleg2020'!H21</f>
        <v>0</v>
      </c>
      <c r="I21" s="16">
        <f>+'1.1.mell._ÖNK_Mérleg2020'!I21+'1.2.mell._HKÖH_Mérleg2020'!I21+'1.3.mell._HVÓBKI_Mérleg2020'!I21+'1.4.mell._HKK_Mérleg2020'!I21+'1.5._mell._MŐSZ_Mérleg2020'!I21+'1.6._mell._HVGYKCSSZ_Mérleg2020'!I21</f>
        <v>0</v>
      </c>
      <c r="M21" s="4">
        <f t="shared" si="1"/>
        <v>0</v>
      </c>
    </row>
    <row r="22" spans="1:13">
      <c r="A22" s="85" t="s">
        <v>85</v>
      </c>
      <c r="B22" s="67" t="s">
        <v>100</v>
      </c>
      <c r="C22" s="396">
        <f>+'1.1.mell._ÖNK_Mérleg2020'!C22+'1.2.mell._HKÖH_Mérleg2020'!C22+'1.3.mell._HVÓBKI_Mérleg2020'!C22+'1.4.mell._HKK_Mérleg2020'!C22+'1.5._mell._MŐSZ_Mérleg2020'!C22+'1.6._mell._HVGYKCSSZ_Mérleg2020'!C22</f>
        <v>0</v>
      </c>
      <c r="D22" s="1064">
        <f>+'1.1.mell._ÖNK_Mérleg2020'!D22+'1.2.mell._HKÖH_Mérleg2020'!D22+'1.3.mell._HVÓBKI_Mérleg2020'!D22+'1.4.mell._HKK_Mérleg2020'!D22+'1.5._mell._MŐSZ_Mérleg2020'!D22+'1.6._mell._HVGYKCSSZ_Mérleg2020'!D22</f>
        <v>0</v>
      </c>
      <c r="E22" s="1064">
        <f>+'1.1.mell._ÖNK_Mérleg2020'!E22+'1.2.mell._HKÖH_Mérleg2020'!E22+'1.3.mell._HVÓBKI_Mérleg2020'!E22+'1.4.mell._HKK_Mérleg2020'!E22+'1.5._mell._MŐSZ_Mérleg2020'!E22+'1.6._mell._HVGYKCSSZ_Mérleg2020'!E22</f>
        <v>0</v>
      </c>
      <c r="F22" s="1296" t="str">
        <f t="shared" si="0"/>
        <v>-</v>
      </c>
      <c r="G22" s="20">
        <f>+'1.1.mell._ÖNK_Mérleg2020'!G22+'1.2.mell._HKÖH_Mérleg2020'!G22+'1.3.mell._HVÓBKI_Mérleg2020'!G22+'1.4.mell._HKK_Mérleg2020'!G22+'1.5._mell._MŐSZ_Mérleg2020'!G22+'1.6._mell._HVGYKCSSZ_Mérleg2020'!G22</f>
        <v>0</v>
      </c>
      <c r="H22" s="11">
        <f>+'1.1.mell._ÖNK_Mérleg2020'!H22+'1.2.mell._HKÖH_Mérleg2020'!H22+'1.3.mell._HVÓBKI_Mérleg2020'!H22+'1.4.mell._HKK_Mérleg2020'!H22+'1.5._mell._MŐSZ_Mérleg2020'!H22+'1.6._mell._HVGYKCSSZ_Mérleg2020'!H22</f>
        <v>0</v>
      </c>
      <c r="I22" s="16">
        <f>+'1.1.mell._ÖNK_Mérleg2020'!I22+'1.2.mell._HKÖH_Mérleg2020'!I22+'1.3.mell._HVÓBKI_Mérleg2020'!I22+'1.4.mell._HKK_Mérleg2020'!I22+'1.5._mell._MŐSZ_Mérleg2020'!I22+'1.6._mell._HVGYKCSSZ_Mérleg2020'!I22</f>
        <v>0</v>
      </c>
      <c r="M22" s="4">
        <f t="shared" si="1"/>
        <v>0</v>
      </c>
    </row>
    <row r="23" spans="1:13">
      <c r="A23" s="78" t="s">
        <v>86</v>
      </c>
      <c r="B23" s="68" t="s">
        <v>101</v>
      </c>
      <c r="C23" s="397">
        <f>+'1.1.mell._ÖNK_Mérleg2020'!C23+'1.2.mell._HKÖH_Mérleg2020'!C23+'1.3.mell._HVÓBKI_Mérleg2020'!C23+'1.4.mell._HKK_Mérleg2020'!C23+'1.5._mell._MŐSZ_Mérleg2020'!C23+'1.6._mell._HVGYKCSSZ_Mérleg2020'!C23</f>
        <v>67156</v>
      </c>
      <c r="D23" s="1065">
        <f>+'1.1.mell._ÖNK_Mérleg2020'!D23+'1.2.mell._HKÖH_Mérleg2020'!D23+'1.3.mell._HVÓBKI_Mérleg2020'!D23+'1.4.mell._HKK_Mérleg2020'!D23+'1.5._mell._MŐSZ_Mérleg2020'!D23+'1.6._mell._HVGYKCSSZ_Mérleg2020'!D23</f>
        <v>379457</v>
      </c>
      <c r="E23" s="1065">
        <f>+'1.1.mell._ÖNK_Mérleg2020'!E23+'1.2.mell._HKÖH_Mérleg2020'!E23+'1.3.mell._HVÓBKI_Mérleg2020'!E23+'1.4.mell._HKK_Mérleg2020'!E23+'1.5._mell._MŐSZ_Mérleg2020'!E23+'1.6._mell._HVGYKCSSZ_Mérleg2020'!E23</f>
        <v>379457</v>
      </c>
      <c r="F23" s="1298">
        <f t="shared" si="0"/>
        <v>1</v>
      </c>
      <c r="G23" s="21">
        <f>+'1.1.mell._ÖNK_Mérleg2020'!G23+'1.2.mell._HKÖH_Mérleg2020'!G23+'1.3.mell._HVÓBKI_Mérleg2020'!G23+'1.4.mell._HKK_Mérleg2020'!G23+'1.5._mell._MŐSZ_Mérleg2020'!G23+'1.6._mell._HVGYKCSSZ_Mérleg2020'!G23</f>
        <v>379332</v>
      </c>
      <c r="H23" s="22">
        <f>+'1.1.mell._ÖNK_Mérleg2020'!H23+'1.2.mell._HKÖH_Mérleg2020'!H23+'1.3.mell._HVÓBKI_Mérleg2020'!H23+'1.4.mell._HKK_Mérleg2020'!H23+'1.5._mell._MŐSZ_Mérleg2020'!H23+'1.6._mell._HVGYKCSSZ_Mérleg2020'!H23</f>
        <v>125</v>
      </c>
      <c r="I23" s="23">
        <f>+'1.1.mell._ÖNK_Mérleg2020'!I23+'1.2.mell._HKÖH_Mérleg2020'!I23+'1.3.mell._HVÓBKI_Mérleg2020'!I23+'1.4.mell._HKK_Mérleg2020'!I23+'1.5._mell._MŐSZ_Mérleg2020'!I23+'1.6._mell._HVGYKCSSZ_Mérleg2020'!I23</f>
        <v>0</v>
      </c>
      <c r="M23" s="4">
        <f t="shared" si="1"/>
        <v>0</v>
      </c>
    </row>
    <row r="24" spans="1:13" s="13" customFormat="1" ht="12.75" thickBot="1">
      <c r="A24" s="89" t="s">
        <v>331</v>
      </c>
      <c r="B24" s="751" t="s">
        <v>332</v>
      </c>
      <c r="C24" s="395">
        <f>+'1.1.mell._ÖNK_Mérleg2020'!C24+'1.2.mell._HKÖH_Mérleg2020'!C24+'1.3.mell._HVÓBKI_Mérleg2020'!C24+'1.4.mell._HKK_Mérleg2020'!C24+'1.5._mell._MŐSZ_Mérleg2020'!C24+'1.6._mell._HVGYKCSSZ_Mérleg2020'!C24</f>
        <v>0</v>
      </c>
      <c r="D24" s="1066">
        <f>+'1.1.mell._ÖNK_Mérleg2020'!D24+'1.2.mell._HKÖH_Mérleg2020'!D24+'1.3.mell._HVÓBKI_Mérleg2020'!D24+'1.4.mell._HKK_Mérleg2020'!D24+'1.5._mell._MŐSZ_Mérleg2020'!D24+'1.6._mell._HVGYKCSSZ_Mérleg2020'!D24</f>
        <v>246702</v>
      </c>
      <c r="E24" s="1066">
        <f>+'1.1.mell._ÖNK_Mérleg2020'!E24+'1.2.mell._HKÖH_Mérleg2020'!E24+'1.3.mell._HVÓBKI_Mérleg2020'!E24+'1.4.mell._HKK_Mérleg2020'!E24+'1.5._mell._MŐSZ_Mérleg2020'!E24+'1.6._mell._HVGYKCSSZ_Mérleg2020'!E24</f>
        <v>246702</v>
      </c>
      <c r="F24" s="1298">
        <f t="shared" si="0"/>
        <v>1</v>
      </c>
      <c r="G24" s="45">
        <f>+'1.1.mell._ÖNK_Mérleg2020'!G24+'1.2.mell._HKÖH_Mérleg2020'!G24+'1.3.mell._HVÓBKI_Mérleg2020'!G24+'1.4.mell._HKK_Mérleg2020'!G24+'1.5._mell._MŐSZ_Mérleg2020'!G24+'1.6._mell._HVGYKCSSZ_Mérleg2020'!G24</f>
        <v>246702</v>
      </c>
      <c r="H24" s="43">
        <f>+'1.1.mell._ÖNK_Mérleg2020'!H24+'1.2.mell._HKÖH_Mérleg2020'!H24+'1.3.mell._HVÓBKI_Mérleg2020'!H24+'1.4.mell._HKK_Mérleg2020'!H24+'1.5._mell._MŐSZ_Mérleg2020'!H24+'1.6._mell._HVGYKCSSZ_Mérleg2020'!H24</f>
        <v>0</v>
      </c>
      <c r="I24" s="44">
        <f>+'1.1.mell._ÖNK_Mérleg2020'!I24+'1.2.mell._HKÖH_Mérleg2020'!I24+'1.3.mell._HVÓBKI_Mérleg2020'!I24+'1.4.mell._HKK_Mérleg2020'!I24+'1.5._mell._MŐSZ_Mérleg2020'!I24+'1.6._mell._HVGYKCSSZ_Mérleg2020'!I24</f>
        <v>0</v>
      </c>
      <c r="M24" s="13">
        <f t="shared" si="1"/>
        <v>0</v>
      </c>
    </row>
    <row r="25" spans="1:13" s="3" customFormat="1" ht="12.75" customHeight="1" thickBot="1">
      <c r="A25" s="83" t="s">
        <v>6</v>
      </c>
      <c r="B25" s="64" t="s">
        <v>778</v>
      </c>
      <c r="C25" s="129">
        <f>+C26+C27+C28+C29+C30+C31</f>
        <v>414105</v>
      </c>
      <c r="D25" s="1061">
        <f>+D26+D27+D28+D29+D30+D31</f>
        <v>538391</v>
      </c>
      <c r="E25" s="1061">
        <f>+E26+E27+E28+E29+E30+E31</f>
        <v>370140</v>
      </c>
      <c r="F25" s="1294">
        <f t="shared" si="0"/>
        <v>0.68749291871520879</v>
      </c>
      <c r="G25" s="27">
        <f>+G26+G27+G28+G29+G30+G31</f>
        <v>370140</v>
      </c>
      <c r="H25" s="28">
        <f>+H26+H27+H28+H29+H30+H31</f>
        <v>0</v>
      </c>
      <c r="I25" s="29">
        <f>+I26+I27+I28+I29+I30+I31</f>
        <v>0</v>
      </c>
      <c r="J25" s="655">
        <f>+C25/$C$102</f>
        <v>9.0948643737313789E-2</v>
      </c>
      <c r="K25" s="655">
        <f>+D25/$D$102</f>
        <v>9.292354011467896E-2</v>
      </c>
      <c r="L25" s="655">
        <f>+E25/$E$102</f>
        <v>6.6225852809490546E-2</v>
      </c>
      <c r="M25" s="3">
        <f t="shared" si="1"/>
        <v>0</v>
      </c>
    </row>
    <row r="26" spans="1:13" ht="12.75" customHeight="1">
      <c r="A26" s="84" t="s">
        <v>58</v>
      </c>
      <c r="B26" s="65" t="s">
        <v>102</v>
      </c>
      <c r="C26" s="398">
        <f>+'1.1.mell._ÖNK_Mérleg2020'!C26+'1.2.mell._HKÖH_Mérleg2020'!C26+'1.3.mell._HVÓBKI_Mérleg2020'!C26+'1.4.mell._HKK_Mérleg2020'!C26+'1.5._mell._MŐSZ_Mérleg2020'!C26+'1.6._mell._HVGYKCSSZ_Mérleg2020'!C26</f>
        <v>50</v>
      </c>
      <c r="D26" s="1062">
        <f>+'1.1.mell._ÖNK_Mérleg2020'!D26+'1.2.mell._HKÖH_Mérleg2020'!D26+'1.3.mell._HVÓBKI_Mérleg2020'!D26+'1.4.mell._HKK_Mérleg2020'!D26+'1.5._mell._MŐSZ_Mérleg2020'!D26+'1.6._mell._HVGYKCSSZ_Mérleg2020'!D26</f>
        <v>291</v>
      </c>
      <c r="E26" s="1062">
        <f>+'1.1.mell._ÖNK_Mérleg2020'!E26+'1.2.mell._HKÖH_Mérleg2020'!E26+'1.3.mell._HVÓBKI_Mérleg2020'!E26+'1.4.mell._HKK_Mérleg2020'!E26+'1.5._mell._MŐSZ_Mérleg2020'!E26+'1.6._mell._HVGYKCSSZ_Mérleg2020'!E26</f>
        <v>291</v>
      </c>
      <c r="F26" s="1295">
        <f t="shared" si="0"/>
        <v>1</v>
      </c>
      <c r="G26" s="34">
        <f>+'1.1.mell._ÖNK_Mérleg2020'!G26+'1.2.mell._HKÖH_Mérleg2020'!G26+'1.3.mell._HVÓBKI_Mérleg2020'!G26+'1.4.mell._HKK_Mérleg2020'!G26+'1.5._mell._MŐSZ_Mérleg2020'!G26+'1.6._mell._HVGYKCSSZ_Mérleg2020'!G26</f>
        <v>291</v>
      </c>
      <c r="H26" s="10">
        <f>+'1.1.mell._ÖNK_Mérleg2020'!H26+'1.2.mell._HKÖH_Mérleg2020'!H26+'1.3.mell._HVÓBKI_Mérleg2020'!H26+'1.4.mell._HKK_Mérleg2020'!H26+'1.5._mell._MŐSZ_Mérleg2020'!H26+'1.6._mell._HVGYKCSSZ_Mérleg2020'!H26</f>
        <v>0</v>
      </c>
      <c r="I26" s="35">
        <f>+'1.1.mell._ÖNK_Mérleg2020'!I26+'1.2.mell._HKÖH_Mérleg2020'!I26+'1.3.mell._HVÓBKI_Mérleg2020'!I26+'1.4.mell._HKK_Mérleg2020'!I26+'1.5._mell._MŐSZ_Mérleg2020'!I26+'1.6._mell._HVGYKCSSZ_Mérleg2020'!I26</f>
        <v>0</v>
      </c>
      <c r="M26" s="4">
        <f t="shared" si="1"/>
        <v>0</v>
      </c>
    </row>
    <row r="27" spans="1:13" ht="12.75" customHeight="1">
      <c r="A27" s="85" t="s">
        <v>59</v>
      </c>
      <c r="B27" s="67" t="s">
        <v>103</v>
      </c>
      <c r="C27" s="396">
        <f>+'1.1.mell._ÖNK_Mérleg2020'!C27+'1.2.mell._HKÖH_Mérleg2020'!C27+'1.3.mell._HVÓBKI_Mérleg2020'!C27+'1.4.mell._HKK_Mérleg2020'!C27+'1.5._mell._MŐSZ_Mérleg2020'!C27+'1.6._mell._HVGYKCSSZ_Mérleg2020'!C27</f>
        <v>0</v>
      </c>
      <c r="D27" s="1064">
        <f>+'1.1.mell._ÖNK_Mérleg2020'!D27+'1.2.mell._HKÖH_Mérleg2020'!D27+'1.3.mell._HVÓBKI_Mérleg2020'!D27+'1.4.mell._HKK_Mérleg2020'!D27+'1.5._mell._MŐSZ_Mérleg2020'!D27+'1.6._mell._HVGYKCSSZ_Mérleg2020'!D27</f>
        <v>0</v>
      </c>
      <c r="E27" s="1064">
        <f>+'1.1.mell._ÖNK_Mérleg2020'!E27+'1.2.mell._HKÖH_Mérleg2020'!E27+'1.3.mell._HVÓBKI_Mérleg2020'!E27+'1.4.mell._HKK_Mérleg2020'!E27+'1.5._mell._MŐSZ_Mérleg2020'!E27+'1.6._mell._HVGYKCSSZ_Mérleg2020'!E27</f>
        <v>0</v>
      </c>
      <c r="F27" s="1296" t="str">
        <f t="shared" si="0"/>
        <v>-</v>
      </c>
      <c r="G27" s="20">
        <f>+'1.1.mell._ÖNK_Mérleg2020'!G27+'1.2.mell._HKÖH_Mérleg2020'!G27+'1.3.mell._HVÓBKI_Mérleg2020'!G27+'1.4.mell._HKK_Mérleg2020'!G27+'1.5._mell._MŐSZ_Mérleg2020'!G27+'1.6._mell._HVGYKCSSZ_Mérleg2020'!G27</f>
        <v>0</v>
      </c>
      <c r="H27" s="11">
        <f>+'1.1.mell._ÖNK_Mérleg2020'!H27+'1.2.mell._HKÖH_Mérleg2020'!H27+'1.3.mell._HVÓBKI_Mérleg2020'!H27+'1.4.mell._HKK_Mérleg2020'!H27+'1.5._mell._MŐSZ_Mérleg2020'!H27+'1.6._mell._HVGYKCSSZ_Mérleg2020'!H27</f>
        <v>0</v>
      </c>
      <c r="I27" s="16">
        <f>+'1.1.mell._ÖNK_Mérleg2020'!I27+'1.2.mell._HKÖH_Mérleg2020'!I27+'1.3.mell._HVÓBKI_Mérleg2020'!I27+'1.4.mell._HKK_Mérleg2020'!I27+'1.5._mell._MŐSZ_Mérleg2020'!I27+'1.6._mell._HVGYKCSSZ_Mérleg2020'!I27</f>
        <v>0</v>
      </c>
      <c r="M27" s="4">
        <f t="shared" si="1"/>
        <v>0</v>
      </c>
    </row>
    <row r="28" spans="1:13" ht="12.75" customHeight="1">
      <c r="A28" s="85" t="s">
        <v>60</v>
      </c>
      <c r="B28" s="67" t="s">
        <v>104</v>
      </c>
      <c r="C28" s="396">
        <f>+'1.1.mell._ÖNK_Mérleg2020'!C28+'1.2.mell._HKÖH_Mérleg2020'!C28+'1.3.mell._HVÓBKI_Mérleg2020'!C28+'1.4.mell._HKK_Mérleg2020'!C28+'1.5._mell._MŐSZ_Mérleg2020'!C28+'1.6._mell._HVGYKCSSZ_Mérleg2020'!C28</f>
        <v>0</v>
      </c>
      <c r="D28" s="1064">
        <f>+'1.1.mell._ÖNK_Mérleg2020'!D28+'1.2.mell._HKÖH_Mérleg2020'!D28+'1.3.mell._HVÓBKI_Mérleg2020'!D28+'1.4.mell._HKK_Mérleg2020'!D28+'1.5._mell._MŐSZ_Mérleg2020'!D28+'1.6._mell._HVGYKCSSZ_Mérleg2020'!D28</f>
        <v>0</v>
      </c>
      <c r="E28" s="1064">
        <f>+'1.1.mell._ÖNK_Mérleg2020'!E28+'1.2.mell._HKÖH_Mérleg2020'!E28+'1.3.mell._HVÓBKI_Mérleg2020'!E28+'1.4.mell._HKK_Mérleg2020'!E28+'1.5._mell._MŐSZ_Mérleg2020'!E28+'1.6._mell._HVGYKCSSZ_Mérleg2020'!E28</f>
        <v>0</v>
      </c>
      <c r="F28" s="1296" t="str">
        <f t="shared" si="0"/>
        <v>-</v>
      </c>
      <c r="G28" s="20">
        <f>+'1.1.mell._ÖNK_Mérleg2020'!G28+'1.2.mell._HKÖH_Mérleg2020'!G28+'1.3.mell._HVÓBKI_Mérleg2020'!G28+'1.4.mell._HKK_Mérleg2020'!G28+'1.5._mell._MŐSZ_Mérleg2020'!G28+'1.6._mell._HVGYKCSSZ_Mérleg2020'!G28</f>
        <v>0</v>
      </c>
      <c r="H28" s="11">
        <f>+'1.1.mell._ÖNK_Mérleg2020'!H28+'1.2.mell._HKÖH_Mérleg2020'!H28+'1.3.mell._HVÓBKI_Mérleg2020'!H28+'1.4.mell._HKK_Mérleg2020'!H28+'1.5._mell._MŐSZ_Mérleg2020'!H28+'1.6._mell._HVGYKCSSZ_Mérleg2020'!H28</f>
        <v>0</v>
      </c>
      <c r="I28" s="16">
        <f>+'1.1.mell._ÖNK_Mérleg2020'!I28+'1.2.mell._HKÖH_Mérleg2020'!I28+'1.3.mell._HVÓBKI_Mérleg2020'!I28+'1.4.mell._HKK_Mérleg2020'!I28+'1.5._mell._MŐSZ_Mérleg2020'!I28+'1.6._mell._HVGYKCSSZ_Mérleg2020'!I28</f>
        <v>0</v>
      </c>
      <c r="M28" s="4">
        <f t="shared" si="1"/>
        <v>0</v>
      </c>
    </row>
    <row r="29" spans="1:13" ht="12.75" customHeight="1">
      <c r="A29" s="85" t="s">
        <v>179</v>
      </c>
      <c r="B29" s="67" t="s">
        <v>105</v>
      </c>
      <c r="C29" s="396">
        <f>+'1.1.mell._ÖNK_Mérleg2020'!C29+'1.2.mell._HKÖH_Mérleg2020'!C29+'1.3.mell._HVÓBKI_Mérleg2020'!C29+'1.4.mell._HKK_Mérleg2020'!C29+'1.5._mell._MŐSZ_Mérleg2020'!C29+'1.6._mell._HVGYKCSSZ_Mérleg2020'!C29</f>
        <v>66952</v>
      </c>
      <c r="D29" s="1064">
        <f>+'1.1.mell._ÖNK_Mérleg2020'!D29+'1.2.mell._HKÖH_Mérleg2020'!D29+'1.3.mell._HVÓBKI_Mérleg2020'!D29+'1.4.mell._HKK_Mérleg2020'!D29+'1.5._mell._MŐSZ_Mérleg2020'!D29+'1.6._mell._HVGYKCSSZ_Mérleg2020'!D29</f>
        <v>76043</v>
      </c>
      <c r="E29" s="1064">
        <f>+'1.1.mell._ÖNK_Mérleg2020'!E29+'1.2.mell._HKÖH_Mérleg2020'!E29+'1.3.mell._HVÓBKI_Mérleg2020'!E29+'1.4.mell._HKK_Mérleg2020'!E29+'1.5._mell._MŐSZ_Mérleg2020'!E29+'1.6._mell._HVGYKCSSZ_Mérleg2020'!E29</f>
        <v>72402</v>
      </c>
      <c r="F29" s="1296">
        <f t="shared" si="0"/>
        <v>0.95211919571821202</v>
      </c>
      <c r="G29" s="20">
        <f>+'1.1.mell._ÖNK_Mérleg2020'!G29+'1.2.mell._HKÖH_Mérleg2020'!G29+'1.3.mell._HVÓBKI_Mérleg2020'!G29+'1.4.mell._HKK_Mérleg2020'!G29+'1.5._mell._MŐSZ_Mérleg2020'!G29+'1.6._mell._HVGYKCSSZ_Mérleg2020'!G29</f>
        <v>72402</v>
      </c>
      <c r="H29" s="11">
        <f>+'1.1.mell._ÖNK_Mérleg2020'!H29+'1.2.mell._HKÖH_Mérleg2020'!H29+'1.3.mell._HVÓBKI_Mérleg2020'!H29+'1.4.mell._HKK_Mérleg2020'!H29+'1.5._mell._MŐSZ_Mérleg2020'!H29+'1.6._mell._HVGYKCSSZ_Mérleg2020'!H29</f>
        <v>0</v>
      </c>
      <c r="I29" s="16">
        <f>+'1.1.mell._ÖNK_Mérleg2020'!I29+'1.2.mell._HKÖH_Mérleg2020'!I29+'1.3.mell._HVÓBKI_Mérleg2020'!I29+'1.4.mell._HKK_Mérleg2020'!I29+'1.5._mell._MŐSZ_Mérleg2020'!I29+'1.6._mell._HVGYKCSSZ_Mérleg2020'!I29</f>
        <v>0</v>
      </c>
      <c r="M29" s="4">
        <f t="shared" si="1"/>
        <v>0</v>
      </c>
    </row>
    <row r="30" spans="1:13" ht="12.75" customHeight="1">
      <c r="A30" s="78" t="s">
        <v>180</v>
      </c>
      <c r="B30" s="68" t="s">
        <v>106</v>
      </c>
      <c r="C30" s="397">
        <f>+'1.1.mell._ÖNK_Mérleg2020'!C30+'1.2.mell._HKÖH_Mérleg2020'!C30+'1.3.mell._HVÓBKI_Mérleg2020'!C30+'1.4.mell._HKK_Mérleg2020'!C30+'1.5._mell._MŐSZ_Mérleg2020'!C30+'1.6._mell._HVGYKCSSZ_Mérleg2020'!C30</f>
        <v>328350</v>
      </c>
      <c r="D30" s="1065">
        <f>+'1.1.mell._ÖNK_Mérleg2020'!D30+'1.2.mell._HKÖH_Mérleg2020'!D30+'1.3.mell._HVÓBKI_Mérleg2020'!D30+'1.4.mell._HKK_Mérleg2020'!D30+'1.5._mell._MŐSZ_Mérleg2020'!D30+'1.6._mell._HVGYKCSSZ_Mérleg2020'!D30</f>
        <v>452474</v>
      </c>
      <c r="E30" s="1065">
        <f>+'1.1.mell._ÖNK_Mérleg2020'!E30+'1.2.mell._HKÖH_Mérleg2020'!E30+'1.3.mell._HVÓBKI_Mérleg2020'!E30+'1.4.mell._HKK_Mérleg2020'!E30+'1.5._mell._MŐSZ_Mérleg2020'!E30+'1.6._mell._HVGYKCSSZ_Mérleg2020'!E30</f>
        <v>294191</v>
      </c>
      <c r="F30" s="1298">
        <f t="shared" si="0"/>
        <v>0.65018321494715714</v>
      </c>
      <c r="G30" s="20">
        <f>+'1.1.mell._ÖNK_Mérleg2020'!G30+'1.2.mell._HKÖH_Mérleg2020'!G30+'1.3.mell._HVÓBKI_Mérleg2020'!G30+'1.4.mell._HKK_Mérleg2020'!G30+'1.5._mell._MŐSZ_Mérleg2020'!G30+'1.6._mell._HVGYKCSSZ_Mérleg2020'!G30</f>
        <v>294191</v>
      </c>
      <c r="H30" s="11">
        <f>+'1.1.mell._ÖNK_Mérleg2020'!H30+'1.2.mell._HKÖH_Mérleg2020'!H30+'1.3.mell._HVÓBKI_Mérleg2020'!H30+'1.4.mell._HKK_Mérleg2020'!H30+'1.5._mell._MŐSZ_Mérleg2020'!H30+'1.6._mell._HVGYKCSSZ_Mérleg2020'!H30</f>
        <v>0</v>
      </c>
      <c r="I30" s="16">
        <f>+'1.1.mell._ÖNK_Mérleg2020'!I30+'1.2.mell._HKÖH_Mérleg2020'!I30+'1.3.mell._HVÓBKI_Mérleg2020'!I30+'1.4.mell._HKK_Mérleg2020'!I30+'1.5._mell._MŐSZ_Mérleg2020'!I30+'1.6._mell._HVGYKCSSZ_Mérleg2020'!I30</f>
        <v>0</v>
      </c>
      <c r="M30" s="4">
        <f t="shared" si="1"/>
        <v>0</v>
      </c>
    </row>
    <row r="31" spans="1:13" ht="12.75" customHeight="1" thickBot="1">
      <c r="A31" s="78" t="s">
        <v>777</v>
      </c>
      <c r="B31" s="68" t="s">
        <v>779</v>
      </c>
      <c r="C31" s="397">
        <f>+'1.1.mell._ÖNK_Mérleg2020'!C31+'1.2.mell._HKÖH_Mérleg2020'!C31+'1.3.mell._HVÓBKI_Mérleg2020'!C31+'1.4.mell._HKK_Mérleg2020'!C31+'1.5._mell._MŐSZ_Mérleg2020'!C31+'1.6._mell._HVGYKCSSZ_Mérleg2020'!C31</f>
        <v>18753</v>
      </c>
      <c r="D31" s="1065">
        <f>+'1.1.mell._ÖNK_Mérleg2020'!D31+'1.2.mell._HKÖH_Mérleg2020'!D31+'1.3.mell._HVÓBKI_Mérleg2020'!D31+'1.4.mell._HKK_Mérleg2020'!D31+'1.5._mell._MŐSZ_Mérleg2020'!D31+'1.6._mell._HVGYKCSSZ_Mérleg2020'!D31</f>
        <v>9583</v>
      </c>
      <c r="E31" s="1065">
        <f>+'1.1.mell._ÖNK_Mérleg2020'!E31+'1.2.mell._HKÖH_Mérleg2020'!E31+'1.3.mell._HVÓBKI_Mérleg2020'!E31+'1.4.mell._HKK_Mérleg2020'!E31+'1.5._mell._MŐSZ_Mérleg2020'!E31+'1.6._mell._HVGYKCSSZ_Mérleg2020'!E31</f>
        <v>3256</v>
      </c>
      <c r="F31" s="1298">
        <f t="shared" si="0"/>
        <v>0.33976833976833976</v>
      </c>
      <c r="G31" s="20">
        <f>+'1.1.mell._ÖNK_Mérleg2020'!G31+'1.2.mell._HKÖH_Mérleg2020'!G31+'1.3.mell._HVÓBKI_Mérleg2020'!G31+'1.4.mell._HKK_Mérleg2020'!G31+'1.5._mell._MŐSZ_Mérleg2020'!G31+'1.6._mell._HVGYKCSSZ_Mérleg2020'!G31</f>
        <v>3256</v>
      </c>
      <c r="H31" s="11">
        <f>+'1.1.mell._ÖNK_Mérleg2020'!H31+'1.2.mell._HKÖH_Mérleg2020'!H31+'1.3.mell._HVÓBKI_Mérleg2020'!H31+'1.4.mell._HKK_Mérleg2020'!H31+'1.5._mell._MŐSZ_Mérleg2020'!H31+'1.6._mell._HVGYKCSSZ_Mérleg2020'!H31</f>
        <v>0</v>
      </c>
      <c r="I31" s="16">
        <f>+'1.1.mell._ÖNK_Mérleg2020'!I31+'1.2.mell._HKÖH_Mérleg2020'!I31+'1.3.mell._HVÓBKI_Mérleg2020'!I31+'1.4.mell._HKK_Mérleg2020'!I31+'1.5._mell._MŐSZ_Mérleg2020'!I31+'1.6._mell._HVGYKCSSZ_Mérleg2020'!I31</f>
        <v>0</v>
      </c>
      <c r="M31" s="4">
        <f t="shared" si="1"/>
        <v>0</v>
      </c>
    </row>
    <row r="32" spans="1:13" s="3" customFormat="1" ht="12.75" customHeight="1" thickBot="1">
      <c r="A32" s="83" t="s">
        <v>3</v>
      </c>
      <c r="B32" s="64" t="s">
        <v>964</v>
      </c>
      <c r="C32" s="129">
        <f>+C33+C34+C35+C36+C37+C38+C39+C40+C41+C42+C43</f>
        <v>186868</v>
      </c>
      <c r="D32" s="1061">
        <f>+D33+D34+D35+D36+D37+D38+D39+D40+D41+D42+D43</f>
        <v>169713</v>
      </c>
      <c r="E32" s="1061">
        <f>+E33+E34+E35+E36+E37+E38+E39+E40+E41+E42+E43</f>
        <v>153866</v>
      </c>
      <c r="F32" s="1294">
        <f t="shared" si="0"/>
        <v>0.90662471348688667</v>
      </c>
      <c r="G32" s="27">
        <f>+G33+G34+G35+G36+G37+G38+G39+G40+G41+G42+G43</f>
        <v>125752</v>
      </c>
      <c r="H32" s="28">
        <f>+H33+H34+H35+H36+H37+H38+H39+H40+H41+H42+H43</f>
        <v>28114</v>
      </c>
      <c r="I32" s="29">
        <f>+I33+I34+I35+I36+I37+I38+I39+I40+I41+I42+I43</f>
        <v>0</v>
      </c>
      <c r="J32" s="655">
        <f>+C32/$C$102</f>
        <v>4.1041260448206024E-2</v>
      </c>
      <c r="K32" s="655">
        <f>+D32/$D$102</f>
        <v>2.929159804581152E-2</v>
      </c>
      <c r="L32" s="655">
        <f>+E32/$E$102</f>
        <v>2.7529872665437598E-2</v>
      </c>
      <c r="M32" s="3">
        <f t="shared" si="1"/>
        <v>0</v>
      </c>
    </row>
    <row r="33" spans="1:13" ht="12.75" customHeight="1">
      <c r="A33" s="84" t="s">
        <v>61</v>
      </c>
      <c r="B33" s="65" t="s">
        <v>1539</v>
      </c>
      <c r="C33" s="398">
        <f>+'1.1.mell._ÖNK_Mérleg2020'!C33+'1.2.mell._HKÖH_Mérleg2020'!C33+'1.3.mell._HVÓBKI_Mérleg2020'!C33+'1.4.mell._HKK_Mérleg2020'!C33+'1.5._mell._MŐSZ_Mérleg2020'!C33+'1.6._mell._HVGYKCSSZ_Mérleg2020'!C33</f>
        <v>8000</v>
      </c>
      <c r="D33" s="1062">
        <f>+'1.1.mell._ÖNK_Mérleg2020'!D33+'1.2.mell._HKÖH_Mérleg2020'!D33+'1.3.mell._HVÓBKI_Mérleg2020'!D33+'1.4.mell._HKK_Mérleg2020'!D33+'1.5._mell._MŐSZ_Mérleg2020'!D33+'1.6._mell._HVGYKCSSZ_Mérleg2020'!D33</f>
        <v>8305</v>
      </c>
      <c r="E33" s="1062">
        <f>+'1.1.mell._ÖNK_Mérleg2020'!E33+'1.2.mell._HKÖH_Mérleg2020'!E33+'1.3.mell._HVÓBKI_Mérleg2020'!E33+'1.4.mell._HKK_Mérleg2020'!E33+'1.5._mell._MŐSZ_Mérleg2020'!E33+'1.6._mell._HVGYKCSSZ_Mérleg2020'!E33</f>
        <v>8305</v>
      </c>
      <c r="F33" s="1295">
        <f t="shared" si="0"/>
        <v>1</v>
      </c>
      <c r="G33" s="34">
        <f>+'1.1.mell._ÖNK_Mérleg2020'!G33+'1.2.mell._HKÖH_Mérleg2020'!G33+'1.3.mell._HVÓBKI_Mérleg2020'!G33+'1.4.mell._HKK_Mérleg2020'!G33+'1.5._mell._MŐSZ_Mérleg2020'!G33+'1.6._mell._HVGYKCSSZ_Mérleg2020'!G33</f>
        <v>8305</v>
      </c>
      <c r="H33" s="10">
        <f>+'1.1.mell._ÖNK_Mérleg2020'!H33+'1.2.mell._HKÖH_Mérleg2020'!H33+'1.3.mell._HVÓBKI_Mérleg2020'!H33+'1.4.mell._HKK_Mérleg2020'!H33+'1.5._mell._MŐSZ_Mérleg2020'!H33+'1.6._mell._HVGYKCSSZ_Mérleg2020'!H33</f>
        <v>0</v>
      </c>
      <c r="I33" s="35">
        <f>+'1.1.mell._ÖNK_Mérleg2020'!I33+'1.2.mell._HKÖH_Mérleg2020'!I33+'1.3.mell._HVÓBKI_Mérleg2020'!I33+'1.4.mell._HKK_Mérleg2020'!I33+'1.5._mell._MŐSZ_Mérleg2020'!I33+'1.6._mell._HVGYKCSSZ_Mérleg2020'!I33</f>
        <v>0</v>
      </c>
      <c r="M33" s="4">
        <f t="shared" si="1"/>
        <v>0</v>
      </c>
    </row>
    <row r="34" spans="1:13" ht="12.75" customHeight="1">
      <c r="A34" s="85" t="s">
        <v>62</v>
      </c>
      <c r="B34" s="67" t="s">
        <v>107</v>
      </c>
      <c r="C34" s="396">
        <f>+'1.1.mell._ÖNK_Mérleg2020'!C34+'1.2.mell._HKÖH_Mérleg2020'!C34+'1.3.mell._HVÓBKI_Mérleg2020'!C34+'1.4.mell._HKK_Mérleg2020'!C34+'1.5._mell._MŐSZ_Mérleg2020'!C34+'1.6._mell._HVGYKCSSZ_Mérleg2020'!C34</f>
        <v>65858</v>
      </c>
      <c r="D34" s="1064">
        <f>+'1.1.mell._ÖNK_Mérleg2020'!D34+'1.2.mell._HKÖH_Mérleg2020'!D34+'1.3.mell._HVÓBKI_Mérleg2020'!D34+'1.4.mell._HKK_Mérleg2020'!D34+'1.5._mell._MŐSZ_Mérleg2020'!D34+'1.6._mell._HVGYKCSSZ_Mérleg2020'!D34</f>
        <v>69264</v>
      </c>
      <c r="E34" s="1064">
        <f>+'1.1.mell._ÖNK_Mérleg2020'!E34+'1.2.mell._HKÖH_Mérleg2020'!E34+'1.3.mell._HVÓBKI_Mérleg2020'!E34+'1.4.mell._HKK_Mérleg2020'!E34+'1.5._mell._MŐSZ_Mérleg2020'!E34+'1.6._mell._HVGYKCSSZ_Mérleg2020'!E34</f>
        <v>68837</v>
      </c>
      <c r="F34" s="1296">
        <f t="shared" si="0"/>
        <v>0.99383518133518134</v>
      </c>
      <c r="G34" s="20">
        <f>+'1.1.mell._ÖNK_Mérleg2020'!G34+'1.2.mell._HKÖH_Mérleg2020'!G34+'1.3.mell._HVÓBKI_Mérleg2020'!G34+'1.4.mell._HKK_Mérleg2020'!G34+'1.5._mell._MŐSZ_Mérleg2020'!G34+'1.6._mell._HVGYKCSSZ_Mérleg2020'!G34</f>
        <v>46695</v>
      </c>
      <c r="H34" s="11">
        <f>+'1.1.mell._ÖNK_Mérleg2020'!H34+'1.2.mell._HKÖH_Mérleg2020'!H34+'1.3.mell._HVÓBKI_Mérleg2020'!H34+'1.4.mell._HKK_Mérleg2020'!H34+'1.5._mell._MŐSZ_Mérleg2020'!H34+'1.6._mell._HVGYKCSSZ_Mérleg2020'!H34</f>
        <v>22142</v>
      </c>
      <c r="I34" s="16">
        <f>+'1.1.mell._ÖNK_Mérleg2020'!I34+'1.2.mell._HKÖH_Mérleg2020'!I34+'1.3.mell._HVÓBKI_Mérleg2020'!I34+'1.4.mell._HKK_Mérleg2020'!I34+'1.5._mell._MŐSZ_Mérleg2020'!I34+'1.6._mell._HVGYKCSSZ_Mérleg2020'!I34</f>
        <v>0</v>
      </c>
      <c r="M34" s="4">
        <f t="shared" si="1"/>
        <v>0</v>
      </c>
    </row>
    <row r="35" spans="1:13" ht="12.75" customHeight="1">
      <c r="A35" s="85" t="s">
        <v>63</v>
      </c>
      <c r="B35" s="67" t="s">
        <v>108</v>
      </c>
      <c r="C35" s="396">
        <f>+'1.1.mell._ÖNK_Mérleg2020'!C35+'1.2.mell._HKÖH_Mérleg2020'!C35+'1.3.mell._HVÓBKI_Mérleg2020'!C35+'1.4.mell._HKK_Mérleg2020'!C35+'1.5._mell._MŐSZ_Mérleg2020'!C35+'1.6._mell._HVGYKCSSZ_Mérleg2020'!C35</f>
        <v>8541</v>
      </c>
      <c r="D35" s="1064">
        <f>+'1.1.mell._ÖNK_Mérleg2020'!D35+'1.2.mell._HKÖH_Mérleg2020'!D35+'1.3.mell._HVÓBKI_Mérleg2020'!D35+'1.4.mell._HKK_Mérleg2020'!D35+'1.5._mell._MŐSZ_Mérleg2020'!D35+'1.6._mell._HVGYKCSSZ_Mérleg2020'!D35</f>
        <v>20133</v>
      </c>
      <c r="E35" s="1064">
        <f>+'1.1.mell._ÖNK_Mérleg2020'!E35+'1.2.mell._HKÖH_Mérleg2020'!E35+'1.3.mell._HVÓBKI_Mérleg2020'!E35+'1.4.mell._HKK_Mérleg2020'!E35+'1.5._mell._MŐSZ_Mérleg2020'!E35+'1.6._mell._HVGYKCSSZ_Mérleg2020'!E35</f>
        <v>16477</v>
      </c>
      <c r="F35" s="1296">
        <f t="shared" si="0"/>
        <v>0.818407589529628</v>
      </c>
      <c r="G35" s="20">
        <f>+'1.1.mell._ÖNK_Mérleg2020'!G35+'1.2.mell._HKÖH_Mérleg2020'!G35+'1.3.mell._HVÓBKI_Mérleg2020'!G35+'1.4.mell._HKK_Mérleg2020'!G35+'1.5._mell._MŐSZ_Mérleg2020'!G35+'1.6._mell._HVGYKCSSZ_Mérleg2020'!G35</f>
        <v>16477</v>
      </c>
      <c r="H35" s="11">
        <f>+'1.1.mell._ÖNK_Mérleg2020'!H35+'1.2.mell._HKÖH_Mérleg2020'!H35+'1.3.mell._HVÓBKI_Mérleg2020'!H35+'1.4.mell._HKK_Mérleg2020'!H35+'1.5._mell._MŐSZ_Mérleg2020'!H35+'1.6._mell._HVGYKCSSZ_Mérleg2020'!H35</f>
        <v>0</v>
      </c>
      <c r="I35" s="16">
        <f>+'1.1.mell._ÖNK_Mérleg2020'!I35+'1.2.mell._HKÖH_Mérleg2020'!I35+'1.3.mell._HVÓBKI_Mérleg2020'!I35+'1.4.mell._HKK_Mérleg2020'!I35+'1.5._mell._MŐSZ_Mérleg2020'!I35+'1.6._mell._HVGYKCSSZ_Mérleg2020'!I35</f>
        <v>0</v>
      </c>
      <c r="M35" s="4">
        <f t="shared" si="1"/>
        <v>0</v>
      </c>
    </row>
    <row r="36" spans="1:13" ht="12.75" customHeight="1">
      <c r="A36" s="85" t="s">
        <v>64</v>
      </c>
      <c r="B36" s="67" t="s">
        <v>109</v>
      </c>
      <c r="C36" s="396">
        <f>+'1.1.mell._ÖNK_Mérleg2020'!C36+'1.2.mell._HKÖH_Mérleg2020'!C36+'1.3.mell._HVÓBKI_Mérleg2020'!C36+'1.4.mell._HKK_Mérleg2020'!C36+'1.5._mell._MŐSZ_Mérleg2020'!C36+'1.6._mell._HVGYKCSSZ_Mérleg2020'!C36</f>
        <v>236</v>
      </c>
      <c r="D36" s="1064">
        <f>+'1.1.mell._ÖNK_Mérleg2020'!D36+'1.2.mell._HKÖH_Mérleg2020'!D36+'1.3.mell._HVÓBKI_Mérleg2020'!D36+'1.4.mell._HKK_Mérleg2020'!D36+'1.5._mell._MŐSZ_Mérleg2020'!D36+'1.6._mell._HVGYKCSSZ_Mérleg2020'!D36</f>
        <v>0</v>
      </c>
      <c r="E36" s="1064">
        <f>+'1.1.mell._ÖNK_Mérleg2020'!E36+'1.2.mell._HKÖH_Mérleg2020'!E36+'1.3.mell._HVÓBKI_Mérleg2020'!E36+'1.4.mell._HKK_Mérleg2020'!E36+'1.5._mell._MŐSZ_Mérleg2020'!E36+'1.6._mell._HVGYKCSSZ_Mérleg2020'!E36</f>
        <v>0</v>
      </c>
      <c r="F36" s="1296" t="str">
        <f t="shared" si="0"/>
        <v>-</v>
      </c>
      <c r="G36" s="20">
        <f>+'1.1.mell._ÖNK_Mérleg2020'!G36+'1.2.mell._HKÖH_Mérleg2020'!G36+'1.3.mell._HVÓBKI_Mérleg2020'!G36+'1.4.mell._HKK_Mérleg2020'!G36+'1.5._mell._MŐSZ_Mérleg2020'!G36+'1.6._mell._HVGYKCSSZ_Mérleg2020'!G36</f>
        <v>0</v>
      </c>
      <c r="H36" s="11">
        <f>+'1.1.mell._ÖNK_Mérleg2020'!H36+'1.2.mell._HKÖH_Mérleg2020'!H36+'1.3.mell._HVÓBKI_Mérleg2020'!H36+'1.4.mell._HKK_Mérleg2020'!H36+'1.5._mell._MŐSZ_Mérleg2020'!H36+'1.6._mell._HVGYKCSSZ_Mérleg2020'!H36</f>
        <v>0</v>
      </c>
      <c r="I36" s="16">
        <f>+'1.1.mell._ÖNK_Mérleg2020'!I36+'1.2.mell._HKÖH_Mérleg2020'!I36+'1.3.mell._HVÓBKI_Mérleg2020'!I36+'1.4.mell._HKK_Mérleg2020'!I36+'1.5._mell._MŐSZ_Mérleg2020'!I36+'1.6._mell._HVGYKCSSZ_Mérleg2020'!I36</f>
        <v>0</v>
      </c>
      <c r="M36" s="4">
        <f t="shared" si="1"/>
        <v>0</v>
      </c>
    </row>
    <row r="37" spans="1:13" ht="12.75" customHeight="1">
      <c r="A37" s="85" t="s">
        <v>65</v>
      </c>
      <c r="B37" s="67" t="s">
        <v>110</v>
      </c>
      <c r="C37" s="396">
        <f>+'1.1.mell._ÖNK_Mérleg2020'!C37+'1.2.mell._HKÖH_Mérleg2020'!C37+'1.3.mell._HVÓBKI_Mérleg2020'!C37+'1.4.mell._HKK_Mérleg2020'!C37+'1.5._mell._MŐSZ_Mérleg2020'!C37+'1.6._mell._HVGYKCSSZ_Mérleg2020'!C37</f>
        <v>9645</v>
      </c>
      <c r="D37" s="1064">
        <f>+'1.1.mell._ÖNK_Mérleg2020'!D37+'1.2.mell._HKÖH_Mérleg2020'!D37+'1.3.mell._HVÓBKI_Mérleg2020'!D37+'1.4.mell._HKK_Mérleg2020'!D37+'1.5._mell._MŐSZ_Mérleg2020'!D37+'1.6._mell._HVGYKCSSZ_Mérleg2020'!D37</f>
        <v>6484</v>
      </c>
      <c r="E37" s="1064">
        <f>+'1.1.mell._ÖNK_Mérleg2020'!E37+'1.2.mell._HKÖH_Mérleg2020'!E37+'1.3.mell._HVÓBKI_Mérleg2020'!E37+'1.4.mell._HKK_Mérleg2020'!E37+'1.5._mell._MŐSZ_Mérleg2020'!E37+'1.6._mell._HVGYKCSSZ_Mérleg2020'!E37</f>
        <v>5953</v>
      </c>
      <c r="F37" s="1296">
        <f t="shared" si="0"/>
        <v>0.91810610734114739</v>
      </c>
      <c r="G37" s="20">
        <f>+'1.1.mell._ÖNK_Mérleg2020'!G37+'1.2.mell._HKÖH_Mérleg2020'!G37+'1.3.mell._HVÓBKI_Mérleg2020'!G37+'1.4.mell._HKK_Mérleg2020'!G37+'1.5._mell._MŐSZ_Mérleg2020'!G37+'1.6._mell._HVGYKCSSZ_Mérleg2020'!G37</f>
        <v>5953</v>
      </c>
      <c r="H37" s="11">
        <f>+'1.1.mell._ÖNK_Mérleg2020'!H37+'1.2.mell._HKÖH_Mérleg2020'!H37+'1.3.mell._HVÓBKI_Mérleg2020'!H37+'1.4.mell._HKK_Mérleg2020'!H37+'1.5._mell._MŐSZ_Mérleg2020'!H37+'1.6._mell._HVGYKCSSZ_Mérleg2020'!H37</f>
        <v>0</v>
      </c>
      <c r="I37" s="16">
        <f>+'1.1.mell._ÖNK_Mérleg2020'!I37+'1.2.mell._HKÖH_Mérleg2020'!I37+'1.3.mell._HVÓBKI_Mérleg2020'!I37+'1.4.mell._HKK_Mérleg2020'!I37+'1.5._mell._MŐSZ_Mérleg2020'!I37+'1.6._mell._HVGYKCSSZ_Mérleg2020'!I37</f>
        <v>0</v>
      </c>
      <c r="M37" s="4">
        <f t="shared" si="1"/>
        <v>0</v>
      </c>
    </row>
    <row r="38" spans="1:13" ht="12.75" customHeight="1">
      <c r="A38" s="85" t="s">
        <v>221</v>
      </c>
      <c r="B38" s="67" t="s">
        <v>111</v>
      </c>
      <c r="C38" s="396">
        <f>+'1.1.mell._ÖNK_Mérleg2020'!C38+'1.2.mell._HKÖH_Mérleg2020'!C38+'1.3.mell._HVÓBKI_Mérleg2020'!C38+'1.4.mell._HKK_Mérleg2020'!C38+'1.5._mell._MŐSZ_Mérleg2020'!C38+'1.6._mell._HVGYKCSSZ_Mérleg2020'!C38</f>
        <v>22311</v>
      </c>
      <c r="D38" s="1064">
        <f>+'1.1.mell._ÖNK_Mérleg2020'!D38+'1.2.mell._HKÖH_Mérleg2020'!D38+'1.3.mell._HVÓBKI_Mérleg2020'!D38+'1.4.mell._HKK_Mérleg2020'!D38+'1.5._mell._MŐSZ_Mérleg2020'!D38+'1.6._mell._HVGYKCSSZ_Mérleg2020'!D38</f>
        <v>25861</v>
      </c>
      <c r="E38" s="1064">
        <f>+'1.1.mell._ÖNK_Mérleg2020'!E38+'1.2.mell._HKÖH_Mérleg2020'!E38+'1.3.mell._HVÓBKI_Mérleg2020'!E38+'1.4.mell._HKK_Mérleg2020'!E38+'1.5._mell._MŐSZ_Mérleg2020'!E38+'1.6._mell._HVGYKCSSZ_Mérleg2020'!E38</f>
        <v>24540</v>
      </c>
      <c r="F38" s="1296">
        <f t="shared" si="0"/>
        <v>0.94891922199450907</v>
      </c>
      <c r="G38" s="20">
        <f>+'1.1.mell._ÖNK_Mérleg2020'!G38+'1.2.mell._HKÖH_Mérleg2020'!G38+'1.3.mell._HVÓBKI_Mérleg2020'!G38+'1.4.mell._HKK_Mérleg2020'!G38+'1.5._mell._MŐSZ_Mérleg2020'!G38+'1.6._mell._HVGYKCSSZ_Mérleg2020'!G38</f>
        <v>18568</v>
      </c>
      <c r="H38" s="11">
        <f>+'1.1.mell._ÖNK_Mérleg2020'!H38+'1.2.mell._HKÖH_Mérleg2020'!H38+'1.3.mell._HVÓBKI_Mérleg2020'!H38+'1.4.mell._HKK_Mérleg2020'!H38+'1.5._mell._MŐSZ_Mérleg2020'!H38+'1.6._mell._HVGYKCSSZ_Mérleg2020'!H38</f>
        <v>5972</v>
      </c>
      <c r="I38" s="16">
        <f>+'1.1.mell._ÖNK_Mérleg2020'!I38+'1.2.mell._HKÖH_Mérleg2020'!I38+'1.3.mell._HVÓBKI_Mérleg2020'!I38+'1.4.mell._HKK_Mérleg2020'!I38+'1.5._mell._MŐSZ_Mérleg2020'!I38+'1.6._mell._HVGYKCSSZ_Mérleg2020'!I38</f>
        <v>0</v>
      </c>
      <c r="M38" s="4">
        <f t="shared" si="1"/>
        <v>0</v>
      </c>
    </row>
    <row r="39" spans="1:13" ht="12.75" customHeight="1">
      <c r="A39" s="85" t="s">
        <v>222</v>
      </c>
      <c r="B39" s="67" t="s">
        <v>112</v>
      </c>
      <c r="C39" s="396">
        <f>+'1.1.mell._ÖNK_Mérleg2020'!C39+'1.2.mell._HKÖH_Mérleg2020'!C39+'1.3.mell._HVÓBKI_Mérleg2020'!C39+'1.4.mell._HKK_Mérleg2020'!C39+'1.5._mell._MŐSZ_Mérleg2020'!C39+'1.6._mell._HVGYKCSSZ_Mérleg2020'!C39</f>
        <v>10634</v>
      </c>
      <c r="D39" s="1064">
        <f>+'1.1.mell._ÖNK_Mérleg2020'!D39+'1.2.mell._HKÖH_Mérleg2020'!D39+'1.3.mell._HVÓBKI_Mérleg2020'!D39+'1.4.mell._HKK_Mérleg2020'!D39+'1.5._mell._MŐSZ_Mérleg2020'!D39+'1.6._mell._HVGYKCSSZ_Mérleg2020'!D39</f>
        <v>2879</v>
      </c>
      <c r="E39" s="1064">
        <f>+'1.1.mell._ÖNK_Mérleg2020'!E39+'1.2.mell._HKÖH_Mérleg2020'!E39+'1.3.mell._HVÓBKI_Mérleg2020'!E39+'1.4.mell._HKK_Mérleg2020'!E39+'1.5._mell._MŐSZ_Mérleg2020'!E39+'1.6._mell._HVGYKCSSZ_Mérleg2020'!E39</f>
        <v>2369</v>
      </c>
      <c r="F39" s="1296">
        <f t="shared" si="0"/>
        <v>0.82285515804098641</v>
      </c>
      <c r="G39" s="20">
        <f>+'1.1.mell._ÖNK_Mérleg2020'!G39+'1.2.mell._HKÖH_Mérleg2020'!G39+'1.3.mell._HVÓBKI_Mérleg2020'!G39+'1.4.mell._HKK_Mérleg2020'!G39+'1.5._mell._MŐSZ_Mérleg2020'!G39+'1.6._mell._HVGYKCSSZ_Mérleg2020'!G39</f>
        <v>2369</v>
      </c>
      <c r="H39" s="11">
        <f>+'1.1.mell._ÖNK_Mérleg2020'!H39+'1.2.mell._HKÖH_Mérleg2020'!H39+'1.3.mell._HVÓBKI_Mérleg2020'!H39+'1.4.mell._HKK_Mérleg2020'!H39+'1.5._mell._MŐSZ_Mérleg2020'!H39+'1.6._mell._HVGYKCSSZ_Mérleg2020'!H39</f>
        <v>0</v>
      </c>
      <c r="I39" s="16">
        <f>+'1.1.mell._ÖNK_Mérleg2020'!I39+'1.2.mell._HKÖH_Mérleg2020'!I39+'1.3.mell._HVÓBKI_Mérleg2020'!I39+'1.4.mell._HKK_Mérleg2020'!I39+'1.5._mell._MŐSZ_Mérleg2020'!I39+'1.6._mell._HVGYKCSSZ_Mérleg2020'!I39</f>
        <v>0</v>
      </c>
      <c r="M39" s="4">
        <f t="shared" si="1"/>
        <v>0</v>
      </c>
    </row>
    <row r="40" spans="1:13" ht="12.75" customHeight="1">
      <c r="A40" s="85" t="s">
        <v>223</v>
      </c>
      <c r="B40" s="67" t="s">
        <v>974</v>
      </c>
      <c r="C40" s="396">
        <f>+'1.1.mell._ÖNK_Mérleg2020'!C40+'1.2.mell._HKÖH_Mérleg2020'!C40+'1.3.mell._HVÓBKI_Mérleg2020'!C40+'1.4.mell._HKK_Mérleg2020'!C40+'1.5._mell._MŐSZ_Mérleg2020'!C40+'1.6._mell._HVGYKCSSZ_Mérleg2020'!C40</f>
        <v>0</v>
      </c>
      <c r="D40" s="1064">
        <f>+'1.1.mell._ÖNK_Mérleg2020'!D40+'1.2.mell._HKÖH_Mérleg2020'!D40+'1.3.mell._HVÓBKI_Mérleg2020'!D40+'1.4.mell._HKK_Mérleg2020'!D40+'1.5._mell._MŐSZ_Mérleg2020'!D40+'1.6._mell._HVGYKCSSZ_Mérleg2020'!D40</f>
        <v>0</v>
      </c>
      <c r="E40" s="1064">
        <f>+'1.1.mell._ÖNK_Mérleg2020'!E40+'1.2.mell._HKÖH_Mérleg2020'!E40+'1.3.mell._HVÓBKI_Mérleg2020'!E40+'1.4.mell._HKK_Mérleg2020'!E40+'1.5._mell._MŐSZ_Mérleg2020'!E40+'1.6._mell._HVGYKCSSZ_Mérleg2020'!E40</f>
        <v>0</v>
      </c>
      <c r="F40" s="1296" t="str">
        <f t="shared" si="0"/>
        <v>-</v>
      </c>
      <c r="G40" s="20">
        <f>+'1.1.mell._ÖNK_Mérleg2020'!G40+'1.2.mell._HKÖH_Mérleg2020'!G40+'1.3.mell._HVÓBKI_Mérleg2020'!G40+'1.4.mell._HKK_Mérleg2020'!G40+'1.5._mell._MŐSZ_Mérleg2020'!G40+'1.6._mell._HVGYKCSSZ_Mérleg2020'!G40</f>
        <v>0</v>
      </c>
      <c r="H40" s="11">
        <f>+'1.1.mell._ÖNK_Mérleg2020'!H40+'1.2.mell._HKÖH_Mérleg2020'!H40+'1.3.mell._HVÓBKI_Mérleg2020'!H40+'1.4.mell._HKK_Mérleg2020'!H40+'1.5._mell._MŐSZ_Mérleg2020'!H40+'1.6._mell._HVGYKCSSZ_Mérleg2020'!H40</f>
        <v>0</v>
      </c>
      <c r="I40" s="16">
        <f>+'1.1.mell._ÖNK_Mérleg2020'!I40+'1.2.mell._HKÖH_Mérleg2020'!I40+'1.3.mell._HVÓBKI_Mérleg2020'!I40+'1.4.mell._HKK_Mérleg2020'!I40+'1.5._mell._MŐSZ_Mérleg2020'!I40+'1.6._mell._HVGYKCSSZ_Mérleg2020'!I40</f>
        <v>0</v>
      </c>
      <c r="M40" s="4">
        <f t="shared" si="1"/>
        <v>0</v>
      </c>
    </row>
    <row r="41" spans="1:13" ht="12.75" customHeight="1">
      <c r="A41" s="85" t="s">
        <v>224</v>
      </c>
      <c r="B41" s="67" t="s">
        <v>113</v>
      </c>
      <c r="C41" s="396">
        <f>+'1.1.mell._ÖNK_Mérleg2020'!C41+'1.2.mell._HKÖH_Mérleg2020'!C41+'1.3.mell._HVÓBKI_Mérleg2020'!C41+'1.4.mell._HKK_Mérleg2020'!C41+'1.5._mell._MŐSZ_Mérleg2020'!C41+'1.6._mell._HVGYKCSSZ_Mérleg2020'!C41</f>
        <v>0</v>
      </c>
      <c r="D41" s="1064">
        <f>+'1.1.mell._ÖNK_Mérleg2020'!D41+'1.2.mell._HKÖH_Mérleg2020'!D41+'1.3.mell._HVÓBKI_Mérleg2020'!D41+'1.4.mell._HKK_Mérleg2020'!D41+'1.5._mell._MŐSZ_Mérleg2020'!D41+'1.6._mell._HVGYKCSSZ_Mérleg2020'!D41</f>
        <v>7</v>
      </c>
      <c r="E41" s="1064">
        <f>+'1.1.mell._ÖNK_Mérleg2020'!E41+'1.2.mell._HKÖH_Mérleg2020'!E41+'1.3.mell._HVÓBKI_Mérleg2020'!E41+'1.4.mell._HKK_Mérleg2020'!E41+'1.5._mell._MŐSZ_Mérleg2020'!E41+'1.6._mell._HVGYKCSSZ_Mérleg2020'!E41</f>
        <v>7</v>
      </c>
      <c r="F41" s="1296">
        <f t="shared" si="0"/>
        <v>1</v>
      </c>
      <c r="G41" s="20">
        <f>+'1.1.mell._ÖNK_Mérleg2020'!G41+'1.2.mell._HKÖH_Mérleg2020'!G41+'1.3.mell._HVÓBKI_Mérleg2020'!G41+'1.4.mell._HKK_Mérleg2020'!G41+'1.5._mell._MŐSZ_Mérleg2020'!G41+'1.6._mell._HVGYKCSSZ_Mérleg2020'!G41</f>
        <v>7</v>
      </c>
      <c r="H41" s="11">
        <f>+'1.1.mell._ÖNK_Mérleg2020'!H41+'1.2.mell._HKÖH_Mérleg2020'!H41+'1.3.mell._HVÓBKI_Mérleg2020'!H41+'1.4.mell._HKK_Mérleg2020'!H41+'1.5._mell._MŐSZ_Mérleg2020'!H41+'1.6._mell._HVGYKCSSZ_Mérleg2020'!H41</f>
        <v>0</v>
      </c>
      <c r="I41" s="16">
        <f>+'1.1.mell._ÖNK_Mérleg2020'!I41+'1.2.mell._HKÖH_Mérleg2020'!I41+'1.3.mell._HVÓBKI_Mérleg2020'!I41+'1.4.mell._HKK_Mérleg2020'!I41+'1.5._mell._MŐSZ_Mérleg2020'!I41+'1.6._mell._HVGYKCSSZ_Mérleg2020'!I41</f>
        <v>0</v>
      </c>
      <c r="M41" s="4">
        <f t="shared" si="1"/>
        <v>0</v>
      </c>
    </row>
    <row r="42" spans="1:13" ht="12.75" customHeight="1">
      <c r="A42" s="78" t="s">
        <v>225</v>
      </c>
      <c r="B42" s="68" t="s">
        <v>894</v>
      </c>
      <c r="C42" s="396">
        <f>+'1.1.mell._ÖNK_Mérleg2020'!C42+'1.2.mell._HKÖH_Mérleg2020'!C42+'1.3.mell._HVÓBKI_Mérleg2020'!C42+'1.4.mell._HKK_Mérleg2020'!C42+'1.5._mell._MŐSZ_Mérleg2020'!C42+'1.6._mell._HVGYKCSSZ_Mérleg2020'!C42</f>
        <v>0</v>
      </c>
      <c r="D42" s="1064">
        <f>+'1.1.mell._ÖNK_Mérleg2020'!D42+'1.2.mell._HKÖH_Mérleg2020'!D42+'1.3.mell._HVÓBKI_Mérleg2020'!D42+'1.4.mell._HKK_Mérleg2020'!D42+'1.5._mell._MŐSZ_Mérleg2020'!D42+'1.6._mell._HVGYKCSSZ_Mérleg2020'!D42</f>
        <v>1022</v>
      </c>
      <c r="E42" s="1064">
        <f>+'1.1.mell._ÖNK_Mérleg2020'!E42+'1.2.mell._HKÖH_Mérleg2020'!E42+'1.3.mell._HVÓBKI_Mérleg2020'!E42+'1.4.mell._HKK_Mérleg2020'!E42+'1.5._mell._MŐSZ_Mérleg2020'!E42+'1.6._mell._HVGYKCSSZ_Mérleg2020'!E42</f>
        <v>1022</v>
      </c>
      <c r="F42" s="1296">
        <f t="shared" si="0"/>
        <v>1</v>
      </c>
      <c r="G42" s="20">
        <f>+'1.1.mell._ÖNK_Mérleg2020'!G42+'1.2.mell._HKÖH_Mérleg2020'!G42+'1.3.mell._HVÓBKI_Mérleg2020'!G42+'1.4.mell._HKK_Mérleg2020'!G42+'1.5._mell._MŐSZ_Mérleg2020'!G42+'1.6._mell._HVGYKCSSZ_Mérleg2020'!G42</f>
        <v>1022</v>
      </c>
      <c r="H42" s="11">
        <f>+'1.1.mell._ÖNK_Mérleg2020'!H42+'1.2.mell._HKÖH_Mérleg2020'!H42+'1.3.mell._HVÓBKI_Mérleg2020'!H42+'1.4.mell._HKK_Mérleg2020'!H42+'1.5._mell._MŐSZ_Mérleg2020'!H42+'1.6._mell._HVGYKCSSZ_Mérleg2020'!H42</f>
        <v>0</v>
      </c>
      <c r="I42" s="16">
        <f>+'1.1.mell._ÖNK_Mérleg2020'!I42+'1.2.mell._HKÖH_Mérleg2020'!I42+'1.3.mell._HVÓBKI_Mérleg2020'!I42+'1.4.mell._HKK_Mérleg2020'!I42+'1.5._mell._MŐSZ_Mérleg2020'!I42+'1.6._mell._HVGYKCSSZ_Mérleg2020'!I42</f>
        <v>0</v>
      </c>
      <c r="M42" s="4">
        <f t="shared" ref="M42:M73" si="2">+E42-G42-H42-I42</f>
        <v>0</v>
      </c>
    </row>
    <row r="43" spans="1:13" ht="12.75" customHeight="1" thickBot="1">
      <c r="A43" s="78" t="s">
        <v>893</v>
      </c>
      <c r="B43" s="68" t="s">
        <v>895</v>
      </c>
      <c r="C43" s="397">
        <f>+'1.1.mell._ÖNK_Mérleg2020'!C43+'1.2.mell._HKÖH_Mérleg2020'!C43+'1.3.mell._HVÓBKI_Mérleg2020'!C43+'1.4.mell._HKK_Mérleg2020'!C43+'1.5._mell._MŐSZ_Mérleg2020'!C43+'1.6._mell._HVGYKCSSZ_Mérleg2020'!C43</f>
        <v>61643</v>
      </c>
      <c r="D43" s="1065">
        <f>+'1.1.mell._ÖNK_Mérleg2020'!D43+'1.2.mell._HKÖH_Mérleg2020'!D43+'1.3.mell._HVÓBKI_Mérleg2020'!D43+'1.4.mell._HKK_Mérleg2020'!D43+'1.5._mell._MŐSZ_Mérleg2020'!D43+'1.6._mell._HVGYKCSSZ_Mérleg2020'!D43</f>
        <v>35758</v>
      </c>
      <c r="E43" s="1065">
        <f>+'1.1.mell._ÖNK_Mérleg2020'!E43+'1.2.mell._HKÖH_Mérleg2020'!E43+'1.3.mell._HVÓBKI_Mérleg2020'!E43+'1.4.mell._HKK_Mérleg2020'!E43+'1.5._mell._MŐSZ_Mérleg2020'!E43+'1.6._mell._HVGYKCSSZ_Mérleg2020'!E43</f>
        <v>26356</v>
      </c>
      <c r="F43" s="1298">
        <f t="shared" si="0"/>
        <v>0.73706583142233906</v>
      </c>
      <c r="G43" s="21">
        <f>+'1.1.mell._ÖNK_Mérleg2020'!G43+'1.2.mell._HKÖH_Mérleg2020'!G43+'1.3.mell._HVÓBKI_Mérleg2020'!G43+'1.4.mell._HKK_Mérleg2020'!G43+'1.5._mell._MŐSZ_Mérleg2020'!G43+'1.6._mell._HVGYKCSSZ_Mérleg2020'!G43</f>
        <v>26356</v>
      </c>
      <c r="H43" s="22">
        <f>+'1.1.mell._ÖNK_Mérleg2020'!H43+'1.2.mell._HKÖH_Mérleg2020'!H43+'1.3.mell._HVÓBKI_Mérleg2020'!H43+'1.4.mell._HKK_Mérleg2020'!H43+'1.5._mell._MŐSZ_Mérleg2020'!H43+'1.6._mell._HVGYKCSSZ_Mérleg2020'!H43</f>
        <v>0</v>
      </c>
      <c r="I43" s="23">
        <f>+'1.1.mell._ÖNK_Mérleg2020'!I43+'1.2.mell._HKÖH_Mérleg2020'!I43+'1.3.mell._HVÓBKI_Mérleg2020'!I43+'1.4.mell._HKK_Mérleg2020'!I43+'1.5._mell._MŐSZ_Mérleg2020'!I43+'1.6._mell._HVGYKCSSZ_Mérleg2020'!I43</f>
        <v>0</v>
      </c>
      <c r="M43" s="4">
        <f t="shared" si="2"/>
        <v>0</v>
      </c>
    </row>
    <row r="44" spans="1:13" s="3" customFormat="1" ht="12.75" thickBot="1">
      <c r="A44" s="83" t="s">
        <v>16</v>
      </c>
      <c r="B44" s="64" t="s">
        <v>965</v>
      </c>
      <c r="C44" s="129">
        <f>+C45+C46+C47+C48+C49</f>
        <v>0</v>
      </c>
      <c r="D44" s="1061">
        <f>+D45+D46+D47+D48+D49</f>
        <v>19952</v>
      </c>
      <c r="E44" s="1061">
        <f>+E45+E46+E47+E48+E49</f>
        <v>4745</v>
      </c>
      <c r="F44" s="1294">
        <f t="shared" si="0"/>
        <v>0.23782076984763431</v>
      </c>
      <c r="G44" s="27">
        <f>+G45+G46+G47+G48+G49</f>
        <v>4745</v>
      </c>
      <c r="H44" s="28">
        <f>+H45+H46+H47+H48+H49</f>
        <v>0</v>
      </c>
      <c r="I44" s="29">
        <f>+I45+I46+I47+I48+I49</f>
        <v>0</v>
      </c>
      <c r="J44" s="655">
        <f>+C44/$C$102</f>
        <v>0</v>
      </c>
      <c r="K44" s="655">
        <f>+D44/$D$102</f>
        <v>3.4436134191843373E-3</v>
      </c>
      <c r="L44" s="655">
        <f>+E44/$E$102</f>
        <v>8.4898057918904378E-4</v>
      </c>
      <c r="M44" s="3">
        <f t="shared" si="2"/>
        <v>0</v>
      </c>
    </row>
    <row r="45" spans="1:13" ht="12.75" customHeight="1">
      <c r="A45" s="84" t="s">
        <v>226</v>
      </c>
      <c r="B45" s="65" t="s">
        <v>114</v>
      </c>
      <c r="C45" s="398">
        <f>+'1.1.mell._ÖNK_Mérleg2020'!C45+'1.2.mell._HKÖH_Mérleg2020'!C45+'1.3.mell._HVÓBKI_Mérleg2020'!C45+'1.4.mell._HKK_Mérleg2020'!C45+'1.5._mell._MŐSZ_Mérleg2020'!C45+'1.6._mell._HVGYKCSSZ_Mérleg2020'!C45</f>
        <v>0</v>
      </c>
      <c r="D45" s="1062">
        <f>+'1.1.mell._ÖNK_Mérleg2020'!D45+'1.2.mell._HKÖH_Mérleg2020'!D45+'1.3.mell._HVÓBKI_Mérleg2020'!D45+'1.4.mell._HKK_Mérleg2020'!D45+'1.5._mell._MŐSZ_Mérleg2020'!D45+'1.6._mell._HVGYKCSSZ_Mérleg2020'!D45</f>
        <v>0</v>
      </c>
      <c r="E45" s="1062">
        <f>+'1.1.mell._ÖNK_Mérleg2020'!E45+'1.2.mell._HKÖH_Mérleg2020'!E45+'1.3.mell._HVÓBKI_Mérleg2020'!E45+'1.4.mell._HKK_Mérleg2020'!E45+'1.5._mell._MŐSZ_Mérleg2020'!E45+'1.6._mell._HVGYKCSSZ_Mérleg2020'!E45</f>
        <v>0</v>
      </c>
      <c r="F45" s="1295" t="str">
        <f t="shared" si="0"/>
        <v>-</v>
      </c>
      <c r="G45" s="34">
        <f>+'1.1.mell._ÖNK_Mérleg2020'!G45+'1.2.mell._HKÖH_Mérleg2020'!G45+'1.3.mell._HVÓBKI_Mérleg2020'!G45+'1.4.mell._HKK_Mérleg2020'!G45+'1.5._mell._MŐSZ_Mérleg2020'!G45+'1.6._mell._HVGYKCSSZ_Mérleg2020'!G45</f>
        <v>0</v>
      </c>
      <c r="H45" s="10">
        <f>+'1.1.mell._ÖNK_Mérleg2020'!H45+'1.2.mell._HKÖH_Mérleg2020'!H45+'1.3.mell._HVÓBKI_Mérleg2020'!H45+'1.4.mell._HKK_Mérleg2020'!H45+'1.5._mell._MŐSZ_Mérleg2020'!H45+'1.6._mell._HVGYKCSSZ_Mérleg2020'!H45</f>
        <v>0</v>
      </c>
      <c r="I45" s="35">
        <f>+'1.1.mell._ÖNK_Mérleg2020'!I45+'1.2.mell._HKÖH_Mérleg2020'!I45+'1.3.mell._HVÓBKI_Mérleg2020'!I45+'1.4.mell._HKK_Mérleg2020'!I45+'1.5._mell._MŐSZ_Mérleg2020'!I45+'1.6._mell._HVGYKCSSZ_Mérleg2020'!I45</f>
        <v>0</v>
      </c>
      <c r="M45" s="4">
        <f t="shared" si="2"/>
        <v>0</v>
      </c>
    </row>
    <row r="46" spans="1:13" ht="12.75" customHeight="1">
      <c r="A46" s="84" t="s">
        <v>227</v>
      </c>
      <c r="B46" s="65" t="s">
        <v>896</v>
      </c>
      <c r="C46" s="398">
        <f>+'1.1.mell._ÖNK_Mérleg2020'!C46+'1.2.mell._HKÖH_Mérleg2020'!C46+'1.3.mell._HVÓBKI_Mérleg2020'!C46+'1.4.mell._HKK_Mérleg2020'!C46+'1.5._mell._MŐSZ_Mérleg2020'!C46+'1.6._mell._HVGYKCSSZ_Mérleg2020'!C46</f>
        <v>0</v>
      </c>
      <c r="D46" s="1062">
        <f>+'1.1.mell._ÖNK_Mérleg2020'!D46+'1.2.mell._HKÖH_Mérleg2020'!D46+'1.3.mell._HVÓBKI_Mérleg2020'!D46+'1.4.mell._HKK_Mérleg2020'!D46+'1.5._mell._MŐSZ_Mérleg2020'!D46+'1.6._mell._HVGYKCSSZ_Mérleg2020'!D46</f>
        <v>0</v>
      </c>
      <c r="E46" s="1062">
        <f>+'1.1.mell._ÖNK_Mérleg2020'!E46+'1.2.mell._HKÖH_Mérleg2020'!E46+'1.3.mell._HVÓBKI_Mérleg2020'!E46+'1.4.mell._HKK_Mérleg2020'!E46+'1.5._mell._MŐSZ_Mérleg2020'!E46+'1.6._mell._HVGYKCSSZ_Mérleg2020'!E46</f>
        <v>0</v>
      </c>
      <c r="F46" s="1295" t="str">
        <f t="shared" si="0"/>
        <v>-</v>
      </c>
      <c r="G46" s="34">
        <f>+'1.1.mell._ÖNK_Mérleg2020'!G46+'1.2.mell._HKÖH_Mérleg2020'!G46+'1.3.mell._HVÓBKI_Mérleg2020'!G46+'1.4.mell._HKK_Mérleg2020'!G46+'1.5._mell._MŐSZ_Mérleg2020'!G46+'1.6._mell._HVGYKCSSZ_Mérleg2020'!G46</f>
        <v>0</v>
      </c>
      <c r="H46" s="10">
        <f>+'1.1.mell._ÖNK_Mérleg2020'!H46+'1.2.mell._HKÖH_Mérleg2020'!H46+'1.3.mell._HVÓBKI_Mérleg2020'!H46+'1.4.mell._HKK_Mérleg2020'!H46+'1.5._mell._MŐSZ_Mérleg2020'!H46+'1.6._mell._HVGYKCSSZ_Mérleg2020'!H46</f>
        <v>0</v>
      </c>
      <c r="I46" s="35">
        <f>+'1.1.mell._ÖNK_Mérleg2020'!I46+'1.2.mell._HKÖH_Mérleg2020'!I46+'1.3.mell._HVÓBKI_Mérleg2020'!I46+'1.4.mell._HKK_Mérleg2020'!I46+'1.5._mell._MŐSZ_Mérleg2020'!I46+'1.6._mell._HVGYKCSSZ_Mérleg2020'!I46</f>
        <v>0</v>
      </c>
      <c r="M46" s="4">
        <f t="shared" si="2"/>
        <v>0</v>
      </c>
    </row>
    <row r="47" spans="1:13" ht="12.75" customHeight="1">
      <c r="A47" s="84" t="s">
        <v>228</v>
      </c>
      <c r="B47" s="65" t="s">
        <v>897</v>
      </c>
      <c r="C47" s="398">
        <f>+'1.1.mell._ÖNK_Mérleg2020'!C47+'1.2.mell._HKÖH_Mérleg2020'!C47+'1.3.mell._HVÓBKI_Mérleg2020'!C47+'1.4.mell._HKK_Mérleg2020'!C47+'1.5._mell._MŐSZ_Mérleg2020'!C47+'1.6._mell._HVGYKCSSZ_Mérleg2020'!C47</f>
        <v>0</v>
      </c>
      <c r="D47" s="1062">
        <f>+'1.1.mell._ÖNK_Mérleg2020'!D47+'1.2.mell._HKÖH_Mérleg2020'!D47+'1.3.mell._HVÓBKI_Mérleg2020'!D47+'1.4.mell._HKK_Mérleg2020'!D47+'1.5._mell._MŐSZ_Mérleg2020'!D47+'1.6._mell._HVGYKCSSZ_Mérleg2020'!D47</f>
        <v>0</v>
      </c>
      <c r="E47" s="1062">
        <f>+'1.1.mell._ÖNK_Mérleg2020'!E47+'1.2.mell._HKÖH_Mérleg2020'!E47+'1.3.mell._HVÓBKI_Mérleg2020'!E47+'1.4.mell._HKK_Mérleg2020'!E47+'1.5._mell._MŐSZ_Mérleg2020'!E47+'1.6._mell._HVGYKCSSZ_Mérleg2020'!E47</f>
        <v>0</v>
      </c>
      <c r="F47" s="1295" t="str">
        <f t="shared" si="0"/>
        <v>-</v>
      </c>
      <c r="G47" s="34">
        <f>+'1.1.mell._ÖNK_Mérleg2020'!G47+'1.2.mell._HKÖH_Mérleg2020'!G47+'1.3.mell._HVÓBKI_Mérleg2020'!G47+'1.4.mell._HKK_Mérleg2020'!G47+'1.5._mell._MŐSZ_Mérleg2020'!G47+'1.6._mell._HVGYKCSSZ_Mérleg2020'!G47</f>
        <v>0</v>
      </c>
      <c r="H47" s="10">
        <f>+'1.1.mell._ÖNK_Mérleg2020'!H47+'1.2.mell._HKÖH_Mérleg2020'!H47+'1.3.mell._HVÓBKI_Mérleg2020'!H47+'1.4.mell._HKK_Mérleg2020'!H47+'1.5._mell._MŐSZ_Mérleg2020'!H47+'1.6._mell._HVGYKCSSZ_Mérleg2020'!H47</f>
        <v>0</v>
      </c>
      <c r="I47" s="35">
        <f>+'1.1.mell._ÖNK_Mérleg2020'!I47+'1.2.mell._HKÖH_Mérleg2020'!I47+'1.3.mell._HVÓBKI_Mérleg2020'!I47+'1.4.mell._HKK_Mérleg2020'!I47+'1.5._mell._MŐSZ_Mérleg2020'!I47+'1.6._mell._HVGYKCSSZ_Mérleg2020'!I47</f>
        <v>0</v>
      </c>
      <c r="M47" s="4">
        <f t="shared" si="2"/>
        <v>0</v>
      </c>
    </row>
    <row r="48" spans="1:13" ht="12.75" customHeight="1">
      <c r="A48" s="85" t="s">
        <v>256</v>
      </c>
      <c r="B48" s="67" t="s">
        <v>898</v>
      </c>
      <c r="C48" s="396">
        <f>+'1.1.mell._ÖNK_Mérleg2020'!C48+'1.2.mell._HKÖH_Mérleg2020'!C48+'1.3.mell._HVÓBKI_Mérleg2020'!C48+'1.4.mell._HKK_Mérleg2020'!C48+'1.5._mell._MŐSZ_Mérleg2020'!C48+'1.6._mell._HVGYKCSSZ_Mérleg2020'!C48</f>
        <v>0</v>
      </c>
      <c r="D48" s="1064">
        <f>+'1.1.mell._ÖNK_Mérleg2020'!D48+'1.2.mell._HKÖH_Mérleg2020'!D48+'1.3.mell._HVÓBKI_Mérleg2020'!D48+'1.4.mell._HKK_Mérleg2020'!D48+'1.5._mell._MŐSZ_Mérleg2020'!D48+'1.6._mell._HVGYKCSSZ_Mérleg2020'!D48</f>
        <v>17041</v>
      </c>
      <c r="E48" s="1064">
        <f>+'1.1.mell._ÖNK_Mérleg2020'!E48+'1.2.mell._HKÖH_Mérleg2020'!E48+'1.3.mell._HVÓBKI_Mérleg2020'!E48+'1.4.mell._HKK_Mérleg2020'!E48+'1.5._mell._MŐSZ_Mérleg2020'!E48+'1.6._mell._HVGYKCSSZ_Mérleg2020'!E48</f>
        <v>3035</v>
      </c>
      <c r="F48" s="1296">
        <f t="shared" si="0"/>
        <v>0.17809987676779532</v>
      </c>
      <c r="G48" s="20">
        <f>+'1.1.mell._ÖNK_Mérleg2020'!G48+'1.2.mell._HKÖH_Mérleg2020'!G48+'1.3.mell._HVÓBKI_Mérleg2020'!G48+'1.4.mell._HKK_Mérleg2020'!G48+'1.5._mell._MŐSZ_Mérleg2020'!G48+'1.6._mell._HVGYKCSSZ_Mérleg2020'!G48</f>
        <v>3035</v>
      </c>
      <c r="H48" s="11">
        <f>+'1.1.mell._ÖNK_Mérleg2020'!H48+'1.2.mell._HKÖH_Mérleg2020'!H48+'1.3.mell._HVÓBKI_Mérleg2020'!H48+'1.4.mell._HKK_Mérleg2020'!H48+'1.5._mell._MŐSZ_Mérleg2020'!H48+'1.6._mell._HVGYKCSSZ_Mérleg2020'!H48</f>
        <v>0</v>
      </c>
      <c r="I48" s="16">
        <f>+'1.1.mell._ÖNK_Mérleg2020'!I48+'1.2.mell._HKÖH_Mérleg2020'!I48+'1.3.mell._HVÓBKI_Mérleg2020'!I48+'1.4.mell._HKK_Mérleg2020'!I48+'1.5._mell._MŐSZ_Mérleg2020'!I48+'1.6._mell._HVGYKCSSZ_Mérleg2020'!I48</f>
        <v>0</v>
      </c>
      <c r="M48" s="4">
        <f t="shared" si="2"/>
        <v>0</v>
      </c>
    </row>
    <row r="49" spans="1:13" ht="12.75" customHeight="1" thickBot="1">
      <c r="A49" s="78" t="s">
        <v>257</v>
      </c>
      <c r="B49" s="68" t="s">
        <v>899</v>
      </c>
      <c r="C49" s="397">
        <f>+'1.1.mell._ÖNK_Mérleg2020'!C49+'1.2.mell._HKÖH_Mérleg2020'!C49+'1.3.mell._HVÓBKI_Mérleg2020'!C49+'1.4.mell._HKK_Mérleg2020'!C49+'1.5._mell._MŐSZ_Mérleg2020'!C49+'1.6._mell._HVGYKCSSZ_Mérleg2020'!C49</f>
        <v>0</v>
      </c>
      <c r="D49" s="1065">
        <f>+'1.1.mell._ÖNK_Mérleg2020'!D49+'1.2.mell._HKÖH_Mérleg2020'!D49+'1.3.mell._HVÓBKI_Mérleg2020'!D49+'1.4.mell._HKK_Mérleg2020'!D49+'1.5._mell._MŐSZ_Mérleg2020'!D49+'1.6._mell._HVGYKCSSZ_Mérleg2020'!D49</f>
        <v>2911</v>
      </c>
      <c r="E49" s="1065">
        <f>+'1.1.mell._ÖNK_Mérleg2020'!E49+'1.2.mell._HKÖH_Mérleg2020'!E49+'1.3.mell._HVÓBKI_Mérleg2020'!E49+'1.4.mell._HKK_Mérleg2020'!E49+'1.5._mell._MŐSZ_Mérleg2020'!E49+'1.6._mell._HVGYKCSSZ_Mérleg2020'!E49</f>
        <v>1710</v>
      </c>
      <c r="F49" s="1298">
        <f t="shared" si="0"/>
        <v>0.58742700103057366</v>
      </c>
      <c r="G49" s="21">
        <f>+'1.1.mell._ÖNK_Mérleg2020'!G49+'1.2.mell._HKÖH_Mérleg2020'!G49+'1.3.mell._HVÓBKI_Mérleg2020'!G49+'1.4.mell._HKK_Mérleg2020'!G49+'1.5._mell._MŐSZ_Mérleg2020'!G49+'1.6._mell._HVGYKCSSZ_Mérleg2020'!G49</f>
        <v>1710</v>
      </c>
      <c r="H49" s="22">
        <f>+'1.1.mell._ÖNK_Mérleg2020'!H49+'1.2.mell._HKÖH_Mérleg2020'!H49+'1.3.mell._HVÓBKI_Mérleg2020'!H49+'1.4.mell._HKK_Mérleg2020'!H49+'1.5._mell._MŐSZ_Mérleg2020'!H49+'1.6._mell._HVGYKCSSZ_Mérleg2020'!H49</f>
        <v>0</v>
      </c>
      <c r="I49" s="23">
        <f>+'1.1.mell._ÖNK_Mérleg2020'!I49+'1.2.mell._HKÖH_Mérleg2020'!I49+'1.3.mell._HVÓBKI_Mérleg2020'!I49+'1.4.mell._HKK_Mérleg2020'!I49+'1.5._mell._MŐSZ_Mérleg2020'!I49+'1.6._mell._HVGYKCSSZ_Mérleg2020'!I49</f>
        <v>0</v>
      </c>
      <c r="M49" s="4">
        <f t="shared" si="2"/>
        <v>0</v>
      </c>
    </row>
    <row r="50" spans="1:13" s="3" customFormat="1" ht="12.75" thickBot="1">
      <c r="A50" s="83" t="s">
        <v>15</v>
      </c>
      <c r="B50" s="69" t="s">
        <v>299</v>
      </c>
      <c r="C50" s="129">
        <f>+C51+C58+C64</f>
        <v>73726</v>
      </c>
      <c r="D50" s="1061">
        <f>+D51+D58+D64</f>
        <v>267192</v>
      </c>
      <c r="E50" s="1061">
        <f>+E51+E58+E64</f>
        <v>261639</v>
      </c>
      <c r="F50" s="1294">
        <f t="shared" si="0"/>
        <v>0.97921719213150094</v>
      </c>
      <c r="G50" s="27">
        <f>+G51+G58+G64</f>
        <v>260975</v>
      </c>
      <c r="H50" s="28">
        <f>+H51+H58+H64</f>
        <v>664</v>
      </c>
      <c r="I50" s="29">
        <f>+I51+I58+I64</f>
        <v>0</v>
      </c>
      <c r="J50" s="655">
        <f>+C50/$C$102</f>
        <v>1.6192221074793102E-2</v>
      </c>
      <c r="K50" s="655">
        <f>+D50/$D$102</f>
        <v>4.6115976177761697E-2</v>
      </c>
      <c r="L50" s="655">
        <f>+E50/$E$102</f>
        <v>4.6812735460156421E-2</v>
      </c>
      <c r="M50" s="3">
        <f t="shared" si="2"/>
        <v>0</v>
      </c>
    </row>
    <row r="51" spans="1:13" s="3" customFormat="1" ht="12.75" customHeight="1" thickBot="1">
      <c r="A51" s="83" t="s">
        <v>14</v>
      </c>
      <c r="B51" s="64" t="s">
        <v>300</v>
      </c>
      <c r="C51" s="129">
        <f>+C52+C53+C54+C55+C56</f>
        <v>32276</v>
      </c>
      <c r="D51" s="1061">
        <f>+D52+D53+D54+D55+D56</f>
        <v>219051</v>
      </c>
      <c r="E51" s="1061">
        <f>+E52+E53+E54+E55+E56</f>
        <v>219051</v>
      </c>
      <c r="F51" s="1294">
        <f t="shared" si="0"/>
        <v>1</v>
      </c>
      <c r="G51" s="27">
        <f>+G52+G53+G54+G55+G56</f>
        <v>219051</v>
      </c>
      <c r="H51" s="28">
        <f>+H52+H53+H54+H55+H56</f>
        <v>0</v>
      </c>
      <c r="I51" s="29">
        <f>+I52+I53+I54+I55+I56</f>
        <v>0</v>
      </c>
      <c r="J51" s="655">
        <f>+C51/$C$102</f>
        <v>7.0886814340941065E-3</v>
      </c>
      <c r="K51" s="655">
        <f>+D51/$D$102</f>
        <v>3.7807085158668215E-2</v>
      </c>
      <c r="L51" s="655">
        <f>+E51/$E$102</f>
        <v>3.9192844015161057E-2</v>
      </c>
      <c r="M51" s="3">
        <f t="shared" si="2"/>
        <v>0</v>
      </c>
    </row>
    <row r="52" spans="1:13">
      <c r="A52" s="84" t="s">
        <v>184</v>
      </c>
      <c r="B52" s="113" t="s">
        <v>115</v>
      </c>
      <c r="C52" s="398">
        <f>+'1.1.mell._ÖNK_Mérleg2020'!C52+'1.2.mell._HKÖH_Mérleg2020'!C52+'1.3.mell._HVÓBKI_Mérleg2020'!C52+'1.4.mell._HKK_Mérleg2020'!C52+'1.5._mell._MŐSZ_Mérleg2020'!C52+'1.6._mell._HVGYKCSSZ_Mérleg2020'!C52</f>
        <v>0</v>
      </c>
      <c r="D52" s="1062">
        <f>+'1.1.mell._ÖNK_Mérleg2020'!D52+'1.2.mell._HKÖH_Mérleg2020'!D52+'1.3.mell._HVÓBKI_Mérleg2020'!D52+'1.4.mell._HKK_Mérleg2020'!D52+'1.5._mell._MŐSZ_Mérleg2020'!D52+'1.6._mell._HVGYKCSSZ_Mérleg2020'!D52</f>
        <v>39307</v>
      </c>
      <c r="E52" s="1062">
        <f>+'1.1.mell._ÖNK_Mérleg2020'!E52+'1.2.mell._HKÖH_Mérleg2020'!E52+'1.3.mell._HVÓBKI_Mérleg2020'!E52+'1.4.mell._HKK_Mérleg2020'!E52+'1.5._mell._MŐSZ_Mérleg2020'!E52+'1.6._mell._HVGYKCSSZ_Mérleg2020'!E52</f>
        <v>39307</v>
      </c>
      <c r="F52" s="1295">
        <f t="shared" si="0"/>
        <v>1</v>
      </c>
      <c r="G52" s="34">
        <f>+'1.1.mell._ÖNK_Mérleg2020'!G52+'1.2.mell._HKÖH_Mérleg2020'!G52+'1.3.mell._HVÓBKI_Mérleg2020'!G52+'1.4.mell._HKK_Mérleg2020'!G52+'1.5._mell._MŐSZ_Mérleg2020'!G52+'1.6._mell._HVGYKCSSZ_Mérleg2020'!G52</f>
        <v>39307</v>
      </c>
      <c r="H52" s="10">
        <f>+'1.1.mell._ÖNK_Mérleg2020'!H52+'1.2.mell._HKÖH_Mérleg2020'!H52+'1.3.mell._HVÓBKI_Mérleg2020'!H52+'1.4.mell._HKK_Mérleg2020'!H52+'1.5._mell._MŐSZ_Mérleg2020'!H52+'1.6._mell._HVGYKCSSZ_Mérleg2020'!H52</f>
        <v>0</v>
      </c>
      <c r="I52" s="35">
        <f>+'1.1.mell._ÖNK_Mérleg2020'!I52+'1.2.mell._HKÖH_Mérleg2020'!I52+'1.3.mell._HVÓBKI_Mérleg2020'!I52+'1.4.mell._HKK_Mérleg2020'!I52+'1.5._mell._MŐSZ_Mérleg2020'!I52+'1.6._mell._HVGYKCSSZ_Mérleg2020'!I52</f>
        <v>0</v>
      </c>
      <c r="M52" s="4">
        <f t="shared" si="2"/>
        <v>0</v>
      </c>
    </row>
    <row r="53" spans="1:13">
      <c r="A53" s="85" t="s">
        <v>185</v>
      </c>
      <c r="B53" s="67" t="s">
        <v>116</v>
      </c>
      <c r="C53" s="396">
        <f>+'1.1.mell._ÖNK_Mérleg2020'!C53+'1.2.mell._HKÖH_Mérleg2020'!C53+'1.3.mell._HVÓBKI_Mérleg2020'!C53+'1.4.mell._HKK_Mérleg2020'!C53+'1.5._mell._MŐSZ_Mérleg2020'!C53+'1.6._mell._HVGYKCSSZ_Mérleg2020'!C53</f>
        <v>0</v>
      </c>
      <c r="D53" s="1064">
        <f>+'1.1.mell._ÖNK_Mérleg2020'!D53+'1.2.mell._HKÖH_Mérleg2020'!D53+'1.3.mell._HVÓBKI_Mérleg2020'!D53+'1.4.mell._HKK_Mérleg2020'!D53+'1.5._mell._MŐSZ_Mérleg2020'!D53+'1.6._mell._HVGYKCSSZ_Mérleg2020'!D53</f>
        <v>0</v>
      </c>
      <c r="E53" s="1064">
        <f>+'1.1.mell._ÖNK_Mérleg2020'!E53+'1.2.mell._HKÖH_Mérleg2020'!E53+'1.3.mell._HVÓBKI_Mérleg2020'!E53+'1.4.mell._HKK_Mérleg2020'!E53+'1.5._mell._MŐSZ_Mérleg2020'!E53+'1.6._mell._HVGYKCSSZ_Mérleg2020'!E53</f>
        <v>0</v>
      </c>
      <c r="F53" s="1296" t="str">
        <f t="shared" si="0"/>
        <v>-</v>
      </c>
      <c r="G53" s="20">
        <f>+'1.1.mell._ÖNK_Mérleg2020'!G53+'1.2.mell._HKÖH_Mérleg2020'!G53+'1.3.mell._HVÓBKI_Mérleg2020'!G53+'1.4.mell._HKK_Mérleg2020'!G53+'1.5._mell._MŐSZ_Mérleg2020'!G53+'1.6._mell._HVGYKCSSZ_Mérleg2020'!G53</f>
        <v>0</v>
      </c>
      <c r="H53" s="11">
        <f>+'1.1.mell._ÖNK_Mérleg2020'!H53+'1.2.mell._HKÖH_Mérleg2020'!H53+'1.3.mell._HVÓBKI_Mérleg2020'!H53+'1.4.mell._HKK_Mérleg2020'!H53+'1.5._mell._MŐSZ_Mérleg2020'!H53+'1.6._mell._HVGYKCSSZ_Mérleg2020'!H53</f>
        <v>0</v>
      </c>
      <c r="I53" s="16">
        <f>+'1.1.mell._ÖNK_Mérleg2020'!I53+'1.2.mell._HKÖH_Mérleg2020'!I53+'1.3.mell._HVÓBKI_Mérleg2020'!I53+'1.4.mell._HKK_Mérleg2020'!I53+'1.5._mell._MŐSZ_Mérleg2020'!I53+'1.6._mell._HVGYKCSSZ_Mérleg2020'!I53</f>
        <v>0</v>
      </c>
      <c r="M53" s="4">
        <f t="shared" si="2"/>
        <v>0</v>
      </c>
    </row>
    <row r="54" spans="1:13">
      <c r="A54" s="85" t="s">
        <v>186</v>
      </c>
      <c r="B54" s="67" t="s">
        <v>117</v>
      </c>
      <c r="C54" s="396">
        <f>+'1.1.mell._ÖNK_Mérleg2020'!C54+'1.2.mell._HKÖH_Mérleg2020'!C54+'1.3.mell._HVÓBKI_Mérleg2020'!C54+'1.4.mell._HKK_Mérleg2020'!C54+'1.5._mell._MŐSZ_Mérleg2020'!C54+'1.6._mell._HVGYKCSSZ_Mérleg2020'!C54</f>
        <v>0</v>
      </c>
      <c r="D54" s="1064">
        <f>+'1.1.mell._ÖNK_Mérleg2020'!D54+'1.2.mell._HKÖH_Mérleg2020'!D54+'1.3.mell._HVÓBKI_Mérleg2020'!D54+'1.4.mell._HKK_Mérleg2020'!D54+'1.5._mell._MŐSZ_Mérleg2020'!D54+'1.6._mell._HVGYKCSSZ_Mérleg2020'!D54</f>
        <v>0</v>
      </c>
      <c r="E54" s="1064">
        <f>+'1.1.mell._ÖNK_Mérleg2020'!E54+'1.2.mell._HKÖH_Mérleg2020'!E54+'1.3.mell._HVÓBKI_Mérleg2020'!E54+'1.4.mell._HKK_Mérleg2020'!E54+'1.5._mell._MŐSZ_Mérleg2020'!E54+'1.6._mell._HVGYKCSSZ_Mérleg2020'!E54</f>
        <v>0</v>
      </c>
      <c r="F54" s="1296" t="str">
        <f t="shared" si="0"/>
        <v>-</v>
      </c>
      <c r="G54" s="20">
        <f>+'1.1.mell._ÖNK_Mérleg2020'!G54+'1.2.mell._HKÖH_Mérleg2020'!G54+'1.3.mell._HVÓBKI_Mérleg2020'!G54+'1.4.mell._HKK_Mérleg2020'!G54+'1.5._mell._MŐSZ_Mérleg2020'!G54+'1.6._mell._HVGYKCSSZ_Mérleg2020'!G54</f>
        <v>0</v>
      </c>
      <c r="H54" s="11">
        <f>+'1.1.mell._ÖNK_Mérleg2020'!H54+'1.2.mell._HKÖH_Mérleg2020'!H54+'1.3.mell._HVÓBKI_Mérleg2020'!H54+'1.4.mell._HKK_Mérleg2020'!H54+'1.5._mell._MŐSZ_Mérleg2020'!H54+'1.6._mell._HVGYKCSSZ_Mérleg2020'!H54</f>
        <v>0</v>
      </c>
      <c r="I54" s="16">
        <f>+'1.1.mell._ÖNK_Mérleg2020'!I54+'1.2.mell._HKÖH_Mérleg2020'!I54+'1.3.mell._HVÓBKI_Mérleg2020'!I54+'1.4.mell._HKK_Mérleg2020'!I54+'1.5._mell._MŐSZ_Mérleg2020'!I54+'1.6._mell._HVGYKCSSZ_Mérleg2020'!I54</f>
        <v>0</v>
      </c>
      <c r="M54" s="4">
        <f t="shared" si="2"/>
        <v>0</v>
      </c>
    </row>
    <row r="55" spans="1:13">
      <c r="A55" s="85" t="s">
        <v>187</v>
      </c>
      <c r="B55" s="67" t="s">
        <v>118</v>
      </c>
      <c r="C55" s="396">
        <f>+'1.1.mell._ÖNK_Mérleg2020'!C55+'1.2.mell._HKÖH_Mérleg2020'!C55+'1.3.mell._HVÓBKI_Mérleg2020'!C55+'1.4.mell._HKK_Mérleg2020'!C55+'1.5._mell._MŐSZ_Mérleg2020'!C55+'1.6._mell._HVGYKCSSZ_Mérleg2020'!C55</f>
        <v>0</v>
      </c>
      <c r="D55" s="1064">
        <f>+'1.1.mell._ÖNK_Mérleg2020'!D55+'1.2.mell._HKÖH_Mérleg2020'!D55+'1.3.mell._HVÓBKI_Mérleg2020'!D55+'1.4.mell._HKK_Mérleg2020'!D55+'1.5._mell._MŐSZ_Mérleg2020'!D55+'1.6._mell._HVGYKCSSZ_Mérleg2020'!D55</f>
        <v>0</v>
      </c>
      <c r="E55" s="1064">
        <f>+'1.1.mell._ÖNK_Mérleg2020'!E55+'1.2.mell._HKÖH_Mérleg2020'!E55+'1.3.mell._HVÓBKI_Mérleg2020'!E55+'1.4.mell._HKK_Mérleg2020'!E55+'1.5._mell._MŐSZ_Mérleg2020'!E55+'1.6._mell._HVGYKCSSZ_Mérleg2020'!E55</f>
        <v>0</v>
      </c>
      <c r="F55" s="1296" t="str">
        <f t="shared" si="0"/>
        <v>-</v>
      </c>
      <c r="G55" s="20">
        <f>+'1.1.mell._ÖNK_Mérleg2020'!G55+'1.2.mell._HKÖH_Mérleg2020'!G55+'1.3.mell._HVÓBKI_Mérleg2020'!G55+'1.4.mell._HKK_Mérleg2020'!G55+'1.5._mell._MŐSZ_Mérleg2020'!G55+'1.6._mell._HVGYKCSSZ_Mérleg2020'!G55</f>
        <v>0</v>
      </c>
      <c r="H55" s="11">
        <f>+'1.1.mell._ÖNK_Mérleg2020'!H55+'1.2.mell._HKÖH_Mérleg2020'!H55+'1.3.mell._HVÓBKI_Mérleg2020'!H55+'1.4.mell._HKK_Mérleg2020'!H55+'1.5._mell._MŐSZ_Mérleg2020'!H55+'1.6._mell._HVGYKCSSZ_Mérleg2020'!H55</f>
        <v>0</v>
      </c>
      <c r="I55" s="16">
        <f>+'1.1.mell._ÖNK_Mérleg2020'!I55+'1.2.mell._HKÖH_Mérleg2020'!I55+'1.3.mell._HVÓBKI_Mérleg2020'!I55+'1.4.mell._HKK_Mérleg2020'!I55+'1.5._mell._MŐSZ_Mérleg2020'!I55+'1.6._mell._HVGYKCSSZ_Mérleg2020'!I55</f>
        <v>0</v>
      </c>
      <c r="M55" s="4">
        <f t="shared" si="2"/>
        <v>0</v>
      </c>
    </row>
    <row r="56" spans="1:13">
      <c r="A56" s="78" t="s">
        <v>188</v>
      </c>
      <c r="B56" s="68" t="s">
        <v>119</v>
      </c>
      <c r="C56" s="397">
        <f>+'1.1.mell._ÖNK_Mérleg2020'!C56+'1.2.mell._HKÖH_Mérleg2020'!C56+'1.3.mell._HVÓBKI_Mérleg2020'!C56+'1.4.mell._HKK_Mérleg2020'!C56+'1.5._mell._MŐSZ_Mérleg2020'!C56+'1.6._mell._HVGYKCSSZ_Mérleg2020'!C56</f>
        <v>32276</v>
      </c>
      <c r="D56" s="1065">
        <f>+'1.1.mell._ÖNK_Mérleg2020'!D56+'1.2.mell._HKÖH_Mérleg2020'!D56+'1.3.mell._HVÓBKI_Mérleg2020'!D56+'1.4.mell._HKK_Mérleg2020'!D56+'1.5._mell._MŐSZ_Mérleg2020'!D56+'1.6._mell._HVGYKCSSZ_Mérleg2020'!D56</f>
        <v>179744</v>
      </c>
      <c r="E56" s="1065">
        <f>+'1.1.mell._ÖNK_Mérleg2020'!E56+'1.2.mell._HKÖH_Mérleg2020'!E56+'1.3.mell._HVÓBKI_Mérleg2020'!E56+'1.4.mell._HKK_Mérleg2020'!E56+'1.5._mell._MŐSZ_Mérleg2020'!E56+'1.6._mell._HVGYKCSSZ_Mérleg2020'!E56</f>
        <v>179744</v>
      </c>
      <c r="F56" s="1298">
        <f t="shared" si="0"/>
        <v>1</v>
      </c>
      <c r="G56" s="21">
        <f>+'1.1.mell._ÖNK_Mérleg2020'!G56+'1.2.mell._HKÖH_Mérleg2020'!G56+'1.3.mell._HVÓBKI_Mérleg2020'!G56+'1.4.mell._HKK_Mérleg2020'!G56+'1.5._mell._MŐSZ_Mérleg2020'!G56+'1.6._mell._HVGYKCSSZ_Mérleg2020'!G56</f>
        <v>179744</v>
      </c>
      <c r="H56" s="22">
        <f>+'1.1.mell._ÖNK_Mérleg2020'!H56+'1.2.mell._HKÖH_Mérleg2020'!H56+'1.3.mell._HVÓBKI_Mérleg2020'!H56+'1.4.mell._HKK_Mérleg2020'!H56+'1.5._mell._MŐSZ_Mérleg2020'!H56+'1.6._mell._HVGYKCSSZ_Mérleg2020'!H56</f>
        <v>0</v>
      </c>
      <c r="I56" s="23">
        <f>+'1.1.mell._ÖNK_Mérleg2020'!I56+'1.2.mell._HKÖH_Mérleg2020'!I56+'1.3.mell._HVÓBKI_Mérleg2020'!I56+'1.4.mell._HKK_Mérleg2020'!I56+'1.5._mell._MŐSZ_Mérleg2020'!I56+'1.6._mell._HVGYKCSSZ_Mérleg2020'!I56</f>
        <v>0</v>
      </c>
      <c r="M56" s="4">
        <f t="shared" si="2"/>
        <v>0</v>
      </c>
    </row>
    <row r="57" spans="1:13" s="13" customFormat="1" ht="12.75" thickBot="1">
      <c r="A57" s="89" t="s">
        <v>333</v>
      </c>
      <c r="B57" s="751" t="s">
        <v>337</v>
      </c>
      <c r="C57" s="395">
        <f>+'1.1.mell._ÖNK_Mérleg2020'!C57+'1.2.mell._HKÖH_Mérleg2020'!C57+'1.3.mell._HVÓBKI_Mérleg2020'!C57+'1.4.mell._HKK_Mérleg2020'!C57+'1.5._mell._MŐSZ_Mérleg2020'!C57+'1.6._mell._HVGYKCSSZ_Mérleg2020'!C57</f>
        <v>0</v>
      </c>
      <c r="D57" s="1066">
        <f>+'1.1.mell._ÖNK_Mérleg2020'!D57+'1.2.mell._HKÖH_Mérleg2020'!D57+'1.3.mell._HVÓBKI_Mérleg2020'!D57+'1.4.mell._HKK_Mérleg2020'!D57+'1.5._mell._MŐSZ_Mérleg2020'!D57+'1.6._mell._HVGYKCSSZ_Mérleg2020'!D57</f>
        <v>169689</v>
      </c>
      <c r="E57" s="1066">
        <f>+'1.1.mell._ÖNK_Mérleg2020'!E57+'1.2.mell._HKÖH_Mérleg2020'!E57+'1.3.mell._HVÓBKI_Mérleg2020'!E57+'1.4.mell._HKK_Mérleg2020'!E57+'1.5._mell._MŐSZ_Mérleg2020'!E57+'1.6._mell._HVGYKCSSZ_Mérleg2020'!E57</f>
        <v>169689</v>
      </c>
      <c r="F57" s="1298">
        <f t="shared" si="0"/>
        <v>1</v>
      </c>
      <c r="G57" s="45">
        <f>+'1.1.mell._ÖNK_Mérleg2020'!G57+'1.2.mell._HKÖH_Mérleg2020'!G57+'1.3.mell._HVÓBKI_Mérleg2020'!G57+'1.4.mell._HKK_Mérleg2020'!G57+'1.5._mell._MŐSZ_Mérleg2020'!G57+'1.6._mell._HVGYKCSSZ_Mérleg2020'!G57</f>
        <v>169689</v>
      </c>
      <c r="H57" s="43">
        <f>+'1.1.mell._ÖNK_Mérleg2020'!H57+'1.2.mell._HKÖH_Mérleg2020'!H57+'1.3.mell._HVÓBKI_Mérleg2020'!H57+'1.4.mell._HKK_Mérleg2020'!H57+'1.5._mell._MŐSZ_Mérleg2020'!H57+'1.6._mell._HVGYKCSSZ_Mérleg2020'!H57</f>
        <v>0</v>
      </c>
      <c r="I57" s="44">
        <f>+'1.1.mell._ÖNK_Mérleg2020'!I57+'1.2.mell._HKÖH_Mérleg2020'!I57+'1.3.mell._HVÓBKI_Mérleg2020'!I57+'1.4.mell._HKK_Mérleg2020'!I57+'1.5._mell._MŐSZ_Mérleg2020'!I57+'1.6._mell._HVGYKCSSZ_Mérleg2020'!I57</f>
        <v>0</v>
      </c>
      <c r="M57" s="13">
        <f t="shared" si="2"/>
        <v>0</v>
      </c>
    </row>
    <row r="58" spans="1:13" s="3" customFormat="1" ht="12.75" customHeight="1" thickBot="1">
      <c r="A58" s="83" t="s">
        <v>13</v>
      </c>
      <c r="B58" s="64" t="s">
        <v>301</v>
      </c>
      <c r="C58" s="129">
        <f>+C59+C60+C61+C62+C63</f>
        <v>40350</v>
      </c>
      <c r="D58" s="1061">
        <f>+D59+D60+D61+D62+D63</f>
        <v>42427</v>
      </c>
      <c r="E58" s="1061">
        <f>+E59+E60+E61+E62+E63</f>
        <v>41924</v>
      </c>
      <c r="F58" s="1294">
        <f t="shared" si="0"/>
        <v>0.98814434204633839</v>
      </c>
      <c r="G58" s="27">
        <f>+G59+G60+G61+G62+G63</f>
        <v>41924</v>
      </c>
      <c r="H58" s="28">
        <f>+H59+H60+H61+H62+H63</f>
        <v>0</v>
      </c>
      <c r="I58" s="29">
        <f>+I59+I60+I61+I62+I63</f>
        <v>0</v>
      </c>
      <c r="J58" s="655">
        <f>+C58/$C$102</f>
        <v>8.8619499276768252E-3</v>
      </c>
      <c r="K58" s="655">
        <f>+D58/$D$102</f>
        <v>7.3226837678294849E-3</v>
      </c>
      <c r="L58" s="655">
        <f>+E58/$E$102</f>
        <v>7.5010878402363475E-3</v>
      </c>
      <c r="M58" s="3">
        <f t="shared" si="2"/>
        <v>0</v>
      </c>
    </row>
    <row r="59" spans="1:13" ht="12.75" customHeight="1">
      <c r="A59" s="84" t="s">
        <v>66</v>
      </c>
      <c r="B59" s="65" t="s">
        <v>120</v>
      </c>
      <c r="C59" s="398">
        <f>+'1.1.mell._ÖNK_Mérleg2020'!C59+'1.2.mell._HKÖH_Mérleg2020'!C59+'1.3.mell._HVÓBKI_Mérleg2020'!C59+'1.4.mell._HKK_Mérleg2020'!C59+'1.5._mell._MŐSZ_Mérleg2020'!C59+'1.6._mell._HVGYKCSSZ_Mérleg2020'!C59</f>
        <v>0</v>
      </c>
      <c r="D59" s="1062">
        <f>+'1.1.mell._ÖNK_Mérleg2020'!D59+'1.2.mell._HKÖH_Mérleg2020'!D59+'1.3.mell._HVÓBKI_Mérleg2020'!D59+'1.4.mell._HKK_Mérleg2020'!D59+'1.5._mell._MŐSZ_Mérleg2020'!D59+'1.6._mell._HVGYKCSSZ_Mérleg2020'!D59</f>
        <v>0</v>
      </c>
      <c r="E59" s="1062">
        <f>+'1.1.mell._ÖNK_Mérleg2020'!E59+'1.2.mell._HKÖH_Mérleg2020'!E59+'1.3.mell._HVÓBKI_Mérleg2020'!E59+'1.4.mell._HKK_Mérleg2020'!E59+'1.5._mell._MŐSZ_Mérleg2020'!E59+'1.6._mell._HVGYKCSSZ_Mérleg2020'!E59</f>
        <v>0</v>
      </c>
      <c r="F59" s="1295" t="str">
        <f t="shared" si="0"/>
        <v>-</v>
      </c>
      <c r="G59" s="34">
        <f>+'1.1.mell._ÖNK_Mérleg2020'!G59+'1.2.mell._HKÖH_Mérleg2020'!G59+'1.3.mell._HVÓBKI_Mérleg2020'!G59+'1.4.mell._HKK_Mérleg2020'!G59+'1.5._mell._MŐSZ_Mérleg2020'!G59+'1.6._mell._HVGYKCSSZ_Mérleg2020'!G59</f>
        <v>0</v>
      </c>
      <c r="H59" s="10">
        <f>+'1.1.mell._ÖNK_Mérleg2020'!H59+'1.2.mell._HKÖH_Mérleg2020'!H59+'1.3.mell._HVÓBKI_Mérleg2020'!H59+'1.4.mell._HKK_Mérleg2020'!H59+'1.5._mell._MŐSZ_Mérleg2020'!H59+'1.6._mell._HVGYKCSSZ_Mérleg2020'!H59</f>
        <v>0</v>
      </c>
      <c r="I59" s="35">
        <f>+'1.1.mell._ÖNK_Mérleg2020'!I59+'1.2.mell._HKÖH_Mérleg2020'!I59+'1.3.mell._HVÓBKI_Mérleg2020'!I59+'1.4.mell._HKK_Mérleg2020'!I59+'1.5._mell._MŐSZ_Mérleg2020'!I59+'1.6._mell._HVGYKCSSZ_Mérleg2020'!I59</f>
        <v>0</v>
      </c>
      <c r="M59" s="4">
        <f t="shared" si="2"/>
        <v>0</v>
      </c>
    </row>
    <row r="60" spans="1:13" ht="12.75" customHeight="1">
      <c r="A60" s="85" t="s">
        <v>67</v>
      </c>
      <c r="B60" s="67" t="s">
        <v>121</v>
      </c>
      <c r="C60" s="396">
        <f>+'1.1.mell._ÖNK_Mérleg2020'!C60+'1.2.mell._HKÖH_Mérleg2020'!C60+'1.3.mell._HVÓBKI_Mérleg2020'!C60+'1.4.mell._HKK_Mérleg2020'!C60+'1.5._mell._MŐSZ_Mérleg2020'!C60+'1.6._mell._HVGYKCSSZ_Mérleg2020'!C60</f>
        <v>40350</v>
      </c>
      <c r="D60" s="1064">
        <f>+'1.1.mell._ÖNK_Mérleg2020'!D60+'1.2.mell._HKÖH_Mérleg2020'!D60+'1.3.mell._HVÓBKI_Mérleg2020'!D60+'1.4.mell._HKK_Mérleg2020'!D60+'1.5._mell._MŐSZ_Mérleg2020'!D60+'1.6._mell._HVGYKCSSZ_Mérleg2020'!D60</f>
        <v>42412</v>
      </c>
      <c r="E60" s="1064">
        <f>+'1.1.mell._ÖNK_Mérleg2020'!E60+'1.2.mell._HKÖH_Mérleg2020'!E60+'1.3.mell._HVÓBKI_Mérleg2020'!E60+'1.4.mell._HKK_Mérleg2020'!E60+'1.5._mell._MŐSZ_Mérleg2020'!E60+'1.6._mell._HVGYKCSSZ_Mérleg2020'!E60</f>
        <v>41909</v>
      </c>
      <c r="F60" s="1296">
        <f t="shared" si="0"/>
        <v>0.98814014901442992</v>
      </c>
      <c r="G60" s="20">
        <f>+'1.1.mell._ÖNK_Mérleg2020'!G60+'1.2.mell._HKÖH_Mérleg2020'!G60+'1.3.mell._HVÓBKI_Mérleg2020'!G60+'1.4.mell._HKK_Mérleg2020'!G60+'1.5._mell._MŐSZ_Mérleg2020'!G60+'1.6._mell._HVGYKCSSZ_Mérleg2020'!G60</f>
        <v>41909</v>
      </c>
      <c r="H60" s="11">
        <f>+'1.1.mell._ÖNK_Mérleg2020'!H60+'1.2.mell._HKÖH_Mérleg2020'!H60+'1.3.mell._HVÓBKI_Mérleg2020'!H60+'1.4.mell._HKK_Mérleg2020'!H60+'1.5._mell._MŐSZ_Mérleg2020'!H60+'1.6._mell._HVGYKCSSZ_Mérleg2020'!H60</f>
        <v>0</v>
      </c>
      <c r="I60" s="16">
        <f>+'1.1.mell._ÖNK_Mérleg2020'!I60+'1.2.mell._HKÖH_Mérleg2020'!I60+'1.3.mell._HVÓBKI_Mérleg2020'!I60+'1.4.mell._HKK_Mérleg2020'!I60+'1.5._mell._MŐSZ_Mérleg2020'!I60+'1.6._mell._HVGYKCSSZ_Mérleg2020'!I60</f>
        <v>0</v>
      </c>
      <c r="M60" s="4">
        <f t="shared" si="2"/>
        <v>0</v>
      </c>
    </row>
    <row r="61" spans="1:13" ht="12.75" customHeight="1">
      <c r="A61" s="85" t="s">
        <v>68</v>
      </c>
      <c r="B61" s="67" t="s">
        <v>122</v>
      </c>
      <c r="C61" s="396">
        <f>+'1.1.mell._ÖNK_Mérleg2020'!C61+'1.2.mell._HKÖH_Mérleg2020'!C61+'1.3.mell._HVÓBKI_Mérleg2020'!C61+'1.4.mell._HKK_Mérleg2020'!C61+'1.5._mell._MŐSZ_Mérleg2020'!C61+'1.6._mell._HVGYKCSSZ_Mérleg2020'!C61</f>
        <v>0</v>
      </c>
      <c r="D61" s="1064">
        <f>+'1.1.mell._ÖNK_Mérleg2020'!D61+'1.2.mell._HKÖH_Mérleg2020'!D61+'1.3.mell._HVÓBKI_Mérleg2020'!D61+'1.4.mell._HKK_Mérleg2020'!D61+'1.5._mell._MŐSZ_Mérleg2020'!D61+'1.6._mell._HVGYKCSSZ_Mérleg2020'!D61</f>
        <v>15</v>
      </c>
      <c r="E61" s="1064">
        <f>+'1.1.mell._ÖNK_Mérleg2020'!E61+'1.2.mell._HKÖH_Mérleg2020'!E61+'1.3.mell._HVÓBKI_Mérleg2020'!E61+'1.4.mell._HKK_Mérleg2020'!E61+'1.5._mell._MŐSZ_Mérleg2020'!E61+'1.6._mell._HVGYKCSSZ_Mérleg2020'!E61</f>
        <v>15</v>
      </c>
      <c r="F61" s="1296">
        <f t="shared" si="0"/>
        <v>1</v>
      </c>
      <c r="G61" s="20">
        <f>+'1.1.mell._ÖNK_Mérleg2020'!G61+'1.2.mell._HKÖH_Mérleg2020'!G61+'1.3.mell._HVÓBKI_Mérleg2020'!G61+'1.4.mell._HKK_Mérleg2020'!G61+'1.5._mell._MŐSZ_Mérleg2020'!G61+'1.6._mell._HVGYKCSSZ_Mérleg2020'!G61</f>
        <v>15</v>
      </c>
      <c r="H61" s="11">
        <f>+'1.1.mell._ÖNK_Mérleg2020'!H61+'1.2.mell._HKÖH_Mérleg2020'!H61+'1.3.mell._HVÓBKI_Mérleg2020'!H61+'1.4.mell._HKK_Mérleg2020'!H61+'1.5._mell._MŐSZ_Mérleg2020'!H61+'1.6._mell._HVGYKCSSZ_Mérleg2020'!H61</f>
        <v>0</v>
      </c>
      <c r="I61" s="16">
        <f>+'1.1.mell._ÖNK_Mérleg2020'!I61+'1.2.mell._HKÖH_Mérleg2020'!I61+'1.3.mell._HVÓBKI_Mérleg2020'!I61+'1.4.mell._HKK_Mérleg2020'!I61+'1.5._mell._MŐSZ_Mérleg2020'!I61+'1.6._mell._HVGYKCSSZ_Mérleg2020'!I61</f>
        <v>0</v>
      </c>
      <c r="M61" s="4">
        <f t="shared" si="2"/>
        <v>0</v>
      </c>
    </row>
    <row r="62" spans="1:13" ht="12.75" customHeight="1">
      <c r="A62" s="85" t="s">
        <v>229</v>
      </c>
      <c r="B62" s="67" t="s">
        <v>123</v>
      </c>
      <c r="C62" s="396">
        <f>+'1.1.mell._ÖNK_Mérleg2020'!C62+'1.2.mell._HKÖH_Mérleg2020'!C62+'1.3.mell._HVÓBKI_Mérleg2020'!C62+'1.4.mell._HKK_Mérleg2020'!C62+'1.5._mell._MŐSZ_Mérleg2020'!C62+'1.6._mell._HVGYKCSSZ_Mérleg2020'!C62</f>
        <v>0</v>
      </c>
      <c r="D62" s="1064">
        <f>+'1.1.mell._ÖNK_Mérleg2020'!D62+'1.2.mell._HKÖH_Mérleg2020'!D62+'1.3.mell._HVÓBKI_Mérleg2020'!D62+'1.4.mell._HKK_Mérleg2020'!D62+'1.5._mell._MŐSZ_Mérleg2020'!D62+'1.6._mell._HVGYKCSSZ_Mérleg2020'!D62</f>
        <v>0</v>
      </c>
      <c r="E62" s="1064">
        <f>+'1.1.mell._ÖNK_Mérleg2020'!E62+'1.2.mell._HKÖH_Mérleg2020'!E62+'1.3.mell._HVÓBKI_Mérleg2020'!E62+'1.4.mell._HKK_Mérleg2020'!E62+'1.5._mell._MŐSZ_Mérleg2020'!E62+'1.6._mell._HVGYKCSSZ_Mérleg2020'!E62</f>
        <v>0</v>
      </c>
      <c r="F62" s="1296" t="str">
        <f t="shared" si="0"/>
        <v>-</v>
      </c>
      <c r="G62" s="20">
        <f>+'1.1.mell._ÖNK_Mérleg2020'!G62+'1.2.mell._HKÖH_Mérleg2020'!G62+'1.3.mell._HVÓBKI_Mérleg2020'!G62+'1.4.mell._HKK_Mérleg2020'!G62+'1.5._mell._MŐSZ_Mérleg2020'!G62+'1.6._mell._HVGYKCSSZ_Mérleg2020'!G62</f>
        <v>0</v>
      </c>
      <c r="H62" s="11">
        <f>+'1.1.mell._ÖNK_Mérleg2020'!H62+'1.2.mell._HKÖH_Mérleg2020'!H62+'1.3.mell._HVÓBKI_Mérleg2020'!H62+'1.4.mell._HKK_Mérleg2020'!H62+'1.5._mell._MŐSZ_Mérleg2020'!H62+'1.6._mell._HVGYKCSSZ_Mérleg2020'!H62</f>
        <v>0</v>
      </c>
      <c r="I62" s="16">
        <f>+'1.1.mell._ÖNK_Mérleg2020'!I62+'1.2.mell._HKÖH_Mérleg2020'!I62+'1.3.mell._HVÓBKI_Mérleg2020'!I62+'1.4.mell._HKK_Mérleg2020'!I62+'1.5._mell._MŐSZ_Mérleg2020'!I62+'1.6._mell._HVGYKCSSZ_Mérleg2020'!I62</f>
        <v>0</v>
      </c>
      <c r="M62" s="4">
        <f t="shared" si="2"/>
        <v>0</v>
      </c>
    </row>
    <row r="63" spans="1:13" ht="12.75" customHeight="1" thickBot="1">
      <c r="A63" s="78" t="s">
        <v>230</v>
      </c>
      <c r="B63" s="68" t="s">
        <v>124</v>
      </c>
      <c r="C63" s="397">
        <f>+'1.1.mell._ÖNK_Mérleg2020'!C63+'1.2.mell._HKÖH_Mérleg2020'!C63+'1.3.mell._HVÓBKI_Mérleg2020'!C63+'1.4.mell._HKK_Mérleg2020'!C63+'1.5._mell._MŐSZ_Mérleg2020'!C63+'1.6._mell._HVGYKCSSZ_Mérleg2020'!C63</f>
        <v>0</v>
      </c>
      <c r="D63" s="1065">
        <f>+'1.1.mell._ÖNK_Mérleg2020'!D63+'1.2.mell._HKÖH_Mérleg2020'!D63+'1.3.mell._HVÓBKI_Mérleg2020'!D63+'1.4.mell._HKK_Mérleg2020'!D63+'1.5._mell._MŐSZ_Mérleg2020'!D63+'1.6._mell._HVGYKCSSZ_Mérleg2020'!D63</f>
        <v>0</v>
      </c>
      <c r="E63" s="1065">
        <f>+'1.1.mell._ÖNK_Mérleg2020'!E63+'1.2.mell._HKÖH_Mérleg2020'!E63+'1.3.mell._HVÓBKI_Mérleg2020'!E63+'1.4.mell._HKK_Mérleg2020'!E63+'1.5._mell._MŐSZ_Mérleg2020'!E63+'1.6._mell._HVGYKCSSZ_Mérleg2020'!E63</f>
        <v>0</v>
      </c>
      <c r="F63" s="1298" t="str">
        <f t="shared" si="0"/>
        <v>-</v>
      </c>
      <c r="G63" s="21">
        <f>+'1.1.mell._ÖNK_Mérleg2020'!G63+'1.2.mell._HKÖH_Mérleg2020'!G63+'1.3.mell._HVÓBKI_Mérleg2020'!G63+'1.4.mell._HKK_Mérleg2020'!G63+'1.5._mell._MŐSZ_Mérleg2020'!G63+'1.6._mell._HVGYKCSSZ_Mérleg2020'!G63</f>
        <v>0</v>
      </c>
      <c r="H63" s="22">
        <f>+'1.1.mell._ÖNK_Mérleg2020'!H63+'1.2.mell._HKÖH_Mérleg2020'!H63+'1.3.mell._HVÓBKI_Mérleg2020'!H63+'1.4.mell._HKK_Mérleg2020'!H63+'1.5._mell._MŐSZ_Mérleg2020'!H63+'1.6._mell._HVGYKCSSZ_Mérleg2020'!H63</f>
        <v>0</v>
      </c>
      <c r="I63" s="23">
        <f>+'1.1.mell._ÖNK_Mérleg2020'!I63+'1.2.mell._HKÖH_Mérleg2020'!I63+'1.3.mell._HVÓBKI_Mérleg2020'!I63+'1.4.mell._HKK_Mérleg2020'!I63+'1.5._mell._MŐSZ_Mérleg2020'!I63+'1.6._mell._HVGYKCSSZ_Mérleg2020'!I63</f>
        <v>0</v>
      </c>
      <c r="M63" s="4">
        <f t="shared" si="2"/>
        <v>0</v>
      </c>
    </row>
    <row r="64" spans="1:13" s="3" customFormat="1" ht="12.75" thickBot="1">
      <c r="A64" s="83" t="s">
        <v>12</v>
      </c>
      <c r="B64" s="64" t="s">
        <v>903</v>
      </c>
      <c r="C64" s="129">
        <f>+C65+C66+C67+C68+C69</f>
        <v>1100</v>
      </c>
      <c r="D64" s="1061">
        <f>+D65+D66+D67+D68+D69</f>
        <v>5714</v>
      </c>
      <c r="E64" s="1061">
        <f>+E65+E66+E67+E68+E69</f>
        <v>664</v>
      </c>
      <c r="F64" s="1294">
        <f t="shared" si="0"/>
        <v>0.11620581029051452</v>
      </c>
      <c r="G64" s="27">
        <f>+G65+G66+G67+G68+G69</f>
        <v>0</v>
      </c>
      <c r="H64" s="28">
        <f>+H65+H66+H67+H68+H69</f>
        <v>664</v>
      </c>
      <c r="I64" s="29">
        <f>+I65+I66+I67+I68+I69</f>
        <v>0</v>
      </c>
      <c r="J64" s="655">
        <f>+C64/$C$102</f>
        <v>2.4158971302216871E-4</v>
      </c>
      <c r="K64" s="655">
        <f>+D64/$D$102</f>
        <v>9.8620725126399877E-4</v>
      </c>
      <c r="L64" s="655">
        <f>+E64/$E$102</f>
        <v>1.1880360475901477E-4</v>
      </c>
      <c r="M64" s="3">
        <f t="shared" si="2"/>
        <v>0</v>
      </c>
    </row>
    <row r="65" spans="1:13">
      <c r="A65" s="84" t="s">
        <v>69</v>
      </c>
      <c r="B65" s="65" t="s">
        <v>125</v>
      </c>
      <c r="C65" s="398">
        <f>+'1.1.mell._ÖNK_Mérleg2020'!C65+'1.2.mell._HKÖH_Mérleg2020'!C65+'1.3.mell._HVÓBKI_Mérleg2020'!C65+'1.4.mell._HKK_Mérleg2020'!C65+'1.5._mell._MŐSZ_Mérleg2020'!C65+'1.6._mell._HVGYKCSSZ_Mérleg2020'!C65</f>
        <v>0</v>
      </c>
      <c r="D65" s="1062">
        <f>+'1.1.mell._ÖNK_Mérleg2020'!D65+'1.2.mell._HKÖH_Mérleg2020'!D65+'1.3.mell._HVÓBKI_Mérleg2020'!D65+'1.4.mell._HKK_Mérleg2020'!D65+'1.5._mell._MŐSZ_Mérleg2020'!D65+'1.6._mell._HVGYKCSSZ_Mérleg2020'!D65</f>
        <v>0</v>
      </c>
      <c r="E65" s="1062">
        <f>+'1.1.mell._ÖNK_Mérleg2020'!E65+'1.2.mell._HKÖH_Mérleg2020'!E65+'1.3.mell._HVÓBKI_Mérleg2020'!E65+'1.4.mell._HKK_Mérleg2020'!E65+'1.5._mell._MŐSZ_Mérleg2020'!E65+'1.6._mell._HVGYKCSSZ_Mérleg2020'!E65</f>
        <v>0</v>
      </c>
      <c r="F65" s="1295" t="str">
        <f t="shared" si="0"/>
        <v>-</v>
      </c>
      <c r="G65" s="34">
        <f>+'1.1.mell._ÖNK_Mérleg2020'!G65+'1.2.mell._HKÖH_Mérleg2020'!G65+'1.3.mell._HVÓBKI_Mérleg2020'!G65+'1.4.mell._HKK_Mérleg2020'!G65+'1.5._mell._MŐSZ_Mérleg2020'!G65+'1.6._mell._HVGYKCSSZ_Mérleg2020'!G65</f>
        <v>0</v>
      </c>
      <c r="H65" s="10">
        <f>+'1.1.mell._ÖNK_Mérleg2020'!H65+'1.2.mell._HKÖH_Mérleg2020'!H65+'1.3.mell._HVÓBKI_Mérleg2020'!H65+'1.4.mell._HKK_Mérleg2020'!H65+'1.5._mell._MŐSZ_Mérleg2020'!H65+'1.6._mell._HVGYKCSSZ_Mérleg2020'!H65</f>
        <v>0</v>
      </c>
      <c r="I65" s="35">
        <f>+'1.1.mell._ÖNK_Mérleg2020'!I65+'1.2.mell._HKÖH_Mérleg2020'!I65+'1.3.mell._HVÓBKI_Mérleg2020'!I65+'1.4.mell._HKK_Mérleg2020'!I65+'1.5._mell._MŐSZ_Mérleg2020'!I65+'1.6._mell._HVGYKCSSZ_Mérleg2020'!I65</f>
        <v>0</v>
      </c>
      <c r="M65" s="4">
        <f t="shared" si="2"/>
        <v>0</v>
      </c>
    </row>
    <row r="66" spans="1:13">
      <c r="A66" s="84" t="s">
        <v>70</v>
      </c>
      <c r="B66" s="65" t="s">
        <v>904</v>
      </c>
      <c r="C66" s="398">
        <f>+'1.1.mell._ÖNK_Mérleg2020'!C66+'1.2.mell._HKÖH_Mérleg2020'!C66+'1.3.mell._HVÓBKI_Mérleg2020'!C66+'1.4.mell._HKK_Mérleg2020'!C66+'1.5._mell._MŐSZ_Mérleg2020'!C66+'1.6._mell._HVGYKCSSZ_Mérleg2020'!C66</f>
        <v>0</v>
      </c>
      <c r="D66" s="1062">
        <f>+'1.1.mell._ÖNK_Mérleg2020'!D66+'1.2.mell._HKÖH_Mérleg2020'!D66+'1.3.mell._HVÓBKI_Mérleg2020'!D66+'1.4.mell._HKK_Mérleg2020'!D66+'1.5._mell._MŐSZ_Mérleg2020'!D66+'1.6._mell._HVGYKCSSZ_Mérleg2020'!D66</f>
        <v>0</v>
      </c>
      <c r="E66" s="1062">
        <f>+'1.1.mell._ÖNK_Mérleg2020'!E66+'1.2.mell._HKÖH_Mérleg2020'!E66+'1.3.mell._HVÓBKI_Mérleg2020'!E66+'1.4.mell._HKK_Mérleg2020'!E66+'1.5._mell._MŐSZ_Mérleg2020'!E66+'1.6._mell._HVGYKCSSZ_Mérleg2020'!E66</f>
        <v>0</v>
      </c>
      <c r="F66" s="1295" t="str">
        <f t="shared" si="0"/>
        <v>-</v>
      </c>
      <c r="G66" s="34">
        <f>+'1.1.mell._ÖNK_Mérleg2020'!G66+'1.2.mell._HKÖH_Mérleg2020'!G66+'1.3.mell._HVÓBKI_Mérleg2020'!G66+'1.4.mell._HKK_Mérleg2020'!G66+'1.5._mell._MŐSZ_Mérleg2020'!G66+'1.6._mell._HVGYKCSSZ_Mérleg2020'!G66</f>
        <v>0</v>
      </c>
      <c r="H66" s="10">
        <f>+'1.1.mell._ÖNK_Mérleg2020'!H66+'1.2.mell._HKÖH_Mérleg2020'!H66+'1.3.mell._HVÓBKI_Mérleg2020'!H66+'1.4.mell._HKK_Mérleg2020'!H66+'1.5._mell._MŐSZ_Mérleg2020'!H66+'1.6._mell._HVGYKCSSZ_Mérleg2020'!H66</f>
        <v>0</v>
      </c>
      <c r="I66" s="35">
        <f>+'1.1.mell._ÖNK_Mérleg2020'!I66+'1.2.mell._HKÖH_Mérleg2020'!I66+'1.3.mell._HVÓBKI_Mérleg2020'!I66+'1.4.mell._HKK_Mérleg2020'!I66+'1.5._mell._MŐSZ_Mérleg2020'!I66+'1.6._mell._HVGYKCSSZ_Mérleg2020'!I66</f>
        <v>0</v>
      </c>
      <c r="M66" s="4">
        <f t="shared" si="2"/>
        <v>0</v>
      </c>
    </row>
    <row r="67" spans="1:13">
      <c r="A67" s="84" t="s">
        <v>71</v>
      </c>
      <c r="B67" s="65" t="s">
        <v>905</v>
      </c>
      <c r="C67" s="398">
        <f>+'1.1.mell._ÖNK_Mérleg2020'!C67+'1.2.mell._HKÖH_Mérleg2020'!C67+'1.3.mell._HVÓBKI_Mérleg2020'!C67+'1.4.mell._HKK_Mérleg2020'!C67+'1.5._mell._MŐSZ_Mérleg2020'!C67+'1.6._mell._HVGYKCSSZ_Mérleg2020'!C67</f>
        <v>0</v>
      </c>
      <c r="D67" s="1062">
        <f>+'1.1.mell._ÖNK_Mérleg2020'!D67+'1.2.mell._HKÖH_Mérleg2020'!D67+'1.3.mell._HVÓBKI_Mérleg2020'!D67+'1.4.mell._HKK_Mérleg2020'!D67+'1.5._mell._MŐSZ_Mérleg2020'!D67+'1.6._mell._HVGYKCSSZ_Mérleg2020'!D67</f>
        <v>0</v>
      </c>
      <c r="E67" s="1062">
        <f>+'1.1.mell._ÖNK_Mérleg2020'!E67+'1.2.mell._HKÖH_Mérleg2020'!E67+'1.3.mell._HVÓBKI_Mérleg2020'!E67+'1.4.mell._HKK_Mérleg2020'!E67+'1.5._mell._MŐSZ_Mérleg2020'!E67+'1.6._mell._HVGYKCSSZ_Mérleg2020'!E67</f>
        <v>0</v>
      </c>
      <c r="F67" s="1295" t="str">
        <f t="shared" si="0"/>
        <v>-</v>
      </c>
      <c r="G67" s="34">
        <f>+'1.1.mell._ÖNK_Mérleg2020'!G67+'1.2.mell._HKÖH_Mérleg2020'!G67+'1.3.mell._HVÓBKI_Mérleg2020'!G67+'1.4.mell._HKK_Mérleg2020'!G67+'1.5._mell._MŐSZ_Mérleg2020'!G67+'1.6._mell._HVGYKCSSZ_Mérleg2020'!G67</f>
        <v>0</v>
      </c>
      <c r="H67" s="10">
        <f>+'1.1.mell._ÖNK_Mérleg2020'!H67+'1.2.mell._HKÖH_Mérleg2020'!H67+'1.3.mell._HVÓBKI_Mérleg2020'!H67+'1.4.mell._HKK_Mérleg2020'!H67+'1.5._mell._MŐSZ_Mérleg2020'!H67+'1.6._mell._HVGYKCSSZ_Mérleg2020'!H67</f>
        <v>0</v>
      </c>
      <c r="I67" s="35">
        <f>+'1.1.mell._ÖNK_Mérleg2020'!I67+'1.2.mell._HKÖH_Mérleg2020'!I67+'1.3.mell._HVÓBKI_Mérleg2020'!I67+'1.4.mell._HKK_Mérleg2020'!I67+'1.5._mell._MŐSZ_Mérleg2020'!I67+'1.6._mell._HVGYKCSSZ_Mérleg2020'!I67</f>
        <v>0</v>
      </c>
      <c r="M67" s="4">
        <f t="shared" si="2"/>
        <v>0</v>
      </c>
    </row>
    <row r="68" spans="1:13">
      <c r="A68" s="85" t="s">
        <v>72</v>
      </c>
      <c r="B68" s="67" t="s">
        <v>901</v>
      </c>
      <c r="C68" s="396">
        <f>+'1.1.mell._ÖNK_Mérleg2020'!C68+'1.2.mell._HKÖH_Mérleg2020'!C68+'1.3.mell._HVÓBKI_Mérleg2020'!C68+'1.4.mell._HKK_Mérleg2020'!C68+'1.5._mell._MŐSZ_Mérleg2020'!C68+'1.6._mell._HVGYKCSSZ_Mérleg2020'!C68</f>
        <v>1100</v>
      </c>
      <c r="D68" s="1064">
        <f>+'1.1.mell._ÖNK_Mérleg2020'!D68+'1.2.mell._HKÖH_Mérleg2020'!D68+'1.3.mell._HVÓBKI_Mérleg2020'!D68+'1.4.mell._HKK_Mérleg2020'!D68+'1.5._mell._MŐSZ_Mérleg2020'!D68+'1.6._mell._HVGYKCSSZ_Mérleg2020'!D68</f>
        <v>5678</v>
      </c>
      <c r="E68" s="1064">
        <f>+'1.1.mell._ÖNK_Mérleg2020'!E68+'1.2.mell._HKÖH_Mérleg2020'!E68+'1.3.mell._HVÓBKI_Mérleg2020'!E68+'1.4.mell._HKK_Mérleg2020'!E68+'1.5._mell._MŐSZ_Mérleg2020'!E68+'1.6._mell._HVGYKCSSZ_Mérleg2020'!E68</f>
        <v>664</v>
      </c>
      <c r="F68" s="1296">
        <f t="shared" si="0"/>
        <v>0.11694258541740049</v>
      </c>
      <c r="G68" s="20">
        <f>+'1.1.mell._ÖNK_Mérleg2020'!G68+'1.2.mell._HKÖH_Mérleg2020'!G68+'1.3.mell._HVÓBKI_Mérleg2020'!G68+'1.4.mell._HKK_Mérleg2020'!G68+'1.5._mell._MŐSZ_Mérleg2020'!G68+'1.6._mell._HVGYKCSSZ_Mérleg2020'!G68</f>
        <v>0</v>
      </c>
      <c r="H68" s="11">
        <f>+'1.1.mell._ÖNK_Mérleg2020'!H68+'1.2.mell._HKÖH_Mérleg2020'!H68+'1.3.mell._HVÓBKI_Mérleg2020'!H68+'1.4.mell._HKK_Mérleg2020'!H68+'1.5._mell._MŐSZ_Mérleg2020'!H68+'1.6._mell._HVGYKCSSZ_Mérleg2020'!H68</f>
        <v>664</v>
      </c>
      <c r="I68" s="16">
        <f>+'1.1.mell._ÖNK_Mérleg2020'!I68+'1.2.mell._HKÖH_Mérleg2020'!I68+'1.3.mell._HVÓBKI_Mérleg2020'!I68+'1.4.mell._HKK_Mérleg2020'!I68+'1.5._mell._MŐSZ_Mérleg2020'!I68+'1.6._mell._HVGYKCSSZ_Mérleg2020'!I68</f>
        <v>0</v>
      </c>
      <c r="M68" s="4">
        <f t="shared" si="2"/>
        <v>0</v>
      </c>
    </row>
    <row r="69" spans="1:13" ht="12.75" thickBot="1">
      <c r="A69" s="78" t="s">
        <v>900</v>
      </c>
      <c r="B69" s="68" t="s">
        <v>902</v>
      </c>
      <c r="C69" s="397">
        <f>+'1.1.mell._ÖNK_Mérleg2020'!C69+'1.2.mell._HKÖH_Mérleg2020'!C69+'1.3.mell._HVÓBKI_Mérleg2020'!C69+'1.4.mell._HKK_Mérleg2020'!C69+'1.5._mell._MŐSZ_Mérleg2020'!C69+'1.6._mell._HVGYKCSSZ_Mérleg2020'!C69</f>
        <v>0</v>
      </c>
      <c r="D69" s="1065">
        <f>+'1.1.mell._ÖNK_Mérleg2020'!D69+'1.2.mell._HKÖH_Mérleg2020'!D69+'1.3.mell._HVÓBKI_Mérleg2020'!D69+'1.4.mell._HKK_Mérleg2020'!D69+'1.5._mell._MŐSZ_Mérleg2020'!D69+'1.6._mell._HVGYKCSSZ_Mérleg2020'!D69</f>
        <v>36</v>
      </c>
      <c r="E69" s="1065">
        <f>+'1.1.mell._ÖNK_Mérleg2020'!E69+'1.2.mell._HKÖH_Mérleg2020'!E69+'1.3.mell._HVÓBKI_Mérleg2020'!E69+'1.4.mell._HKK_Mérleg2020'!E69+'1.5._mell._MŐSZ_Mérleg2020'!E69+'1.6._mell._HVGYKCSSZ_Mérleg2020'!E69</f>
        <v>0</v>
      </c>
      <c r="F69" s="1298">
        <f t="shared" si="0"/>
        <v>0</v>
      </c>
      <c r="G69" s="21">
        <f>+'1.1.mell._ÖNK_Mérleg2020'!G69+'1.2.mell._HKÖH_Mérleg2020'!G69+'1.3.mell._HVÓBKI_Mérleg2020'!G69+'1.4.mell._HKK_Mérleg2020'!G69+'1.5._mell._MŐSZ_Mérleg2020'!G69+'1.6._mell._HVGYKCSSZ_Mérleg2020'!G69</f>
        <v>0</v>
      </c>
      <c r="H69" s="22">
        <f>+'1.1.mell._ÖNK_Mérleg2020'!H69+'1.2.mell._HKÖH_Mérleg2020'!H69+'1.3.mell._HVÓBKI_Mérleg2020'!H69+'1.4.mell._HKK_Mérleg2020'!H69+'1.5._mell._MŐSZ_Mérleg2020'!H69+'1.6._mell._HVGYKCSSZ_Mérleg2020'!H69</f>
        <v>0</v>
      </c>
      <c r="I69" s="23">
        <f>+'1.1.mell._ÖNK_Mérleg2020'!I69+'1.2.mell._HKÖH_Mérleg2020'!I69+'1.3.mell._HVÓBKI_Mérleg2020'!I69+'1.4.mell._HKK_Mérleg2020'!I69+'1.5._mell._MŐSZ_Mérleg2020'!I69+'1.6._mell._HVGYKCSSZ_Mérleg2020'!I69</f>
        <v>0</v>
      </c>
      <c r="M69" s="4">
        <f t="shared" si="2"/>
        <v>0</v>
      </c>
    </row>
    <row r="70" spans="1:13" s="3" customFormat="1" ht="12.75" thickBot="1">
      <c r="A70" s="83" t="s">
        <v>11</v>
      </c>
      <c r="B70" s="69" t="s">
        <v>302</v>
      </c>
      <c r="C70" s="129">
        <f>+C10+C50</f>
        <v>1666925</v>
      </c>
      <c r="D70" s="1061">
        <f>+D10+D50</f>
        <v>2342938</v>
      </c>
      <c r="E70" s="1061">
        <f>+E10+E50</f>
        <v>2138080</v>
      </c>
      <c r="F70" s="1294">
        <f t="shared" si="0"/>
        <v>0.91256362737725027</v>
      </c>
      <c r="G70" s="27">
        <f>+G10+G50</f>
        <v>2109177</v>
      </c>
      <c r="H70" s="28">
        <f>+H10+H50</f>
        <v>28903</v>
      </c>
      <c r="I70" s="29">
        <f>+I10+I50</f>
        <v>0</v>
      </c>
      <c r="J70" s="655">
        <f>+C70/$C$102</f>
        <v>0.36610175670861689</v>
      </c>
      <c r="K70" s="655">
        <f>+D70/$D$102</f>
        <v>0.40437914680818526</v>
      </c>
      <c r="L70" s="655">
        <f>+E70/$E$102</f>
        <v>0.38254760732402754</v>
      </c>
      <c r="M70" s="3">
        <f t="shared" si="2"/>
        <v>0</v>
      </c>
    </row>
    <row r="71" spans="1:13" s="3" customFormat="1" ht="12.75" thickBot="1">
      <c r="A71" s="83" t="s">
        <v>10</v>
      </c>
      <c r="B71" s="70" t="s">
        <v>303</v>
      </c>
      <c r="C71" s="129">
        <f>+C72</f>
        <v>2876249</v>
      </c>
      <c r="D71" s="1061">
        <f>+D72</f>
        <v>797622</v>
      </c>
      <c r="E71" s="1061">
        <f>+E72</f>
        <v>797622</v>
      </c>
      <c r="F71" s="1294">
        <f t="shared" si="0"/>
        <v>1</v>
      </c>
      <c r="G71" s="27">
        <f>+G72</f>
        <v>797597</v>
      </c>
      <c r="H71" s="28">
        <f>+H72</f>
        <v>25</v>
      </c>
      <c r="I71" s="29">
        <f>+I72</f>
        <v>0</v>
      </c>
      <c r="J71" s="655">
        <f>+C71/$C$102</f>
        <v>0.63170197317299981</v>
      </c>
      <c r="K71" s="655">
        <f>+D71/$D$102</f>
        <v>0.13766548830376149</v>
      </c>
      <c r="L71" s="655">
        <f>+E71/$E$102</f>
        <v>0.14271139884803444</v>
      </c>
      <c r="M71" s="3">
        <f t="shared" si="2"/>
        <v>0</v>
      </c>
    </row>
    <row r="72" spans="1:13" s="3" customFormat="1" ht="12.75" thickBot="1">
      <c r="A72" s="83" t="s">
        <v>9</v>
      </c>
      <c r="B72" s="64" t="s">
        <v>912</v>
      </c>
      <c r="C72" s="129">
        <f>+C73+C83+C84+C85</f>
        <v>2876249</v>
      </c>
      <c r="D72" s="1061">
        <f>+D73+D83+D84+D85</f>
        <v>797622</v>
      </c>
      <c r="E72" s="1061">
        <f>+E73+E83+E84+E85</f>
        <v>797622</v>
      </c>
      <c r="F72" s="1294">
        <f t="shared" si="0"/>
        <v>1</v>
      </c>
      <c r="G72" s="27">
        <f>+G73+G83+G84+G85</f>
        <v>797597</v>
      </c>
      <c r="H72" s="28">
        <f>+H73+H83+H84+H85</f>
        <v>25</v>
      </c>
      <c r="I72" s="29">
        <f>+I73+I83+I84+I85</f>
        <v>0</v>
      </c>
      <c r="J72" s="655">
        <f>+C72/$C$102</f>
        <v>0.63170197317299981</v>
      </c>
      <c r="K72" s="655">
        <f>+D72/$D$102</f>
        <v>0.13766548830376149</v>
      </c>
      <c r="L72" s="655">
        <f>+E72/$E$102</f>
        <v>0.14271139884803444</v>
      </c>
      <c r="M72" s="3">
        <f t="shared" si="2"/>
        <v>0</v>
      </c>
    </row>
    <row r="73" spans="1:13">
      <c r="A73" s="84" t="s">
        <v>73</v>
      </c>
      <c r="B73" s="65" t="s">
        <v>907</v>
      </c>
      <c r="C73" s="398">
        <f>+C74+C75+C76+C77+C78+C79+C80+C81+C82</f>
        <v>2876249</v>
      </c>
      <c r="D73" s="1062">
        <f>+D74+D75+D76+D77+D78+D79+D80+D81+D82</f>
        <v>797622</v>
      </c>
      <c r="E73" s="1062">
        <f>+E74+E75+E76+E77+E78+E79+E80+E81+E82</f>
        <v>797622</v>
      </c>
      <c r="F73" s="1295">
        <f t="shared" si="0"/>
        <v>1</v>
      </c>
      <c r="G73" s="34">
        <f>+G74+G75+G76+G77+G78+G79+G80+G81+G82</f>
        <v>797597</v>
      </c>
      <c r="H73" s="10">
        <f>+H74+H75+H76+H77+H78+H79+H80+H81+H82</f>
        <v>25</v>
      </c>
      <c r="I73" s="35">
        <f>+I74+I75+I76+I77+I78+I79+I80+I81+I82</f>
        <v>0</v>
      </c>
      <c r="M73" s="4">
        <f t="shared" si="2"/>
        <v>0</v>
      </c>
    </row>
    <row r="74" spans="1:13" s="13" customFormat="1">
      <c r="A74" s="86" t="s">
        <v>195</v>
      </c>
      <c r="B74" s="66" t="s">
        <v>906</v>
      </c>
      <c r="C74" s="394">
        <f>+'1.1.mell._ÖNK_Mérleg2020'!C74+'1.2.mell._HKÖH_Mérleg2020'!C74+'1.3.mell._HVÓBKI_Mérleg2020'!C74+'1.4.mell._HKK_Mérleg2020'!C74+'1.5._mell._MŐSZ_Mérleg2020'!C74+'1.6._mell._HVGYKCSSZ_Mérleg2020'!C74</f>
        <v>0</v>
      </c>
      <c r="D74" s="1063">
        <f>+'1.1.mell._ÖNK_Mérleg2020'!D74+'1.2.mell._HKÖH_Mérleg2020'!D74+'1.3.mell._HVÓBKI_Mérleg2020'!D74+'1.4.mell._HKK_Mérleg2020'!D74+'1.5._mell._MŐSZ_Mérleg2020'!D74+'1.6._mell._HVGYKCSSZ_Mérleg2020'!D74</f>
        <v>77939</v>
      </c>
      <c r="E74" s="1063">
        <f>+'1.1.mell._ÖNK_Mérleg2020'!E74+'1.2.mell._HKÖH_Mérleg2020'!E74+'1.3.mell._HVÓBKI_Mérleg2020'!E74+'1.4.mell._HKK_Mérleg2020'!E74+'1.5._mell._MŐSZ_Mérleg2020'!E74+'1.6._mell._HVGYKCSSZ_Mérleg2020'!E74</f>
        <v>77939</v>
      </c>
      <c r="F74" s="1296">
        <f t="shared" ref="F74:F102" si="3">IF(ISERROR(E74/D74),"-",E74/D74)</f>
        <v>1</v>
      </c>
      <c r="G74" s="19">
        <f>+'1.1.mell._ÖNK_Mérleg2020'!G74+'1.2.mell._HKÖH_Mérleg2020'!G74+'1.3.mell._HVÓBKI_Mérleg2020'!G74+'1.4.mell._HKK_Mérleg2020'!G74+'1.5._mell._MŐSZ_Mérleg2020'!G74+'1.6._mell._HVGYKCSSZ_Mérleg2020'!G74</f>
        <v>77939</v>
      </c>
      <c r="H74" s="12">
        <f>+'1.1.mell._ÖNK_Mérleg2020'!H74+'1.2.mell._HKÖH_Mérleg2020'!H74+'1.3.mell._HVÓBKI_Mérleg2020'!H74+'1.4.mell._HKK_Mérleg2020'!H74+'1.5._mell._MŐSZ_Mérleg2020'!H74+'1.6._mell._HVGYKCSSZ_Mérleg2020'!H74</f>
        <v>0</v>
      </c>
      <c r="I74" s="15">
        <f>+'1.1.mell._ÖNK_Mérleg2020'!I74+'1.2.mell._HKÖH_Mérleg2020'!I74+'1.3.mell._HVÓBKI_Mérleg2020'!I74+'1.4.mell._HKK_Mérleg2020'!I74+'1.5._mell._MŐSZ_Mérleg2020'!I74+'1.6._mell._HVGYKCSSZ_Mérleg2020'!I74</f>
        <v>0</v>
      </c>
      <c r="M74" s="13">
        <f t="shared" ref="M74:M102" si="4">+E74-G74-H74-I74</f>
        <v>0</v>
      </c>
    </row>
    <row r="75" spans="1:13" s="13" customFormat="1">
      <c r="A75" s="86" t="s">
        <v>196</v>
      </c>
      <c r="B75" s="66" t="s">
        <v>246</v>
      </c>
      <c r="C75" s="394">
        <f>+'1.1.mell._ÖNK_Mérleg2020'!C75+'1.2.mell._HKÖH_Mérleg2020'!C75+'1.3.mell._HVÓBKI_Mérleg2020'!C75+'1.4.mell._HKK_Mérleg2020'!C75+'1.5._mell._MŐSZ_Mérleg2020'!C75+'1.6._mell._HVGYKCSSZ_Mérleg2020'!C75</f>
        <v>0</v>
      </c>
      <c r="D75" s="1063">
        <f>+'1.1.mell._ÖNK_Mérleg2020'!D75+'1.2.mell._HKÖH_Mérleg2020'!D75+'1.3.mell._HVÓBKI_Mérleg2020'!D75+'1.4.mell._HKK_Mérleg2020'!D75+'1.5._mell._MŐSZ_Mérleg2020'!D75+'1.6._mell._HVGYKCSSZ_Mérleg2020'!D75</f>
        <v>0</v>
      </c>
      <c r="E75" s="1063">
        <f>+'1.1.mell._ÖNK_Mérleg2020'!E75+'1.2.mell._HKÖH_Mérleg2020'!E75+'1.3.mell._HVÓBKI_Mérleg2020'!E75+'1.4.mell._HKK_Mérleg2020'!E75+'1.5._mell._MŐSZ_Mérleg2020'!E75+'1.6._mell._HVGYKCSSZ_Mérleg2020'!E75</f>
        <v>0</v>
      </c>
      <c r="F75" s="1296" t="str">
        <f t="shared" si="3"/>
        <v>-</v>
      </c>
      <c r="G75" s="19">
        <f>+'1.1.mell._ÖNK_Mérleg2020'!G75+'1.2.mell._HKÖH_Mérleg2020'!G75+'1.3.mell._HVÓBKI_Mérleg2020'!G75+'1.4.mell._HKK_Mérleg2020'!G75+'1.5._mell._MŐSZ_Mérleg2020'!G75+'1.6._mell._HVGYKCSSZ_Mérleg2020'!G75</f>
        <v>0</v>
      </c>
      <c r="H75" s="12">
        <f>+'1.1.mell._ÖNK_Mérleg2020'!H75+'1.2.mell._HKÖH_Mérleg2020'!H75+'1.3.mell._HVÓBKI_Mérleg2020'!H75+'1.4.mell._HKK_Mérleg2020'!H75+'1.5._mell._MŐSZ_Mérleg2020'!H75+'1.6._mell._HVGYKCSSZ_Mérleg2020'!H75</f>
        <v>0</v>
      </c>
      <c r="I75" s="15">
        <f>+'1.1.mell._ÖNK_Mérleg2020'!I75+'1.2.mell._HKÖH_Mérleg2020'!I75+'1.3.mell._HVÓBKI_Mérleg2020'!I75+'1.4.mell._HKK_Mérleg2020'!I75+'1.5._mell._MŐSZ_Mérleg2020'!I75+'1.6._mell._HVGYKCSSZ_Mérleg2020'!I75</f>
        <v>0</v>
      </c>
      <c r="M75" s="13">
        <f t="shared" si="4"/>
        <v>0</v>
      </c>
    </row>
    <row r="76" spans="1:13" s="13" customFormat="1">
      <c r="A76" s="86" t="s">
        <v>197</v>
      </c>
      <c r="B76" s="66" t="s">
        <v>247</v>
      </c>
      <c r="C76" s="394">
        <f>+'1.1.mell._ÖNK_Mérleg2020'!C76+'1.2.mell._HKÖH_Mérleg2020'!C76+'1.3.mell._HVÓBKI_Mérleg2020'!C76+'1.4.mell._HKK_Mérleg2020'!C76+'1.5._mell._MŐSZ_Mérleg2020'!C76+'1.6._mell._HVGYKCSSZ_Mérleg2020'!C76</f>
        <v>2876249</v>
      </c>
      <c r="D76" s="1063">
        <f>+'1.1.mell._ÖNK_Mérleg2020'!D76+'1.2.mell._HKÖH_Mérleg2020'!D76+'1.3.mell._HVÓBKI_Mérleg2020'!D76+'1.4.mell._HKK_Mérleg2020'!D76+'1.5._mell._MŐSZ_Mérleg2020'!D76+'1.6._mell._HVGYKCSSZ_Mérleg2020'!D76</f>
        <v>682647</v>
      </c>
      <c r="E76" s="1063">
        <f>+'1.1.mell._ÖNK_Mérleg2020'!E76+'1.2.mell._HKÖH_Mérleg2020'!E76+'1.3.mell._HVÓBKI_Mérleg2020'!E76+'1.4.mell._HKK_Mérleg2020'!E76+'1.5._mell._MŐSZ_Mérleg2020'!E76+'1.6._mell._HVGYKCSSZ_Mérleg2020'!E76</f>
        <v>682647</v>
      </c>
      <c r="F76" s="1296">
        <f t="shared" si="3"/>
        <v>1</v>
      </c>
      <c r="G76" s="19">
        <f>+'1.1.mell._ÖNK_Mérleg2020'!G76+'1.2.mell._HKÖH_Mérleg2020'!G76+'1.3.mell._HVÓBKI_Mérleg2020'!G76+'1.4.mell._HKK_Mérleg2020'!G76+'1.5._mell._MŐSZ_Mérleg2020'!G76+'1.6._mell._HVGYKCSSZ_Mérleg2020'!G76</f>
        <v>682622</v>
      </c>
      <c r="H76" s="12">
        <f>+'1.1.mell._ÖNK_Mérleg2020'!H76+'1.2.mell._HKÖH_Mérleg2020'!H76+'1.3.mell._HVÓBKI_Mérleg2020'!H76+'1.4.mell._HKK_Mérleg2020'!H76+'1.5._mell._MŐSZ_Mérleg2020'!H76+'1.6._mell._HVGYKCSSZ_Mérleg2020'!H76</f>
        <v>25</v>
      </c>
      <c r="I76" s="15">
        <f>+'1.1.mell._ÖNK_Mérleg2020'!I76+'1.2.mell._HKÖH_Mérleg2020'!I76+'1.3.mell._HVÓBKI_Mérleg2020'!I76+'1.4.mell._HKK_Mérleg2020'!I76+'1.5._mell._MŐSZ_Mérleg2020'!I76+'1.6._mell._HVGYKCSSZ_Mérleg2020'!I76</f>
        <v>0</v>
      </c>
      <c r="M76" s="13">
        <f t="shared" si="4"/>
        <v>0</v>
      </c>
    </row>
    <row r="77" spans="1:13" s="13" customFormat="1">
      <c r="A77" s="86" t="s">
        <v>198</v>
      </c>
      <c r="B77" s="66" t="s">
        <v>248</v>
      </c>
      <c r="C77" s="394">
        <f>+'1.1.mell._ÖNK_Mérleg2020'!C77+'1.2.mell._HKÖH_Mérleg2020'!C77+'1.3.mell._HVÓBKI_Mérleg2020'!C77+'1.4.mell._HKK_Mérleg2020'!C77+'1.5._mell._MŐSZ_Mérleg2020'!C77+'1.6._mell._HVGYKCSSZ_Mérleg2020'!C77</f>
        <v>0</v>
      </c>
      <c r="D77" s="1063">
        <f>+'1.1.mell._ÖNK_Mérleg2020'!D77+'1.2.mell._HKÖH_Mérleg2020'!D77+'1.3.mell._HVÓBKI_Mérleg2020'!D77+'1.4.mell._HKK_Mérleg2020'!D77+'1.5._mell._MŐSZ_Mérleg2020'!D77+'1.6._mell._HVGYKCSSZ_Mérleg2020'!D77</f>
        <v>37036</v>
      </c>
      <c r="E77" s="1063">
        <f>+'1.1.mell._ÖNK_Mérleg2020'!E77+'1.2.mell._HKÖH_Mérleg2020'!E77+'1.3.mell._HVÓBKI_Mérleg2020'!E77+'1.4.mell._HKK_Mérleg2020'!E77+'1.5._mell._MŐSZ_Mérleg2020'!E77+'1.6._mell._HVGYKCSSZ_Mérleg2020'!E77</f>
        <v>37036</v>
      </c>
      <c r="F77" s="1296">
        <f t="shared" si="3"/>
        <v>1</v>
      </c>
      <c r="G77" s="19">
        <f>+'1.1.mell._ÖNK_Mérleg2020'!G77+'1.2.mell._HKÖH_Mérleg2020'!G77+'1.3.mell._HVÓBKI_Mérleg2020'!G77+'1.4.mell._HKK_Mérleg2020'!G77+'1.5._mell._MŐSZ_Mérleg2020'!G77+'1.6._mell._HVGYKCSSZ_Mérleg2020'!G77</f>
        <v>37036</v>
      </c>
      <c r="H77" s="12">
        <f>+'1.1.mell._ÖNK_Mérleg2020'!H77+'1.2.mell._HKÖH_Mérleg2020'!H77+'1.3.mell._HVÓBKI_Mérleg2020'!H77+'1.4.mell._HKK_Mérleg2020'!H77+'1.5._mell._MŐSZ_Mérleg2020'!H77+'1.6._mell._HVGYKCSSZ_Mérleg2020'!H77</f>
        <v>0</v>
      </c>
      <c r="I77" s="15">
        <f>+'1.1.mell._ÖNK_Mérleg2020'!I77+'1.2.mell._HKÖH_Mérleg2020'!I77+'1.3.mell._HVÓBKI_Mérleg2020'!I77+'1.4.mell._HKK_Mérleg2020'!I77+'1.5._mell._MŐSZ_Mérleg2020'!I77+'1.6._mell._HVGYKCSSZ_Mérleg2020'!I77</f>
        <v>0</v>
      </c>
      <c r="M77" s="13">
        <f t="shared" si="4"/>
        <v>0</v>
      </c>
    </row>
    <row r="78" spans="1:13" s="13" customFormat="1">
      <c r="A78" s="86" t="s">
        <v>199</v>
      </c>
      <c r="B78" s="66" t="s">
        <v>249</v>
      </c>
      <c r="C78" s="394">
        <f>+'1.1.mell._ÖNK_Mérleg2020'!C78+'1.2.mell._HKÖH_Mérleg2020'!C78+'1.3.mell._HVÓBKI_Mérleg2020'!C78+'1.4.mell._HKK_Mérleg2020'!C78+'1.5._mell._MŐSZ_Mérleg2020'!C78+'1.6._mell._HVGYKCSSZ_Mérleg2020'!C78</f>
        <v>0</v>
      </c>
      <c r="D78" s="1063">
        <f>+'1.1.mell._ÖNK_Mérleg2020'!D78+'1.2.mell._HKÖH_Mérleg2020'!D78+'1.3.mell._HVÓBKI_Mérleg2020'!D78+'1.4.mell._HKK_Mérleg2020'!D78+'1.5._mell._MŐSZ_Mérleg2020'!D78+'1.6._mell._HVGYKCSSZ_Mérleg2020'!D78</f>
        <v>0</v>
      </c>
      <c r="E78" s="1063">
        <f>+'1.1.mell._ÖNK_Mérleg2020'!E78+'1.2.mell._HKÖH_Mérleg2020'!E78+'1.3.mell._HVÓBKI_Mérleg2020'!E78+'1.4.mell._HKK_Mérleg2020'!E78+'1.5._mell._MŐSZ_Mérleg2020'!E78+'1.6._mell._HVGYKCSSZ_Mérleg2020'!E78</f>
        <v>0</v>
      </c>
      <c r="F78" s="1296" t="str">
        <f t="shared" si="3"/>
        <v>-</v>
      </c>
      <c r="G78" s="19">
        <f>+'1.1.mell._ÖNK_Mérleg2020'!G78+'1.2.mell._HKÖH_Mérleg2020'!G78+'1.3.mell._HVÓBKI_Mérleg2020'!G78+'1.4.mell._HKK_Mérleg2020'!G78+'1.5._mell._MŐSZ_Mérleg2020'!G78+'1.6._mell._HVGYKCSSZ_Mérleg2020'!G78</f>
        <v>0</v>
      </c>
      <c r="H78" s="12">
        <f>+'1.1.mell._ÖNK_Mérleg2020'!H78+'1.2.mell._HKÖH_Mérleg2020'!H78+'1.3.mell._HVÓBKI_Mérleg2020'!H78+'1.4.mell._HKK_Mérleg2020'!H78+'1.5._mell._MŐSZ_Mérleg2020'!H78+'1.6._mell._HVGYKCSSZ_Mérleg2020'!H78</f>
        <v>0</v>
      </c>
      <c r="I78" s="15">
        <f>+'1.1.mell._ÖNK_Mérleg2020'!I78+'1.2.mell._HKÖH_Mérleg2020'!I78+'1.3.mell._HVÓBKI_Mérleg2020'!I78+'1.4.mell._HKK_Mérleg2020'!I78+'1.5._mell._MŐSZ_Mérleg2020'!I78+'1.6._mell._HVGYKCSSZ_Mérleg2020'!I78</f>
        <v>0</v>
      </c>
      <c r="M78" s="13">
        <f t="shared" si="4"/>
        <v>0</v>
      </c>
    </row>
    <row r="79" spans="1:13" s="13" customFormat="1">
      <c r="A79" s="103" t="s">
        <v>200</v>
      </c>
      <c r="B79" s="104" t="s">
        <v>250</v>
      </c>
      <c r="C79" s="393"/>
      <c r="D79" s="1166"/>
      <c r="E79" s="1166"/>
      <c r="F79" s="1314" t="str">
        <f t="shared" si="3"/>
        <v>-</v>
      </c>
      <c r="G79" s="105"/>
      <c r="H79" s="106"/>
      <c r="I79" s="107"/>
      <c r="M79" s="117">
        <f t="shared" si="4"/>
        <v>0</v>
      </c>
    </row>
    <row r="80" spans="1:13" s="13" customFormat="1">
      <c r="A80" s="86" t="s">
        <v>203</v>
      </c>
      <c r="B80" s="66" t="s">
        <v>251</v>
      </c>
      <c r="C80" s="394">
        <f>+'1.1.mell._ÖNK_Mérleg2020'!C80+'1.2.mell._HKÖH_Mérleg2020'!C80+'1.3.mell._HVÓBKI_Mérleg2020'!C80+'1.4.mell._HKK_Mérleg2020'!C80+'1.5._mell._MŐSZ_Mérleg2020'!C80+'1.6._mell._HVGYKCSSZ_Mérleg2020'!C80</f>
        <v>0</v>
      </c>
      <c r="D80" s="1063">
        <f>+'1.1.mell._ÖNK_Mérleg2020'!D80+'1.2.mell._HKÖH_Mérleg2020'!D80+'1.3.mell._HVÓBKI_Mérleg2020'!D80+'1.4.mell._HKK_Mérleg2020'!D80+'1.5._mell._MŐSZ_Mérleg2020'!D80+'1.6._mell._HVGYKCSSZ_Mérleg2020'!D80</f>
        <v>0</v>
      </c>
      <c r="E80" s="1063">
        <f>+'1.1.mell._ÖNK_Mérleg2020'!E80+'1.2.mell._HKÖH_Mérleg2020'!E80+'1.3.mell._HVÓBKI_Mérleg2020'!E80+'1.4.mell._HKK_Mérleg2020'!E80+'1.5._mell._MŐSZ_Mérleg2020'!E80+'1.6._mell._HVGYKCSSZ_Mérleg2020'!E80</f>
        <v>0</v>
      </c>
      <c r="F80" s="1296" t="str">
        <f t="shared" si="3"/>
        <v>-</v>
      </c>
      <c r="G80" s="19">
        <f>+'1.1.mell._ÖNK_Mérleg2020'!G80+'1.2.mell._HKÖH_Mérleg2020'!G80+'1.3.mell._HVÓBKI_Mérleg2020'!G80+'1.4.mell._HKK_Mérleg2020'!G80+'1.5._mell._MŐSZ_Mérleg2020'!G80+'1.6._mell._HVGYKCSSZ_Mérleg2020'!G80</f>
        <v>0</v>
      </c>
      <c r="H80" s="12">
        <f>+'1.1.mell._ÖNK_Mérleg2020'!H80+'1.2.mell._HKÖH_Mérleg2020'!H80+'1.3.mell._HVÓBKI_Mérleg2020'!H80+'1.4.mell._HKK_Mérleg2020'!H80+'1.5._mell._MŐSZ_Mérleg2020'!H80+'1.6._mell._HVGYKCSSZ_Mérleg2020'!H80</f>
        <v>0</v>
      </c>
      <c r="I80" s="15">
        <f>+'1.1.mell._ÖNK_Mérleg2020'!I80+'1.2.mell._HKÖH_Mérleg2020'!I80+'1.3.mell._HVÓBKI_Mérleg2020'!I80+'1.4.mell._HKK_Mérleg2020'!I80+'1.5._mell._MŐSZ_Mérleg2020'!I80+'1.6._mell._HVGYKCSSZ_Mérleg2020'!I80</f>
        <v>0</v>
      </c>
      <c r="M80" s="117">
        <f t="shared" si="4"/>
        <v>0</v>
      </c>
    </row>
    <row r="81" spans="1:13" s="13" customFormat="1">
      <c r="A81" s="86" t="s">
        <v>201</v>
      </c>
      <c r="B81" s="66" t="s">
        <v>244</v>
      </c>
      <c r="C81" s="394">
        <f>+'1.1.mell._ÖNK_Mérleg2020'!C81+'1.2.mell._HKÖH_Mérleg2020'!C81+'1.3.mell._HVÓBKI_Mérleg2020'!C81+'1.4.mell._HKK_Mérleg2020'!C81+'1.5._mell._MŐSZ_Mérleg2020'!C81+'1.6._mell._HVGYKCSSZ_Mérleg2020'!C81</f>
        <v>0</v>
      </c>
      <c r="D81" s="1063">
        <f>+'1.1.mell._ÖNK_Mérleg2020'!D81+'1.2.mell._HKÖH_Mérleg2020'!D81+'1.3.mell._HVÓBKI_Mérleg2020'!D81+'1.4.mell._HKK_Mérleg2020'!D81+'1.5._mell._MŐSZ_Mérleg2020'!D81+'1.6._mell._HVGYKCSSZ_Mérleg2020'!D81</f>
        <v>0</v>
      </c>
      <c r="E81" s="1063">
        <f>+'1.1.mell._ÖNK_Mérleg2020'!E81+'1.2.mell._HKÖH_Mérleg2020'!E81+'1.3.mell._HVÓBKI_Mérleg2020'!E81+'1.4.mell._HKK_Mérleg2020'!E81+'1.5._mell._MŐSZ_Mérleg2020'!E81+'1.6._mell._HVGYKCSSZ_Mérleg2020'!E81</f>
        <v>0</v>
      </c>
      <c r="F81" s="1296" t="str">
        <f t="shared" si="3"/>
        <v>-</v>
      </c>
      <c r="G81" s="19">
        <f>+'1.1.mell._ÖNK_Mérleg2020'!G81+'1.2.mell._HKÖH_Mérleg2020'!G81+'1.3.mell._HVÓBKI_Mérleg2020'!G81+'1.4.mell._HKK_Mérleg2020'!G81+'1.5._mell._MŐSZ_Mérleg2020'!G81+'1.6._mell._HVGYKCSSZ_Mérleg2020'!G81</f>
        <v>0</v>
      </c>
      <c r="H81" s="12">
        <f>+'1.1.mell._ÖNK_Mérleg2020'!H81+'1.2.mell._HKÖH_Mérleg2020'!H81+'1.3.mell._HVÓBKI_Mérleg2020'!H81+'1.4.mell._HKK_Mérleg2020'!H81+'1.5._mell._MŐSZ_Mérleg2020'!H81+'1.6._mell._HVGYKCSSZ_Mérleg2020'!H81</f>
        <v>0</v>
      </c>
      <c r="I81" s="15">
        <f>+'1.1.mell._ÖNK_Mérleg2020'!I81+'1.2.mell._HKÖH_Mérleg2020'!I81+'1.3.mell._HVÓBKI_Mérleg2020'!I81+'1.4.mell._HKK_Mérleg2020'!I81+'1.5._mell._MŐSZ_Mérleg2020'!I81+'1.6._mell._HVGYKCSSZ_Mérleg2020'!I81</f>
        <v>0</v>
      </c>
      <c r="M81" s="117">
        <f t="shared" si="4"/>
        <v>0</v>
      </c>
    </row>
    <row r="82" spans="1:13" s="13" customFormat="1">
      <c r="A82" s="86" t="s">
        <v>908</v>
      </c>
      <c r="B82" s="66" t="s">
        <v>909</v>
      </c>
      <c r="C82" s="394">
        <f>+'1.1.mell._ÖNK_Mérleg2020'!C82+'1.2.mell._HKÖH_Mérleg2020'!C82+'1.3.mell._HVÓBKI_Mérleg2020'!C82+'1.4.mell._HKK_Mérleg2020'!C82+'1.5._mell._MŐSZ_Mérleg2020'!C82+'1.6._mell._HVGYKCSSZ_Mérleg2020'!C82</f>
        <v>0</v>
      </c>
      <c r="D82" s="1063">
        <f>+'1.1.mell._ÖNK_Mérleg2020'!D82+'1.2.mell._HKÖH_Mérleg2020'!D82+'1.3.mell._HVÓBKI_Mérleg2020'!D82+'1.4.mell._HKK_Mérleg2020'!D82+'1.5._mell._MŐSZ_Mérleg2020'!D82+'1.6._mell._HVGYKCSSZ_Mérleg2020'!D82</f>
        <v>0</v>
      </c>
      <c r="E82" s="1063">
        <f>+'1.1.mell._ÖNK_Mérleg2020'!E82+'1.2.mell._HKÖH_Mérleg2020'!E82+'1.3.mell._HVÓBKI_Mérleg2020'!E82+'1.4.mell._HKK_Mérleg2020'!E82+'1.5._mell._MŐSZ_Mérleg2020'!E82+'1.6._mell._HVGYKCSSZ_Mérleg2020'!E82</f>
        <v>0</v>
      </c>
      <c r="F82" s="1296" t="str">
        <f t="shared" si="3"/>
        <v>-</v>
      </c>
      <c r="G82" s="19">
        <f>+'1.1.mell._ÖNK_Mérleg2020'!G82+'1.2.mell._HKÖH_Mérleg2020'!G82+'1.3.mell._HVÓBKI_Mérleg2020'!G82+'1.4.mell._HKK_Mérleg2020'!G82+'1.5._mell._MŐSZ_Mérleg2020'!G82+'1.6._mell._HVGYKCSSZ_Mérleg2020'!G82</f>
        <v>0</v>
      </c>
      <c r="H82" s="12">
        <f>+'1.1.mell._ÖNK_Mérleg2020'!H82+'1.2.mell._HKÖH_Mérleg2020'!H82+'1.3.mell._HVÓBKI_Mérleg2020'!H82+'1.4.mell._HKK_Mérleg2020'!H82+'1.5._mell._MŐSZ_Mérleg2020'!H82+'1.6._mell._HVGYKCSSZ_Mérleg2020'!H82</f>
        <v>0</v>
      </c>
      <c r="I82" s="15">
        <f>+'1.1.mell._ÖNK_Mérleg2020'!I82+'1.2.mell._HKÖH_Mérleg2020'!I82+'1.3.mell._HVÓBKI_Mérleg2020'!I82+'1.4.mell._HKK_Mérleg2020'!I82+'1.5._mell._MŐSZ_Mérleg2020'!I82+'1.6._mell._HVGYKCSSZ_Mérleg2020'!I82</f>
        <v>0</v>
      </c>
      <c r="M82" s="117">
        <f t="shared" si="4"/>
        <v>0</v>
      </c>
    </row>
    <row r="83" spans="1:13">
      <c r="A83" s="85" t="s">
        <v>74</v>
      </c>
      <c r="B83" s="67" t="s">
        <v>242</v>
      </c>
      <c r="C83" s="396">
        <f>+'1.1.mell._ÖNK_Mérleg2020'!C83+'1.2.mell._HKÖH_Mérleg2020'!C83+'1.3.mell._HVÓBKI_Mérleg2020'!C83+'1.4.mell._HKK_Mérleg2020'!C83+'1.5._mell._MŐSZ_Mérleg2020'!C83+'1.6._mell._HVGYKCSSZ_Mérleg2020'!C83</f>
        <v>0</v>
      </c>
      <c r="D83" s="1064">
        <f>+'1.1.mell._ÖNK_Mérleg2020'!D83+'1.2.mell._HKÖH_Mérleg2020'!D83+'1.3.mell._HVÓBKI_Mérleg2020'!D83+'1.4.mell._HKK_Mérleg2020'!D83+'1.5._mell._MŐSZ_Mérleg2020'!D83+'1.6._mell._HVGYKCSSZ_Mérleg2020'!D83</f>
        <v>0</v>
      </c>
      <c r="E83" s="1064">
        <f>+'1.1.mell._ÖNK_Mérleg2020'!E83+'1.2.mell._HKÖH_Mérleg2020'!E83+'1.3.mell._HVÓBKI_Mérleg2020'!E83+'1.4.mell._HKK_Mérleg2020'!E83+'1.5._mell._MŐSZ_Mérleg2020'!E83+'1.6._mell._HVGYKCSSZ_Mérleg2020'!E83</f>
        <v>0</v>
      </c>
      <c r="F83" s="1296" t="str">
        <f t="shared" si="3"/>
        <v>-</v>
      </c>
      <c r="G83" s="20">
        <f>+'1.1.mell._ÖNK_Mérleg2020'!G83+'1.2.mell._HKÖH_Mérleg2020'!G83+'1.3.mell._HVÓBKI_Mérleg2020'!G83+'1.4.mell._HKK_Mérleg2020'!G83+'1.5._mell._MŐSZ_Mérleg2020'!G83+'1.6._mell._HVGYKCSSZ_Mérleg2020'!G83</f>
        <v>0</v>
      </c>
      <c r="H83" s="11">
        <f>+'1.1.mell._ÖNK_Mérleg2020'!H83+'1.2.mell._HKÖH_Mérleg2020'!H83+'1.3.mell._HVÓBKI_Mérleg2020'!H83+'1.4.mell._HKK_Mérleg2020'!H83+'1.5._mell._MŐSZ_Mérleg2020'!H83+'1.6._mell._HVGYKCSSZ_Mérleg2020'!H83</f>
        <v>0</v>
      </c>
      <c r="I83" s="16">
        <f>+'1.1.mell._ÖNK_Mérleg2020'!I83+'1.2.mell._HKÖH_Mérleg2020'!I83+'1.3.mell._HVÓBKI_Mérleg2020'!I83+'1.4.mell._HKK_Mérleg2020'!I83+'1.5._mell._MŐSZ_Mérleg2020'!I83+'1.6._mell._HVGYKCSSZ_Mérleg2020'!I83</f>
        <v>0</v>
      </c>
      <c r="M83" s="118">
        <f t="shared" si="4"/>
        <v>0</v>
      </c>
    </row>
    <row r="84" spans="1:13">
      <c r="A84" s="78" t="s">
        <v>202</v>
      </c>
      <c r="B84" s="68" t="s">
        <v>243</v>
      </c>
      <c r="C84" s="397">
        <f>+'1.1.mell._ÖNK_Mérleg2020'!C84+'1.2.mell._HKÖH_Mérleg2020'!C84+'1.3.mell._HVÓBKI_Mérleg2020'!C84+'1.4.mell._HKK_Mérleg2020'!C84+'1.5._mell._MŐSZ_Mérleg2020'!C84+'1.6._mell._HVGYKCSSZ_Mérleg2020'!C84</f>
        <v>0</v>
      </c>
      <c r="D84" s="1065">
        <f>+'1.1.mell._ÖNK_Mérleg2020'!D84+'1.2.mell._HKÖH_Mérleg2020'!D84+'1.3.mell._HVÓBKI_Mérleg2020'!D84+'1.4.mell._HKK_Mérleg2020'!D84+'1.5._mell._MŐSZ_Mérleg2020'!D84+'1.6._mell._HVGYKCSSZ_Mérleg2020'!D84</f>
        <v>0</v>
      </c>
      <c r="E84" s="1065">
        <f>+'1.1.mell._ÖNK_Mérleg2020'!E84+'1.2.mell._HKÖH_Mérleg2020'!E84+'1.3.mell._HVÓBKI_Mérleg2020'!E84+'1.4.mell._HKK_Mérleg2020'!E84+'1.5._mell._MŐSZ_Mérleg2020'!E84+'1.6._mell._HVGYKCSSZ_Mérleg2020'!E84</f>
        <v>0</v>
      </c>
      <c r="F84" s="1298" t="str">
        <f t="shared" si="3"/>
        <v>-</v>
      </c>
      <c r="G84" s="21">
        <f>+'1.1.mell._ÖNK_Mérleg2020'!G84+'1.2.mell._HKÖH_Mérleg2020'!G84+'1.3.mell._HVÓBKI_Mérleg2020'!G84+'1.4.mell._HKK_Mérleg2020'!G84+'1.5._mell._MŐSZ_Mérleg2020'!G84+'1.6._mell._HVGYKCSSZ_Mérleg2020'!G84</f>
        <v>0</v>
      </c>
      <c r="H84" s="22">
        <f>+'1.1.mell._ÖNK_Mérleg2020'!H84+'1.2.mell._HKÖH_Mérleg2020'!H84+'1.3.mell._HVÓBKI_Mérleg2020'!H84+'1.4.mell._HKK_Mérleg2020'!H84+'1.5._mell._MŐSZ_Mérleg2020'!H84+'1.6._mell._HVGYKCSSZ_Mérleg2020'!H84</f>
        <v>0</v>
      </c>
      <c r="I84" s="23">
        <f>+'1.1.mell._ÖNK_Mérleg2020'!I84+'1.2.mell._HKÖH_Mérleg2020'!I84+'1.3.mell._HVÓBKI_Mérleg2020'!I84+'1.4.mell._HKK_Mérleg2020'!I84+'1.5._mell._MŐSZ_Mérleg2020'!I84+'1.6._mell._HVGYKCSSZ_Mérleg2020'!I84</f>
        <v>0</v>
      </c>
      <c r="M84" s="118">
        <f t="shared" si="4"/>
        <v>0</v>
      </c>
    </row>
    <row r="85" spans="1:13" ht="12.75" thickBot="1">
      <c r="A85" s="78" t="s">
        <v>910</v>
      </c>
      <c r="B85" s="68" t="s">
        <v>911</v>
      </c>
      <c r="C85" s="397">
        <f>+'1.1.mell._ÖNK_Mérleg2020'!C85+'1.2.mell._HKÖH_Mérleg2020'!C85+'1.3.mell._HVÓBKI_Mérleg2020'!C85+'1.4.mell._HKK_Mérleg2020'!C85+'1.5._mell._MŐSZ_Mérleg2020'!C85+'1.6._mell._HVGYKCSSZ_Mérleg2020'!C85</f>
        <v>0</v>
      </c>
      <c r="D85" s="1065">
        <f>+'1.1.mell._ÖNK_Mérleg2020'!D85+'1.2.mell._HKÖH_Mérleg2020'!D85+'1.3.mell._HVÓBKI_Mérleg2020'!D85+'1.4.mell._HKK_Mérleg2020'!D85+'1.5._mell._MŐSZ_Mérleg2020'!D85+'1.6._mell._HVGYKCSSZ_Mérleg2020'!D85</f>
        <v>0</v>
      </c>
      <c r="E85" s="1065">
        <f>+'1.1.mell._ÖNK_Mérleg2020'!E85+'1.2.mell._HKÖH_Mérleg2020'!E85+'1.3.mell._HVÓBKI_Mérleg2020'!E85+'1.4.mell._HKK_Mérleg2020'!E85+'1.5._mell._MŐSZ_Mérleg2020'!E85+'1.6._mell._HVGYKCSSZ_Mérleg2020'!E85</f>
        <v>0</v>
      </c>
      <c r="F85" s="1298" t="str">
        <f t="shared" si="3"/>
        <v>-</v>
      </c>
      <c r="G85" s="21">
        <f>+'1.1.mell._ÖNK_Mérleg2020'!G85+'1.2.mell._HKÖH_Mérleg2020'!G85+'1.3.mell._HVÓBKI_Mérleg2020'!G85+'1.4.mell._HKK_Mérleg2020'!G85+'1.5._mell._MŐSZ_Mérleg2020'!G85+'1.6._mell._HVGYKCSSZ_Mérleg2020'!G85</f>
        <v>0</v>
      </c>
      <c r="H85" s="22">
        <f>+'1.1.mell._ÖNK_Mérleg2020'!H85+'1.2.mell._HKÖH_Mérleg2020'!H85+'1.3.mell._HVÓBKI_Mérleg2020'!H85+'1.4.mell._HKK_Mérleg2020'!H85+'1.5._mell._MŐSZ_Mérleg2020'!H85+'1.6._mell._HVGYKCSSZ_Mérleg2020'!H85</f>
        <v>0</v>
      </c>
      <c r="I85" s="23">
        <f>+'1.1.mell._ÖNK_Mérleg2020'!I85+'1.2.mell._HKÖH_Mérleg2020'!I85+'1.3.mell._HVÓBKI_Mérleg2020'!I85+'1.4.mell._HKK_Mérleg2020'!I85+'1.5._mell._MŐSZ_Mérleg2020'!I85+'1.6._mell._HVGYKCSSZ_Mérleg2020'!I85</f>
        <v>0</v>
      </c>
      <c r="M85" s="118">
        <f t="shared" si="4"/>
        <v>0</v>
      </c>
    </row>
    <row r="86" spans="1:13" s="3" customFormat="1" ht="12.75" thickBot="1">
      <c r="A86" s="83" t="s">
        <v>45</v>
      </c>
      <c r="B86" s="70" t="s">
        <v>304</v>
      </c>
      <c r="C86" s="129">
        <f>+C87</f>
        <v>10000</v>
      </c>
      <c r="D86" s="1061">
        <f>+D87</f>
        <v>2653354</v>
      </c>
      <c r="E86" s="1061">
        <f>+E87</f>
        <v>2653354</v>
      </c>
      <c r="F86" s="1294">
        <f t="shared" si="3"/>
        <v>1</v>
      </c>
      <c r="G86" s="27">
        <f>+G87</f>
        <v>2653354</v>
      </c>
      <c r="H86" s="28">
        <f>+H87</f>
        <v>0</v>
      </c>
      <c r="I86" s="29">
        <f>+I87</f>
        <v>0</v>
      </c>
      <c r="J86" s="655">
        <f>+C86/$C$102</f>
        <v>2.1962701183833519E-3</v>
      </c>
      <c r="K86" s="655">
        <f>+D86/$D$102</f>
        <v>0.45795536488805322</v>
      </c>
      <c r="L86" s="655">
        <f>+E86/$E$102</f>
        <v>0.47474099382793805</v>
      </c>
      <c r="M86" s="119">
        <f t="shared" si="4"/>
        <v>0</v>
      </c>
    </row>
    <row r="87" spans="1:13" s="3" customFormat="1" ht="12.75" thickBot="1">
      <c r="A87" s="83" t="s">
        <v>44</v>
      </c>
      <c r="B87" s="64" t="s">
        <v>914</v>
      </c>
      <c r="C87" s="129">
        <f>+C88+C98+C99+C100</f>
        <v>10000</v>
      </c>
      <c r="D87" s="1061">
        <f>+D88+D98+D99+D100</f>
        <v>2653354</v>
      </c>
      <c r="E87" s="1061">
        <f>+E88+E98+E99+E100</f>
        <v>2653354</v>
      </c>
      <c r="F87" s="1294">
        <f t="shared" si="3"/>
        <v>1</v>
      </c>
      <c r="G87" s="27">
        <f>+G88+G98+G99+G100</f>
        <v>2653354</v>
      </c>
      <c r="H87" s="28">
        <f>+H88+H98+H99+H100</f>
        <v>0</v>
      </c>
      <c r="I87" s="29">
        <f>+I88+I98+I99+I100</f>
        <v>0</v>
      </c>
      <c r="J87" s="655">
        <f>+C87/$C$102</f>
        <v>2.1962701183833519E-3</v>
      </c>
      <c r="K87" s="655">
        <f>+D87/$D$102</f>
        <v>0.45795536488805322</v>
      </c>
      <c r="L87" s="655">
        <f>+E87/$E$102</f>
        <v>0.47474099382793805</v>
      </c>
      <c r="M87" s="119">
        <f t="shared" si="4"/>
        <v>0</v>
      </c>
    </row>
    <row r="88" spans="1:13">
      <c r="A88" s="84" t="s">
        <v>231</v>
      </c>
      <c r="B88" s="65" t="s">
        <v>966</v>
      </c>
      <c r="C88" s="398">
        <f>+C89+C90+C91+C92+C93+C94+C95+C96+C97</f>
        <v>10000</v>
      </c>
      <c r="D88" s="1062">
        <f>+D89+D90+D91+D92+D93+D94+D95+D96+D97</f>
        <v>2653354</v>
      </c>
      <c r="E88" s="1062">
        <f>+E89+E90+E91+E92+E93+E94+E95+E96+E97</f>
        <v>2653354</v>
      </c>
      <c r="F88" s="1295">
        <f t="shared" si="3"/>
        <v>1</v>
      </c>
      <c r="G88" s="34">
        <f>+G89+G90+G91+G92+G93+G94+G95+G96+G97</f>
        <v>2653354</v>
      </c>
      <c r="H88" s="10">
        <f>+H89+H90+H91+H92+H93+H94+H95+H96+H97</f>
        <v>0</v>
      </c>
      <c r="I88" s="35">
        <f>+I89+I90+I91+I92+I93+I94+I95+I96+I97</f>
        <v>0</v>
      </c>
      <c r="M88" s="118">
        <f t="shared" si="4"/>
        <v>0</v>
      </c>
    </row>
    <row r="89" spans="1:13" s="13" customFormat="1">
      <c r="A89" s="86" t="s">
        <v>232</v>
      </c>
      <c r="B89" s="66" t="s">
        <v>906</v>
      </c>
      <c r="C89" s="394">
        <f>+'1.1.mell._ÖNK_Mérleg2020'!C89+'1.2.mell._HKÖH_Mérleg2020'!C89+'1.3.mell._HVÓBKI_Mérleg2020'!C89+'1.4.mell._HKK_Mérleg2020'!C89+'1.5._mell._MŐSZ_Mérleg2020'!C89+'1.6._mell._HVGYKCSSZ_Mérleg2020'!C89</f>
        <v>10000</v>
      </c>
      <c r="D89" s="1063">
        <f>+'1.1.mell._ÖNK_Mérleg2020'!D89+'1.2.mell._HKÖH_Mérleg2020'!D89+'1.3.mell._HVÓBKI_Mérleg2020'!D89+'1.4.mell._HKK_Mérleg2020'!D89+'1.5._mell._MŐSZ_Mérleg2020'!D89+'1.6._mell._HVGYKCSSZ_Mérleg2020'!D89</f>
        <v>9322</v>
      </c>
      <c r="E89" s="1063">
        <f>+'1.1.mell._ÖNK_Mérleg2020'!E89+'1.2.mell._HKÖH_Mérleg2020'!E89+'1.3.mell._HVÓBKI_Mérleg2020'!E89+'1.4.mell._HKK_Mérleg2020'!E89+'1.5._mell._MŐSZ_Mérleg2020'!E89+'1.6._mell._HVGYKCSSZ_Mérleg2020'!E89</f>
        <v>9322</v>
      </c>
      <c r="F89" s="1296">
        <f t="shared" si="3"/>
        <v>1</v>
      </c>
      <c r="G89" s="19">
        <f>+'1.1.mell._ÖNK_Mérleg2020'!G89+'1.2.mell._HKÖH_Mérleg2020'!G89+'1.3.mell._HVÓBKI_Mérleg2020'!G89+'1.4.mell._HKK_Mérleg2020'!G89+'1.5._mell._MŐSZ_Mérleg2020'!G89+'1.6._mell._HVGYKCSSZ_Mérleg2020'!G89</f>
        <v>9322</v>
      </c>
      <c r="H89" s="12">
        <f>+'1.1.mell._ÖNK_Mérleg2020'!H89+'1.2.mell._HKÖH_Mérleg2020'!H89+'1.3.mell._HVÓBKI_Mérleg2020'!H89+'1.4.mell._HKK_Mérleg2020'!H89+'1.5._mell._MŐSZ_Mérleg2020'!H89+'1.6._mell._HVGYKCSSZ_Mérleg2020'!H89</f>
        <v>0</v>
      </c>
      <c r="I89" s="15">
        <f>+'1.1.mell._ÖNK_Mérleg2020'!I89+'1.2.mell._HKÖH_Mérleg2020'!I89+'1.3.mell._HVÓBKI_Mérleg2020'!I89+'1.4.mell._HKK_Mérleg2020'!I89+'1.5._mell._MŐSZ_Mérleg2020'!I89+'1.6._mell._HVGYKCSSZ_Mérleg2020'!I89</f>
        <v>0</v>
      </c>
      <c r="M89" s="117">
        <f t="shared" si="4"/>
        <v>0</v>
      </c>
    </row>
    <row r="90" spans="1:13" s="13" customFormat="1">
      <c r="A90" s="86" t="s">
        <v>233</v>
      </c>
      <c r="B90" s="66" t="s">
        <v>246</v>
      </c>
      <c r="C90" s="394">
        <f>+'1.1.mell._ÖNK_Mérleg2020'!C90+'1.2.mell._HKÖH_Mérleg2020'!C90+'1.3.mell._HVÓBKI_Mérleg2020'!C90+'1.4.mell._HKK_Mérleg2020'!C90+'1.5._mell._MŐSZ_Mérleg2020'!C90+'1.6._mell._HVGYKCSSZ_Mérleg2020'!C90</f>
        <v>0</v>
      </c>
      <c r="D90" s="1063">
        <f>+'1.1.mell._ÖNK_Mérleg2020'!D90+'1.2.mell._HKÖH_Mérleg2020'!D90+'1.3.mell._HVÓBKI_Mérleg2020'!D90+'1.4.mell._HKK_Mérleg2020'!D90+'1.5._mell._MŐSZ_Mérleg2020'!D90+'1.6._mell._HVGYKCSSZ_Mérleg2020'!D90</f>
        <v>0</v>
      </c>
      <c r="E90" s="1063">
        <f>+'1.1.mell._ÖNK_Mérleg2020'!E90+'1.2.mell._HKÖH_Mérleg2020'!E90+'1.3.mell._HVÓBKI_Mérleg2020'!E90+'1.4.mell._HKK_Mérleg2020'!E90+'1.5._mell._MŐSZ_Mérleg2020'!E90+'1.6._mell._HVGYKCSSZ_Mérleg2020'!E90</f>
        <v>0</v>
      </c>
      <c r="F90" s="1296" t="str">
        <f t="shared" si="3"/>
        <v>-</v>
      </c>
      <c r="G90" s="19">
        <f>+'1.1.mell._ÖNK_Mérleg2020'!G90+'1.2.mell._HKÖH_Mérleg2020'!G90+'1.3.mell._HVÓBKI_Mérleg2020'!G90+'1.4.mell._HKK_Mérleg2020'!G90+'1.5._mell._MŐSZ_Mérleg2020'!G90+'1.6._mell._HVGYKCSSZ_Mérleg2020'!G90</f>
        <v>0</v>
      </c>
      <c r="H90" s="12">
        <f>+'1.1.mell._ÖNK_Mérleg2020'!H90+'1.2.mell._HKÖH_Mérleg2020'!H90+'1.3.mell._HVÓBKI_Mérleg2020'!H90+'1.4.mell._HKK_Mérleg2020'!H90+'1.5._mell._MŐSZ_Mérleg2020'!H90+'1.6._mell._HVGYKCSSZ_Mérleg2020'!H90</f>
        <v>0</v>
      </c>
      <c r="I90" s="15">
        <f>+'1.1.mell._ÖNK_Mérleg2020'!I90+'1.2.mell._HKÖH_Mérleg2020'!I90+'1.3.mell._HVÓBKI_Mérleg2020'!I90+'1.4.mell._HKK_Mérleg2020'!I90+'1.5._mell._MŐSZ_Mérleg2020'!I90+'1.6._mell._HVGYKCSSZ_Mérleg2020'!I90</f>
        <v>0</v>
      </c>
      <c r="M90" s="117">
        <f t="shared" si="4"/>
        <v>0</v>
      </c>
    </row>
    <row r="91" spans="1:13" s="13" customFormat="1">
      <c r="A91" s="86" t="s">
        <v>234</v>
      </c>
      <c r="B91" s="66" t="s">
        <v>247</v>
      </c>
      <c r="C91" s="394">
        <f>+'1.1.mell._ÖNK_Mérleg2020'!C91+'1.2.mell._HKÖH_Mérleg2020'!C91+'1.3.mell._HVÓBKI_Mérleg2020'!C91+'1.4.mell._HKK_Mérleg2020'!C91+'1.5._mell._MŐSZ_Mérleg2020'!C91+'1.6._mell._HVGYKCSSZ_Mérleg2020'!C91</f>
        <v>0</v>
      </c>
      <c r="D91" s="1063">
        <f>+'1.1.mell._ÖNK_Mérleg2020'!D91+'1.2.mell._HKÖH_Mérleg2020'!D91+'1.3.mell._HVÓBKI_Mérleg2020'!D91+'1.4.mell._HKK_Mérleg2020'!D91+'1.5._mell._MŐSZ_Mérleg2020'!D91+'1.6._mell._HVGYKCSSZ_Mérleg2020'!D91</f>
        <v>2644032</v>
      </c>
      <c r="E91" s="1063">
        <f>+'1.1.mell._ÖNK_Mérleg2020'!E91+'1.2.mell._HKÖH_Mérleg2020'!E91+'1.3.mell._HVÓBKI_Mérleg2020'!E91+'1.4.mell._HKK_Mérleg2020'!E91+'1.5._mell._MŐSZ_Mérleg2020'!E91+'1.6._mell._HVGYKCSSZ_Mérleg2020'!E91</f>
        <v>2644032</v>
      </c>
      <c r="F91" s="1296">
        <f t="shared" si="3"/>
        <v>1</v>
      </c>
      <c r="G91" s="19">
        <f>+'1.1.mell._ÖNK_Mérleg2020'!G91+'1.2.mell._HKÖH_Mérleg2020'!G91+'1.3.mell._HVÓBKI_Mérleg2020'!G91+'1.4.mell._HKK_Mérleg2020'!G91+'1.5._mell._MŐSZ_Mérleg2020'!G91+'1.6._mell._HVGYKCSSZ_Mérleg2020'!G91</f>
        <v>2644032</v>
      </c>
      <c r="H91" s="12">
        <f>+'1.1.mell._ÖNK_Mérleg2020'!H91+'1.2.mell._HKÖH_Mérleg2020'!H91+'1.3.mell._HVÓBKI_Mérleg2020'!H91+'1.4.mell._HKK_Mérleg2020'!H91+'1.5._mell._MŐSZ_Mérleg2020'!H91+'1.6._mell._HVGYKCSSZ_Mérleg2020'!H91</f>
        <v>0</v>
      </c>
      <c r="I91" s="15">
        <f>+'1.1.mell._ÖNK_Mérleg2020'!I91+'1.2.mell._HKÖH_Mérleg2020'!I91+'1.3.mell._HVÓBKI_Mérleg2020'!I91+'1.4.mell._HKK_Mérleg2020'!I91+'1.5._mell._MŐSZ_Mérleg2020'!I91+'1.6._mell._HVGYKCSSZ_Mérleg2020'!I91</f>
        <v>0</v>
      </c>
      <c r="M91" s="117">
        <f t="shared" si="4"/>
        <v>0</v>
      </c>
    </row>
    <row r="92" spans="1:13" s="13" customFormat="1">
      <c r="A92" s="86" t="s">
        <v>235</v>
      </c>
      <c r="B92" s="66" t="s">
        <v>248</v>
      </c>
      <c r="C92" s="394">
        <f>+'1.1.mell._ÖNK_Mérleg2020'!C92+'1.2.mell._HKÖH_Mérleg2020'!C92+'1.3.mell._HVÓBKI_Mérleg2020'!C92+'1.4.mell._HKK_Mérleg2020'!C92+'1.5._mell._MŐSZ_Mérleg2020'!C92+'1.6._mell._HVGYKCSSZ_Mérleg2020'!C92</f>
        <v>0</v>
      </c>
      <c r="D92" s="1063">
        <f>+'1.1.mell._ÖNK_Mérleg2020'!D92+'1.2.mell._HKÖH_Mérleg2020'!D92+'1.3.mell._HVÓBKI_Mérleg2020'!D92+'1.4.mell._HKK_Mérleg2020'!D92+'1.5._mell._MŐSZ_Mérleg2020'!D92+'1.6._mell._HVGYKCSSZ_Mérleg2020'!D92</f>
        <v>0</v>
      </c>
      <c r="E92" s="1063">
        <f>+'1.1.mell._ÖNK_Mérleg2020'!E92+'1.2.mell._HKÖH_Mérleg2020'!E92+'1.3.mell._HVÓBKI_Mérleg2020'!E92+'1.4.mell._HKK_Mérleg2020'!E92+'1.5._mell._MŐSZ_Mérleg2020'!E92+'1.6._mell._HVGYKCSSZ_Mérleg2020'!E92</f>
        <v>0</v>
      </c>
      <c r="F92" s="1296" t="str">
        <f t="shared" si="3"/>
        <v>-</v>
      </c>
      <c r="G92" s="19">
        <f>+'1.1.mell._ÖNK_Mérleg2020'!G92+'1.2.mell._HKÖH_Mérleg2020'!G92+'1.3.mell._HVÓBKI_Mérleg2020'!G92+'1.4.mell._HKK_Mérleg2020'!G92+'1.5._mell._MŐSZ_Mérleg2020'!G92+'1.6._mell._HVGYKCSSZ_Mérleg2020'!G92</f>
        <v>0</v>
      </c>
      <c r="H92" s="12">
        <f>+'1.1.mell._ÖNK_Mérleg2020'!H92+'1.2.mell._HKÖH_Mérleg2020'!H92+'1.3.mell._HVÓBKI_Mérleg2020'!H92+'1.4.mell._HKK_Mérleg2020'!H92+'1.5._mell._MŐSZ_Mérleg2020'!H92+'1.6._mell._HVGYKCSSZ_Mérleg2020'!H92</f>
        <v>0</v>
      </c>
      <c r="I92" s="15">
        <f>+'1.1.mell._ÖNK_Mérleg2020'!I92+'1.2.mell._HKÖH_Mérleg2020'!I92+'1.3.mell._HVÓBKI_Mérleg2020'!I92+'1.4.mell._HKK_Mérleg2020'!I92+'1.5._mell._MŐSZ_Mérleg2020'!I92+'1.6._mell._HVGYKCSSZ_Mérleg2020'!I92</f>
        <v>0</v>
      </c>
      <c r="M92" s="117">
        <f t="shared" si="4"/>
        <v>0</v>
      </c>
    </row>
    <row r="93" spans="1:13" s="13" customFormat="1">
      <c r="A93" s="86" t="s">
        <v>236</v>
      </c>
      <c r="B93" s="66" t="s">
        <v>249</v>
      </c>
      <c r="C93" s="394">
        <f>+'1.1.mell._ÖNK_Mérleg2020'!C93+'1.2.mell._HKÖH_Mérleg2020'!C93+'1.3.mell._HVÓBKI_Mérleg2020'!C93+'1.4.mell._HKK_Mérleg2020'!C93+'1.5._mell._MŐSZ_Mérleg2020'!C93+'1.6._mell._HVGYKCSSZ_Mérleg2020'!C93</f>
        <v>0</v>
      </c>
      <c r="D93" s="1063">
        <f>+'1.1.mell._ÖNK_Mérleg2020'!D93+'1.2.mell._HKÖH_Mérleg2020'!D93+'1.3.mell._HVÓBKI_Mérleg2020'!D93+'1.4.mell._HKK_Mérleg2020'!D93+'1.5._mell._MŐSZ_Mérleg2020'!D93+'1.6._mell._HVGYKCSSZ_Mérleg2020'!D93</f>
        <v>0</v>
      </c>
      <c r="E93" s="1063">
        <f>+'1.1.mell._ÖNK_Mérleg2020'!E93+'1.2.mell._HKÖH_Mérleg2020'!E93+'1.3.mell._HVÓBKI_Mérleg2020'!E93+'1.4.mell._HKK_Mérleg2020'!E93+'1.5._mell._MŐSZ_Mérleg2020'!E93+'1.6._mell._HVGYKCSSZ_Mérleg2020'!E93</f>
        <v>0</v>
      </c>
      <c r="F93" s="1296" t="str">
        <f t="shared" si="3"/>
        <v>-</v>
      </c>
      <c r="G93" s="19">
        <f>+'1.1.mell._ÖNK_Mérleg2020'!G93+'1.2.mell._HKÖH_Mérleg2020'!G93+'1.3.mell._HVÓBKI_Mérleg2020'!G93+'1.4.mell._HKK_Mérleg2020'!G93+'1.5._mell._MŐSZ_Mérleg2020'!G93+'1.6._mell._HVGYKCSSZ_Mérleg2020'!G93</f>
        <v>0</v>
      </c>
      <c r="H93" s="12">
        <f>+'1.1.mell._ÖNK_Mérleg2020'!H93+'1.2.mell._HKÖH_Mérleg2020'!H93+'1.3.mell._HVÓBKI_Mérleg2020'!H93+'1.4.mell._HKK_Mérleg2020'!H93+'1.5._mell._MŐSZ_Mérleg2020'!H93+'1.6._mell._HVGYKCSSZ_Mérleg2020'!H93</f>
        <v>0</v>
      </c>
      <c r="I93" s="15">
        <f>+'1.1.mell._ÖNK_Mérleg2020'!I93+'1.2.mell._HKÖH_Mérleg2020'!I93+'1.3.mell._HVÓBKI_Mérleg2020'!I93+'1.4.mell._HKK_Mérleg2020'!I93+'1.5._mell._MŐSZ_Mérleg2020'!I93+'1.6._mell._HVGYKCSSZ_Mérleg2020'!I93</f>
        <v>0</v>
      </c>
      <c r="M93" s="117">
        <f t="shared" si="4"/>
        <v>0</v>
      </c>
    </row>
    <row r="94" spans="1:13" s="13" customFormat="1">
      <c r="A94" s="103" t="s">
        <v>237</v>
      </c>
      <c r="B94" s="104" t="s">
        <v>250</v>
      </c>
      <c r="C94" s="393"/>
      <c r="D94" s="1166"/>
      <c r="E94" s="1166"/>
      <c r="F94" s="1314" t="str">
        <f t="shared" si="3"/>
        <v>-</v>
      </c>
      <c r="G94" s="105"/>
      <c r="H94" s="106"/>
      <c r="I94" s="107"/>
      <c r="M94" s="117">
        <f t="shared" si="4"/>
        <v>0</v>
      </c>
    </row>
    <row r="95" spans="1:13" s="13" customFormat="1">
      <c r="A95" s="86" t="s">
        <v>238</v>
      </c>
      <c r="B95" s="66" t="s">
        <v>251</v>
      </c>
      <c r="C95" s="394">
        <f>+'1.1.mell._ÖNK_Mérleg2020'!C95+'1.2.mell._HKÖH_Mérleg2020'!C95+'1.3.mell._HVÓBKI_Mérleg2020'!C95+'1.4.mell._HKK_Mérleg2020'!C95+'1.5._mell._MŐSZ_Mérleg2020'!C95+'1.6._mell._HVGYKCSSZ_Mérleg2020'!C95</f>
        <v>0</v>
      </c>
      <c r="D95" s="1063">
        <f>+'1.1.mell._ÖNK_Mérleg2020'!D95+'1.2.mell._HKÖH_Mérleg2020'!D95+'1.3.mell._HVÓBKI_Mérleg2020'!D95+'1.4.mell._HKK_Mérleg2020'!D95+'1.5._mell._MŐSZ_Mérleg2020'!D95+'1.6._mell._HVGYKCSSZ_Mérleg2020'!D95</f>
        <v>0</v>
      </c>
      <c r="E95" s="1063">
        <f>+'1.1.mell._ÖNK_Mérleg2020'!E95+'1.2.mell._HKÖH_Mérleg2020'!E95+'1.3.mell._HVÓBKI_Mérleg2020'!E95+'1.4.mell._HKK_Mérleg2020'!E95+'1.5._mell._MŐSZ_Mérleg2020'!E95+'1.6._mell._HVGYKCSSZ_Mérleg2020'!E95</f>
        <v>0</v>
      </c>
      <c r="F95" s="1296" t="str">
        <f t="shared" si="3"/>
        <v>-</v>
      </c>
      <c r="G95" s="19">
        <f>+'1.1.mell._ÖNK_Mérleg2020'!G95+'1.2.mell._HKÖH_Mérleg2020'!G95+'1.3.mell._HVÓBKI_Mérleg2020'!G95+'1.4.mell._HKK_Mérleg2020'!G95+'1.5._mell._MŐSZ_Mérleg2020'!G95+'1.6._mell._HVGYKCSSZ_Mérleg2020'!G95</f>
        <v>0</v>
      </c>
      <c r="H95" s="12">
        <f>+'1.1.mell._ÖNK_Mérleg2020'!H95+'1.2.mell._HKÖH_Mérleg2020'!H95+'1.3.mell._HVÓBKI_Mérleg2020'!H95+'1.4.mell._HKK_Mérleg2020'!H95+'1.5._mell._MŐSZ_Mérleg2020'!H95+'1.6._mell._HVGYKCSSZ_Mérleg2020'!H95</f>
        <v>0</v>
      </c>
      <c r="I95" s="15">
        <f>+'1.1.mell._ÖNK_Mérleg2020'!I95+'1.2.mell._HKÖH_Mérleg2020'!I95+'1.3.mell._HVÓBKI_Mérleg2020'!I95+'1.4.mell._HKK_Mérleg2020'!I95+'1.5._mell._MŐSZ_Mérleg2020'!I95+'1.6._mell._HVGYKCSSZ_Mérleg2020'!I95</f>
        <v>0</v>
      </c>
      <c r="M95" s="13">
        <f t="shared" si="4"/>
        <v>0</v>
      </c>
    </row>
    <row r="96" spans="1:13" s="13" customFormat="1">
      <c r="A96" s="86" t="s">
        <v>239</v>
      </c>
      <c r="B96" s="66" t="s">
        <v>244</v>
      </c>
      <c r="C96" s="394">
        <f>+'1.1.mell._ÖNK_Mérleg2020'!C96+'1.2.mell._HKÖH_Mérleg2020'!C96+'1.3.mell._HVÓBKI_Mérleg2020'!C96+'1.4.mell._HKK_Mérleg2020'!C96+'1.5._mell._MŐSZ_Mérleg2020'!C96+'1.6._mell._HVGYKCSSZ_Mérleg2020'!C96</f>
        <v>0</v>
      </c>
      <c r="D96" s="1063">
        <f>+'1.1.mell._ÖNK_Mérleg2020'!D96+'1.2.mell._HKÖH_Mérleg2020'!D96+'1.3.mell._HVÓBKI_Mérleg2020'!D96+'1.4.mell._HKK_Mérleg2020'!D96+'1.5._mell._MŐSZ_Mérleg2020'!D96+'1.6._mell._HVGYKCSSZ_Mérleg2020'!D96</f>
        <v>0</v>
      </c>
      <c r="E96" s="1063">
        <f>+'1.1.mell._ÖNK_Mérleg2020'!E96+'1.2.mell._HKÖH_Mérleg2020'!E96+'1.3.mell._HVÓBKI_Mérleg2020'!E96+'1.4.mell._HKK_Mérleg2020'!E96+'1.5._mell._MŐSZ_Mérleg2020'!E96+'1.6._mell._HVGYKCSSZ_Mérleg2020'!E96</f>
        <v>0</v>
      </c>
      <c r="F96" s="1296" t="str">
        <f t="shared" si="3"/>
        <v>-</v>
      </c>
      <c r="G96" s="19">
        <f>+'1.1.mell._ÖNK_Mérleg2020'!G96+'1.2.mell._HKÖH_Mérleg2020'!G96+'1.3.mell._HVÓBKI_Mérleg2020'!G96+'1.4.mell._HKK_Mérleg2020'!G96+'1.5._mell._MŐSZ_Mérleg2020'!G96+'1.6._mell._HVGYKCSSZ_Mérleg2020'!G96</f>
        <v>0</v>
      </c>
      <c r="H96" s="12">
        <f>+'1.1.mell._ÖNK_Mérleg2020'!H96+'1.2.mell._HKÖH_Mérleg2020'!H96+'1.3.mell._HVÓBKI_Mérleg2020'!H96+'1.4.mell._HKK_Mérleg2020'!H96+'1.5._mell._MŐSZ_Mérleg2020'!H96+'1.6._mell._HVGYKCSSZ_Mérleg2020'!H96</f>
        <v>0</v>
      </c>
      <c r="I96" s="15">
        <f>+'1.1.mell._ÖNK_Mérleg2020'!I96+'1.2.mell._HKÖH_Mérleg2020'!I96+'1.3.mell._HVÓBKI_Mérleg2020'!I96+'1.4.mell._HKK_Mérleg2020'!I96+'1.5._mell._MŐSZ_Mérleg2020'!I96+'1.6._mell._HVGYKCSSZ_Mérleg2020'!I96</f>
        <v>0</v>
      </c>
      <c r="M96" s="13">
        <f t="shared" si="4"/>
        <v>0</v>
      </c>
    </row>
    <row r="97" spans="1:14" s="13" customFormat="1">
      <c r="A97" s="86" t="s">
        <v>913</v>
      </c>
      <c r="B97" s="66" t="s">
        <v>909</v>
      </c>
      <c r="C97" s="394">
        <f>+'1.1.mell._ÖNK_Mérleg2020'!C97+'1.2.mell._HKÖH_Mérleg2020'!C97+'1.3.mell._HVÓBKI_Mérleg2020'!C97+'1.4.mell._HKK_Mérleg2020'!C97+'1.5._mell._MŐSZ_Mérleg2020'!C97+'1.6._mell._HVGYKCSSZ_Mérleg2020'!C97</f>
        <v>0</v>
      </c>
      <c r="D97" s="1063">
        <f>+'1.1.mell._ÖNK_Mérleg2020'!D97+'1.2.mell._HKÖH_Mérleg2020'!D97+'1.3.mell._HVÓBKI_Mérleg2020'!D97+'1.4.mell._HKK_Mérleg2020'!D97+'1.5._mell._MŐSZ_Mérleg2020'!D97+'1.6._mell._HVGYKCSSZ_Mérleg2020'!D97</f>
        <v>0</v>
      </c>
      <c r="E97" s="1063">
        <f>+'1.1.mell._ÖNK_Mérleg2020'!E97+'1.2.mell._HKÖH_Mérleg2020'!E97+'1.3.mell._HVÓBKI_Mérleg2020'!E97+'1.4.mell._HKK_Mérleg2020'!E97+'1.5._mell._MŐSZ_Mérleg2020'!E97+'1.6._mell._HVGYKCSSZ_Mérleg2020'!E97</f>
        <v>0</v>
      </c>
      <c r="F97" s="1296" t="str">
        <f t="shared" si="3"/>
        <v>-</v>
      </c>
      <c r="G97" s="19">
        <f>+'1.1.mell._ÖNK_Mérleg2020'!G97+'1.2.mell._HKÖH_Mérleg2020'!G97+'1.3.mell._HVÓBKI_Mérleg2020'!G97+'1.4.mell._HKK_Mérleg2020'!G97+'1.5._mell._MŐSZ_Mérleg2020'!G97+'1.6._mell._HVGYKCSSZ_Mérleg2020'!G97</f>
        <v>0</v>
      </c>
      <c r="H97" s="12">
        <f>+'1.1.mell._ÖNK_Mérleg2020'!H97+'1.2.mell._HKÖH_Mérleg2020'!H97+'1.3.mell._HVÓBKI_Mérleg2020'!H97+'1.4.mell._HKK_Mérleg2020'!H97+'1.5._mell._MŐSZ_Mérleg2020'!H97+'1.6._mell._HVGYKCSSZ_Mérleg2020'!H97</f>
        <v>0</v>
      </c>
      <c r="I97" s="15">
        <f>+'1.1.mell._ÖNK_Mérleg2020'!I97+'1.2.mell._HKÖH_Mérleg2020'!I97+'1.3.mell._HVÓBKI_Mérleg2020'!I97+'1.4.mell._HKK_Mérleg2020'!I97+'1.5._mell._MŐSZ_Mérleg2020'!I97+'1.6._mell._HVGYKCSSZ_Mérleg2020'!I97</f>
        <v>0</v>
      </c>
      <c r="M97" s="13">
        <f t="shared" si="4"/>
        <v>0</v>
      </c>
    </row>
    <row r="98" spans="1:14">
      <c r="A98" s="85" t="s">
        <v>240</v>
      </c>
      <c r="B98" s="67" t="s">
        <v>242</v>
      </c>
      <c r="C98" s="396">
        <f>+'1.1.mell._ÖNK_Mérleg2020'!C98+'1.2.mell._HKÖH_Mérleg2020'!C98+'1.3.mell._HVÓBKI_Mérleg2020'!C98+'1.4.mell._HKK_Mérleg2020'!C98+'1.5._mell._MŐSZ_Mérleg2020'!C98+'1.6._mell._HVGYKCSSZ_Mérleg2020'!C98</f>
        <v>0</v>
      </c>
      <c r="D98" s="1064">
        <f>+'1.1.mell._ÖNK_Mérleg2020'!D98+'1.2.mell._HKÖH_Mérleg2020'!D98+'1.3.mell._HVÓBKI_Mérleg2020'!D98+'1.4.mell._HKK_Mérleg2020'!D98+'1.5._mell._MŐSZ_Mérleg2020'!D98+'1.6._mell._HVGYKCSSZ_Mérleg2020'!D98</f>
        <v>0</v>
      </c>
      <c r="E98" s="1064">
        <f>+'1.1.mell._ÖNK_Mérleg2020'!E98+'1.2.mell._HKÖH_Mérleg2020'!E98+'1.3.mell._HVÓBKI_Mérleg2020'!E98+'1.4.mell._HKK_Mérleg2020'!E98+'1.5._mell._MŐSZ_Mérleg2020'!E98+'1.6._mell._HVGYKCSSZ_Mérleg2020'!E98</f>
        <v>0</v>
      </c>
      <c r="F98" s="1296" t="str">
        <f t="shared" si="3"/>
        <v>-</v>
      </c>
      <c r="G98" s="20">
        <f>+'1.1.mell._ÖNK_Mérleg2020'!G98+'1.2.mell._HKÖH_Mérleg2020'!G98+'1.3.mell._HVÓBKI_Mérleg2020'!G98+'1.4.mell._HKK_Mérleg2020'!G98+'1.5._mell._MŐSZ_Mérleg2020'!G98+'1.6._mell._HVGYKCSSZ_Mérleg2020'!G98</f>
        <v>0</v>
      </c>
      <c r="H98" s="11">
        <f>+'1.1.mell._ÖNK_Mérleg2020'!H98+'1.2.mell._HKÖH_Mérleg2020'!H98+'1.3.mell._HVÓBKI_Mérleg2020'!H98+'1.4.mell._HKK_Mérleg2020'!H98+'1.5._mell._MŐSZ_Mérleg2020'!H98+'1.6._mell._HVGYKCSSZ_Mérleg2020'!H98</f>
        <v>0</v>
      </c>
      <c r="I98" s="16">
        <f>+'1.1.mell._ÖNK_Mérleg2020'!I98+'1.2.mell._HKÖH_Mérleg2020'!I98+'1.3.mell._HVÓBKI_Mérleg2020'!I98+'1.4.mell._HKK_Mérleg2020'!I98+'1.5._mell._MŐSZ_Mérleg2020'!I98+'1.6._mell._HVGYKCSSZ_Mérleg2020'!I98</f>
        <v>0</v>
      </c>
      <c r="M98" s="4">
        <f t="shared" si="4"/>
        <v>0</v>
      </c>
    </row>
    <row r="99" spans="1:14">
      <c r="A99" s="78" t="s">
        <v>241</v>
      </c>
      <c r="B99" s="68" t="s">
        <v>243</v>
      </c>
      <c r="C99" s="397">
        <f>+'1.1.mell._ÖNK_Mérleg2020'!C99+'1.2.mell._HKÖH_Mérleg2020'!C99+'1.3.mell._HVÓBKI_Mérleg2020'!C99+'1.4.mell._HKK_Mérleg2020'!C99+'1.5._mell._MŐSZ_Mérleg2020'!C99+'1.6._mell._HVGYKCSSZ_Mérleg2020'!C99</f>
        <v>0</v>
      </c>
      <c r="D99" s="1065">
        <f>+'1.1.mell._ÖNK_Mérleg2020'!D99+'1.2.mell._HKÖH_Mérleg2020'!D99+'1.3.mell._HVÓBKI_Mérleg2020'!D99+'1.4.mell._HKK_Mérleg2020'!D99+'1.5._mell._MŐSZ_Mérleg2020'!D99+'1.6._mell._HVGYKCSSZ_Mérleg2020'!D99</f>
        <v>0</v>
      </c>
      <c r="E99" s="1065">
        <f>+'1.1.mell._ÖNK_Mérleg2020'!E99+'1.2.mell._HKÖH_Mérleg2020'!E99+'1.3.mell._HVÓBKI_Mérleg2020'!E99+'1.4.mell._HKK_Mérleg2020'!E99+'1.5._mell._MŐSZ_Mérleg2020'!E99+'1.6._mell._HVGYKCSSZ_Mérleg2020'!E99</f>
        <v>0</v>
      </c>
      <c r="F99" s="1298" t="str">
        <f t="shared" si="3"/>
        <v>-</v>
      </c>
      <c r="G99" s="21">
        <f>+'1.1.mell._ÖNK_Mérleg2020'!G99+'1.2.mell._HKÖH_Mérleg2020'!G99+'1.3.mell._HVÓBKI_Mérleg2020'!G99+'1.4.mell._HKK_Mérleg2020'!G99+'1.5._mell._MŐSZ_Mérleg2020'!G99+'1.6._mell._HVGYKCSSZ_Mérleg2020'!G99</f>
        <v>0</v>
      </c>
      <c r="H99" s="22">
        <f>+'1.1.mell._ÖNK_Mérleg2020'!H99+'1.2.mell._HKÖH_Mérleg2020'!H99+'1.3.mell._HVÓBKI_Mérleg2020'!H99+'1.4.mell._HKK_Mérleg2020'!H99+'1.5._mell._MŐSZ_Mérleg2020'!H99+'1.6._mell._HVGYKCSSZ_Mérleg2020'!H99</f>
        <v>0</v>
      </c>
      <c r="I99" s="23">
        <f>+'1.1.mell._ÖNK_Mérleg2020'!I99+'1.2.mell._HKÖH_Mérleg2020'!I99+'1.3.mell._HVÓBKI_Mérleg2020'!I99+'1.4.mell._HKK_Mérleg2020'!I99+'1.5._mell._MŐSZ_Mérleg2020'!I99+'1.6._mell._HVGYKCSSZ_Mérleg2020'!I99</f>
        <v>0</v>
      </c>
      <c r="M99" s="4">
        <f t="shared" si="4"/>
        <v>0</v>
      </c>
    </row>
    <row r="100" spans="1:14" ht="12.75" thickBot="1">
      <c r="A100" s="78" t="s">
        <v>915</v>
      </c>
      <c r="B100" s="68" t="s">
        <v>911</v>
      </c>
      <c r="C100" s="397">
        <f>+'1.1.mell._ÖNK_Mérleg2020'!C100+'1.2.mell._HKÖH_Mérleg2020'!C100+'1.3.mell._HVÓBKI_Mérleg2020'!C100+'1.4.mell._HKK_Mérleg2020'!C100+'1.5._mell._MŐSZ_Mérleg2020'!C100+'1.6._mell._HVGYKCSSZ_Mérleg2020'!C100</f>
        <v>0</v>
      </c>
      <c r="D100" s="1065">
        <f>+'1.1.mell._ÖNK_Mérleg2020'!D100+'1.2.mell._HKÖH_Mérleg2020'!D100+'1.3.mell._HVÓBKI_Mérleg2020'!D100+'1.4.mell._HKK_Mérleg2020'!D100+'1.5._mell._MŐSZ_Mérleg2020'!D100+'1.6._mell._HVGYKCSSZ_Mérleg2020'!D100</f>
        <v>0</v>
      </c>
      <c r="E100" s="1065">
        <f>+'1.1.mell._ÖNK_Mérleg2020'!E100+'1.2.mell._HKÖH_Mérleg2020'!E100+'1.3.mell._HVÓBKI_Mérleg2020'!E100+'1.4.mell._HKK_Mérleg2020'!E100+'1.5._mell._MŐSZ_Mérleg2020'!E100+'1.6._mell._HVGYKCSSZ_Mérleg2020'!E100</f>
        <v>0</v>
      </c>
      <c r="F100" s="1298" t="str">
        <f t="shared" si="3"/>
        <v>-</v>
      </c>
      <c r="G100" s="21">
        <f>+'1.1.mell._ÖNK_Mérleg2020'!G100+'1.2.mell._HKÖH_Mérleg2020'!G100+'1.3.mell._HVÓBKI_Mérleg2020'!G100+'1.4.mell._HKK_Mérleg2020'!G100+'1.5._mell._MŐSZ_Mérleg2020'!G100+'1.6._mell._HVGYKCSSZ_Mérleg2020'!G100</f>
        <v>0</v>
      </c>
      <c r="H100" s="22">
        <f>+'1.1.mell._ÖNK_Mérleg2020'!H100+'1.2.mell._HKÖH_Mérleg2020'!H100+'1.3.mell._HVÓBKI_Mérleg2020'!H100+'1.4.mell._HKK_Mérleg2020'!H100+'1.5._mell._MŐSZ_Mérleg2020'!H100+'1.6._mell._HVGYKCSSZ_Mérleg2020'!H100</f>
        <v>0</v>
      </c>
      <c r="I100" s="23">
        <f>+'1.1.mell._ÖNK_Mérleg2020'!I100+'1.2.mell._HKÖH_Mérleg2020'!I100+'1.3.mell._HVÓBKI_Mérleg2020'!I100+'1.4.mell._HKK_Mérleg2020'!I100+'1.5._mell._MŐSZ_Mérleg2020'!I100+'1.6._mell._HVGYKCSSZ_Mérleg2020'!I100</f>
        <v>0</v>
      </c>
      <c r="M100" s="4">
        <f t="shared" si="4"/>
        <v>0</v>
      </c>
    </row>
    <row r="101" spans="1:14" s="3" customFormat="1" ht="12.75" thickBot="1">
      <c r="A101" s="83" t="s">
        <v>43</v>
      </c>
      <c r="B101" s="69" t="s">
        <v>305</v>
      </c>
      <c r="C101" s="129">
        <f>+C71+C86</f>
        <v>2886249</v>
      </c>
      <c r="D101" s="1061">
        <f>+D71+D86</f>
        <v>3450976</v>
      </c>
      <c r="E101" s="1061">
        <f>+E71+E86</f>
        <v>3450976</v>
      </c>
      <c r="F101" s="1294">
        <f t="shared" si="3"/>
        <v>1</v>
      </c>
      <c r="G101" s="27">
        <f>+G71+G86</f>
        <v>3450951</v>
      </c>
      <c r="H101" s="28">
        <f>+H71+H86</f>
        <v>25</v>
      </c>
      <c r="I101" s="29">
        <f>+I71+I86</f>
        <v>0</v>
      </c>
      <c r="J101" s="655">
        <f>+C101/$C$102</f>
        <v>0.63389824329138311</v>
      </c>
      <c r="K101" s="655">
        <f>+D101/$D$102</f>
        <v>0.59562085319181468</v>
      </c>
      <c r="L101" s="655">
        <f>+E101/$E$102</f>
        <v>0.61745239267597252</v>
      </c>
      <c r="M101" s="3">
        <f t="shared" si="4"/>
        <v>0</v>
      </c>
    </row>
    <row r="102" spans="1:14" s="3" customFormat="1" ht="12.75" thickBot="1">
      <c r="A102" s="87" t="s">
        <v>40</v>
      </c>
      <c r="B102" s="71" t="s">
        <v>306</v>
      </c>
      <c r="C102" s="392">
        <f>+C70+C101</f>
        <v>4553174</v>
      </c>
      <c r="D102" s="1072">
        <f>+D70+D101</f>
        <v>5793914</v>
      </c>
      <c r="E102" s="1072">
        <f>+E70+E101</f>
        <v>5589056</v>
      </c>
      <c r="F102" s="1301">
        <f t="shared" si="3"/>
        <v>0.96464255423880985</v>
      </c>
      <c r="G102" s="24">
        <f>+G70+G101</f>
        <v>5560128</v>
      </c>
      <c r="H102" s="25">
        <f>+H70+H101</f>
        <v>28928</v>
      </c>
      <c r="I102" s="26">
        <f>+I70+I101</f>
        <v>0</v>
      </c>
      <c r="J102" s="655">
        <f>+C102/$C$102</f>
        <v>1</v>
      </c>
      <c r="K102" s="655">
        <f>+D102/$D$102</f>
        <v>1</v>
      </c>
      <c r="L102" s="655">
        <f>+E102/$E$102</f>
        <v>1</v>
      </c>
      <c r="M102" s="3">
        <f t="shared" si="4"/>
        <v>0</v>
      </c>
    </row>
    <row r="103" spans="1:14" s="3" customFormat="1">
      <c r="A103" s="53"/>
      <c r="B103" s="30"/>
      <c r="F103" s="1290"/>
      <c r="G103" s="30"/>
      <c r="H103" s="30"/>
      <c r="I103" s="30"/>
      <c r="N103" s="3">
        <f>+E102-E208</f>
        <v>2398282</v>
      </c>
    </row>
    <row r="104" spans="1:14" s="3" customFormat="1">
      <c r="A104" s="53"/>
      <c r="B104" s="30"/>
      <c r="C104" s="30"/>
      <c r="D104" s="30"/>
      <c r="E104" s="30"/>
      <c r="F104" s="1302"/>
      <c r="G104" s="30"/>
      <c r="H104" s="30"/>
      <c r="I104" s="30"/>
      <c r="N104" s="36"/>
    </row>
    <row r="105" spans="1:14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I105" s="1769"/>
      <c r="N105" s="3"/>
    </row>
    <row r="106" spans="1:14" s="36" customFormat="1" ht="12.75" thickBot="1">
      <c r="A106" s="38" t="s">
        <v>278</v>
      </c>
      <c r="F106" s="1290"/>
      <c r="I106" s="37" t="s">
        <v>280</v>
      </c>
      <c r="N106" s="3"/>
    </row>
    <row r="107" spans="1:14" s="3" customFormat="1" ht="48.75" thickBot="1">
      <c r="A107" s="79" t="s">
        <v>17</v>
      </c>
      <c r="B107" s="80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5" t="s">
        <v>51</v>
      </c>
      <c r="H107" s="6" t="s">
        <v>52</v>
      </c>
      <c r="I107" s="7" t="s">
        <v>53</v>
      </c>
    </row>
    <row r="108" spans="1:14" s="3" customFormat="1" ht="12.75" thickBot="1">
      <c r="A108" s="81" t="s">
        <v>252</v>
      </c>
      <c r="B108" s="82" t="s">
        <v>253</v>
      </c>
      <c r="C108" s="1771" t="s">
        <v>254</v>
      </c>
      <c r="D108" s="1772"/>
      <c r="E108" s="1772"/>
      <c r="F108" s="1772"/>
      <c r="G108" s="1772"/>
      <c r="H108" s="1772"/>
      <c r="I108" s="1773"/>
    </row>
    <row r="109" spans="1:14" s="3" customFormat="1" ht="12.75" thickBot="1">
      <c r="A109" s="83" t="s">
        <v>4</v>
      </c>
      <c r="B109" s="69" t="s">
        <v>307</v>
      </c>
      <c r="C109" s="129">
        <f>+C110+C114+C116+C123+C132</f>
        <v>4018748</v>
      </c>
      <c r="D109" s="1061">
        <f>+D110+D114+D116+D123+D132</f>
        <v>4337116</v>
      </c>
      <c r="E109" s="1061">
        <f>+E110+E114+E116+E123+E132</f>
        <v>1874193</v>
      </c>
      <c r="F109" s="1294">
        <f t="shared" ref="F109:F172" si="5">IF(ISERROR(E109/D109),"-",E109/D109)</f>
        <v>0.43212886166752285</v>
      </c>
      <c r="G109" s="27">
        <f>+G110+G114+G116+G123+G132</f>
        <v>1817485</v>
      </c>
      <c r="H109" s="28">
        <f>+H110+H114+H116+H123+H132</f>
        <v>56708</v>
      </c>
      <c r="I109" s="29">
        <f>+I110+I114+I116+I123+I132</f>
        <v>0</v>
      </c>
      <c r="J109" s="655">
        <f>+C109/$C$208</f>
        <v>0.88262561457128585</v>
      </c>
      <c r="K109" s="655">
        <f>+D109/$D$208</f>
        <v>0.74856409674013114</v>
      </c>
      <c r="L109" s="655">
        <f>+E109/$E$208</f>
        <v>0.58737879899986645</v>
      </c>
      <c r="M109" s="3">
        <f t="shared" ref="M109:M140" si="6">+E109-G109-H109-I109</f>
        <v>0</v>
      </c>
      <c r="N109" s="36"/>
    </row>
    <row r="110" spans="1:14" s="3" customFormat="1" ht="12.75" thickBot="1">
      <c r="A110" s="83" t="s">
        <v>5</v>
      </c>
      <c r="B110" s="64" t="s">
        <v>308</v>
      </c>
      <c r="C110" s="129">
        <f>+C112+C113</f>
        <v>715534</v>
      </c>
      <c r="D110" s="1061">
        <f>+D112+D113</f>
        <v>952919</v>
      </c>
      <c r="E110" s="1061">
        <f>+E112+E113</f>
        <v>941098</v>
      </c>
      <c r="F110" s="1294">
        <f t="shared" si="5"/>
        <v>0.98759495822834886</v>
      </c>
      <c r="G110" s="27">
        <f>+G112+G113</f>
        <v>924200</v>
      </c>
      <c r="H110" s="28">
        <f>+H112+H113</f>
        <v>16898</v>
      </c>
      <c r="I110" s="29">
        <f>+I112+I113</f>
        <v>0</v>
      </c>
      <c r="J110" s="655">
        <f>+C110/$C$208</f>
        <v>0.15715059428873132</v>
      </c>
      <c r="K110" s="655">
        <f>+D110/$D$208</f>
        <v>0.16446895828968119</v>
      </c>
      <c r="L110" s="655">
        <f>+E110/$E$208</f>
        <v>0.29494348393211178</v>
      </c>
      <c r="M110" s="3">
        <f t="shared" si="6"/>
        <v>0</v>
      </c>
      <c r="N110" s="4"/>
    </row>
    <row r="111" spans="1:14" s="36" customFormat="1">
      <c r="A111" s="752" t="s">
        <v>348</v>
      </c>
      <c r="B111" s="753" t="s">
        <v>349</v>
      </c>
      <c r="C111" s="1073">
        <f>+'1.1.mell._ÖNK_Mérleg2020'!C111+'1.2.mell._HKÖH_Mérleg2020'!C111+'1.3.mell._HVÓBKI_Mérleg2020'!C111+'1.4.mell._HKK_Mérleg2020'!C111+'1.5._mell._MŐSZ_Mérleg2020'!C111+'1.6._mell._HVGYKCSSZ_Mérleg2020'!C111</f>
        <v>0</v>
      </c>
      <c r="D111" s="1074">
        <f>+'1.1.mell._ÖNK_Mérleg2020'!D111+'1.2.mell._HKÖH_Mérleg2020'!D111+'1.3.mell._HVÓBKI_Mérleg2020'!D111+'1.4.mell._HKK_Mérleg2020'!D111+'1.5._mell._MŐSZ_Mérleg2020'!D111+'1.6._mell._HVGYKCSSZ_Mérleg2020'!D111</f>
        <v>130730</v>
      </c>
      <c r="E111" s="1074">
        <f>+'1.1.mell._ÖNK_Mérleg2020'!E111+'1.2.mell._HKÖH_Mérleg2020'!E111+'1.3.mell._HVÓBKI_Mérleg2020'!E111+'1.4.mell._HKK_Mérleg2020'!E111+'1.5._mell._MŐSZ_Mérleg2020'!E111+'1.6._mell._HVGYKCSSZ_Mérleg2020'!E111</f>
        <v>130730</v>
      </c>
      <c r="F111" s="1304">
        <f t="shared" si="5"/>
        <v>1</v>
      </c>
      <c r="G111" s="96">
        <f>+'1.1.mell._ÖNK_Mérleg2020'!G111+'1.2.mell._HKÖH_Mérleg2020'!G111+'1.3.mell._HVÓBKI_Mérleg2020'!G111+'1.4.mell._HKK_Mérleg2020'!G111+'1.5._mell._MŐSZ_Mérleg2020'!G111+'1.6._mell._HVGYKCSSZ_Mérleg2020'!G111</f>
        <v>130730</v>
      </c>
      <c r="H111" s="97">
        <f>+'1.1.mell._ÖNK_Mérleg2020'!H111+'1.2.mell._HKÖH_Mérleg2020'!H111+'1.3.mell._HVÓBKI_Mérleg2020'!H111+'1.4.mell._HKK_Mérleg2020'!H111+'1.5._mell._MŐSZ_Mérleg2020'!H111+'1.6._mell._HVGYKCSSZ_Mérleg2020'!H111</f>
        <v>0</v>
      </c>
      <c r="I111" s="98">
        <f>+'1.1.mell._ÖNK_Mérleg2020'!I111+'1.2.mell._HKÖH_Mérleg2020'!I111+'1.3.mell._HVÓBKI_Mérleg2020'!I111+'1.4.mell._HKK_Mérleg2020'!I111+'1.5._mell._MŐSZ_Mérleg2020'!I111+'1.6._mell._HVGYKCSSZ_Mérleg2020'!I111</f>
        <v>0</v>
      </c>
      <c r="M111" s="36">
        <f t="shared" si="6"/>
        <v>0</v>
      </c>
      <c r="N111" s="4"/>
    </row>
    <row r="112" spans="1:14">
      <c r="A112" s="84" t="s">
        <v>54</v>
      </c>
      <c r="B112" s="65" t="s">
        <v>126</v>
      </c>
      <c r="C112" s="398">
        <f>+'1.1.mell._ÖNK_Mérleg2020'!C112+'1.2.mell._HKÖH_Mérleg2020'!C112+'1.3.mell._HVÓBKI_Mérleg2020'!C112+'1.4.mell._HKK_Mérleg2020'!C112+'1.5._mell._MŐSZ_Mérleg2020'!C112+'1.6._mell._HVGYKCSSZ_Mérleg2020'!C112</f>
        <v>670542</v>
      </c>
      <c r="D112" s="1062">
        <f>+'1.1.mell._ÖNK_Mérleg2020'!D112+'1.2.mell._HKÖH_Mérleg2020'!D112+'1.3.mell._HVÓBKI_Mérleg2020'!D112+'1.4.mell._HKK_Mérleg2020'!D112+'1.5._mell._MŐSZ_Mérleg2020'!D112+'1.6._mell._HVGYKCSSZ_Mérleg2020'!D112</f>
        <v>858006</v>
      </c>
      <c r="E112" s="1062">
        <f>+'1.1.mell._ÖNK_Mérleg2020'!E112+'1.2.mell._HKÖH_Mérleg2020'!E112+'1.3.mell._HVÓBKI_Mérleg2020'!E112+'1.4.mell._HKK_Mérleg2020'!E112+'1.5._mell._MŐSZ_Mérleg2020'!E112+'1.6._mell._HVGYKCSSZ_Mérleg2020'!E112</f>
        <v>847335</v>
      </c>
      <c r="F112" s="1295">
        <f t="shared" si="5"/>
        <v>0.98756302403479701</v>
      </c>
      <c r="G112" s="34">
        <f>+'1.1.mell._ÖNK_Mérleg2020'!G112+'1.2.mell._HKÖH_Mérleg2020'!G112+'1.3.mell._HVÓBKI_Mérleg2020'!G112+'1.4.mell._HKK_Mérleg2020'!G112+'1.5._mell._MŐSZ_Mérleg2020'!G112+'1.6._mell._HVGYKCSSZ_Mérleg2020'!G112</f>
        <v>830437</v>
      </c>
      <c r="H112" s="10">
        <f>+'1.1.mell._ÖNK_Mérleg2020'!H112+'1.2.mell._HKÖH_Mérleg2020'!H112+'1.3.mell._HVÓBKI_Mérleg2020'!H112+'1.4.mell._HKK_Mérleg2020'!H112+'1.5._mell._MŐSZ_Mérleg2020'!H112+'1.6._mell._HVGYKCSSZ_Mérleg2020'!H112</f>
        <v>16898</v>
      </c>
      <c r="I112" s="35">
        <f>+'1.1.mell._ÖNK_Mérleg2020'!I112+'1.2.mell._HKÖH_Mérleg2020'!I112+'1.3.mell._HVÓBKI_Mérleg2020'!I112+'1.4.mell._HKK_Mérleg2020'!I112+'1.5._mell._MŐSZ_Mérleg2020'!I112+'1.6._mell._HVGYKCSSZ_Mérleg2020'!I112</f>
        <v>0</v>
      </c>
      <c r="M112" s="4">
        <f t="shared" si="6"/>
        <v>0</v>
      </c>
      <c r="N112" s="3"/>
    </row>
    <row r="113" spans="1:14" ht="12.75" thickBot="1">
      <c r="A113" s="78" t="s">
        <v>55</v>
      </c>
      <c r="B113" s="68" t="s">
        <v>127</v>
      </c>
      <c r="C113" s="397">
        <f>+'1.1.mell._ÖNK_Mérleg2020'!C113+'1.2.mell._HKÖH_Mérleg2020'!C113+'1.3.mell._HVÓBKI_Mérleg2020'!C113+'1.4.mell._HKK_Mérleg2020'!C113+'1.5._mell._MŐSZ_Mérleg2020'!C113+'1.6._mell._HVGYKCSSZ_Mérleg2020'!C113</f>
        <v>44991.999999999993</v>
      </c>
      <c r="D113" s="1065">
        <f>+'1.1.mell._ÖNK_Mérleg2020'!D113+'1.2.mell._HKÖH_Mérleg2020'!D113+'1.3.mell._HVÓBKI_Mérleg2020'!D113+'1.4.mell._HKK_Mérleg2020'!D113+'1.5._mell._MŐSZ_Mérleg2020'!D113+'1.6._mell._HVGYKCSSZ_Mérleg2020'!D113</f>
        <v>94913</v>
      </c>
      <c r="E113" s="1065">
        <f>+'1.1.mell._ÖNK_Mérleg2020'!E113+'1.2.mell._HKÖH_Mérleg2020'!E113+'1.3.mell._HVÓBKI_Mérleg2020'!E113+'1.4.mell._HKK_Mérleg2020'!E113+'1.5._mell._MŐSZ_Mérleg2020'!E113+'1.6._mell._HVGYKCSSZ_Mérleg2020'!E113</f>
        <v>93763</v>
      </c>
      <c r="F113" s="1298">
        <f t="shared" si="5"/>
        <v>0.98788364080789781</v>
      </c>
      <c r="G113" s="21">
        <f>+'1.1.mell._ÖNK_Mérleg2020'!G113+'1.2.mell._HKÖH_Mérleg2020'!G113+'1.3.mell._HVÓBKI_Mérleg2020'!G113+'1.4.mell._HKK_Mérleg2020'!G113+'1.5._mell._MŐSZ_Mérleg2020'!G113+'1.6._mell._HVGYKCSSZ_Mérleg2020'!G113</f>
        <v>93763</v>
      </c>
      <c r="H113" s="22">
        <f>+'1.1.mell._ÖNK_Mérleg2020'!H113+'1.2.mell._HKÖH_Mérleg2020'!H113+'1.3.mell._HVÓBKI_Mérleg2020'!H113+'1.4.mell._HKK_Mérleg2020'!H113+'1.5._mell._MŐSZ_Mérleg2020'!H113+'1.6._mell._HVGYKCSSZ_Mérleg2020'!H113</f>
        <v>0</v>
      </c>
      <c r="I113" s="23">
        <f>+'1.1.mell._ÖNK_Mérleg2020'!I113+'1.2.mell._HKÖH_Mérleg2020'!I113+'1.3.mell._HVÓBKI_Mérleg2020'!I113+'1.4.mell._HKK_Mérleg2020'!I113+'1.5._mell._MŐSZ_Mérleg2020'!I113+'1.6._mell._HVGYKCSSZ_Mérleg2020'!I113</f>
        <v>0</v>
      </c>
      <c r="M113" s="4">
        <f t="shared" si="6"/>
        <v>0</v>
      </c>
      <c r="N113" s="36"/>
    </row>
    <row r="114" spans="1:14" s="3" customFormat="1" ht="12.75" thickBot="1">
      <c r="A114" s="83" t="s">
        <v>6</v>
      </c>
      <c r="B114" s="64" t="s">
        <v>255</v>
      </c>
      <c r="C114" s="129">
        <f>+'1.1.mell._ÖNK_Mérleg2020'!C114+'1.2.mell._HKÖH_Mérleg2020'!C114+'1.3.mell._HVÓBKI_Mérleg2020'!C114+'1.4.mell._HKK_Mérleg2020'!C114+'1.5._mell._MŐSZ_Mérleg2020'!C114+'1.6._mell._HVGYKCSSZ_Mérleg2020'!C114</f>
        <v>130817</v>
      </c>
      <c r="D114" s="1061">
        <f>+'1.1.mell._ÖNK_Mérleg2020'!D114+'1.2.mell._HKÖH_Mérleg2020'!D114+'1.3.mell._HVÓBKI_Mérleg2020'!D114+'1.4.mell._HKK_Mérleg2020'!D114+'1.5._mell._MŐSZ_Mérleg2020'!D114+'1.6._mell._HVGYKCSSZ_Mérleg2020'!D114</f>
        <v>167067</v>
      </c>
      <c r="E114" s="1061">
        <f>+'1.1.mell._ÖNK_Mérleg2020'!E114+'1.2.mell._HKÖH_Mérleg2020'!E114+'1.3.mell._HVÓBKI_Mérleg2020'!E114+'1.4.mell._HKK_Mérleg2020'!E114+'1.5._mell._MŐSZ_Mérleg2020'!E114+'1.6._mell._HVGYKCSSZ_Mérleg2020'!E114</f>
        <v>158725</v>
      </c>
      <c r="F114" s="1294">
        <f t="shared" si="5"/>
        <v>0.95006793681576851</v>
      </c>
      <c r="G114" s="27">
        <f>+'1.1.mell._ÖNK_Mérleg2020'!G114+'1.2.mell._HKÖH_Mérleg2020'!G114+'1.3.mell._HVÓBKI_Mérleg2020'!G114+'1.4.mell._HKK_Mérleg2020'!G114+'1.5._mell._MŐSZ_Mérleg2020'!G114+'1.6._mell._HVGYKCSSZ_Mérleg2020'!G114</f>
        <v>156166</v>
      </c>
      <c r="H114" s="28">
        <f>+'1.1.mell._ÖNK_Mérleg2020'!H114+'1.2.mell._HKÖH_Mérleg2020'!H114+'1.3.mell._HVÓBKI_Mérleg2020'!H114+'1.4.mell._HKK_Mérleg2020'!H114+'1.5._mell._MŐSZ_Mérleg2020'!H114+'1.6._mell._HVGYKCSSZ_Mérleg2020'!H114</f>
        <v>2559</v>
      </c>
      <c r="I114" s="29">
        <f>+'1.1.mell._ÖNK_Mérleg2020'!I114+'1.2.mell._HKÖH_Mérleg2020'!I114+'1.3.mell._HVÓBKI_Mérleg2020'!I114+'1.4.mell._HKK_Mérleg2020'!I114+'1.5._mell._MŐSZ_Mérleg2020'!I114+'1.6._mell._HVGYKCSSZ_Mérleg2020'!I114</f>
        <v>0</v>
      </c>
      <c r="J114" s="655">
        <f>+C114/$C$208</f>
        <v>2.8730946807655495E-2</v>
      </c>
      <c r="K114" s="655">
        <f>+D114/$D$208</f>
        <v>2.8834911943808623E-2</v>
      </c>
      <c r="L114" s="655">
        <f>+E114/$E$208</f>
        <v>4.9744983505569496E-2</v>
      </c>
      <c r="M114" s="3">
        <f t="shared" si="6"/>
        <v>0</v>
      </c>
    </row>
    <row r="115" spans="1:14" s="36" customFormat="1" ht="12.75" thickBot="1">
      <c r="A115" s="752" t="s">
        <v>345</v>
      </c>
      <c r="B115" s="753" t="s">
        <v>346</v>
      </c>
      <c r="C115" s="1073">
        <f>+'1.1.mell._ÖNK_Mérleg2020'!C115+'1.2.mell._HKÖH_Mérleg2020'!C115+'1.3.mell._HVÓBKI_Mérleg2020'!C115+'1.4.mell._HKK_Mérleg2020'!C115+'1.5._mell._MŐSZ_Mérleg2020'!C115+'1.6._mell._HVGYKCSSZ_Mérleg2020'!C115</f>
        <v>0</v>
      </c>
      <c r="D115" s="1074">
        <f>+'1.1.mell._ÖNK_Mérleg2020'!D115+'1.2.mell._HKÖH_Mérleg2020'!D115+'1.3.mell._HVÓBKI_Mérleg2020'!D115+'1.4.mell._HKK_Mérleg2020'!D115+'1.5._mell._MŐSZ_Mérleg2020'!D115+'1.6._mell._HVGYKCSSZ_Mérleg2020'!D115</f>
        <v>19369</v>
      </c>
      <c r="E115" s="1074">
        <f>+'1.1.mell._ÖNK_Mérleg2020'!E115+'1.2.mell._HKÖH_Mérleg2020'!E115+'1.3.mell._HVÓBKI_Mérleg2020'!E115+'1.4.mell._HKK_Mérleg2020'!E115+'1.5._mell._MŐSZ_Mérleg2020'!E115+'1.6._mell._HVGYKCSSZ_Mérleg2020'!E115</f>
        <v>19369</v>
      </c>
      <c r="F115" s="1304">
        <f t="shared" si="5"/>
        <v>1</v>
      </c>
      <c r="G115" s="96">
        <f>+'1.1.mell._ÖNK_Mérleg2020'!G115+'1.2.mell._HKÖH_Mérleg2020'!G115+'1.3.mell._HVÓBKI_Mérleg2020'!G115+'1.4.mell._HKK_Mérleg2020'!G115+'1.5._mell._MŐSZ_Mérleg2020'!G115+'1.6._mell._HVGYKCSSZ_Mérleg2020'!G115</f>
        <v>19369</v>
      </c>
      <c r="H115" s="97">
        <f>+'1.1.mell._ÖNK_Mérleg2020'!H115+'1.2.mell._HKÖH_Mérleg2020'!H115+'1.3.mell._HVÓBKI_Mérleg2020'!H115+'1.4.mell._HKK_Mérleg2020'!H115+'1.5._mell._MŐSZ_Mérleg2020'!H115+'1.6._mell._HVGYKCSSZ_Mérleg2020'!H115</f>
        <v>0</v>
      </c>
      <c r="I115" s="98">
        <f>+'1.1.mell._ÖNK_Mérleg2020'!I115+'1.2.mell._HKÖH_Mérleg2020'!I115+'1.3.mell._HVÓBKI_Mérleg2020'!I115+'1.4.mell._HKK_Mérleg2020'!I115+'1.5._mell._MŐSZ_Mérleg2020'!I115+'1.6._mell._HVGYKCSSZ_Mérleg2020'!I115</f>
        <v>0</v>
      </c>
      <c r="M115" s="36">
        <f t="shared" si="6"/>
        <v>0</v>
      </c>
    </row>
    <row r="116" spans="1:14" s="3" customFormat="1" ht="12.75" thickBot="1">
      <c r="A116" s="83" t="s">
        <v>3</v>
      </c>
      <c r="B116" s="64" t="s">
        <v>342</v>
      </c>
      <c r="C116" s="129">
        <f>+C118+C119+C120+C121+C122</f>
        <v>401997</v>
      </c>
      <c r="D116" s="1061">
        <f>+D118+D119+D120+D121+D122</f>
        <v>744360</v>
      </c>
      <c r="E116" s="1061">
        <f>+E118+E119+E120+E121+E122</f>
        <v>628275</v>
      </c>
      <c r="F116" s="1294">
        <f t="shared" si="5"/>
        <v>0.8440472352087699</v>
      </c>
      <c r="G116" s="27">
        <f>+G118+G119+G120+G121+G122</f>
        <v>591570</v>
      </c>
      <c r="H116" s="28">
        <f>+H118+H119+H120+H121+H122</f>
        <v>36705</v>
      </c>
      <c r="I116" s="29">
        <f>+I118+I119+I120+I121+I122</f>
        <v>0</v>
      </c>
      <c r="J116" s="655">
        <f>+C116/$C$208</f>
        <v>8.8289399877975239E-2</v>
      </c>
      <c r="K116" s="655">
        <f>+D116/$D$208</f>
        <v>0.12847273880834267</v>
      </c>
      <c r="L116" s="655">
        <f>+E116/$E$208</f>
        <v>0.19690363529350557</v>
      </c>
      <c r="M116" s="3">
        <f t="shared" si="6"/>
        <v>0</v>
      </c>
      <c r="N116" s="4"/>
    </row>
    <row r="117" spans="1:14" s="36" customFormat="1">
      <c r="A117" s="752" t="s">
        <v>340</v>
      </c>
      <c r="B117" s="753" t="s">
        <v>347</v>
      </c>
      <c r="C117" s="1073">
        <f>+'1.1.mell._ÖNK_Mérleg2020'!C117+'1.2.mell._HKÖH_Mérleg2020'!C117+'1.3.mell._HVÓBKI_Mérleg2020'!C117+'1.4.mell._HKK_Mérleg2020'!C117+'1.5._mell._MŐSZ_Mérleg2020'!C117+'1.6._mell._HVGYKCSSZ_Mérleg2020'!C117</f>
        <v>0</v>
      </c>
      <c r="D117" s="1074">
        <f>+'1.1.mell._ÖNK_Mérleg2020'!D117+'1.2.mell._HKÖH_Mérleg2020'!D117+'1.3.mell._HVÓBKI_Mérleg2020'!D117+'1.4.mell._HKK_Mérleg2020'!D117+'1.5._mell._MŐSZ_Mérleg2020'!D117+'1.6._mell._HVGYKCSSZ_Mérleg2020'!D117</f>
        <v>168804</v>
      </c>
      <c r="E117" s="1074">
        <f>+'1.1.mell._ÖNK_Mérleg2020'!E117+'1.2.mell._HKÖH_Mérleg2020'!E117+'1.3.mell._HVÓBKI_Mérleg2020'!E117+'1.4.mell._HKK_Mérleg2020'!E117+'1.5._mell._MŐSZ_Mérleg2020'!E117+'1.6._mell._HVGYKCSSZ_Mérleg2020'!E117</f>
        <v>168804</v>
      </c>
      <c r="F117" s="1304">
        <f t="shared" si="5"/>
        <v>1</v>
      </c>
      <c r="G117" s="96">
        <f>+'1.1.mell._ÖNK_Mérleg2020'!G117+'1.2.mell._HKÖH_Mérleg2020'!G117+'1.3.mell._HVÓBKI_Mérleg2020'!G117+'1.4.mell._HKK_Mérleg2020'!G117+'1.5._mell._MŐSZ_Mérleg2020'!G117+'1.6._mell._HVGYKCSSZ_Mérleg2020'!G117</f>
        <v>168804</v>
      </c>
      <c r="H117" s="97">
        <f>+'1.1.mell._ÖNK_Mérleg2020'!H117+'1.2.mell._HKÖH_Mérleg2020'!H117+'1.3.mell._HVÓBKI_Mérleg2020'!H117+'1.4.mell._HKK_Mérleg2020'!H117+'1.5._mell._MŐSZ_Mérleg2020'!H117+'1.6._mell._HVGYKCSSZ_Mérleg2020'!H117</f>
        <v>0</v>
      </c>
      <c r="I117" s="98">
        <f>+'1.1.mell._ÖNK_Mérleg2020'!I117+'1.2.mell._HKÖH_Mérleg2020'!I117+'1.3.mell._HVÓBKI_Mérleg2020'!I117+'1.4.mell._HKK_Mérleg2020'!I117+'1.5._mell._MŐSZ_Mérleg2020'!I117+'1.6._mell._HVGYKCSSZ_Mérleg2020'!I117</f>
        <v>0</v>
      </c>
      <c r="M117" s="36">
        <f t="shared" si="6"/>
        <v>0</v>
      </c>
      <c r="N117" s="4"/>
    </row>
    <row r="118" spans="1:14">
      <c r="A118" s="84" t="s">
        <v>61</v>
      </c>
      <c r="B118" s="65" t="s">
        <v>128</v>
      </c>
      <c r="C118" s="398">
        <f>+'1.1.mell._ÖNK_Mérleg2020'!C118+'1.2.mell._HKÖH_Mérleg2020'!C118+'1.3.mell._HVÓBKI_Mérleg2020'!C118+'1.4.mell._HKK_Mérleg2020'!C118+'1.5._mell._MŐSZ_Mérleg2020'!C118+'1.6._mell._HVGYKCSSZ_Mérleg2020'!C118</f>
        <v>37355</v>
      </c>
      <c r="D118" s="1062">
        <f>+'1.1.mell._ÖNK_Mérleg2020'!D118+'1.2.mell._HKÖH_Mérleg2020'!D118+'1.3.mell._HVÓBKI_Mérleg2020'!D118+'1.4.mell._HKK_Mérleg2020'!D118+'1.5._mell._MŐSZ_Mérleg2020'!D118+'1.6._mell._HVGYKCSSZ_Mérleg2020'!D118</f>
        <v>98344</v>
      </c>
      <c r="E118" s="1062">
        <f>+'1.1.mell._ÖNK_Mérleg2020'!E118+'1.2.mell._HKÖH_Mérleg2020'!E118+'1.3.mell._HVÓBKI_Mérleg2020'!E118+'1.4.mell._HKK_Mérleg2020'!E118+'1.5._mell._MŐSZ_Mérleg2020'!E118+'1.6._mell._HVGYKCSSZ_Mérleg2020'!E118</f>
        <v>94481</v>
      </c>
      <c r="F118" s="1295">
        <f t="shared" si="5"/>
        <v>0.96071951517123566</v>
      </c>
      <c r="G118" s="34">
        <f>+'1.1.mell._ÖNK_Mérleg2020'!G118+'1.2.mell._HKÖH_Mérleg2020'!G118+'1.3.mell._HVÓBKI_Mérleg2020'!G118+'1.4.mell._HKK_Mérleg2020'!G118+'1.5._mell._MŐSZ_Mérleg2020'!G118+'1.6._mell._HVGYKCSSZ_Mérleg2020'!G118</f>
        <v>72664</v>
      </c>
      <c r="H118" s="10">
        <f>+'1.1.mell._ÖNK_Mérleg2020'!H118+'1.2.mell._HKÖH_Mérleg2020'!H118+'1.3.mell._HVÓBKI_Mérleg2020'!H118+'1.4.mell._HKK_Mérleg2020'!H118+'1.5._mell._MŐSZ_Mérleg2020'!H118+'1.6._mell._HVGYKCSSZ_Mérleg2020'!H118</f>
        <v>21817</v>
      </c>
      <c r="I118" s="35">
        <f>+'1.1.mell._ÖNK_Mérleg2020'!I118+'1.2.mell._HKÖH_Mérleg2020'!I118+'1.3.mell._HVÓBKI_Mérleg2020'!I118+'1.4.mell._HKK_Mérleg2020'!I118+'1.5._mell._MŐSZ_Mérleg2020'!I118+'1.6._mell._HVGYKCSSZ_Mérleg2020'!I118</f>
        <v>0</v>
      </c>
      <c r="M118" s="4">
        <f t="shared" si="6"/>
        <v>0</v>
      </c>
    </row>
    <row r="119" spans="1:14">
      <c r="A119" s="85" t="s">
        <v>62</v>
      </c>
      <c r="B119" s="67" t="s">
        <v>129</v>
      </c>
      <c r="C119" s="396">
        <f>+'1.1.mell._ÖNK_Mérleg2020'!C119+'1.2.mell._HKÖH_Mérleg2020'!C119+'1.3.mell._HVÓBKI_Mérleg2020'!C119+'1.4.mell._HKK_Mérleg2020'!C119+'1.5._mell._MŐSZ_Mérleg2020'!C119+'1.6._mell._HVGYKCSSZ_Mérleg2020'!C119</f>
        <v>27387</v>
      </c>
      <c r="D119" s="1064">
        <f>+'1.1.mell._ÖNK_Mérleg2020'!D119+'1.2.mell._HKÖH_Mérleg2020'!D119+'1.3.mell._HVÓBKI_Mérleg2020'!D119+'1.4.mell._HKK_Mérleg2020'!D119+'1.5._mell._MŐSZ_Mérleg2020'!D119+'1.6._mell._HVGYKCSSZ_Mérleg2020'!D119</f>
        <v>25316</v>
      </c>
      <c r="E119" s="1064">
        <f>+'1.1.mell._ÖNK_Mérleg2020'!E119+'1.2.mell._HKÖH_Mérleg2020'!E119+'1.3.mell._HVÓBKI_Mérleg2020'!E119+'1.4.mell._HKK_Mérleg2020'!E119+'1.5._mell._MŐSZ_Mérleg2020'!E119+'1.6._mell._HVGYKCSSZ_Mérleg2020'!E119</f>
        <v>23756</v>
      </c>
      <c r="F119" s="1296">
        <f t="shared" si="5"/>
        <v>0.93837889082003478</v>
      </c>
      <c r="G119" s="20">
        <f>+'1.1.mell._ÖNK_Mérleg2020'!G119+'1.2.mell._HKÖH_Mérleg2020'!G119+'1.3.mell._HVÓBKI_Mérleg2020'!G119+'1.4.mell._HKK_Mérleg2020'!G119+'1.5._mell._MŐSZ_Mérleg2020'!G119+'1.6._mell._HVGYKCSSZ_Mérleg2020'!G119</f>
        <v>23746</v>
      </c>
      <c r="H119" s="11">
        <f>+'1.1.mell._ÖNK_Mérleg2020'!H119+'1.2.mell._HKÖH_Mérleg2020'!H119+'1.3.mell._HVÓBKI_Mérleg2020'!H119+'1.4.mell._HKK_Mérleg2020'!H119+'1.5._mell._MŐSZ_Mérleg2020'!H119+'1.6._mell._HVGYKCSSZ_Mérleg2020'!H119</f>
        <v>10</v>
      </c>
      <c r="I119" s="16">
        <f>+'1.1.mell._ÖNK_Mérleg2020'!I119+'1.2.mell._HKÖH_Mérleg2020'!I119+'1.3.mell._HVÓBKI_Mérleg2020'!I119+'1.4.mell._HKK_Mérleg2020'!I119+'1.5._mell._MŐSZ_Mérleg2020'!I119+'1.6._mell._HVGYKCSSZ_Mérleg2020'!I119</f>
        <v>0</v>
      </c>
      <c r="M119" s="4">
        <f t="shared" si="6"/>
        <v>0</v>
      </c>
    </row>
    <row r="120" spans="1:14">
      <c r="A120" s="85" t="s">
        <v>63</v>
      </c>
      <c r="B120" s="67" t="s">
        <v>130</v>
      </c>
      <c r="C120" s="396">
        <f>+'1.1.mell._ÖNK_Mérleg2020'!C120+'1.2.mell._HKÖH_Mérleg2020'!C120+'1.3.mell._HVÓBKI_Mérleg2020'!C120+'1.4.mell._HKK_Mérleg2020'!C120+'1.5._mell._MŐSZ_Mérleg2020'!C120+'1.6._mell._HVGYKCSSZ_Mérleg2020'!C120</f>
        <v>225919</v>
      </c>
      <c r="D120" s="1064">
        <f>+'1.1.mell._ÖNK_Mérleg2020'!D120+'1.2.mell._HKÖH_Mérleg2020'!D120+'1.3.mell._HVÓBKI_Mérleg2020'!D120+'1.4.mell._HKK_Mérleg2020'!D120+'1.5._mell._MŐSZ_Mérleg2020'!D120+'1.6._mell._HVGYKCSSZ_Mérleg2020'!D120</f>
        <v>418371</v>
      </c>
      <c r="E120" s="1064">
        <f>+'1.1.mell._ÖNK_Mérleg2020'!E120+'1.2.mell._HKÖH_Mérleg2020'!E120+'1.3.mell._HVÓBKI_Mérleg2020'!E120+'1.4.mell._HKK_Mérleg2020'!E120+'1.5._mell._MŐSZ_Mérleg2020'!E120+'1.6._mell._HVGYKCSSZ_Mérleg2020'!E120</f>
        <v>340217</v>
      </c>
      <c r="F120" s="1296">
        <f t="shared" si="5"/>
        <v>0.81319450917965153</v>
      </c>
      <c r="G120" s="20">
        <f>+'1.1.mell._ÖNK_Mérleg2020'!G120+'1.2.mell._HKÖH_Mérleg2020'!G120+'1.3.mell._HVÓBKI_Mérleg2020'!G120+'1.4.mell._HKK_Mérleg2020'!G120+'1.5._mell._MŐSZ_Mérleg2020'!G120+'1.6._mell._HVGYKCSSZ_Mérleg2020'!G120</f>
        <v>332681</v>
      </c>
      <c r="H120" s="11">
        <f>+'1.1.mell._ÖNK_Mérleg2020'!H120+'1.2.mell._HKÖH_Mérleg2020'!H120+'1.3.mell._HVÓBKI_Mérleg2020'!H120+'1.4.mell._HKK_Mérleg2020'!H120+'1.5._mell._MŐSZ_Mérleg2020'!H120+'1.6._mell._HVGYKCSSZ_Mérleg2020'!H120</f>
        <v>7536</v>
      </c>
      <c r="I120" s="16">
        <f>+'1.1.mell._ÖNK_Mérleg2020'!I120+'1.2.mell._HKÖH_Mérleg2020'!I120+'1.3.mell._HVÓBKI_Mérleg2020'!I120+'1.4.mell._HKK_Mérleg2020'!I120+'1.5._mell._MŐSZ_Mérleg2020'!I120+'1.6._mell._HVGYKCSSZ_Mérleg2020'!I120</f>
        <v>0</v>
      </c>
      <c r="M120" s="4">
        <f t="shared" si="6"/>
        <v>0</v>
      </c>
    </row>
    <row r="121" spans="1:14">
      <c r="A121" s="85" t="s">
        <v>64</v>
      </c>
      <c r="B121" s="67" t="s">
        <v>131</v>
      </c>
      <c r="C121" s="396">
        <f>+'1.1.mell._ÖNK_Mérleg2020'!C121+'1.2.mell._HKÖH_Mérleg2020'!C121+'1.3.mell._HVÓBKI_Mérleg2020'!C121+'1.4.mell._HKK_Mérleg2020'!C121+'1.5._mell._MŐSZ_Mérleg2020'!C121+'1.6._mell._HVGYKCSSZ_Mérleg2020'!C121</f>
        <v>2380</v>
      </c>
      <c r="D121" s="1064">
        <f>+'1.1.mell._ÖNK_Mérleg2020'!D121+'1.2.mell._HKÖH_Mérleg2020'!D121+'1.3.mell._HVÓBKI_Mérleg2020'!D121+'1.4.mell._HKK_Mérleg2020'!D121+'1.5._mell._MŐSZ_Mérleg2020'!D121+'1.6._mell._HVGYKCSSZ_Mérleg2020'!D121</f>
        <v>7232</v>
      </c>
      <c r="E121" s="1064">
        <f>+'1.1.mell._ÖNK_Mérleg2020'!E121+'1.2.mell._HKÖH_Mérleg2020'!E121+'1.3.mell._HVÓBKI_Mérleg2020'!E121+'1.4.mell._HKK_Mérleg2020'!E121+'1.5._mell._MŐSZ_Mérleg2020'!E121+'1.6._mell._HVGYKCSSZ_Mérleg2020'!E121</f>
        <v>6998</v>
      </c>
      <c r="F121" s="1296">
        <f t="shared" si="5"/>
        <v>0.96764380530973448</v>
      </c>
      <c r="G121" s="20">
        <f>+'1.1.mell._ÖNK_Mérleg2020'!G121+'1.2.mell._HKÖH_Mérleg2020'!G121+'1.3.mell._HVÓBKI_Mérleg2020'!G121+'1.4.mell._HKK_Mérleg2020'!G121+'1.5._mell._MŐSZ_Mérleg2020'!G121+'1.6._mell._HVGYKCSSZ_Mérleg2020'!G121</f>
        <v>5763</v>
      </c>
      <c r="H121" s="11">
        <f>+'1.1.mell._ÖNK_Mérleg2020'!H121+'1.2.mell._HKÖH_Mérleg2020'!H121+'1.3.mell._HVÓBKI_Mérleg2020'!H121+'1.4.mell._HKK_Mérleg2020'!H121+'1.5._mell._MŐSZ_Mérleg2020'!H121+'1.6._mell._HVGYKCSSZ_Mérleg2020'!H121</f>
        <v>1235</v>
      </c>
      <c r="I121" s="16">
        <f>+'1.1.mell._ÖNK_Mérleg2020'!I121+'1.2.mell._HKÖH_Mérleg2020'!I121+'1.3.mell._HVÓBKI_Mérleg2020'!I121+'1.4.mell._HKK_Mérleg2020'!I121+'1.5._mell._MŐSZ_Mérleg2020'!I121+'1.6._mell._HVGYKCSSZ_Mérleg2020'!I121</f>
        <v>0</v>
      </c>
      <c r="M121" s="4">
        <f t="shared" si="6"/>
        <v>0</v>
      </c>
      <c r="N121" s="3"/>
    </row>
    <row r="122" spans="1:14" ht="12.75" thickBot="1">
      <c r="A122" s="78" t="s">
        <v>65</v>
      </c>
      <c r="B122" s="68" t="s">
        <v>132</v>
      </c>
      <c r="C122" s="397">
        <f>+'1.1.mell._ÖNK_Mérleg2020'!C122+'1.2.mell._HKÖH_Mérleg2020'!C122+'1.3.mell._HVÓBKI_Mérleg2020'!C122+'1.4.mell._HKK_Mérleg2020'!C122+'1.5._mell._MŐSZ_Mérleg2020'!C122+'1.6._mell._HVGYKCSSZ_Mérleg2020'!C122</f>
        <v>108956</v>
      </c>
      <c r="D122" s="1065">
        <f>+'1.1.mell._ÖNK_Mérleg2020'!D122+'1.2.mell._HKÖH_Mérleg2020'!D122+'1.3.mell._HVÓBKI_Mérleg2020'!D122+'1.4.mell._HKK_Mérleg2020'!D122+'1.5._mell._MŐSZ_Mérleg2020'!D122+'1.6._mell._HVGYKCSSZ_Mérleg2020'!D122</f>
        <v>195097</v>
      </c>
      <c r="E122" s="1065">
        <f>+'1.1.mell._ÖNK_Mérleg2020'!E122+'1.2.mell._HKÖH_Mérleg2020'!E122+'1.3.mell._HVÓBKI_Mérleg2020'!E122+'1.4.mell._HKK_Mérleg2020'!E122+'1.5._mell._MŐSZ_Mérleg2020'!E122+'1.6._mell._HVGYKCSSZ_Mérleg2020'!E122</f>
        <v>162823</v>
      </c>
      <c r="F122" s="1298">
        <f t="shared" si="5"/>
        <v>0.83457459622649244</v>
      </c>
      <c r="G122" s="21">
        <f>+'1.1.mell._ÖNK_Mérleg2020'!G122+'1.2.mell._HKÖH_Mérleg2020'!G122+'1.3.mell._HVÓBKI_Mérleg2020'!G122+'1.4.mell._HKK_Mérleg2020'!G122+'1.5._mell._MŐSZ_Mérleg2020'!G122+'1.6._mell._HVGYKCSSZ_Mérleg2020'!G122</f>
        <v>156716</v>
      </c>
      <c r="H122" s="22">
        <f>+'1.1.mell._ÖNK_Mérleg2020'!H122+'1.2.mell._HKÖH_Mérleg2020'!H122+'1.3.mell._HVÓBKI_Mérleg2020'!H122+'1.4.mell._HKK_Mérleg2020'!H122+'1.5._mell._MŐSZ_Mérleg2020'!H122+'1.6._mell._HVGYKCSSZ_Mérleg2020'!H122</f>
        <v>6107</v>
      </c>
      <c r="I122" s="23">
        <f>+'1.1.mell._ÖNK_Mérleg2020'!I122+'1.2.mell._HKÖH_Mérleg2020'!I122+'1.3.mell._HVÓBKI_Mérleg2020'!I122+'1.4.mell._HKK_Mérleg2020'!I122+'1.5._mell._MŐSZ_Mérleg2020'!I122+'1.6._mell._HVGYKCSSZ_Mérleg2020'!I122</f>
        <v>0</v>
      </c>
      <c r="M122" s="4">
        <f t="shared" si="6"/>
        <v>0</v>
      </c>
    </row>
    <row r="123" spans="1:14" s="3" customFormat="1" ht="12.75" thickBot="1">
      <c r="A123" s="83" t="s">
        <v>16</v>
      </c>
      <c r="B123" s="64" t="s">
        <v>309</v>
      </c>
      <c r="C123" s="129">
        <f>+C124+C125+C126+C127+C128+C129+C130+C131</f>
        <v>52779</v>
      </c>
      <c r="D123" s="1061">
        <f>+D124+D125+D126+D127+D128+D129+D130+D131</f>
        <v>48429</v>
      </c>
      <c r="E123" s="1061">
        <f>+E124+E125+E126+E127+E128+E129+E130+E131</f>
        <v>48427</v>
      </c>
      <c r="F123" s="1294">
        <f t="shared" si="5"/>
        <v>0.999958702430362</v>
      </c>
      <c r="G123" s="27">
        <f>+G124+G125+G126+G127+G128+G129+G130+G131</f>
        <v>48427</v>
      </c>
      <c r="H123" s="28">
        <f>+H124+H125+H126+H127+H128+H129+H130+H131</f>
        <v>0</v>
      </c>
      <c r="I123" s="29">
        <f>+I124+I125+I126+I127+I128+I129+I130+I131</f>
        <v>0</v>
      </c>
      <c r="J123" s="655">
        <f>+C123/$C$208</f>
        <v>1.1591694057815493E-2</v>
      </c>
      <c r="K123" s="655">
        <f>+D123/$D$208</f>
        <v>8.3585983499237307E-3</v>
      </c>
      <c r="L123" s="655">
        <f>+E123/$E$208</f>
        <v>1.5177195251058206E-2</v>
      </c>
      <c r="M123" s="3">
        <f t="shared" si="6"/>
        <v>0</v>
      </c>
      <c r="N123" s="4"/>
    </row>
    <row r="124" spans="1:14">
      <c r="A124" s="84" t="s">
        <v>226</v>
      </c>
      <c r="B124" s="65" t="s">
        <v>133</v>
      </c>
      <c r="C124" s="398">
        <f>+'1.1.mell._ÖNK_Mérleg2020'!C124+'1.2.mell._HKÖH_Mérleg2020'!C124+'1.3.mell._HVÓBKI_Mérleg2020'!C124+'1.4.mell._HKK_Mérleg2020'!C124+'1.5._mell._MŐSZ_Mérleg2020'!C124+'1.6._mell._HVGYKCSSZ_Mérleg2020'!C124</f>
        <v>0</v>
      </c>
      <c r="D124" s="1062">
        <f>+'1.1.mell._ÖNK_Mérleg2020'!D124+'1.2.mell._HKÖH_Mérleg2020'!D124+'1.3.mell._HVÓBKI_Mérleg2020'!D124+'1.4.mell._HKK_Mérleg2020'!D124+'1.5._mell._MŐSZ_Mérleg2020'!D124+'1.6._mell._HVGYKCSSZ_Mérleg2020'!D124</f>
        <v>0</v>
      </c>
      <c r="E124" s="1062">
        <f>+'1.1.mell._ÖNK_Mérleg2020'!E124+'1.2.mell._HKÖH_Mérleg2020'!E124+'1.3.mell._HVÓBKI_Mérleg2020'!E124+'1.4.mell._HKK_Mérleg2020'!E124+'1.5._mell._MŐSZ_Mérleg2020'!E124+'1.6._mell._HVGYKCSSZ_Mérleg2020'!E124</f>
        <v>0</v>
      </c>
      <c r="F124" s="1295" t="str">
        <f t="shared" si="5"/>
        <v>-</v>
      </c>
      <c r="G124" s="34">
        <f>+'1.1.mell._ÖNK_Mérleg2020'!G124+'1.2.mell._HKÖH_Mérleg2020'!G124+'1.3.mell._HVÓBKI_Mérleg2020'!G124+'1.4.mell._HKK_Mérleg2020'!G124+'1.5._mell._MŐSZ_Mérleg2020'!G124+'1.6._mell._HVGYKCSSZ_Mérleg2020'!G124</f>
        <v>0</v>
      </c>
      <c r="H124" s="10">
        <f>+'1.1.mell._ÖNK_Mérleg2020'!H124+'1.2.mell._HKÖH_Mérleg2020'!H124+'1.3.mell._HVÓBKI_Mérleg2020'!H124+'1.4.mell._HKK_Mérleg2020'!H124+'1.5._mell._MŐSZ_Mérleg2020'!H124+'1.6._mell._HVGYKCSSZ_Mérleg2020'!H124</f>
        <v>0</v>
      </c>
      <c r="I124" s="35">
        <f>+'1.1.mell._ÖNK_Mérleg2020'!I124+'1.2.mell._HKÖH_Mérleg2020'!I124+'1.3.mell._HVÓBKI_Mérleg2020'!I124+'1.4.mell._HKK_Mérleg2020'!I124+'1.5._mell._MŐSZ_Mérleg2020'!I124+'1.6._mell._HVGYKCSSZ_Mérleg2020'!I124</f>
        <v>0</v>
      </c>
      <c r="M124" s="4">
        <f t="shared" si="6"/>
        <v>0</v>
      </c>
    </row>
    <row r="125" spans="1:14">
      <c r="A125" s="85" t="s">
        <v>227</v>
      </c>
      <c r="B125" s="67" t="s">
        <v>134</v>
      </c>
      <c r="C125" s="396">
        <f>+'1.1.mell._ÖNK_Mérleg2020'!C125+'1.2.mell._HKÖH_Mérleg2020'!C125+'1.3.mell._HVÓBKI_Mérleg2020'!C125+'1.4.mell._HKK_Mérleg2020'!C125+'1.5._mell._MŐSZ_Mérleg2020'!C125+'1.6._mell._HVGYKCSSZ_Mérleg2020'!C125</f>
        <v>0</v>
      </c>
      <c r="D125" s="1064">
        <f>+'1.1.mell._ÖNK_Mérleg2020'!D125+'1.2.mell._HKÖH_Mérleg2020'!D125+'1.3.mell._HVÓBKI_Mérleg2020'!D125+'1.4.mell._HKK_Mérleg2020'!D125+'1.5._mell._MŐSZ_Mérleg2020'!D125+'1.6._mell._HVGYKCSSZ_Mérleg2020'!D125</f>
        <v>0</v>
      </c>
      <c r="E125" s="1064">
        <f>+'1.1.mell._ÖNK_Mérleg2020'!E125+'1.2.mell._HKÖH_Mérleg2020'!E125+'1.3.mell._HVÓBKI_Mérleg2020'!E125+'1.4.mell._HKK_Mérleg2020'!E125+'1.5._mell._MŐSZ_Mérleg2020'!E125+'1.6._mell._HVGYKCSSZ_Mérleg2020'!E125</f>
        <v>0</v>
      </c>
      <c r="F125" s="1296" t="str">
        <f t="shared" si="5"/>
        <v>-</v>
      </c>
      <c r="G125" s="20">
        <f>+'1.1.mell._ÖNK_Mérleg2020'!G125+'1.2.mell._HKÖH_Mérleg2020'!G125+'1.3.mell._HVÓBKI_Mérleg2020'!G125+'1.4.mell._HKK_Mérleg2020'!G125+'1.5._mell._MŐSZ_Mérleg2020'!G125+'1.6._mell._HVGYKCSSZ_Mérleg2020'!G125</f>
        <v>0</v>
      </c>
      <c r="H125" s="11">
        <f>+'1.1.mell._ÖNK_Mérleg2020'!H125+'1.2.mell._HKÖH_Mérleg2020'!H125+'1.3.mell._HVÓBKI_Mérleg2020'!H125+'1.4.mell._HKK_Mérleg2020'!H125+'1.5._mell._MŐSZ_Mérleg2020'!H125+'1.6._mell._HVGYKCSSZ_Mérleg2020'!H125</f>
        <v>0</v>
      </c>
      <c r="I125" s="16">
        <f>+'1.1.mell._ÖNK_Mérleg2020'!I125+'1.2.mell._HKÖH_Mérleg2020'!I125+'1.3.mell._HVÓBKI_Mérleg2020'!I125+'1.4.mell._HKK_Mérleg2020'!I125+'1.5._mell._MŐSZ_Mérleg2020'!I125+'1.6._mell._HVGYKCSSZ_Mérleg2020'!I125</f>
        <v>0</v>
      </c>
      <c r="M125" s="4">
        <f t="shared" si="6"/>
        <v>0</v>
      </c>
    </row>
    <row r="126" spans="1:14">
      <c r="A126" s="85" t="s">
        <v>228</v>
      </c>
      <c r="B126" s="67" t="s">
        <v>135</v>
      </c>
      <c r="C126" s="396">
        <f>+'1.1.mell._ÖNK_Mérleg2020'!C126+'1.2.mell._HKÖH_Mérleg2020'!C126+'1.3.mell._HVÓBKI_Mérleg2020'!C126+'1.4.mell._HKK_Mérleg2020'!C126+'1.5._mell._MŐSZ_Mérleg2020'!C126+'1.6._mell._HVGYKCSSZ_Mérleg2020'!C126</f>
        <v>0</v>
      </c>
      <c r="D126" s="1064">
        <f>+'1.1.mell._ÖNK_Mérleg2020'!D126+'1.2.mell._HKÖH_Mérleg2020'!D126+'1.3.mell._HVÓBKI_Mérleg2020'!D126+'1.4.mell._HKK_Mérleg2020'!D126+'1.5._mell._MŐSZ_Mérleg2020'!D126+'1.6._mell._HVGYKCSSZ_Mérleg2020'!D126</f>
        <v>0</v>
      </c>
      <c r="E126" s="1064">
        <f>+'1.1.mell._ÖNK_Mérleg2020'!E126+'1.2.mell._HKÖH_Mérleg2020'!E126+'1.3.mell._HVÓBKI_Mérleg2020'!E126+'1.4.mell._HKK_Mérleg2020'!E126+'1.5._mell._MŐSZ_Mérleg2020'!E126+'1.6._mell._HVGYKCSSZ_Mérleg2020'!E126</f>
        <v>0</v>
      </c>
      <c r="F126" s="1296" t="str">
        <f t="shared" si="5"/>
        <v>-</v>
      </c>
      <c r="G126" s="20">
        <f>+'1.1.mell._ÖNK_Mérleg2020'!G126+'1.2.mell._HKÖH_Mérleg2020'!G126+'1.3.mell._HVÓBKI_Mérleg2020'!G126+'1.4.mell._HKK_Mérleg2020'!G126+'1.5._mell._MŐSZ_Mérleg2020'!G126+'1.6._mell._HVGYKCSSZ_Mérleg2020'!G126</f>
        <v>0</v>
      </c>
      <c r="H126" s="11">
        <f>+'1.1.mell._ÖNK_Mérleg2020'!H126+'1.2.mell._HKÖH_Mérleg2020'!H126+'1.3.mell._HVÓBKI_Mérleg2020'!H126+'1.4.mell._HKK_Mérleg2020'!H126+'1.5._mell._MŐSZ_Mérleg2020'!H126+'1.6._mell._HVGYKCSSZ_Mérleg2020'!H126</f>
        <v>0</v>
      </c>
      <c r="I126" s="16">
        <f>+'1.1.mell._ÖNK_Mérleg2020'!I126+'1.2.mell._HKÖH_Mérleg2020'!I126+'1.3.mell._HVÓBKI_Mérleg2020'!I126+'1.4.mell._HKK_Mérleg2020'!I126+'1.5._mell._MŐSZ_Mérleg2020'!I126+'1.6._mell._HVGYKCSSZ_Mérleg2020'!I126</f>
        <v>0</v>
      </c>
      <c r="M126" s="4">
        <f t="shared" si="6"/>
        <v>0</v>
      </c>
    </row>
    <row r="127" spans="1:14">
      <c r="A127" s="85" t="s">
        <v>256</v>
      </c>
      <c r="B127" s="67" t="s">
        <v>136</v>
      </c>
      <c r="C127" s="396">
        <f>+'1.1.mell._ÖNK_Mérleg2020'!C127+'1.2.mell._HKÖH_Mérleg2020'!C127+'1.3.mell._HVÓBKI_Mérleg2020'!C127+'1.4.mell._HKK_Mérleg2020'!C127+'1.5._mell._MŐSZ_Mérleg2020'!C127+'1.6._mell._HVGYKCSSZ_Mérleg2020'!C127</f>
        <v>2400</v>
      </c>
      <c r="D127" s="1064">
        <f>+'1.1.mell._ÖNK_Mérleg2020'!D127+'1.2.mell._HKÖH_Mérleg2020'!D127+'1.3.mell._HVÓBKI_Mérleg2020'!D127+'1.4.mell._HKK_Mérleg2020'!D127+'1.5._mell._MŐSZ_Mérleg2020'!D127+'1.6._mell._HVGYKCSSZ_Mérleg2020'!D127</f>
        <v>0</v>
      </c>
      <c r="E127" s="1064">
        <f>+'1.1.mell._ÖNK_Mérleg2020'!E127+'1.2.mell._HKÖH_Mérleg2020'!E127+'1.3.mell._HVÓBKI_Mérleg2020'!E127+'1.4.mell._HKK_Mérleg2020'!E127+'1.5._mell._MŐSZ_Mérleg2020'!E127+'1.6._mell._HVGYKCSSZ_Mérleg2020'!E127</f>
        <v>0</v>
      </c>
      <c r="F127" s="1296" t="str">
        <f t="shared" si="5"/>
        <v>-</v>
      </c>
      <c r="G127" s="20">
        <f>+'1.1.mell._ÖNK_Mérleg2020'!G127+'1.2.mell._HKÖH_Mérleg2020'!G127+'1.3.mell._HVÓBKI_Mérleg2020'!G127+'1.4.mell._HKK_Mérleg2020'!G127+'1.5._mell._MŐSZ_Mérleg2020'!G127+'1.6._mell._HVGYKCSSZ_Mérleg2020'!G127</f>
        <v>0</v>
      </c>
      <c r="H127" s="11">
        <f>+'1.1.mell._ÖNK_Mérleg2020'!H127+'1.2.mell._HKÖH_Mérleg2020'!H127+'1.3.mell._HVÓBKI_Mérleg2020'!H127+'1.4.mell._HKK_Mérleg2020'!H127+'1.5._mell._MŐSZ_Mérleg2020'!H127+'1.6._mell._HVGYKCSSZ_Mérleg2020'!H127</f>
        <v>0</v>
      </c>
      <c r="I127" s="16">
        <f>+'1.1.mell._ÖNK_Mérleg2020'!I127+'1.2.mell._HKÖH_Mérleg2020'!I127+'1.3.mell._HVÓBKI_Mérleg2020'!I127+'1.4.mell._HKK_Mérleg2020'!I127+'1.5._mell._MŐSZ_Mérleg2020'!I127+'1.6._mell._HVGYKCSSZ_Mérleg2020'!I127</f>
        <v>0</v>
      </c>
      <c r="M127" s="4">
        <f t="shared" si="6"/>
        <v>0</v>
      </c>
    </row>
    <row r="128" spans="1:14">
      <c r="A128" s="85" t="s">
        <v>257</v>
      </c>
      <c r="B128" s="67" t="s">
        <v>137</v>
      </c>
      <c r="C128" s="396">
        <f>+'1.1.mell._ÖNK_Mérleg2020'!C128+'1.2.mell._HKÖH_Mérleg2020'!C128+'1.3.mell._HVÓBKI_Mérleg2020'!C128+'1.4.mell._HKK_Mérleg2020'!C128+'1.5._mell._MŐSZ_Mérleg2020'!C128+'1.6._mell._HVGYKCSSZ_Mérleg2020'!C128</f>
        <v>0</v>
      </c>
      <c r="D128" s="1064">
        <f>+'1.1.mell._ÖNK_Mérleg2020'!D128+'1.2.mell._HKÖH_Mérleg2020'!D128+'1.3.mell._HVÓBKI_Mérleg2020'!D128+'1.4.mell._HKK_Mérleg2020'!D128+'1.5._mell._MŐSZ_Mérleg2020'!D128+'1.6._mell._HVGYKCSSZ_Mérleg2020'!D128</f>
        <v>0</v>
      </c>
      <c r="E128" s="1064">
        <f>+'1.1.mell._ÖNK_Mérleg2020'!E128+'1.2.mell._HKÖH_Mérleg2020'!E128+'1.3.mell._HVÓBKI_Mérleg2020'!E128+'1.4.mell._HKK_Mérleg2020'!E128+'1.5._mell._MŐSZ_Mérleg2020'!E128+'1.6._mell._HVGYKCSSZ_Mérleg2020'!E128</f>
        <v>0</v>
      </c>
      <c r="F128" s="1296" t="str">
        <f t="shared" si="5"/>
        <v>-</v>
      </c>
      <c r="G128" s="20">
        <f>+'1.1.mell._ÖNK_Mérleg2020'!G128+'1.2.mell._HKÖH_Mérleg2020'!G128+'1.3.mell._HVÓBKI_Mérleg2020'!G128+'1.4.mell._HKK_Mérleg2020'!G128+'1.5._mell._MŐSZ_Mérleg2020'!G128+'1.6._mell._HVGYKCSSZ_Mérleg2020'!G128</f>
        <v>0</v>
      </c>
      <c r="H128" s="11">
        <f>+'1.1.mell._ÖNK_Mérleg2020'!H128+'1.2.mell._HKÖH_Mérleg2020'!H128+'1.3.mell._HVÓBKI_Mérleg2020'!H128+'1.4.mell._HKK_Mérleg2020'!H128+'1.5._mell._MŐSZ_Mérleg2020'!H128+'1.6._mell._HVGYKCSSZ_Mérleg2020'!H128</f>
        <v>0</v>
      </c>
      <c r="I128" s="16">
        <f>+'1.1.mell._ÖNK_Mérleg2020'!I128+'1.2.mell._HKÖH_Mérleg2020'!I128+'1.3.mell._HVÓBKI_Mérleg2020'!I128+'1.4.mell._HKK_Mérleg2020'!I128+'1.5._mell._MŐSZ_Mérleg2020'!I128+'1.6._mell._HVGYKCSSZ_Mérleg2020'!I128</f>
        <v>0</v>
      </c>
      <c r="M128" s="4">
        <f t="shared" si="6"/>
        <v>0</v>
      </c>
    </row>
    <row r="129" spans="1:14">
      <c r="A129" s="85" t="s">
        <v>258</v>
      </c>
      <c r="B129" s="67" t="s">
        <v>138</v>
      </c>
      <c r="C129" s="396">
        <f>+'1.1.mell._ÖNK_Mérleg2020'!C129+'1.2.mell._HKÖH_Mérleg2020'!C129+'1.3.mell._HVÓBKI_Mérleg2020'!C129+'1.4.mell._HKK_Mérleg2020'!C129+'1.5._mell._MŐSZ_Mérleg2020'!C129+'1.6._mell._HVGYKCSSZ_Mérleg2020'!C129</f>
        <v>19200</v>
      </c>
      <c r="D129" s="1064">
        <f>+'1.1.mell._ÖNK_Mérleg2020'!D129+'1.2.mell._HKÖH_Mérleg2020'!D129+'1.3.mell._HVÓBKI_Mérleg2020'!D129+'1.4.mell._HKK_Mérleg2020'!D129+'1.5._mell._MŐSZ_Mérleg2020'!D129+'1.6._mell._HVGYKCSSZ_Mérleg2020'!D129</f>
        <v>0</v>
      </c>
      <c r="E129" s="1064">
        <f>+'1.1.mell._ÖNK_Mérleg2020'!E129+'1.2.mell._HKÖH_Mérleg2020'!E129+'1.3.mell._HVÓBKI_Mérleg2020'!E129+'1.4.mell._HKK_Mérleg2020'!E129+'1.5._mell._MŐSZ_Mérleg2020'!E129+'1.6._mell._HVGYKCSSZ_Mérleg2020'!E129</f>
        <v>0</v>
      </c>
      <c r="F129" s="1296" t="str">
        <f t="shared" si="5"/>
        <v>-</v>
      </c>
      <c r="G129" s="20">
        <f>+'1.1.mell._ÖNK_Mérleg2020'!G129+'1.2.mell._HKÖH_Mérleg2020'!G129+'1.3.mell._HVÓBKI_Mérleg2020'!G129+'1.4.mell._HKK_Mérleg2020'!G129+'1.5._mell._MŐSZ_Mérleg2020'!G129+'1.6._mell._HVGYKCSSZ_Mérleg2020'!G129</f>
        <v>0</v>
      </c>
      <c r="H129" s="11">
        <f>+'1.1.mell._ÖNK_Mérleg2020'!H129+'1.2.mell._HKÖH_Mérleg2020'!H129+'1.3.mell._HVÓBKI_Mérleg2020'!H129+'1.4.mell._HKK_Mérleg2020'!H129+'1.5._mell._MŐSZ_Mérleg2020'!H129+'1.6._mell._HVGYKCSSZ_Mérleg2020'!H129</f>
        <v>0</v>
      </c>
      <c r="I129" s="16">
        <f>+'1.1.mell._ÖNK_Mérleg2020'!I129+'1.2.mell._HKÖH_Mérleg2020'!I129+'1.3.mell._HVÓBKI_Mérleg2020'!I129+'1.4.mell._HKK_Mérleg2020'!I129+'1.5._mell._MŐSZ_Mérleg2020'!I129+'1.6._mell._HVGYKCSSZ_Mérleg2020'!I129</f>
        <v>0</v>
      </c>
      <c r="M129" s="4">
        <f t="shared" si="6"/>
        <v>0</v>
      </c>
    </row>
    <row r="130" spans="1:14">
      <c r="A130" s="85" t="s">
        <v>259</v>
      </c>
      <c r="B130" s="67" t="s">
        <v>139</v>
      </c>
      <c r="C130" s="396">
        <f>+'1.1.mell._ÖNK_Mérleg2020'!C130+'1.2.mell._HKÖH_Mérleg2020'!C130+'1.3.mell._HVÓBKI_Mérleg2020'!C130+'1.4.mell._HKK_Mérleg2020'!C130+'1.5._mell._MŐSZ_Mérleg2020'!C130+'1.6._mell._HVGYKCSSZ_Mérleg2020'!C130</f>
        <v>8299</v>
      </c>
      <c r="D130" s="1064">
        <f>+'1.1.mell._ÖNK_Mérleg2020'!D130+'1.2.mell._HKÖH_Mérleg2020'!D130+'1.3.mell._HVÓBKI_Mérleg2020'!D130+'1.4.mell._HKK_Mérleg2020'!D130+'1.5._mell._MŐSZ_Mérleg2020'!D130+'1.6._mell._HVGYKCSSZ_Mérleg2020'!D130</f>
        <v>2376</v>
      </c>
      <c r="E130" s="1064">
        <f>+'1.1.mell._ÖNK_Mérleg2020'!E130+'1.2.mell._HKÖH_Mérleg2020'!E130+'1.3.mell._HVÓBKI_Mérleg2020'!E130+'1.4.mell._HKK_Mérleg2020'!E130+'1.5._mell._MŐSZ_Mérleg2020'!E130+'1.6._mell._HVGYKCSSZ_Mérleg2020'!E130</f>
        <v>2376</v>
      </c>
      <c r="F130" s="1296">
        <f t="shared" si="5"/>
        <v>1</v>
      </c>
      <c r="G130" s="20">
        <f>+'1.1.mell._ÖNK_Mérleg2020'!G130+'1.2.mell._HKÖH_Mérleg2020'!G130+'1.3.mell._HVÓBKI_Mérleg2020'!G130+'1.4.mell._HKK_Mérleg2020'!G130+'1.5._mell._MŐSZ_Mérleg2020'!G130+'1.6._mell._HVGYKCSSZ_Mérleg2020'!G130</f>
        <v>2376</v>
      </c>
      <c r="H130" s="11">
        <f>+'1.1.mell._ÖNK_Mérleg2020'!H130+'1.2.mell._HKÖH_Mérleg2020'!H130+'1.3.mell._HVÓBKI_Mérleg2020'!H130+'1.4.mell._HKK_Mérleg2020'!H130+'1.5._mell._MŐSZ_Mérleg2020'!H130+'1.6._mell._HVGYKCSSZ_Mérleg2020'!H130</f>
        <v>0</v>
      </c>
      <c r="I130" s="16">
        <f>+'1.1.mell._ÖNK_Mérleg2020'!I130+'1.2.mell._HKÖH_Mérleg2020'!I130+'1.3.mell._HVÓBKI_Mérleg2020'!I130+'1.4.mell._HKK_Mérleg2020'!I130+'1.5._mell._MŐSZ_Mérleg2020'!I130+'1.6._mell._HVGYKCSSZ_Mérleg2020'!I130</f>
        <v>0</v>
      </c>
      <c r="M130" s="4">
        <f t="shared" si="6"/>
        <v>0</v>
      </c>
      <c r="N130" s="3"/>
    </row>
    <row r="131" spans="1:14" ht="12.75" thickBot="1">
      <c r="A131" s="78" t="s">
        <v>260</v>
      </c>
      <c r="B131" s="68" t="s">
        <v>140</v>
      </c>
      <c r="C131" s="397">
        <f>+'1.1.mell._ÖNK_Mérleg2020'!C131+'1.2.mell._HKÖH_Mérleg2020'!C131+'1.3.mell._HVÓBKI_Mérleg2020'!C131+'1.4.mell._HKK_Mérleg2020'!C131+'1.5._mell._MŐSZ_Mérleg2020'!C131+'1.6._mell._HVGYKCSSZ_Mérleg2020'!C131</f>
        <v>22880</v>
      </c>
      <c r="D131" s="1065">
        <f>+'1.1.mell._ÖNK_Mérleg2020'!D131+'1.2.mell._HKÖH_Mérleg2020'!D131+'1.3.mell._HVÓBKI_Mérleg2020'!D131+'1.4.mell._HKK_Mérleg2020'!D131+'1.5._mell._MŐSZ_Mérleg2020'!D131+'1.6._mell._HVGYKCSSZ_Mérleg2020'!D131</f>
        <v>46053</v>
      </c>
      <c r="E131" s="1065">
        <f>+'1.1.mell._ÖNK_Mérleg2020'!E131+'1.2.mell._HKÖH_Mérleg2020'!E131+'1.3.mell._HVÓBKI_Mérleg2020'!E131+'1.4.mell._HKK_Mérleg2020'!E131+'1.5._mell._MŐSZ_Mérleg2020'!E131+'1.6._mell._HVGYKCSSZ_Mérleg2020'!E131</f>
        <v>46051</v>
      </c>
      <c r="F131" s="1298">
        <f t="shared" si="5"/>
        <v>0.99995657177599717</v>
      </c>
      <c r="G131" s="21">
        <f>+'1.1.mell._ÖNK_Mérleg2020'!G131+'1.2.mell._HKÖH_Mérleg2020'!G131+'1.3.mell._HVÓBKI_Mérleg2020'!G131+'1.4.mell._HKK_Mérleg2020'!G131+'1.5._mell._MŐSZ_Mérleg2020'!G131+'1.6._mell._HVGYKCSSZ_Mérleg2020'!G131</f>
        <v>46051</v>
      </c>
      <c r="H131" s="22">
        <f>+'1.1.mell._ÖNK_Mérleg2020'!H131+'1.2.mell._HKÖH_Mérleg2020'!H131+'1.3.mell._HVÓBKI_Mérleg2020'!H131+'1.4.mell._HKK_Mérleg2020'!H131+'1.5._mell._MŐSZ_Mérleg2020'!H131+'1.6._mell._HVGYKCSSZ_Mérleg2020'!H131</f>
        <v>0</v>
      </c>
      <c r="I131" s="23">
        <f>+'1.1.mell._ÖNK_Mérleg2020'!I131+'1.2.mell._HKÖH_Mérleg2020'!I131+'1.3.mell._HVÓBKI_Mérleg2020'!I131+'1.4.mell._HKK_Mérleg2020'!I131+'1.5._mell._MŐSZ_Mérleg2020'!I131+'1.6._mell._HVGYKCSSZ_Mérleg2020'!I131</f>
        <v>0</v>
      </c>
      <c r="M131" s="4">
        <f t="shared" si="6"/>
        <v>0</v>
      </c>
    </row>
    <row r="132" spans="1:14" s="3" customFormat="1" ht="12.75" thickBot="1">
      <c r="A132" s="83" t="s">
        <v>15</v>
      </c>
      <c r="B132" s="64" t="s">
        <v>919</v>
      </c>
      <c r="C132" s="129">
        <f>+C133+C134+C135+C136+C137+C138+C144+C140+C141+C142+C143+C145+C146</f>
        <v>2717621</v>
      </c>
      <c r="D132" s="1061">
        <f>+D133+D134+D135+D136+D137+D138+D144+D140+D141+D142+D143+D145+D146</f>
        <v>2424341</v>
      </c>
      <c r="E132" s="1061">
        <f>+E133+E134+E135+E136+E137+E138+E144+E140+E141+E142+E143+E145+E146</f>
        <v>97668</v>
      </c>
      <c r="F132" s="1294">
        <f t="shared" si="5"/>
        <v>4.0286411853777994E-2</v>
      </c>
      <c r="G132" s="27">
        <f>+G133+G134+G135+G136+G137+G138+G144+G140+G141+G142+G143+G145+G146</f>
        <v>97122</v>
      </c>
      <c r="H132" s="28">
        <f>+H133+H134+H135+H136+H137+H138+H144+H140+H141+H142+H143+H145+H146</f>
        <v>546</v>
      </c>
      <c r="I132" s="29">
        <f>+I133+I134+I135+I136+I137+I138+I144+I140+I141+I142+I143+I145+I146</f>
        <v>0</v>
      </c>
      <c r="J132" s="655">
        <f>+C132/$C$208</f>
        <v>0.59686297953910827</v>
      </c>
      <c r="K132" s="655">
        <f>+D132/$D$208</f>
        <v>0.41842888934837486</v>
      </c>
      <c r="L132" s="655">
        <f>+E132/$E$208</f>
        <v>3.0609501017621429E-2</v>
      </c>
      <c r="M132" s="3">
        <f t="shared" si="6"/>
        <v>0</v>
      </c>
      <c r="N132" s="4"/>
    </row>
    <row r="133" spans="1:14">
      <c r="A133" s="84" t="s">
        <v>87</v>
      </c>
      <c r="B133" s="65" t="s">
        <v>141</v>
      </c>
      <c r="C133" s="398">
        <f>+'1.1.mell._ÖNK_Mérleg2020'!C133+'1.2.mell._HKÖH_Mérleg2020'!C133+'1.3.mell._HVÓBKI_Mérleg2020'!C133+'1.4.mell._HKK_Mérleg2020'!C133+'1.5._mell._MŐSZ_Mérleg2020'!C133+'1.6._mell._HVGYKCSSZ_Mérleg2020'!C133</f>
        <v>0</v>
      </c>
      <c r="D133" s="1062">
        <f>+'1.1.mell._ÖNK_Mérleg2020'!D133+'1.2.mell._HKÖH_Mérleg2020'!D133+'1.3.mell._HVÓBKI_Mérleg2020'!D133+'1.4.mell._HKK_Mérleg2020'!D133+'1.5._mell._MŐSZ_Mérleg2020'!D133+'1.6._mell._HVGYKCSSZ_Mérleg2020'!D133</f>
        <v>0</v>
      </c>
      <c r="E133" s="1062">
        <f>+'1.1.mell._ÖNK_Mérleg2020'!E133+'1.2.mell._HKÖH_Mérleg2020'!E133+'1.3.mell._HVÓBKI_Mérleg2020'!E133+'1.4.mell._HKK_Mérleg2020'!E133+'1.5._mell._MŐSZ_Mérleg2020'!E133+'1.6._mell._HVGYKCSSZ_Mérleg2020'!E133</f>
        <v>0</v>
      </c>
      <c r="F133" s="1295" t="str">
        <f t="shared" si="5"/>
        <v>-</v>
      </c>
      <c r="G133" s="34">
        <f>+'1.1.mell._ÖNK_Mérleg2020'!G133+'1.2.mell._HKÖH_Mérleg2020'!G133+'1.3.mell._HVÓBKI_Mérleg2020'!G133+'1.4.mell._HKK_Mérleg2020'!G133+'1.5._mell._MŐSZ_Mérleg2020'!G133+'1.6._mell._HVGYKCSSZ_Mérleg2020'!G133</f>
        <v>0</v>
      </c>
      <c r="H133" s="10">
        <f>+'1.1.mell._ÖNK_Mérleg2020'!H133+'1.2.mell._HKÖH_Mérleg2020'!H133+'1.3.mell._HVÓBKI_Mérleg2020'!H133+'1.4.mell._HKK_Mérleg2020'!H133+'1.5._mell._MŐSZ_Mérleg2020'!H133+'1.6._mell._HVGYKCSSZ_Mérleg2020'!H133</f>
        <v>0</v>
      </c>
      <c r="I133" s="35">
        <f>+'1.1.mell._ÖNK_Mérleg2020'!I133+'1.2.mell._HKÖH_Mérleg2020'!I133+'1.3.mell._HVÓBKI_Mérleg2020'!I133+'1.4.mell._HKK_Mérleg2020'!I133+'1.5._mell._MŐSZ_Mérleg2020'!I133+'1.6._mell._HVGYKCSSZ_Mérleg2020'!I133</f>
        <v>0</v>
      </c>
      <c r="M133" s="4">
        <f t="shared" si="6"/>
        <v>0</v>
      </c>
    </row>
    <row r="134" spans="1:14">
      <c r="A134" s="85" t="s">
        <v>88</v>
      </c>
      <c r="B134" s="67" t="s">
        <v>142</v>
      </c>
      <c r="C134" s="396">
        <f>+'1.1.mell._ÖNK_Mérleg2020'!C134+'1.2.mell._HKÖH_Mérleg2020'!C134+'1.3.mell._HVÓBKI_Mérleg2020'!C134+'1.4.mell._HKK_Mérleg2020'!C134+'1.5._mell._MŐSZ_Mérleg2020'!C134+'1.6._mell._HVGYKCSSZ_Mérleg2020'!C134</f>
        <v>9014</v>
      </c>
      <c r="D134" s="1064">
        <f>+'1.1.mell._ÖNK_Mérleg2020'!D134+'1.2.mell._HKÖH_Mérleg2020'!D134+'1.3.mell._HVÓBKI_Mérleg2020'!D134+'1.4.mell._HKK_Mérleg2020'!D134+'1.5._mell._MŐSZ_Mérleg2020'!D134+'1.6._mell._HVGYKCSSZ_Mérleg2020'!D134</f>
        <v>7687</v>
      </c>
      <c r="E134" s="1064">
        <f>+'1.1.mell._ÖNK_Mérleg2020'!E134+'1.2.mell._HKÖH_Mérleg2020'!E134+'1.3.mell._HVÓBKI_Mérleg2020'!E134+'1.4.mell._HKK_Mérleg2020'!E134+'1.5._mell._MŐSZ_Mérleg2020'!E134+'1.6._mell._HVGYKCSSZ_Mérleg2020'!E134</f>
        <v>7687</v>
      </c>
      <c r="F134" s="1296">
        <f t="shared" si="5"/>
        <v>1</v>
      </c>
      <c r="G134" s="20">
        <f>+'1.1.mell._ÖNK_Mérleg2020'!G134+'1.2.mell._HKÖH_Mérleg2020'!G134+'1.3.mell._HVÓBKI_Mérleg2020'!G134+'1.4.mell._HKK_Mérleg2020'!G134+'1.5._mell._MŐSZ_Mérleg2020'!G134+'1.6._mell._HVGYKCSSZ_Mérleg2020'!G134</f>
        <v>7662</v>
      </c>
      <c r="H134" s="11">
        <f>+'1.1.mell._ÖNK_Mérleg2020'!H134+'1.2.mell._HKÖH_Mérleg2020'!H134+'1.3.mell._HVÓBKI_Mérleg2020'!H134+'1.4.mell._HKK_Mérleg2020'!H134+'1.5._mell._MŐSZ_Mérleg2020'!H134+'1.6._mell._HVGYKCSSZ_Mérleg2020'!H134</f>
        <v>25</v>
      </c>
      <c r="I134" s="16">
        <f>+'1.1.mell._ÖNK_Mérleg2020'!I134+'1.2.mell._HKÖH_Mérleg2020'!I134+'1.3.mell._HVÓBKI_Mérleg2020'!I134+'1.4.mell._HKK_Mérleg2020'!I134+'1.5._mell._MŐSZ_Mérleg2020'!I134+'1.6._mell._HVGYKCSSZ_Mérleg2020'!I134</f>
        <v>0</v>
      </c>
      <c r="M134" s="4">
        <f t="shared" si="6"/>
        <v>0</v>
      </c>
    </row>
    <row r="135" spans="1:14">
      <c r="A135" s="85" t="s">
        <v>181</v>
      </c>
      <c r="B135" s="67" t="s">
        <v>143</v>
      </c>
      <c r="C135" s="396">
        <f>+'1.1.mell._ÖNK_Mérleg2020'!C135+'1.2.mell._HKÖH_Mérleg2020'!C135+'1.3.mell._HVÓBKI_Mérleg2020'!C135+'1.4.mell._HKK_Mérleg2020'!C135+'1.5._mell._MŐSZ_Mérleg2020'!C135+'1.6._mell._HVGYKCSSZ_Mérleg2020'!C135</f>
        <v>0</v>
      </c>
      <c r="D135" s="1064">
        <f>+'1.1.mell._ÖNK_Mérleg2020'!D135+'1.2.mell._HKÖH_Mérleg2020'!D135+'1.3.mell._HVÓBKI_Mérleg2020'!D135+'1.4.mell._HKK_Mérleg2020'!D135+'1.5._mell._MŐSZ_Mérleg2020'!D135+'1.6._mell._HVGYKCSSZ_Mérleg2020'!D135</f>
        <v>0</v>
      </c>
      <c r="E135" s="1064">
        <f>+'1.1.mell._ÖNK_Mérleg2020'!E135+'1.2.mell._HKÖH_Mérleg2020'!E135+'1.3.mell._HVÓBKI_Mérleg2020'!E135+'1.4.mell._HKK_Mérleg2020'!E135+'1.5._mell._MŐSZ_Mérleg2020'!E135+'1.6._mell._HVGYKCSSZ_Mérleg2020'!E135</f>
        <v>0</v>
      </c>
      <c r="F135" s="1296" t="str">
        <f t="shared" si="5"/>
        <v>-</v>
      </c>
      <c r="G135" s="20">
        <f>+'1.1.mell._ÖNK_Mérleg2020'!G135+'1.2.mell._HKÖH_Mérleg2020'!G135+'1.3.mell._HVÓBKI_Mérleg2020'!G135+'1.4.mell._HKK_Mérleg2020'!G135+'1.5._mell._MŐSZ_Mérleg2020'!G135+'1.6._mell._HVGYKCSSZ_Mérleg2020'!G135</f>
        <v>0</v>
      </c>
      <c r="H135" s="11">
        <f>+'1.1.mell._ÖNK_Mérleg2020'!H135+'1.2.mell._HKÖH_Mérleg2020'!H135+'1.3.mell._HVÓBKI_Mérleg2020'!H135+'1.4.mell._HKK_Mérleg2020'!H135+'1.5._mell._MŐSZ_Mérleg2020'!H135+'1.6._mell._HVGYKCSSZ_Mérleg2020'!H135</f>
        <v>0</v>
      </c>
      <c r="I135" s="16">
        <f>+'1.1.mell._ÖNK_Mérleg2020'!I135+'1.2.mell._HKÖH_Mérleg2020'!I135+'1.3.mell._HVÓBKI_Mérleg2020'!I135+'1.4.mell._HKK_Mérleg2020'!I135+'1.5._mell._MŐSZ_Mérleg2020'!I135+'1.6._mell._HVGYKCSSZ_Mérleg2020'!I135</f>
        <v>0</v>
      </c>
      <c r="M135" s="4">
        <f t="shared" si="6"/>
        <v>0</v>
      </c>
    </row>
    <row r="136" spans="1:14">
      <c r="A136" s="85" t="s">
        <v>182</v>
      </c>
      <c r="B136" s="67" t="s">
        <v>144</v>
      </c>
      <c r="C136" s="396">
        <f>+'1.1.mell._ÖNK_Mérleg2020'!C136+'1.2.mell._HKÖH_Mérleg2020'!C136+'1.3.mell._HVÓBKI_Mérleg2020'!C136+'1.4.mell._HKK_Mérleg2020'!C136+'1.5._mell._MŐSZ_Mérleg2020'!C136+'1.6._mell._HVGYKCSSZ_Mérleg2020'!C136</f>
        <v>0</v>
      </c>
      <c r="D136" s="1064">
        <f>+'1.1.mell._ÖNK_Mérleg2020'!D136+'1.2.mell._HKÖH_Mérleg2020'!D136+'1.3.mell._HVÓBKI_Mérleg2020'!D136+'1.4.mell._HKK_Mérleg2020'!D136+'1.5._mell._MŐSZ_Mérleg2020'!D136+'1.6._mell._HVGYKCSSZ_Mérleg2020'!D136</f>
        <v>0</v>
      </c>
      <c r="E136" s="1064">
        <f>+'1.1.mell._ÖNK_Mérleg2020'!E136+'1.2.mell._HKÖH_Mérleg2020'!E136+'1.3.mell._HVÓBKI_Mérleg2020'!E136+'1.4.mell._HKK_Mérleg2020'!E136+'1.5._mell._MŐSZ_Mérleg2020'!E136+'1.6._mell._HVGYKCSSZ_Mérleg2020'!E136</f>
        <v>0</v>
      </c>
      <c r="F136" s="1296" t="str">
        <f t="shared" si="5"/>
        <v>-</v>
      </c>
      <c r="G136" s="20">
        <f>+'1.1.mell._ÖNK_Mérleg2020'!G136+'1.2.mell._HKÖH_Mérleg2020'!G136+'1.3.mell._HVÓBKI_Mérleg2020'!G136+'1.4.mell._HKK_Mérleg2020'!G136+'1.5._mell._MŐSZ_Mérleg2020'!G136+'1.6._mell._HVGYKCSSZ_Mérleg2020'!G136</f>
        <v>0</v>
      </c>
      <c r="H136" s="11">
        <f>+'1.1.mell._ÖNK_Mérleg2020'!H136+'1.2.mell._HKÖH_Mérleg2020'!H136+'1.3.mell._HVÓBKI_Mérleg2020'!H136+'1.4.mell._HKK_Mérleg2020'!H136+'1.5._mell._MŐSZ_Mérleg2020'!H136+'1.6._mell._HVGYKCSSZ_Mérleg2020'!H136</f>
        <v>0</v>
      </c>
      <c r="I136" s="16">
        <f>+'1.1.mell._ÖNK_Mérleg2020'!I136+'1.2.mell._HKÖH_Mérleg2020'!I136+'1.3.mell._HVÓBKI_Mérleg2020'!I136+'1.4.mell._HKK_Mérleg2020'!I136+'1.5._mell._MŐSZ_Mérleg2020'!I136+'1.6._mell._HVGYKCSSZ_Mérleg2020'!I136</f>
        <v>0</v>
      </c>
      <c r="M136" s="4">
        <f t="shared" si="6"/>
        <v>0</v>
      </c>
    </row>
    <row r="137" spans="1:14">
      <c r="A137" s="85" t="s">
        <v>183</v>
      </c>
      <c r="B137" s="67" t="s">
        <v>145</v>
      </c>
      <c r="C137" s="396">
        <f>+'1.1.mell._ÖNK_Mérleg2020'!C137+'1.2.mell._HKÖH_Mérleg2020'!C137+'1.3.mell._HVÓBKI_Mérleg2020'!C137+'1.4.mell._HKK_Mérleg2020'!C137+'1.5._mell._MŐSZ_Mérleg2020'!C137+'1.6._mell._HVGYKCSSZ_Mérleg2020'!C137</f>
        <v>0</v>
      </c>
      <c r="D137" s="1064">
        <f>+'1.1.mell._ÖNK_Mérleg2020'!D137+'1.2.mell._HKÖH_Mérleg2020'!D137+'1.3.mell._HVÓBKI_Mérleg2020'!D137+'1.4.mell._HKK_Mérleg2020'!D137+'1.5._mell._MŐSZ_Mérleg2020'!D137+'1.6._mell._HVGYKCSSZ_Mérleg2020'!D137</f>
        <v>0</v>
      </c>
      <c r="E137" s="1064">
        <f>+'1.1.mell._ÖNK_Mérleg2020'!E137+'1.2.mell._HKÖH_Mérleg2020'!E137+'1.3.mell._HVÓBKI_Mérleg2020'!E137+'1.4.mell._HKK_Mérleg2020'!E137+'1.5._mell._MŐSZ_Mérleg2020'!E137+'1.6._mell._HVGYKCSSZ_Mérleg2020'!E137</f>
        <v>0</v>
      </c>
      <c r="F137" s="1296" t="str">
        <f t="shared" si="5"/>
        <v>-</v>
      </c>
      <c r="G137" s="20">
        <f>+'1.1.mell._ÖNK_Mérleg2020'!G137+'1.2.mell._HKÖH_Mérleg2020'!G137+'1.3.mell._HVÓBKI_Mérleg2020'!G137+'1.4.mell._HKK_Mérleg2020'!G137+'1.5._mell._MŐSZ_Mérleg2020'!G137+'1.6._mell._HVGYKCSSZ_Mérleg2020'!G137</f>
        <v>0</v>
      </c>
      <c r="H137" s="11">
        <f>+'1.1.mell._ÖNK_Mérleg2020'!H137+'1.2.mell._HKÖH_Mérleg2020'!H137+'1.3.mell._HVÓBKI_Mérleg2020'!H137+'1.4.mell._HKK_Mérleg2020'!H137+'1.5._mell._MŐSZ_Mérleg2020'!H137+'1.6._mell._HVGYKCSSZ_Mérleg2020'!H137</f>
        <v>0</v>
      </c>
      <c r="I137" s="16">
        <f>+'1.1.mell._ÖNK_Mérleg2020'!I137+'1.2.mell._HKÖH_Mérleg2020'!I137+'1.3.mell._HVÓBKI_Mérleg2020'!I137+'1.4.mell._HKK_Mérleg2020'!I137+'1.5._mell._MŐSZ_Mérleg2020'!I137+'1.6._mell._HVGYKCSSZ_Mérleg2020'!I137</f>
        <v>0</v>
      </c>
      <c r="M137" s="4">
        <f t="shared" si="6"/>
        <v>0</v>
      </c>
      <c r="N137" s="13"/>
    </row>
    <row r="138" spans="1:14">
      <c r="A138" s="85" t="s">
        <v>261</v>
      </c>
      <c r="B138" s="67" t="s">
        <v>146</v>
      </c>
      <c r="C138" s="396">
        <f>+'1.1.mell._ÖNK_Mérleg2020'!C138+'1.2.mell._HKÖH_Mérleg2020'!C138+'1.3.mell._HVÓBKI_Mérleg2020'!C138+'1.4.mell._HKK_Mérleg2020'!C138+'1.5._mell._MŐSZ_Mérleg2020'!C138+'1.6._mell._HVGYKCSSZ_Mérleg2020'!C138</f>
        <v>9332</v>
      </c>
      <c r="D138" s="1064">
        <f>+'1.1.mell._ÖNK_Mérleg2020'!D138+'1.2.mell._HKÖH_Mérleg2020'!D138+'1.3.mell._HVÓBKI_Mérleg2020'!D138+'1.4.mell._HKK_Mérleg2020'!D138+'1.5._mell._MŐSZ_Mérleg2020'!D138+'1.6._mell._HVGYKCSSZ_Mérleg2020'!D138</f>
        <v>10925</v>
      </c>
      <c r="E138" s="1064">
        <f>+'1.1.mell._ÖNK_Mérleg2020'!E138+'1.2.mell._HKÖH_Mérleg2020'!E138+'1.3.mell._HVÓBKI_Mérleg2020'!E138+'1.4.mell._HKK_Mérleg2020'!E138+'1.5._mell._MŐSZ_Mérleg2020'!E138+'1.6._mell._HVGYKCSSZ_Mérleg2020'!E138</f>
        <v>9479</v>
      </c>
      <c r="F138" s="1296">
        <f t="shared" si="5"/>
        <v>0.86764302059496567</v>
      </c>
      <c r="G138" s="20">
        <f>+'1.1.mell._ÖNK_Mérleg2020'!G138+'1.2.mell._HKÖH_Mérleg2020'!G138+'1.3.mell._HVÓBKI_Mérleg2020'!G138+'1.4.mell._HKK_Mérleg2020'!G138+'1.5._mell._MŐSZ_Mérleg2020'!G138+'1.6._mell._HVGYKCSSZ_Mérleg2020'!G138</f>
        <v>9479</v>
      </c>
      <c r="H138" s="11">
        <f>+'1.1.mell._ÖNK_Mérleg2020'!H138+'1.2.mell._HKÖH_Mérleg2020'!H138+'1.3.mell._HVÓBKI_Mérleg2020'!H138+'1.4.mell._HKK_Mérleg2020'!H138+'1.5._mell._MŐSZ_Mérleg2020'!H138+'1.6._mell._HVGYKCSSZ_Mérleg2020'!H138</f>
        <v>0</v>
      </c>
      <c r="I138" s="16">
        <f>+'1.1.mell._ÖNK_Mérleg2020'!I138+'1.2.mell._HKÖH_Mérleg2020'!I138+'1.3.mell._HVÓBKI_Mérleg2020'!I138+'1.4.mell._HKK_Mérleg2020'!I138+'1.5._mell._MŐSZ_Mérleg2020'!I138+'1.6._mell._HVGYKCSSZ_Mérleg2020'!I138</f>
        <v>0</v>
      </c>
      <c r="M138" s="4">
        <f t="shared" si="6"/>
        <v>0</v>
      </c>
    </row>
    <row r="139" spans="1:14" s="13" customFormat="1">
      <c r="A139" s="89" t="s">
        <v>335</v>
      </c>
      <c r="B139" s="751" t="s">
        <v>925</v>
      </c>
      <c r="C139" s="395">
        <f>+'1.1.mell._ÖNK_Mérleg2020'!C139+'1.2.mell._HKÖH_Mérleg2020'!C139+'1.3.mell._HVÓBKI_Mérleg2020'!C139+'1.4.mell._HKK_Mérleg2020'!C139+'1.5._mell._MŐSZ_Mérleg2020'!C139+'1.6._mell._HVGYKCSSZ_Mérleg2020'!C139</f>
        <v>0</v>
      </c>
      <c r="D139" s="1066">
        <f>+'1.1.mell._ÖNK_Mérleg2020'!D139+'1.2.mell._HKÖH_Mérleg2020'!D139+'1.3.mell._HVÓBKI_Mérleg2020'!D139+'1.4.mell._HKK_Mérleg2020'!D139+'1.5._mell._MŐSZ_Mérleg2020'!D139+'1.6._mell._HVGYKCSSZ_Mérleg2020'!D139</f>
        <v>10234</v>
      </c>
      <c r="E139" s="1066">
        <f>+'1.1.mell._ÖNK_Mérleg2020'!E139+'1.2.mell._HKÖH_Mérleg2020'!E139+'1.3.mell._HVÓBKI_Mérleg2020'!E139+'1.4.mell._HKK_Mérleg2020'!E139+'1.5._mell._MŐSZ_Mérleg2020'!E139+'1.6._mell._HVGYKCSSZ_Mérleg2020'!E139</f>
        <v>10234</v>
      </c>
      <c r="F139" s="1298">
        <f t="shared" si="5"/>
        <v>1</v>
      </c>
      <c r="G139" s="45">
        <f>+'1.1.mell._ÖNK_Mérleg2020'!G139+'1.2.mell._HKÖH_Mérleg2020'!G139+'1.3.mell._HVÓBKI_Mérleg2020'!G139+'1.4.mell._HKK_Mérleg2020'!G139+'1.5._mell._MŐSZ_Mérleg2020'!G139+'1.6._mell._HVGYKCSSZ_Mérleg2020'!G139</f>
        <v>10234</v>
      </c>
      <c r="H139" s="43">
        <f>+'1.1.mell._ÖNK_Mérleg2020'!H139+'1.2.mell._HKÖH_Mérleg2020'!H139+'1.3.mell._HVÓBKI_Mérleg2020'!H139+'1.4.mell._HKK_Mérleg2020'!H139+'1.5._mell._MŐSZ_Mérleg2020'!H139+'1.6._mell._HVGYKCSSZ_Mérleg2020'!H139</f>
        <v>0</v>
      </c>
      <c r="I139" s="44">
        <f>+'1.1.mell._ÖNK_Mérleg2020'!I139+'1.2.mell._HKÖH_Mérleg2020'!I139+'1.3.mell._HVÓBKI_Mérleg2020'!I139+'1.4.mell._HKK_Mérleg2020'!I139+'1.5._mell._MŐSZ_Mérleg2020'!I139+'1.6._mell._HVGYKCSSZ_Mérleg2020'!I139</f>
        <v>0</v>
      </c>
      <c r="M139" s="13">
        <f t="shared" si="6"/>
        <v>0</v>
      </c>
      <c r="N139" s="4"/>
    </row>
    <row r="140" spans="1:14">
      <c r="A140" s="85" t="s">
        <v>262</v>
      </c>
      <c r="B140" s="67" t="s">
        <v>147</v>
      </c>
      <c r="C140" s="396">
        <f>+'1.1.mell._ÖNK_Mérleg2020'!C140+'1.2.mell._HKÖH_Mérleg2020'!C140+'1.3.mell._HVÓBKI_Mérleg2020'!C140+'1.4.mell._HKK_Mérleg2020'!C140+'1.5._mell._MŐSZ_Mérleg2020'!C140+'1.6._mell._HVGYKCSSZ_Mérleg2020'!C140</f>
        <v>0</v>
      </c>
      <c r="D140" s="1064">
        <f>+'1.1.mell._ÖNK_Mérleg2020'!D140+'1.2.mell._HKÖH_Mérleg2020'!D140+'1.3.mell._HVÓBKI_Mérleg2020'!D140+'1.4.mell._HKK_Mérleg2020'!D140+'1.5._mell._MŐSZ_Mérleg2020'!D140+'1.6._mell._HVGYKCSSZ_Mérleg2020'!D140</f>
        <v>0</v>
      </c>
      <c r="E140" s="1064">
        <f>+'1.1.mell._ÖNK_Mérleg2020'!E140+'1.2.mell._HKÖH_Mérleg2020'!E140+'1.3.mell._HVÓBKI_Mérleg2020'!E140+'1.4.mell._HKK_Mérleg2020'!E140+'1.5._mell._MŐSZ_Mérleg2020'!E140+'1.6._mell._HVGYKCSSZ_Mérleg2020'!E140</f>
        <v>0</v>
      </c>
      <c r="F140" s="1296" t="str">
        <f t="shared" si="5"/>
        <v>-</v>
      </c>
      <c r="G140" s="20">
        <f>+'1.1.mell._ÖNK_Mérleg2020'!G140+'1.2.mell._HKÖH_Mérleg2020'!G140+'1.3.mell._HVÓBKI_Mérleg2020'!G140+'1.4.mell._HKK_Mérleg2020'!G140+'1.5._mell._MŐSZ_Mérleg2020'!G140+'1.6._mell._HVGYKCSSZ_Mérleg2020'!G140</f>
        <v>0</v>
      </c>
      <c r="H140" s="11">
        <f>+'1.1.mell._ÖNK_Mérleg2020'!H140+'1.2.mell._HKÖH_Mérleg2020'!H140+'1.3.mell._HVÓBKI_Mérleg2020'!H140+'1.4.mell._HKK_Mérleg2020'!H140+'1.5._mell._MŐSZ_Mérleg2020'!H140+'1.6._mell._HVGYKCSSZ_Mérleg2020'!H140</f>
        <v>0</v>
      </c>
      <c r="I140" s="16">
        <f>+'1.1.mell._ÖNK_Mérleg2020'!I140+'1.2.mell._HKÖH_Mérleg2020'!I140+'1.3.mell._HVÓBKI_Mérleg2020'!I140+'1.4.mell._HKK_Mérleg2020'!I140+'1.5._mell._MŐSZ_Mérleg2020'!I140+'1.6._mell._HVGYKCSSZ_Mérleg2020'!I140</f>
        <v>0</v>
      </c>
      <c r="M140" s="4">
        <f t="shared" si="6"/>
        <v>0</v>
      </c>
    </row>
    <row r="141" spans="1:14">
      <c r="A141" s="85" t="s">
        <v>263</v>
      </c>
      <c r="B141" s="67" t="s">
        <v>148</v>
      </c>
      <c r="C141" s="396">
        <f>+'1.1.mell._ÖNK_Mérleg2020'!C141+'1.2.mell._HKÖH_Mérleg2020'!C141+'1.3.mell._HVÓBKI_Mérleg2020'!C141+'1.4.mell._HKK_Mérleg2020'!C141+'1.5._mell._MŐSZ_Mérleg2020'!C141+'1.6._mell._HVGYKCSSZ_Mérleg2020'!C141</f>
        <v>0</v>
      </c>
      <c r="D141" s="1064">
        <f>+'1.1.mell._ÖNK_Mérleg2020'!D141+'1.2.mell._HKÖH_Mérleg2020'!D141+'1.3.mell._HVÓBKI_Mérleg2020'!D141+'1.4.mell._HKK_Mérleg2020'!D141+'1.5._mell._MŐSZ_Mérleg2020'!D141+'1.6._mell._HVGYKCSSZ_Mérleg2020'!D141</f>
        <v>10850</v>
      </c>
      <c r="E141" s="1064">
        <f>+'1.1.mell._ÖNK_Mérleg2020'!E141+'1.2.mell._HKÖH_Mérleg2020'!E141+'1.3.mell._HVÓBKI_Mérleg2020'!E141+'1.4.mell._HKK_Mérleg2020'!E141+'1.5._mell._MŐSZ_Mérleg2020'!E141+'1.6._mell._HVGYKCSSZ_Mérleg2020'!E141</f>
        <v>10850</v>
      </c>
      <c r="F141" s="1296">
        <f t="shared" si="5"/>
        <v>1</v>
      </c>
      <c r="G141" s="20">
        <f>+'1.1.mell._ÖNK_Mérleg2020'!G141+'1.2.mell._HKÖH_Mérleg2020'!G141+'1.3.mell._HVÓBKI_Mérleg2020'!G141+'1.4.mell._HKK_Mérleg2020'!G141+'1.5._mell._MŐSZ_Mérleg2020'!G141+'1.6._mell._HVGYKCSSZ_Mérleg2020'!G141</f>
        <v>10850</v>
      </c>
      <c r="H141" s="11">
        <f>+'1.1.mell._ÖNK_Mérleg2020'!H141+'1.2.mell._HKÖH_Mérleg2020'!H141+'1.3.mell._HVÓBKI_Mérleg2020'!H141+'1.4.mell._HKK_Mérleg2020'!H141+'1.5._mell._MŐSZ_Mérleg2020'!H141+'1.6._mell._HVGYKCSSZ_Mérleg2020'!H141</f>
        <v>0</v>
      </c>
      <c r="I141" s="16">
        <f>+'1.1.mell._ÖNK_Mérleg2020'!I141+'1.2.mell._HKÖH_Mérleg2020'!I141+'1.3.mell._HVÓBKI_Mérleg2020'!I141+'1.4.mell._HKK_Mérleg2020'!I141+'1.5._mell._MŐSZ_Mérleg2020'!I141+'1.6._mell._HVGYKCSSZ_Mérleg2020'!I141</f>
        <v>0</v>
      </c>
      <c r="M141" s="4">
        <f t="shared" ref="M141:M172" si="7">+E141-G141-H141-I141</f>
        <v>0</v>
      </c>
    </row>
    <row r="142" spans="1:14">
      <c r="A142" s="85" t="s">
        <v>264</v>
      </c>
      <c r="B142" s="67" t="s">
        <v>149</v>
      </c>
      <c r="C142" s="396">
        <f>+'1.1.mell._ÖNK_Mérleg2020'!C142+'1.2.mell._HKÖH_Mérleg2020'!C142+'1.3.mell._HVÓBKI_Mérleg2020'!C142+'1.4.mell._HKK_Mérleg2020'!C142+'1.5._mell._MŐSZ_Mérleg2020'!C142+'1.6._mell._HVGYKCSSZ_Mérleg2020'!C142</f>
        <v>0</v>
      </c>
      <c r="D142" s="1064">
        <f>+'1.1.mell._ÖNK_Mérleg2020'!D142+'1.2.mell._HKÖH_Mérleg2020'!D142+'1.3.mell._HVÓBKI_Mérleg2020'!D142+'1.4.mell._HKK_Mérleg2020'!D142+'1.5._mell._MŐSZ_Mérleg2020'!D142+'1.6._mell._HVGYKCSSZ_Mérleg2020'!D142</f>
        <v>0</v>
      </c>
      <c r="E142" s="1064">
        <f>+'1.1.mell._ÖNK_Mérleg2020'!E142+'1.2.mell._HKÖH_Mérleg2020'!E142+'1.3.mell._HVÓBKI_Mérleg2020'!E142+'1.4.mell._HKK_Mérleg2020'!E142+'1.5._mell._MŐSZ_Mérleg2020'!E142+'1.6._mell._HVGYKCSSZ_Mérleg2020'!E142</f>
        <v>0</v>
      </c>
      <c r="F142" s="1296" t="str">
        <f t="shared" si="5"/>
        <v>-</v>
      </c>
      <c r="G142" s="20">
        <f>+'1.1.mell._ÖNK_Mérleg2020'!G142+'1.2.mell._HKÖH_Mérleg2020'!G142+'1.3.mell._HVÓBKI_Mérleg2020'!G142+'1.4.mell._HKK_Mérleg2020'!G142+'1.5._mell._MŐSZ_Mérleg2020'!G142+'1.6._mell._HVGYKCSSZ_Mérleg2020'!G142</f>
        <v>0</v>
      </c>
      <c r="H142" s="11">
        <f>+'1.1.mell._ÖNK_Mérleg2020'!H142+'1.2.mell._HKÖH_Mérleg2020'!H142+'1.3.mell._HVÓBKI_Mérleg2020'!H142+'1.4.mell._HKK_Mérleg2020'!H142+'1.5._mell._MŐSZ_Mérleg2020'!H142+'1.6._mell._HVGYKCSSZ_Mérleg2020'!H142</f>
        <v>0</v>
      </c>
      <c r="I142" s="16">
        <f>+'1.1.mell._ÖNK_Mérleg2020'!I142+'1.2.mell._HKÖH_Mérleg2020'!I142+'1.3.mell._HVÓBKI_Mérleg2020'!I142+'1.4.mell._HKK_Mérleg2020'!I142+'1.5._mell._MŐSZ_Mérleg2020'!I142+'1.6._mell._HVGYKCSSZ_Mérleg2020'!I142</f>
        <v>0</v>
      </c>
      <c r="M142" s="4">
        <f t="shared" si="7"/>
        <v>0</v>
      </c>
    </row>
    <row r="143" spans="1:14">
      <c r="A143" s="85" t="s">
        <v>265</v>
      </c>
      <c r="B143" s="67" t="s">
        <v>150</v>
      </c>
      <c r="C143" s="396">
        <f>+'1.1.mell._ÖNK_Mérleg2020'!C143+'1.2.mell._HKÖH_Mérleg2020'!C143+'1.3.mell._HVÓBKI_Mérleg2020'!C143+'1.4.mell._HKK_Mérleg2020'!C143+'1.5._mell._MŐSZ_Mérleg2020'!C143+'1.6._mell._HVGYKCSSZ_Mérleg2020'!C143</f>
        <v>0</v>
      </c>
      <c r="D143" s="1064">
        <f>+'1.1.mell._ÖNK_Mérleg2020'!D143+'1.2.mell._HKÖH_Mérleg2020'!D143+'1.3.mell._HVÓBKI_Mérleg2020'!D143+'1.4.mell._HKK_Mérleg2020'!D143+'1.5._mell._MŐSZ_Mérleg2020'!D143+'1.6._mell._HVGYKCSSZ_Mérleg2020'!D143</f>
        <v>0</v>
      </c>
      <c r="E143" s="1064">
        <f>+'1.1.mell._ÖNK_Mérleg2020'!E143+'1.2.mell._HKÖH_Mérleg2020'!E143+'1.3.mell._HVÓBKI_Mérleg2020'!E143+'1.4.mell._HKK_Mérleg2020'!E143+'1.5._mell._MŐSZ_Mérleg2020'!E143+'1.6._mell._HVGYKCSSZ_Mérleg2020'!E143</f>
        <v>0</v>
      </c>
      <c r="F143" s="1296" t="str">
        <f t="shared" si="5"/>
        <v>-</v>
      </c>
      <c r="G143" s="20">
        <f>+'1.1.mell._ÖNK_Mérleg2020'!G143+'1.2.mell._HKÖH_Mérleg2020'!G143+'1.3.mell._HVÓBKI_Mérleg2020'!G143+'1.4.mell._HKK_Mérleg2020'!G143+'1.5._mell._MŐSZ_Mérleg2020'!G143+'1.6._mell._HVGYKCSSZ_Mérleg2020'!G143</f>
        <v>0</v>
      </c>
      <c r="H143" s="11">
        <f>+'1.1.mell._ÖNK_Mérleg2020'!H143+'1.2.mell._HKÖH_Mérleg2020'!H143+'1.3.mell._HVÓBKI_Mérleg2020'!H143+'1.4.mell._HKK_Mérleg2020'!H143+'1.5._mell._MŐSZ_Mérleg2020'!H143+'1.6._mell._HVGYKCSSZ_Mérleg2020'!H143</f>
        <v>0</v>
      </c>
      <c r="I143" s="16">
        <f>+'1.1.mell._ÖNK_Mérleg2020'!I143+'1.2.mell._HKÖH_Mérleg2020'!I143+'1.3.mell._HVÓBKI_Mérleg2020'!I143+'1.4.mell._HKK_Mérleg2020'!I143+'1.5._mell._MŐSZ_Mérleg2020'!I143+'1.6._mell._HVGYKCSSZ_Mérleg2020'!I143</f>
        <v>0</v>
      </c>
      <c r="M143" s="4">
        <f t="shared" si="7"/>
        <v>0</v>
      </c>
    </row>
    <row r="144" spans="1:14">
      <c r="A144" s="85" t="s">
        <v>266</v>
      </c>
      <c r="B144" s="67" t="s">
        <v>920</v>
      </c>
      <c r="C144" s="396">
        <f>+'1.1.mell._ÖNK_Mérleg2020'!C144+'1.2.mell._HKÖH_Mérleg2020'!C144+'1.3.mell._HVÓBKI_Mérleg2020'!C144+'1.4.mell._HKK_Mérleg2020'!C144+'1.5._mell._MŐSZ_Mérleg2020'!C144+'1.6._mell._HVGYKCSSZ_Mérleg2020'!C144</f>
        <v>0</v>
      </c>
      <c r="D144" s="1064">
        <f>+'1.1.mell._ÖNK_Mérleg2020'!D144+'1.2.mell._HKÖH_Mérleg2020'!D144+'1.3.mell._HVÓBKI_Mérleg2020'!D144+'1.4.mell._HKK_Mérleg2020'!D144+'1.5._mell._MŐSZ_Mérleg2020'!D144+'1.6._mell._HVGYKCSSZ_Mérleg2020'!D144</f>
        <v>0</v>
      </c>
      <c r="E144" s="1064">
        <f>+'1.1.mell._ÖNK_Mérleg2020'!E144+'1.2.mell._HKÖH_Mérleg2020'!E144+'1.3.mell._HVÓBKI_Mérleg2020'!E144+'1.4.mell._HKK_Mérleg2020'!E144+'1.5._mell._MŐSZ_Mérleg2020'!E144+'1.6._mell._HVGYKCSSZ_Mérleg2020'!E144</f>
        <v>0</v>
      </c>
      <c r="F144" s="1296" t="str">
        <f t="shared" si="5"/>
        <v>-</v>
      </c>
      <c r="G144" s="20">
        <f>+'1.1.mell._ÖNK_Mérleg2020'!G144+'1.2.mell._HKÖH_Mérleg2020'!G144+'1.3.mell._HVÓBKI_Mérleg2020'!G144+'1.4.mell._HKK_Mérleg2020'!G144+'1.5._mell._MŐSZ_Mérleg2020'!G144+'1.6._mell._HVGYKCSSZ_Mérleg2020'!G144</f>
        <v>0</v>
      </c>
      <c r="H144" s="11">
        <f>+'1.1.mell._ÖNK_Mérleg2020'!H144+'1.2.mell._HKÖH_Mérleg2020'!H144+'1.3.mell._HVÓBKI_Mérleg2020'!H144+'1.4.mell._HKK_Mérleg2020'!H144+'1.5._mell._MŐSZ_Mérleg2020'!H144+'1.6._mell._HVGYKCSSZ_Mérleg2020'!H144</f>
        <v>0</v>
      </c>
      <c r="I144" s="16">
        <f>+'1.1.mell._ÖNK_Mérleg2020'!I144+'1.2.mell._HKÖH_Mérleg2020'!I144+'1.3.mell._HVÓBKI_Mérleg2020'!I144+'1.4.mell._HKK_Mérleg2020'!I144+'1.5._mell._MŐSZ_Mérleg2020'!I144+'1.6._mell._HVGYKCSSZ_Mérleg2020'!I144</f>
        <v>0</v>
      </c>
      <c r="M144" s="4">
        <f t="shared" si="7"/>
        <v>0</v>
      </c>
    </row>
    <row r="145" spans="1:14">
      <c r="A145" s="85" t="s">
        <v>267</v>
      </c>
      <c r="B145" s="67" t="s">
        <v>921</v>
      </c>
      <c r="C145" s="396">
        <f>+'1.1.mell._ÖNK_Mérleg2020'!C145+'1.2.mell._HKÖH_Mérleg2020'!C145+'1.3.mell._HVÓBKI_Mérleg2020'!C145+'1.4.mell._HKK_Mérleg2020'!C145+'1.5._mell._MŐSZ_Mérleg2020'!C145+'1.6._mell._HVGYKCSSZ_Mérleg2020'!C145</f>
        <v>51350</v>
      </c>
      <c r="D145" s="1064">
        <f>+'1.1.mell._ÖNK_Mérleg2020'!D145+'1.2.mell._HKÖH_Mérleg2020'!D145+'1.3.mell._HVÓBKI_Mérleg2020'!D145+'1.4.mell._HKK_Mérleg2020'!D145+'1.5._mell._MŐSZ_Mérleg2020'!D145+'1.6._mell._HVGYKCSSZ_Mérleg2020'!D145</f>
        <v>70796</v>
      </c>
      <c r="E145" s="1064">
        <f>+'1.1.mell._ÖNK_Mérleg2020'!E145+'1.2.mell._HKÖH_Mérleg2020'!E145+'1.3.mell._HVÓBKI_Mérleg2020'!E145+'1.4.mell._HKK_Mérleg2020'!E145+'1.5._mell._MŐSZ_Mérleg2020'!E145+'1.6._mell._HVGYKCSSZ_Mérleg2020'!E145</f>
        <v>69652</v>
      </c>
      <c r="F145" s="1296">
        <f t="shared" si="5"/>
        <v>0.98384089496581728</v>
      </c>
      <c r="G145" s="20">
        <f>+'1.1.mell._ÖNK_Mérleg2020'!G145+'1.2.mell._HKÖH_Mérleg2020'!G145+'1.3.mell._HVÓBKI_Mérleg2020'!G145+'1.4.mell._HKK_Mérleg2020'!G145+'1.5._mell._MŐSZ_Mérleg2020'!G145+'1.6._mell._HVGYKCSSZ_Mérleg2020'!G145</f>
        <v>69131</v>
      </c>
      <c r="H145" s="11">
        <f>+'1.1.mell._ÖNK_Mérleg2020'!H145+'1.2.mell._HKÖH_Mérleg2020'!H145+'1.3.mell._HVÓBKI_Mérleg2020'!H145+'1.4.mell._HKK_Mérleg2020'!H145+'1.5._mell._MŐSZ_Mérleg2020'!H145+'1.6._mell._HVGYKCSSZ_Mérleg2020'!H145</f>
        <v>521</v>
      </c>
      <c r="I145" s="16">
        <f>+'1.1.mell._ÖNK_Mérleg2020'!I145+'1.2.mell._HKÖH_Mérleg2020'!I145+'1.3.mell._HVÓBKI_Mérleg2020'!I145+'1.4.mell._HKK_Mérleg2020'!I145+'1.5._mell._MŐSZ_Mérleg2020'!I145+'1.6._mell._HVGYKCSSZ_Mérleg2020'!I145</f>
        <v>0</v>
      </c>
      <c r="M145" s="4">
        <f t="shared" si="7"/>
        <v>0</v>
      </c>
      <c r="N145" s="13"/>
    </row>
    <row r="146" spans="1:14">
      <c r="A146" s="78" t="s">
        <v>916</v>
      </c>
      <c r="B146" s="68" t="s">
        <v>922</v>
      </c>
      <c r="C146" s="397">
        <f>+C147+C148</f>
        <v>2647925</v>
      </c>
      <c r="D146" s="1065">
        <f>+D147+D148</f>
        <v>2324083</v>
      </c>
      <c r="E146" s="1065">
        <f>+E147+E148</f>
        <v>0</v>
      </c>
      <c r="F146" s="1298">
        <f t="shared" si="5"/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M146" s="4">
        <f t="shared" si="7"/>
        <v>0</v>
      </c>
      <c r="N146" s="13"/>
    </row>
    <row r="147" spans="1:14" s="13" customFormat="1">
      <c r="A147" s="89" t="s">
        <v>917</v>
      </c>
      <c r="B147" s="74" t="s">
        <v>923</v>
      </c>
      <c r="C147" s="395">
        <f>+'1.1.mell._ÖNK_Mérleg2020'!C147+'1.2.mell._HKÖH_Mérleg2020'!C147+'1.3.mell._HVÓBKI_Mérleg2020'!C147+'1.4.mell._HKK_Mérleg2020'!C147+'1.5._mell._MŐSZ_Mérleg2020'!C147+'1.6._mell._HVGYKCSSZ_Mérleg2020'!C147</f>
        <v>15000</v>
      </c>
      <c r="D147" s="1066">
        <f>+'1.1.mell._ÖNK_Mérleg2020'!D147+'1.2.mell._HKÖH_Mérleg2020'!D147+'1.3.mell._HVÓBKI_Mérleg2020'!D147+'1.4.mell._HKK_Mérleg2020'!D147+'1.5._mell._MŐSZ_Mérleg2020'!D147+'1.6._mell._HVGYKCSSZ_Mérleg2020'!D147</f>
        <v>2324083</v>
      </c>
      <c r="E147" s="1066">
        <f>+'1.1.mell._ÖNK_Mérleg2020'!E147+'1.2.mell._HKÖH_Mérleg2020'!E147+'1.3.mell._HVÓBKI_Mérleg2020'!E147+'1.4.mell._HKK_Mérleg2020'!E147+'1.5._mell._MŐSZ_Mérleg2020'!E147+'1.6._mell._HVGYKCSSZ_Mérleg2020'!E147</f>
        <v>0</v>
      </c>
      <c r="F147" s="1298">
        <f t="shared" si="5"/>
        <v>0</v>
      </c>
      <c r="G147" s="45">
        <f>+'1.1.mell._ÖNK_Mérleg2020'!G147+'1.2.mell._HKÖH_Mérleg2020'!G147+'1.3.mell._HVÓBKI_Mérleg2020'!G147+'1.4.mell._HKK_Mérleg2020'!G147+'1.5._mell._MŐSZ_Mérleg2020'!G147+'1.6._mell._HVGYKCSSZ_Mérleg2020'!G147</f>
        <v>0</v>
      </c>
      <c r="H147" s="43">
        <f>+'1.1.mell._ÖNK_Mérleg2020'!H147+'1.2.mell._HKÖH_Mérleg2020'!H147+'1.3.mell._HVÓBKI_Mérleg2020'!H147+'1.4.mell._HKK_Mérleg2020'!H147+'1.5._mell._MŐSZ_Mérleg2020'!H147+'1.6._mell._HVGYKCSSZ_Mérleg2020'!H147</f>
        <v>0</v>
      </c>
      <c r="I147" s="44">
        <f>+'1.1.mell._ÖNK_Mérleg2020'!I147+'1.2.mell._HKÖH_Mérleg2020'!I147+'1.3.mell._HVÓBKI_Mérleg2020'!I147+'1.4.mell._HKK_Mérleg2020'!I147+'1.5._mell._MŐSZ_Mérleg2020'!I147+'1.6._mell._HVGYKCSSZ_Mérleg2020'!I147</f>
        <v>0</v>
      </c>
      <c r="M147" s="13">
        <f t="shared" si="7"/>
        <v>0</v>
      </c>
      <c r="N147" s="3"/>
    </row>
    <row r="148" spans="1:14" s="13" customFormat="1" ht="12.75" thickBot="1">
      <c r="A148" s="89" t="s">
        <v>918</v>
      </c>
      <c r="B148" s="74" t="s">
        <v>924</v>
      </c>
      <c r="C148" s="395">
        <f>+'1.1.mell._ÖNK_Mérleg2020'!C148+'1.2.mell._HKÖH_Mérleg2020'!C148+'1.3.mell._HVÓBKI_Mérleg2020'!C148+'1.4.mell._HKK_Mérleg2020'!C148+'1.5._mell._MŐSZ_Mérleg2020'!C148+'1.6._mell._HVGYKCSSZ_Mérleg2020'!C148</f>
        <v>2632925</v>
      </c>
      <c r="D148" s="1066">
        <f>+'1.1.mell._ÖNK_Mérleg2020'!D148+'1.2.mell._HKÖH_Mérleg2020'!D148+'1.3.mell._HVÓBKI_Mérleg2020'!D148+'1.4.mell._HKK_Mérleg2020'!D148+'1.5._mell._MŐSZ_Mérleg2020'!D148+'1.6._mell._HVGYKCSSZ_Mérleg2020'!D148</f>
        <v>0</v>
      </c>
      <c r="E148" s="1066">
        <f>+'1.1.mell._ÖNK_Mérleg2020'!E148+'1.2.mell._HKÖH_Mérleg2020'!E148+'1.3.mell._HVÓBKI_Mérleg2020'!E148+'1.4.mell._HKK_Mérleg2020'!E148+'1.5._mell._MŐSZ_Mérleg2020'!E148+'1.6._mell._HVGYKCSSZ_Mérleg2020'!E148</f>
        <v>0</v>
      </c>
      <c r="F148" s="1298" t="str">
        <f t="shared" si="5"/>
        <v>-</v>
      </c>
      <c r="G148" s="45">
        <f>+'1.1.mell._ÖNK_Mérleg2020'!G148+'1.2.mell._HKÖH_Mérleg2020'!G148+'1.3.mell._HVÓBKI_Mérleg2020'!G148+'1.4.mell._HKK_Mérleg2020'!G148+'1.5._mell._MŐSZ_Mérleg2020'!G148+'1.6._mell._HVGYKCSSZ_Mérleg2020'!G148</f>
        <v>0</v>
      </c>
      <c r="H148" s="43">
        <f>+'1.1.mell._ÖNK_Mérleg2020'!H148+'1.2.mell._HKÖH_Mérleg2020'!H148+'1.3.mell._HVÓBKI_Mérleg2020'!H148+'1.4.mell._HKK_Mérleg2020'!H148+'1.5._mell._MŐSZ_Mérleg2020'!H148+'1.6._mell._HVGYKCSSZ_Mérleg2020'!H148</f>
        <v>0</v>
      </c>
      <c r="I148" s="44">
        <f>+'1.1.mell._ÖNK_Mérleg2020'!I148+'1.2.mell._HKÖH_Mérleg2020'!I148+'1.3.mell._HVÓBKI_Mérleg2020'!I148+'1.4.mell._HKK_Mérleg2020'!I148+'1.5._mell._MŐSZ_Mérleg2020'!I148+'1.6._mell._HVGYKCSSZ_Mérleg2020'!I148</f>
        <v>0</v>
      </c>
      <c r="M148" s="13">
        <f t="shared" si="7"/>
        <v>0</v>
      </c>
      <c r="N148" s="3"/>
    </row>
    <row r="149" spans="1:14" s="3" customFormat="1" ht="12.75" thickBot="1">
      <c r="A149" s="83" t="s">
        <v>14</v>
      </c>
      <c r="B149" s="69" t="s">
        <v>310</v>
      </c>
      <c r="C149" s="129">
        <f>+C150+C159+C165</f>
        <v>503980</v>
      </c>
      <c r="D149" s="1061">
        <f>+D150+D159+D165</f>
        <v>1347672</v>
      </c>
      <c r="E149" s="1061">
        <f>+E150+E159+E165</f>
        <v>1207455</v>
      </c>
      <c r="F149" s="1294">
        <f t="shared" si="5"/>
        <v>0.89595613769522553</v>
      </c>
      <c r="G149" s="27">
        <f>+G150+G159+G165</f>
        <v>1142056</v>
      </c>
      <c r="H149" s="28">
        <f>+H150+H159+H165</f>
        <v>65399</v>
      </c>
      <c r="I149" s="29">
        <f>+I150+I159+I165</f>
        <v>0</v>
      </c>
      <c r="J149" s="655">
        <f>+C149/$C$208</f>
        <v>0.11068762142628417</v>
      </c>
      <c r="K149" s="655">
        <f>+D149/$D$208</f>
        <v>0.23260131234257186</v>
      </c>
      <c r="L149" s="655">
        <f>+E149/$E$208</f>
        <v>0.37842072174337638</v>
      </c>
      <c r="M149" s="3">
        <f t="shared" si="7"/>
        <v>0</v>
      </c>
      <c r="N149" s="36"/>
    </row>
    <row r="150" spans="1:14" s="3" customFormat="1" ht="12.75" thickBot="1">
      <c r="A150" s="83" t="s">
        <v>13</v>
      </c>
      <c r="B150" s="64" t="s">
        <v>311</v>
      </c>
      <c r="C150" s="129">
        <f>+C152+C153+C154+C155+C156+C157+C158</f>
        <v>436722</v>
      </c>
      <c r="D150" s="1061">
        <f>+D152+D153+D154+D155+D156+D157+D158</f>
        <v>807961</v>
      </c>
      <c r="E150" s="1061">
        <f>+E152+E153+E154+E155+E156+E157+E158</f>
        <v>704564</v>
      </c>
      <c r="F150" s="1294">
        <f t="shared" si="5"/>
        <v>0.87202723893851308</v>
      </c>
      <c r="G150" s="27">
        <f>+G152+G153+G154+G155+G156+G157+G158</f>
        <v>639165</v>
      </c>
      <c r="H150" s="28">
        <f>+H152+H153+H154+H155+H156+H157+H158</f>
        <v>65399</v>
      </c>
      <c r="I150" s="29">
        <f>+I152+I153+I154+I155+I156+I157+I158</f>
        <v>0</v>
      </c>
      <c r="J150" s="655">
        <f>+C150/$C$208</f>
        <v>9.5915947864061421E-2</v>
      </c>
      <c r="K150" s="655">
        <f>+D150/$D$208</f>
        <v>0.13944994696158763</v>
      </c>
      <c r="L150" s="655">
        <f>+E150/$E$208</f>
        <v>0.22081288113793079</v>
      </c>
      <c r="M150" s="3">
        <f t="shared" si="7"/>
        <v>0</v>
      </c>
      <c r="N150" s="4"/>
    </row>
    <row r="151" spans="1:14" s="36" customFormat="1">
      <c r="A151" s="752" t="s">
        <v>926</v>
      </c>
      <c r="B151" s="753" t="s">
        <v>341</v>
      </c>
      <c r="C151" s="1073">
        <f>+'1.1.mell._ÖNK_Mérleg2020'!C151+'1.2.mell._HKÖH_Mérleg2020'!C151+'1.3.mell._HVÓBKI_Mérleg2020'!C151+'1.4.mell._HKK_Mérleg2020'!C151+'1.5._mell._MŐSZ_Mérleg2020'!C151+'1.6._mell._HVGYKCSSZ_Mérleg2020'!C151</f>
        <v>0</v>
      </c>
      <c r="D151" s="1074">
        <f>+'1.1.mell._ÖNK_Mérleg2020'!D151+'1.2.mell._HKÖH_Mérleg2020'!D151+'1.3.mell._HVÓBKI_Mérleg2020'!D151+'1.4.mell._HKK_Mérleg2020'!D151+'1.5._mell._MŐSZ_Mérleg2020'!D151+'1.6._mell._HVGYKCSSZ_Mérleg2020'!D151</f>
        <v>513829</v>
      </c>
      <c r="E151" s="1074">
        <f>+'1.1.mell._ÖNK_Mérleg2020'!E151+'1.2.mell._HKÖH_Mérleg2020'!E151+'1.3.mell._HVÓBKI_Mérleg2020'!E151+'1.4.mell._HKK_Mérleg2020'!E151+'1.5._mell._MŐSZ_Mérleg2020'!E151+'1.6._mell._HVGYKCSSZ_Mérleg2020'!E151</f>
        <v>513829</v>
      </c>
      <c r="F151" s="1304">
        <f t="shared" si="5"/>
        <v>1</v>
      </c>
      <c r="G151" s="96">
        <f>+'1.1.mell._ÖNK_Mérleg2020'!G151+'1.2.mell._HKÖH_Mérleg2020'!G151+'1.3.mell._HVÓBKI_Mérleg2020'!G151+'1.4.mell._HKK_Mérleg2020'!G151+'1.5._mell._MŐSZ_Mérleg2020'!G151+'1.6._mell._HVGYKCSSZ_Mérleg2020'!G151</f>
        <v>513829</v>
      </c>
      <c r="H151" s="97">
        <f>+'1.1.mell._ÖNK_Mérleg2020'!H151+'1.2.mell._HKÖH_Mérleg2020'!H151+'1.3.mell._HVÓBKI_Mérleg2020'!H151+'1.4.mell._HKK_Mérleg2020'!H151+'1.5._mell._MŐSZ_Mérleg2020'!H151+'1.6._mell._HVGYKCSSZ_Mérleg2020'!H151</f>
        <v>0</v>
      </c>
      <c r="I151" s="98">
        <f>+'1.1.mell._ÖNK_Mérleg2020'!I151+'1.2.mell._HKÖH_Mérleg2020'!I151+'1.3.mell._HVÓBKI_Mérleg2020'!I151+'1.4.mell._HKK_Mérleg2020'!I151+'1.5._mell._MŐSZ_Mérleg2020'!I151+'1.6._mell._HVGYKCSSZ_Mérleg2020'!I151</f>
        <v>0</v>
      </c>
      <c r="M151" s="36">
        <f t="shared" si="7"/>
        <v>0</v>
      </c>
      <c r="N151" s="4"/>
    </row>
    <row r="152" spans="1:14">
      <c r="A152" s="84" t="s">
        <v>66</v>
      </c>
      <c r="B152" s="65" t="s">
        <v>151</v>
      </c>
      <c r="C152" s="398">
        <f>+'1.1.mell._ÖNK_Mérleg2020'!C152+'1.2.mell._HKÖH_Mérleg2020'!C152+'1.3.mell._HVÓBKI_Mérleg2020'!C152+'1.4.mell._HKK_Mérleg2020'!C152+'1.5._mell._MŐSZ_Mérleg2020'!C152+'1.6._mell._HVGYKCSSZ_Mérleg2020'!C152</f>
        <v>11811</v>
      </c>
      <c r="D152" s="1062">
        <f>+'1.1.mell._ÖNK_Mérleg2020'!D152+'1.2.mell._HKÖH_Mérleg2020'!D152+'1.3.mell._HVÓBKI_Mérleg2020'!D152+'1.4.mell._HKK_Mérleg2020'!D152+'1.5._mell._MŐSZ_Mérleg2020'!D152+'1.6._mell._HVGYKCSSZ_Mérleg2020'!D152</f>
        <v>1043</v>
      </c>
      <c r="E152" s="1062">
        <f>+'1.1.mell._ÖNK_Mérleg2020'!E152+'1.2.mell._HKÖH_Mérleg2020'!E152+'1.3.mell._HVÓBKI_Mérleg2020'!E152+'1.4.mell._HKK_Mérleg2020'!E152+'1.5._mell._MŐSZ_Mérleg2020'!E152+'1.6._mell._HVGYKCSSZ_Mérleg2020'!E152</f>
        <v>1043</v>
      </c>
      <c r="F152" s="1295">
        <f t="shared" si="5"/>
        <v>1</v>
      </c>
      <c r="G152" s="34">
        <f>+'1.1.mell._ÖNK_Mérleg2020'!G152+'1.2.mell._HKÖH_Mérleg2020'!G152+'1.3.mell._HVÓBKI_Mérleg2020'!G152+'1.4.mell._HKK_Mérleg2020'!G152+'1.5._mell._MŐSZ_Mérleg2020'!G152+'1.6._mell._HVGYKCSSZ_Mérleg2020'!G152</f>
        <v>1043</v>
      </c>
      <c r="H152" s="10">
        <f>+'1.1.mell._ÖNK_Mérleg2020'!H152+'1.2.mell._HKÖH_Mérleg2020'!H152+'1.3.mell._HVÓBKI_Mérleg2020'!H152+'1.4.mell._HKK_Mérleg2020'!H152+'1.5._mell._MŐSZ_Mérleg2020'!H152+'1.6._mell._HVGYKCSSZ_Mérleg2020'!H152</f>
        <v>0</v>
      </c>
      <c r="I152" s="35">
        <f>+'1.1.mell._ÖNK_Mérleg2020'!I152+'1.2.mell._HKÖH_Mérleg2020'!I152+'1.3.mell._HVÓBKI_Mérleg2020'!I152+'1.4.mell._HKK_Mérleg2020'!I152+'1.5._mell._MŐSZ_Mérleg2020'!I152+'1.6._mell._HVGYKCSSZ_Mérleg2020'!I152</f>
        <v>0</v>
      </c>
      <c r="M152" s="4">
        <f t="shared" si="7"/>
        <v>0</v>
      </c>
    </row>
    <row r="153" spans="1:14">
      <c r="A153" s="85" t="s">
        <v>67</v>
      </c>
      <c r="B153" s="67" t="s">
        <v>152</v>
      </c>
      <c r="C153" s="396">
        <f>+'1.1.mell._ÖNK_Mérleg2020'!C153+'1.2.mell._HKÖH_Mérleg2020'!C153+'1.3.mell._HVÓBKI_Mérleg2020'!C153+'1.4.mell._HKK_Mérleg2020'!C153+'1.5._mell._MŐSZ_Mérleg2020'!C153+'1.6._mell._HVGYKCSSZ_Mérleg2020'!C153</f>
        <v>328543</v>
      </c>
      <c r="D153" s="1064">
        <f>+'1.1.mell._ÖNK_Mérleg2020'!D153+'1.2.mell._HKÖH_Mérleg2020'!D153+'1.3.mell._HVÓBKI_Mérleg2020'!D153+'1.4.mell._HKK_Mérleg2020'!D153+'1.5._mell._MŐSZ_Mérleg2020'!D153+'1.6._mell._HVGYKCSSZ_Mérleg2020'!D153</f>
        <v>680108</v>
      </c>
      <c r="E153" s="1064">
        <f>+'1.1.mell._ÖNK_Mérleg2020'!E153+'1.2.mell._HKÖH_Mérleg2020'!E153+'1.3.mell._HVÓBKI_Mérleg2020'!E153+'1.4.mell._HKK_Mérleg2020'!E153+'1.5._mell._MŐSZ_Mérleg2020'!E153+'1.6._mell._HVGYKCSSZ_Mérleg2020'!E153</f>
        <v>583319</v>
      </c>
      <c r="F153" s="1296">
        <f t="shared" si="5"/>
        <v>0.85768583813159083</v>
      </c>
      <c r="G153" s="20">
        <f>+'1.1.mell._ÖNK_Mérleg2020'!G153+'1.2.mell._HKÖH_Mérleg2020'!G153+'1.3.mell._HVÓBKI_Mérleg2020'!G153+'1.4.mell._HKK_Mérleg2020'!G153+'1.5._mell._MŐSZ_Mérleg2020'!G153+'1.6._mell._HVGYKCSSZ_Mérleg2020'!G153</f>
        <v>529257</v>
      </c>
      <c r="H153" s="11">
        <f>+'1.1.mell._ÖNK_Mérleg2020'!H153+'1.2.mell._HKÖH_Mérleg2020'!H153+'1.3.mell._HVÓBKI_Mérleg2020'!H153+'1.4.mell._HKK_Mérleg2020'!H153+'1.5._mell._MŐSZ_Mérleg2020'!H153+'1.6._mell._HVGYKCSSZ_Mérleg2020'!H153</f>
        <v>54062</v>
      </c>
      <c r="I153" s="16">
        <f>+'1.1.mell._ÖNK_Mérleg2020'!I153+'1.2.mell._HKÖH_Mérleg2020'!I153+'1.3.mell._HVÓBKI_Mérleg2020'!I153+'1.4.mell._HKK_Mérleg2020'!I153+'1.5._mell._MŐSZ_Mérleg2020'!I153+'1.6._mell._HVGYKCSSZ_Mérleg2020'!I153</f>
        <v>0</v>
      </c>
      <c r="M153" s="4">
        <f t="shared" si="7"/>
        <v>0</v>
      </c>
    </row>
    <row r="154" spans="1:14">
      <c r="A154" s="85" t="s">
        <v>68</v>
      </c>
      <c r="B154" s="67" t="s">
        <v>153</v>
      </c>
      <c r="C154" s="396">
        <f>+'1.1.mell._ÖNK_Mérleg2020'!C154+'1.2.mell._HKÖH_Mérleg2020'!C154+'1.3.mell._HVÓBKI_Mérleg2020'!C154+'1.4.mell._HKK_Mérleg2020'!C154+'1.5._mell._MŐSZ_Mérleg2020'!C154+'1.6._mell._HVGYKCSSZ_Mérleg2020'!C154</f>
        <v>3700</v>
      </c>
      <c r="D154" s="1064">
        <f>+'1.1.mell._ÖNK_Mérleg2020'!D154+'1.2.mell._HKÖH_Mérleg2020'!D154+'1.3.mell._HVÓBKI_Mérleg2020'!D154+'1.4.mell._HKK_Mérleg2020'!D154+'1.5._mell._MŐSZ_Mérleg2020'!D154+'1.6._mell._HVGYKCSSZ_Mérleg2020'!D154</f>
        <v>1356</v>
      </c>
      <c r="E154" s="1064">
        <f>+'1.1.mell._ÖNK_Mérleg2020'!E154+'1.2.mell._HKÖH_Mérleg2020'!E154+'1.3.mell._HVÓBKI_Mérleg2020'!E154+'1.4.mell._HKK_Mérleg2020'!E154+'1.5._mell._MŐSZ_Mérleg2020'!E154+'1.6._mell._HVGYKCSSZ_Mérleg2020'!E154</f>
        <v>1356</v>
      </c>
      <c r="F154" s="1296">
        <f t="shared" si="5"/>
        <v>1</v>
      </c>
      <c r="G154" s="20">
        <f>+'1.1.mell._ÖNK_Mérleg2020'!G154+'1.2.mell._HKÖH_Mérleg2020'!G154+'1.3.mell._HVÓBKI_Mérleg2020'!G154+'1.4.mell._HKK_Mérleg2020'!G154+'1.5._mell._MŐSZ_Mérleg2020'!G154+'1.6._mell._HVGYKCSSZ_Mérleg2020'!G154</f>
        <v>1356</v>
      </c>
      <c r="H154" s="11">
        <f>+'1.1.mell._ÖNK_Mérleg2020'!H154+'1.2.mell._HKÖH_Mérleg2020'!H154+'1.3.mell._HVÓBKI_Mérleg2020'!H154+'1.4.mell._HKK_Mérleg2020'!H154+'1.5._mell._MŐSZ_Mérleg2020'!H154+'1.6._mell._HVGYKCSSZ_Mérleg2020'!H154</f>
        <v>0</v>
      </c>
      <c r="I154" s="16">
        <f>+'1.1.mell._ÖNK_Mérleg2020'!I154+'1.2.mell._HKÖH_Mérleg2020'!I154+'1.3.mell._HVÓBKI_Mérleg2020'!I154+'1.4.mell._HKK_Mérleg2020'!I154+'1.5._mell._MŐSZ_Mérleg2020'!I154+'1.6._mell._HVGYKCSSZ_Mérleg2020'!I154</f>
        <v>0</v>
      </c>
      <c r="M154" s="4">
        <f t="shared" si="7"/>
        <v>0</v>
      </c>
    </row>
    <row r="155" spans="1:14">
      <c r="A155" s="85" t="s">
        <v>229</v>
      </c>
      <c r="B155" s="67" t="s">
        <v>154</v>
      </c>
      <c r="C155" s="396">
        <f>+'1.1.mell._ÖNK_Mérleg2020'!C155+'1.2.mell._HKÖH_Mérleg2020'!C155+'1.3.mell._HVÓBKI_Mérleg2020'!C155+'1.4.mell._HKK_Mérleg2020'!C155+'1.5._mell._MŐSZ_Mérleg2020'!C155+'1.6._mell._HVGYKCSSZ_Mérleg2020'!C155</f>
        <v>10449</v>
      </c>
      <c r="D155" s="1064">
        <f>+'1.1.mell._ÖNK_Mérleg2020'!D155+'1.2.mell._HKÖH_Mérleg2020'!D155+'1.3.mell._HVÓBKI_Mérleg2020'!D155+'1.4.mell._HKK_Mérleg2020'!D155+'1.5._mell._MŐSZ_Mérleg2020'!D155+'1.6._mell._HVGYKCSSZ_Mérleg2020'!D155</f>
        <v>72602</v>
      </c>
      <c r="E155" s="1064">
        <f>+'1.1.mell._ÖNK_Mérleg2020'!E155+'1.2.mell._HKÖH_Mérleg2020'!E155+'1.3.mell._HVÓBKI_Mérleg2020'!E155+'1.4.mell._HKK_Mérleg2020'!E155+'1.5._mell._MŐSZ_Mérleg2020'!E155+'1.6._mell._HVGYKCSSZ_Mérleg2020'!E155</f>
        <v>70275</v>
      </c>
      <c r="F155" s="1296">
        <f t="shared" si="5"/>
        <v>0.96794854136249686</v>
      </c>
      <c r="G155" s="20">
        <f>+'1.1.mell._ÖNK_Mérleg2020'!G155+'1.2.mell._HKÖH_Mérleg2020'!G155+'1.3.mell._HVÓBKI_Mérleg2020'!G155+'1.4.mell._HKK_Mérleg2020'!G155+'1.5._mell._MŐSZ_Mérleg2020'!G155+'1.6._mell._HVGYKCSSZ_Mérleg2020'!G155</f>
        <v>68075</v>
      </c>
      <c r="H155" s="11">
        <f>+'1.1.mell._ÖNK_Mérleg2020'!H155+'1.2.mell._HKÖH_Mérleg2020'!H155+'1.3.mell._HVÓBKI_Mérleg2020'!H155+'1.4.mell._HKK_Mérleg2020'!H155+'1.5._mell._MŐSZ_Mérleg2020'!H155+'1.6._mell._HVGYKCSSZ_Mérleg2020'!H155</f>
        <v>2200</v>
      </c>
      <c r="I155" s="16">
        <f>+'1.1.mell._ÖNK_Mérleg2020'!I155+'1.2.mell._HKÖH_Mérleg2020'!I155+'1.3.mell._HVÓBKI_Mérleg2020'!I155+'1.4.mell._HKK_Mérleg2020'!I155+'1.5._mell._MŐSZ_Mérleg2020'!I155+'1.6._mell._HVGYKCSSZ_Mérleg2020'!I155</f>
        <v>0</v>
      </c>
      <c r="M155" s="4">
        <f t="shared" si="7"/>
        <v>0</v>
      </c>
    </row>
    <row r="156" spans="1:14">
      <c r="A156" s="85" t="s">
        <v>230</v>
      </c>
      <c r="B156" s="67" t="s">
        <v>155</v>
      </c>
      <c r="C156" s="396">
        <f>+'1.1.mell._ÖNK_Mérleg2020'!C156+'1.2.mell._HKÖH_Mérleg2020'!C156+'1.3.mell._HVÓBKI_Mérleg2020'!C156+'1.4.mell._HKK_Mérleg2020'!C156+'1.5._mell._MŐSZ_Mérleg2020'!C156+'1.6._mell._HVGYKCSSZ_Mérleg2020'!C156</f>
        <v>0</v>
      </c>
      <c r="D156" s="1064">
        <f>+'1.1.mell._ÖNK_Mérleg2020'!D156+'1.2.mell._HKÖH_Mérleg2020'!D156+'1.3.mell._HVÓBKI_Mérleg2020'!D156+'1.4.mell._HKK_Mérleg2020'!D156+'1.5._mell._MŐSZ_Mérleg2020'!D156+'1.6._mell._HVGYKCSSZ_Mérleg2020'!D156</f>
        <v>6000</v>
      </c>
      <c r="E156" s="1064">
        <f>+'1.1.mell._ÖNK_Mérleg2020'!E156+'1.2.mell._HKÖH_Mérleg2020'!E156+'1.3.mell._HVÓBKI_Mérleg2020'!E156+'1.4.mell._HKK_Mérleg2020'!E156+'1.5._mell._MŐSZ_Mérleg2020'!E156+'1.6._mell._HVGYKCSSZ_Mérleg2020'!E156</f>
        <v>6000</v>
      </c>
      <c r="F156" s="1296">
        <f t="shared" si="5"/>
        <v>1</v>
      </c>
      <c r="G156" s="20">
        <f>+'1.1.mell._ÖNK_Mérleg2020'!G156+'1.2.mell._HKÖH_Mérleg2020'!G156+'1.3.mell._HVÓBKI_Mérleg2020'!G156+'1.4.mell._HKK_Mérleg2020'!G156+'1.5._mell._MŐSZ_Mérleg2020'!G156+'1.6._mell._HVGYKCSSZ_Mérleg2020'!G156</f>
        <v>6000</v>
      </c>
      <c r="H156" s="11">
        <f>+'1.1.mell._ÖNK_Mérleg2020'!H156+'1.2.mell._HKÖH_Mérleg2020'!H156+'1.3.mell._HVÓBKI_Mérleg2020'!H156+'1.4.mell._HKK_Mérleg2020'!H156+'1.5._mell._MŐSZ_Mérleg2020'!H156+'1.6._mell._HVGYKCSSZ_Mérleg2020'!H156</f>
        <v>0</v>
      </c>
      <c r="I156" s="16">
        <f>+'1.1.mell._ÖNK_Mérleg2020'!I156+'1.2.mell._HKÖH_Mérleg2020'!I156+'1.3.mell._HVÓBKI_Mérleg2020'!I156+'1.4.mell._HKK_Mérleg2020'!I156+'1.5._mell._MŐSZ_Mérleg2020'!I156+'1.6._mell._HVGYKCSSZ_Mérleg2020'!I156</f>
        <v>0</v>
      </c>
      <c r="M156" s="4">
        <f t="shared" si="7"/>
        <v>0</v>
      </c>
    </row>
    <row r="157" spans="1:14">
      <c r="A157" s="85" t="s">
        <v>268</v>
      </c>
      <c r="B157" s="67" t="s">
        <v>156</v>
      </c>
      <c r="C157" s="396">
        <f>+'1.1.mell._ÖNK_Mérleg2020'!C157+'1.2.mell._HKÖH_Mérleg2020'!C157+'1.3.mell._HVÓBKI_Mérleg2020'!C157+'1.4.mell._HKK_Mérleg2020'!C157+'1.5._mell._MŐSZ_Mérleg2020'!C157+'1.6._mell._HVGYKCSSZ_Mérleg2020'!C157</f>
        <v>0</v>
      </c>
      <c r="D157" s="1064">
        <f>+'1.1.mell._ÖNK_Mérleg2020'!D157+'1.2.mell._HKÖH_Mérleg2020'!D157+'1.3.mell._HVÓBKI_Mérleg2020'!D157+'1.4.mell._HKK_Mérleg2020'!D157+'1.5._mell._MŐSZ_Mérleg2020'!D157+'1.6._mell._HVGYKCSSZ_Mérleg2020'!D157</f>
        <v>0</v>
      </c>
      <c r="E157" s="1064">
        <f>+'1.1.mell._ÖNK_Mérleg2020'!E157+'1.2.mell._HKÖH_Mérleg2020'!E157+'1.3.mell._HVÓBKI_Mérleg2020'!E157+'1.4.mell._HKK_Mérleg2020'!E157+'1.5._mell._MŐSZ_Mérleg2020'!E157+'1.6._mell._HVGYKCSSZ_Mérleg2020'!E157</f>
        <v>0</v>
      </c>
      <c r="F157" s="1296" t="str">
        <f t="shared" si="5"/>
        <v>-</v>
      </c>
      <c r="G157" s="20">
        <f>+'1.1.mell._ÖNK_Mérleg2020'!G157+'1.2.mell._HKÖH_Mérleg2020'!G157+'1.3.mell._HVÓBKI_Mérleg2020'!G157+'1.4.mell._HKK_Mérleg2020'!G157+'1.5._mell._MŐSZ_Mérleg2020'!G157+'1.6._mell._HVGYKCSSZ_Mérleg2020'!G157</f>
        <v>0</v>
      </c>
      <c r="H157" s="11">
        <f>+'1.1.mell._ÖNK_Mérleg2020'!H157+'1.2.mell._HKÖH_Mérleg2020'!H157+'1.3.mell._HVÓBKI_Mérleg2020'!H157+'1.4.mell._HKK_Mérleg2020'!H157+'1.5._mell._MŐSZ_Mérleg2020'!H157+'1.6._mell._HVGYKCSSZ_Mérleg2020'!H157</f>
        <v>0</v>
      </c>
      <c r="I157" s="16">
        <f>+'1.1.mell._ÖNK_Mérleg2020'!I157+'1.2.mell._HKÖH_Mérleg2020'!I157+'1.3.mell._HVÓBKI_Mérleg2020'!I157+'1.4.mell._HKK_Mérleg2020'!I157+'1.5._mell._MŐSZ_Mérleg2020'!I157+'1.6._mell._HVGYKCSSZ_Mérleg2020'!I157</f>
        <v>0</v>
      </c>
      <c r="M157" s="4">
        <f t="shared" si="7"/>
        <v>0</v>
      </c>
      <c r="N157" s="3"/>
    </row>
    <row r="158" spans="1:14" ht="12.75" thickBot="1">
      <c r="A158" s="78" t="s">
        <v>269</v>
      </c>
      <c r="B158" s="68" t="s">
        <v>157</v>
      </c>
      <c r="C158" s="397">
        <f>+'1.1.mell._ÖNK_Mérleg2020'!C158+'1.2.mell._HKÖH_Mérleg2020'!C158+'1.3.mell._HVÓBKI_Mérleg2020'!C158+'1.4.mell._HKK_Mérleg2020'!C158+'1.5._mell._MŐSZ_Mérleg2020'!C158+'1.6._mell._HVGYKCSSZ_Mérleg2020'!C158</f>
        <v>82219</v>
      </c>
      <c r="D158" s="1065">
        <f>+'1.1.mell._ÖNK_Mérleg2020'!D158+'1.2.mell._HKÖH_Mérleg2020'!D158+'1.3.mell._HVÓBKI_Mérleg2020'!D158+'1.4.mell._HKK_Mérleg2020'!D158+'1.5._mell._MŐSZ_Mérleg2020'!D158+'1.6._mell._HVGYKCSSZ_Mérleg2020'!D158</f>
        <v>46852</v>
      </c>
      <c r="E158" s="1065">
        <f>+'1.1.mell._ÖNK_Mérleg2020'!E158+'1.2.mell._HKÖH_Mérleg2020'!E158+'1.3.mell._HVÓBKI_Mérleg2020'!E158+'1.4.mell._HKK_Mérleg2020'!E158+'1.5._mell._MŐSZ_Mérleg2020'!E158+'1.6._mell._HVGYKCSSZ_Mérleg2020'!E158</f>
        <v>42571</v>
      </c>
      <c r="F158" s="1298">
        <f t="shared" si="5"/>
        <v>0.9086271663963118</v>
      </c>
      <c r="G158" s="21">
        <f>+'1.1.mell._ÖNK_Mérleg2020'!G158+'1.2.mell._HKÖH_Mérleg2020'!G158+'1.3.mell._HVÓBKI_Mérleg2020'!G158+'1.4.mell._HKK_Mérleg2020'!G158+'1.5._mell._MŐSZ_Mérleg2020'!G158+'1.6._mell._HVGYKCSSZ_Mérleg2020'!G158</f>
        <v>33434</v>
      </c>
      <c r="H158" s="22">
        <f>+'1.1.mell._ÖNK_Mérleg2020'!H158+'1.2.mell._HKÖH_Mérleg2020'!H158+'1.3.mell._HVÓBKI_Mérleg2020'!H158+'1.4.mell._HKK_Mérleg2020'!H158+'1.5._mell._MŐSZ_Mérleg2020'!H158+'1.6._mell._HVGYKCSSZ_Mérleg2020'!H158</f>
        <v>9137</v>
      </c>
      <c r="I158" s="23">
        <f>+'1.1.mell._ÖNK_Mérleg2020'!I158+'1.2.mell._HKÖH_Mérleg2020'!I158+'1.3.mell._HVÓBKI_Mérleg2020'!I158+'1.4.mell._HKK_Mérleg2020'!I158+'1.5._mell._MŐSZ_Mérleg2020'!I158+'1.6._mell._HVGYKCSSZ_Mérleg2020'!I158</f>
        <v>0</v>
      </c>
      <c r="M158" s="4">
        <f t="shared" si="7"/>
        <v>0</v>
      </c>
      <c r="N158" s="36"/>
    </row>
    <row r="159" spans="1:14" s="3" customFormat="1" ht="12.75" thickBot="1">
      <c r="A159" s="83" t="s">
        <v>12</v>
      </c>
      <c r="B159" s="64" t="s">
        <v>312</v>
      </c>
      <c r="C159" s="129">
        <f>+C161+C162+C163+C164</f>
        <v>67258</v>
      </c>
      <c r="D159" s="1061">
        <f>+D161+D162+D163+D164</f>
        <v>539711</v>
      </c>
      <c r="E159" s="1061">
        <f>+E161+E162+E163+E164</f>
        <v>502891</v>
      </c>
      <c r="F159" s="1294">
        <f t="shared" si="5"/>
        <v>0.93177830357357916</v>
      </c>
      <c r="G159" s="27">
        <f>+G161+G162+G163+G164</f>
        <v>502891</v>
      </c>
      <c r="H159" s="28">
        <f>+H161+H162+H163+H164</f>
        <v>0</v>
      </c>
      <c r="I159" s="29">
        <f>+I161+I162+I163+I164</f>
        <v>0</v>
      </c>
      <c r="J159" s="655">
        <f>+C159/$C$208</f>
        <v>1.4771673562222748E-2</v>
      </c>
      <c r="K159" s="655">
        <f>+D159/$D$208</f>
        <v>9.3151365380984258E-2</v>
      </c>
      <c r="L159" s="655">
        <f>+E159/$E$208</f>
        <v>0.15760784060544558</v>
      </c>
      <c r="M159" s="3">
        <f t="shared" si="7"/>
        <v>0</v>
      </c>
      <c r="N159" s="4"/>
    </row>
    <row r="160" spans="1:14" s="36" customFormat="1">
      <c r="A160" s="752" t="s">
        <v>343</v>
      </c>
      <c r="B160" s="753" t="s">
        <v>344</v>
      </c>
      <c r="C160" s="1073">
        <f>+'1.1.mell._ÖNK_Mérleg2020'!C160+'1.2.mell._HKÖH_Mérleg2020'!C160+'1.3.mell._HVÓBKI_Mérleg2020'!C160+'1.4.mell._HKK_Mérleg2020'!C160+'1.5._mell._MŐSZ_Mérleg2020'!C160+'1.6._mell._HVGYKCSSZ_Mérleg2020'!C160</f>
        <v>0</v>
      </c>
      <c r="D160" s="1074">
        <f>+'1.1.mell._ÖNK_Mérleg2020'!D160+'1.2.mell._HKÖH_Mérleg2020'!D160+'1.3.mell._HVÓBKI_Mérleg2020'!D160+'1.4.mell._HKK_Mérleg2020'!D160+'1.5._mell._MŐSZ_Mérleg2020'!D160+'1.6._mell._HVGYKCSSZ_Mérleg2020'!D160</f>
        <v>423059</v>
      </c>
      <c r="E160" s="1074">
        <f>+'1.1.mell._ÖNK_Mérleg2020'!E160+'1.2.mell._HKÖH_Mérleg2020'!E160+'1.3.mell._HVÓBKI_Mérleg2020'!E160+'1.4.mell._HKK_Mérleg2020'!E160+'1.5._mell._MŐSZ_Mérleg2020'!E160+'1.6._mell._HVGYKCSSZ_Mérleg2020'!E160</f>
        <v>423059</v>
      </c>
      <c r="F160" s="1304">
        <f t="shared" si="5"/>
        <v>1</v>
      </c>
      <c r="G160" s="96">
        <f>+'1.1.mell._ÖNK_Mérleg2020'!G160+'1.2.mell._HKÖH_Mérleg2020'!G160+'1.3.mell._HVÓBKI_Mérleg2020'!G160+'1.4.mell._HKK_Mérleg2020'!G160+'1.5._mell._MŐSZ_Mérleg2020'!G160+'1.6._mell._HVGYKCSSZ_Mérleg2020'!G160</f>
        <v>423059</v>
      </c>
      <c r="H160" s="97">
        <f>+'1.1.mell._ÖNK_Mérleg2020'!H160+'1.2.mell._HKÖH_Mérleg2020'!H160+'1.3.mell._HVÓBKI_Mérleg2020'!H160+'1.4.mell._HKK_Mérleg2020'!H160+'1.5._mell._MŐSZ_Mérleg2020'!H160+'1.6._mell._HVGYKCSSZ_Mérleg2020'!H160</f>
        <v>0</v>
      </c>
      <c r="I160" s="98">
        <f>+'1.1.mell._ÖNK_Mérleg2020'!I160+'1.2.mell._HKÖH_Mérleg2020'!I160+'1.3.mell._HVÓBKI_Mérleg2020'!I160+'1.4.mell._HKK_Mérleg2020'!I160+'1.5._mell._MŐSZ_Mérleg2020'!I160+'1.6._mell._HVGYKCSSZ_Mérleg2020'!I160</f>
        <v>0</v>
      </c>
      <c r="M160" s="36">
        <f t="shared" si="7"/>
        <v>0</v>
      </c>
      <c r="N160" s="4"/>
    </row>
    <row r="161" spans="1:14">
      <c r="A161" s="84" t="s">
        <v>69</v>
      </c>
      <c r="B161" s="65" t="s">
        <v>158</v>
      </c>
      <c r="C161" s="398">
        <f>+'1.1.mell._ÖNK_Mérleg2020'!C161+'1.2.mell._HKÖH_Mérleg2020'!C161+'1.3.mell._HVÓBKI_Mérleg2020'!C161+'1.4.mell._HKK_Mérleg2020'!C161+'1.5._mell._MŐSZ_Mérleg2020'!C161+'1.6._mell._HVGYKCSSZ_Mérleg2020'!C161</f>
        <v>52959</v>
      </c>
      <c r="D161" s="1062">
        <f>+'1.1.mell._ÖNK_Mérleg2020'!D161+'1.2.mell._HKÖH_Mérleg2020'!D161+'1.3.mell._HVÓBKI_Mérleg2020'!D161+'1.4.mell._HKK_Mérleg2020'!D161+'1.5._mell._MŐSZ_Mérleg2020'!D161+'1.6._mell._HVGYKCSSZ_Mérleg2020'!D161</f>
        <v>461033</v>
      </c>
      <c r="E161" s="1062">
        <f>+'1.1.mell._ÖNK_Mérleg2020'!E161+'1.2.mell._HKÖH_Mérleg2020'!E161+'1.3.mell._HVÓBKI_Mérleg2020'!E161+'1.4.mell._HKK_Mérleg2020'!E161+'1.5._mell._MŐSZ_Mérleg2020'!E161+'1.6._mell._HVGYKCSSZ_Mérleg2020'!E161</f>
        <v>424692</v>
      </c>
      <c r="F161" s="1295">
        <f t="shared" si="5"/>
        <v>0.92117483997891692</v>
      </c>
      <c r="G161" s="34">
        <f>+'1.1.mell._ÖNK_Mérleg2020'!G161+'1.2.mell._HKÖH_Mérleg2020'!G161+'1.3.mell._HVÓBKI_Mérleg2020'!G161+'1.4.mell._HKK_Mérleg2020'!G161+'1.5._mell._MŐSZ_Mérleg2020'!G161+'1.6._mell._HVGYKCSSZ_Mérleg2020'!G161</f>
        <v>424692</v>
      </c>
      <c r="H161" s="10">
        <f>+'1.1.mell._ÖNK_Mérleg2020'!H161+'1.2.mell._HKÖH_Mérleg2020'!H161+'1.3.mell._HVÓBKI_Mérleg2020'!H161+'1.4.mell._HKK_Mérleg2020'!H161+'1.5._mell._MŐSZ_Mérleg2020'!H161+'1.6._mell._HVGYKCSSZ_Mérleg2020'!H161</f>
        <v>0</v>
      </c>
      <c r="I161" s="35">
        <f>+'1.1.mell._ÖNK_Mérleg2020'!I161+'1.2.mell._HKÖH_Mérleg2020'!I161+'1.3.mell._HVÓBKI_Mérleg2020'!I161+'1.4.mell._HKK_Mérleg2020'!I161+'1.5._mell._MŐSZ_Mérleg2020'!I161+'1.6._mell._HVGYKCSSZ_Mérleg2020'!I161</f>
        <v>0</v>
      </c>
      <c r="M161" s="4">
        <f t="shared" si="7"/>
        <v>0</v>
      </c>
    </row>
    <row r="162" spans="1:14">
      <c r="A162" s="85" t="s">
        <v>70</v>
      </c>
      <c r="B162" s="67" t="s">
        <v>159</v>
      </c>
      <c r="C162" s="396">
        <f>+'1.1.mell._ÖNK_Mérleg2020'!C162+'1.2.mell._HKÖH_Mérleg2020'!C162+'1.3.mell._HVÓBKI_Mérleg2020'!C162+'1.4.mell._HKK_Mérleg2020'!C162+'1.5._mell._MŐSZ_Mérleg2020'!C162+'1.6._mell._HVGYKCSSZ_Mérleg2020'!C162</f>
        <v>0</v>
      </c>
      <c r="D162" s="1064">
        <f>+'1.1.mell._ÖNK_Mérleg2020'!D162+'1.2.mell._HKÖH_Mérleg2020'!D162+'1.3.mell._HVÓBKI_Mérleg2020'!D162+'1.4.mell._HKK_Mérleg2020'!D162+'1.5._mell._MŐSZ_Mérleg2020'!D162+'1.6._mell._HVGYKCSSZ_Mérleg2020'!D162</f>
        <v>0</v>
      </c>
      <c r="E162" s="1064">
        <f>+'1.1.mell._ÖNK_Mérleg2020'!E162+'1.2.mell._HKÖH_Mérleg2020'!E162+'1.3.mell._HVÓBKI_Mérleg2020'!E162+'1.4.mell._HKK_Mérleg2020'!E162+'1.5._mell._MŐSZ_Mérleg2020'!E162+'1.6._mell._HVGYKCSSZ_Mérleg2020'!E162</f>
        <v>0</v>
      </c>
      <c r="F162" s="1296" t="str">
        <f t="shared" si="5"/>
        <v>-</v>
      </c>
      <c r="G162" s="20">
        <f>+'1.1.mell._ÖNK_Mérleg2020'!G162+'1.2.mell._HKÖH_Mérleg2020'!G162+'1.3.mell._HVÓBKI_Mérleg2020'!G162+'1.4.mell._HKK_Mérleg2020'!G162+'1.5._mell._MŐSZ_Mérleg2020'!G162+'1.6._mell._HVGYKCSSZ_Mérleg2020'!G162</f>
        <v>0</v>
      </c>
      <c r="H162" s="11">
        <f>+'1.1.mell._ÖNK_Mérleg2020'!H162+'1.2.mell._HKÖH_Mérleg2020'!H162+'1.3.mell._HVÓBKI_Mérleg2020'!H162+'1.4.mell._HKK_Mérleg2020'!H162+'1.5._mell._MŐSZ_Mérleg2020'!H162+'1.6._mell._HVGYKCSSZ_Mérleg2020'!H162</f>
        <v>0</v>
      </c>
      <c r="I162" s="16">
        <f>+'1.1.mell._ÖNK_Mérleg2020'!I162+'1.2.mell._HKÖH_Mérleg2020'!I162+'1.3.mell._HVÓBKI_Mérleg2020'!I162+'1.4.mell._HKK_Mérleg2020'!I162+'1.5._mell._MŐSZ_Mérleg2020'!I162+'1.6._mell._HVGYKCSSZ_Mérleg2020'!I162</f>
        <v>0</v>
      </c>
      <c r="M162" s="4">
        <f t="shared" si="7"/>
        <v>0</v>
      </c>
    </row>
    <row r="163" spans="1:14">
      <c r="A163" s="85" t="s">
        <v>71</v>
      </c>
      <c r="B163" s="67" t="s">
        <v>160</v>
      </c>
      <c r="C163" s="396">
        <f>+'1.1.mell._ÖNK_Mérleg2020'!C163+'1.2.mell._HKÖH_Mérleg2020'!C163+'1.3.mell._HVÓBKI_Mérleg2020'!C163+'1.4.mell._HKK_Mérleg2020'!C163+'1.5._mell._MŐSZ_Mérleg2020'!C163+'1.6._mell._HVGYKCSSZ_Mérleg2020'!C163</f>
        <v>0</v>
      </c>
      <c r="D163" s="1064">
        <f>+'1.1.mell._ÖNK_Mérleg2020'!D163+'1.2.mell._HKÖH_Mérleg2020'!D163+'1.3.mell._HVÓBKI_Mérleg2020'!D163+'1.4.mell._HKK_Mérleg2020'!D163+'1.5._mell._MŐSZ_Mérleg2020'!D163+'1.6._mell._HVGYKCSSZ_Mérleg2020'!D163</f>
        <v>0</v>
      </c>
      <c r="E163" s="1064">
        <f>+'1.1.mell._ÖNK_Mérleg2020'!E163+'1.2.mell._HKÖH_Mérleg2020'!E163+'1.3.mell._HVÓBKI_Mérleg2020'!E163+'1.4.mell._HKK_Mérleg2020'!E163+'1.5._mell._MŐSZ_Mérleg2020'!E163+'1.6._mell._HVGYKCSSZ_Mérleg2020'!E163</f>
        <v>0</v>
      </c>
      <c r="F163" s="1296" t="str">
        <f t="shared" si="5"/>
        <v>-</v>
      </c>
      <c r="G163" s="20">
        <f>+'1.1.mell._ÖNK_Mérleg2020'!G163+'1.2.mell._HKÖH_Mérleg2020'!G163+'1.3.mell._HVÓBKI_Mérleg2020'!G163+'1.4.mell._HKK_Mérleg2020'!G163+'1.5._mell._MŐSZ_Mérleg2020'!G163+'1.6._mell._HVGYKCSSZ_Mérleg2020'!G163</f>
        <v>0</v>
      </c>
      <c r="H163" s="11">
        <f>+'1.1.mell._ÖNK_Mérleg2020'!H163+'1.2.mell._HKÖH_Mérleg2020'!H163+'1.3.mell._HVÓBKI_Mérleg2020'!H163+'1.4.mell._HKK_Mérleg2020'!H163+'1.5._mell._MŐSZ_Mérleg2020'!H163+'1.6._mell._HVGYKCSSZ_Mérleg2020'!H163</f>
        <v>0</v>
      </c>
      <c r="I163" s="16">
        <f>+'1.1.mell._ÖNK_Mérleg2020'!I163+'1.2.mell._HKÖH_Mérleg2020'!I163+'1.3.mell._HVÓBKI_Mérleg2020'!I163+'1.4.mell._HKK_Mérleg2020'!I163+'1.5._mell._MŐSZ_Mérleg2020'!I163+'1.6._mell._HVGYKCSSZ_Mérleg2020'!I163</f>
        <v>0</v>
      </c>
      <c r="M163" s="4">
        <f t="shared" si="7"/>
        <v>0</v>
      </c>
      <c r="N163" s="3"/>
    </row>
    <row r="164" spans="1:14" ht="12.75" thickBot="1">
      <c r="A164" s="78" t="s">
        <v>72</v>
      </c>
      <c r="B164" s="68" t="s">
        <v>161</v>
      </c>
      <c r="C164" s="397">
        <f>+'1.1.mell._ÖNK_Mérleg2020'!C164+'1.2.mell._HKÖH_Mérleg2020'!C164+'1.3.mell._HVÓBKI_Mérleg2020'!C164+'1.4.mell._HKK_Mérleg2020'!C164+'1.5._mell._MŐSZ_Mérleg2020'!C164+'1.6._mell._HVGYKCSSZ_Mérleg2020'!C164</f>
        <v>14299</v>
      </c>
      <c r="D164" s="1065">
        <f>+'1.1.mell._ÖNK_Mérleg2020'!D164+'1.2.mell._HKÖH_Mérleg2020'!D164+'1.3.mell._HVÓBKI_Mérleg2020'!D164+'1.4.mell._HKK_Mérleg2020'!D164+'1.5._mell._MŐSZ_Mérleg2020'!D164+'1.6._mell._HVGYKCSSZ_Mérleg2020'!D164</f>
        <v>78678</v>
      </c>
      <c r="E164" s="1065">
        <f>+'1.1.mell._ÖNK_Mérleg2020'!E164+'1.2.mell._HKÖH_Mérleg2020'!E164+'1.3.mell._HVÓBKI_Mérleg2020'!E164+'1.4.mell._HKK_Mérleg2020'!E164+'1.5._mell._MŐSZ_Mérleg2020'!E164+'1.6._mell._HVGYKCSSZ_Mérleg2020'!E164</f>
        <v>78199</v>
      </c>
      <c r="F164" s="1298">
        <f t="shared" si="5"/>
        <v>0.99391189404916236</v>
      </c>
      <c r="G164" s="21">
        <f>+'1.1.mell._ÖNK_Mérleg2020'!G164+'1.2.mell._HKÖH_Mérleg2020'!G164+'1.3.mell._HVÓBKI_Mérleg2020'!G164+'1.4.mell._HKK_Mérleg2020'!G164+'1.5._mell._MŐSZ_Mérleg2020'!G164+'1.6._mell._HVGYKCSSZ_Mérleg2020'!G164</f>
        <v>78199</v>
      </c>
      <c r="H164" s="22">
        <f>+'1.1.mell._ÖNK_Mérleg2020'!H164+'1.2.mell._HKÖH_Mérleg2020'!H164+'1.3.mell._HVÓBKI_Mérleg2020'!H164+'1.4.mell._HKK_Mérleg2020'!H164+'1.5._mell._MŐSZ_Mérleg2020'!H164+'1.6._mell._HVGYKCSSZ_Mérleg2020'!H164</f>
        <v>0</v>
      </c>
      <c r="I164" s="23">
        <f>+'1.1.mell._ÖNK_Mérleg2020'!I164+'1.2.mell._HKÖH_Mérleg2020'!I164+'1.3.mell._HVÓBKI_Mérleg2020'!I164+'1.4.mell._HKK_Mérleg2020'!I164+'1.5._mell._MŐSZ_Mérleg2020'!I164+'1.6._mell._HVGYKCSSZ_Mérleg2020'!I164</f>
        <v>0</v>
      </c>
      <c r="M164" s="4">
        <f t="shared" si="7"/>
        <v>0</v>
      </c>
    </row>
    <row r="165" spans="1:14" s="3" customFormat="1" ht="12.75" thickBot="1">
      <c r="A165" s="83" t="s">
        <v>11</v>
      </c>
      <c r="B165" s="64" t="s">
        <v>928</v>
      </c>
      <c r="C165" s="129">
        <f>+C166+C167+C168+C169+C171+C172+C173+C174+C175</f>
        <v>0</v>
      </c>
      <c r="D165" s="1061">
        <f>+D166+D167+D168+D169+D171+D172+D173+D174+D175</f>
        <v>0</v>
      </c>
      <c r="E165" s="1061">
        <f>+E166+E167+E168+E169+E171+E172+E173+E174+E175</f>
        <v>0</v>
      </c>
      <c r="F165" s="1294" t="str">
        <f t="shared" si="5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J165" s="655">
        <f>+C165/$C$208</f>
        <v>0</v>
      </c>
      <c r="K165" s="655">
        <f>+D165/$D$208</f>
        <v>0</v>
      </c>
      <c r="L165" s="655">
        <f>+E165/$E$208</f>
        <v>0</v>
      </c>
      <c r="M165" s="3">
        <f t="shared" si="7"/>
        <v>0</v>
      </c>
      <c r="N165" s="4"/>
    </row>
    <row r="166" spans="1:14">
      <c r="A166" s="84" t="s">
        <v>270</v>
      </c>
      <c r="B166" s="65" t="s">
        <v>162</v>
      </c>
      <c r="C166" s="398">
        <f>+'1.1.mell._ÖNK_Mérleg2020'!C166+'1.2.mell._HKÖH_Mérleg2020'!C166+'1.3.mell._HVÓBKI_Mérleg2020'!C166+'1.4.mell._HKK_Mérleg2020'!C166+'1.5._mell._MŐSZ_Mérleg2020'!C166+'1.6._mell._HVGYKCSSZ_Mérleg2020'!C166</f>
        <v>0</v>
      </c>
      <c r="D166" s="1062">
        <f>+'1.1.mell._ÖNK_Mérleg2020'!D166+'1.2.mell._HKÖH_Mérleg2020'!D166+'1.3.mell._HVÓBKI_Mérleg2020'!D166+'1.4.mell._HKK_Mérleg2020'!D166+'1.5._mell._MŐSZ_Mérleg2020'!D166+'1.6._mell._HVGYKCSSZ_Mérleg2020'!D166</f>
        <v>0</v>
      </c>
      <c r="E166" s="1062">
        <f>+'1.1.mell._ÖNK_Mérleg2020'!E166+'1.2.mell._HKÖH_Mérleg2020'!E166+'1.3.mell._HVÓBKI_Mérleg2020'!E166+'1.4.mell._HKK_Mérleg2020'!E166+'1.5._mell._MŐSZ_Mérleg2020'!E166+'1.6._mell._HVGYKCSSZ_Mérleg2020'!E166</f>
        <v>0</v>
      </c>
      <c r="F166" s="1295" t="str">
        <f t="shared" si="5"/>
        <v>-</v>
      </c>
      <c r="G166" s="34">
        <f>+'1.1.mell._ÖNK_Mérleg2020'!G166+'1.2.mell._HKÖH_Mérleg2020'!G166+'1.3.mell._HVÓBKI_Mérleg2020'!G166+'1.4.mell._HKK_Mérleg2020'!G166+'1.5._mell._MŐSZ_Mérleg2020'!G166+'1.6._mell._HVGYKCSSZ_Mérleg2020'!G166</f>
        <v>0</v>
      </c>
      <c r="H166" s="10">
        <f>+'1.1.mell._ÖNK_Mérleg2020'!H166+'1.2.mell._HKÖH_Mérleg2020'!H166+'1.3.mell._HVÓBKI_Mérleg2020'!H166+'1.4.mell._HKK_Mérleg2020'!H166+'1.5._mell._MŐSZ_Mérleg2020'!H166+'1.6._mell._HVGYKCSSZ_Mérleg2020'!H166</f>
        <v>0</v>
      </c>
      <c r="I166" s="35">
        <f>+'1.1.mell._ÖNK_Mérleg2020'!I166+'1.2.mell._HKÖH_Mérleg2020'!I166+'1.3.mell._HVÓBKI_Mérleg2020'!I166+'1.4.mell._HKK_Mérleg2020'!I166+'1.5._mell._MŐSZ_Mérleg2020'!I166+'1.6._mell._HVGYKCSSZ_Mérleg2020'!I166</f>
        <v>0</v>
      </c>
      <c r="M166" s="4">
        <f t="shared" si="7"/>
        <v>0</v>
      </c>
    </row>
    <row r="167" spans="1:14">
      <c r="A167" s="85" t="s">
        <v>271</v>
      </c>
      <c r="B167" s="67" t="s">
        <v>163</v>
      </c>
      <c r="C167" s="396">
        <f>+'1.1.mell._ÖNK_Mérleg2020'!C167+'1.2.mell._HKÖH_Mérleg2020'!C167+'1.3.mell._HVÓBKI_Mérleg2020'!C167+'1.4.mell._HKK_Mérleg2020'!C167+'1.5._mell._MŐSZ_Mérleg2020'!C167+'1.6._mell._HVGYKCSSZ_Mérleg2020'!C167</f>
        <v>0</v>
      </c>
      <c r="D167" s="1064">
        <f>+'1.1.mell._ÖNK_Mérleg2020'!D167+'1.2.mell._HKÖH_Mérleg2020'!D167+'1.3.mell._HVÓBKI_Mérleg2020'!D167+'1.4.mell._HKK_Mérleg2020'!D167+'1.5._mell._MŐSZ_Mérleg2020'!D167+'1.6._mell._HVGYKCSSZ_Mérleg2020'!D167</f>
        <v>0</v>
      </c>
      <c r="E167" s="1064">
        <f>+'1.1.mell._ÖNK_Mérleg2020'!E167+'1.2.mell._HKÖH_Mérleg2020'!E167+'1.3.mell._HVÓBKI_Mérleg2020'!E167+'1.4.mell._HKK_Mérleg2020'!E167+'1.5._mell._MŐSZ_Mérleg2020'!E167+'1.6._mell._HVGYKCSSZ_Mérleg2020'!E167</f>
        <v>0</v>
      </c>
      <c r="F167" s="1296" t="str">
        <f t="shared" si="5"/>
        <v>-</v>
      </c>
      <c r="G167" s="20">
        <f>+'1.1.mell._ÖNK_Mérleg2020'!G167+'1.2.mell._HKÖH_Mérleg2020'!G167+'1.3.mell._HVÓBKI_Mérleg2020'!G167+'1.4.mell._HKK_Mérleg2020'!G167+'1.5._mell._MŐSZ_Mérleg2020'!G167+'1.6._mell._HVGYKCSSZ_Mérleg2020'!G167</f>
        <v>0</v>
      </c>
      <c r="H167" s="11">
        <f>+'1.1.mell._ÖNK_Mérleg2020'!H167+'1.2.mell._HKÖH_Mérleg2020'!H167+'1.3.mell._HVÓBKI_Mérleg2020'!H167+'1.4.mell._HKK_Mérleg2020'!H167+'1.5._mell._MŐSZ_Mérleg2020'!H167+'1.6._mell._HVGYKCSSZ_Mérleg2020'!H167</f>
        <v>0</v>
      </c>
      <c r="I167" s="16">
        <f>+'1.1.mell._ÖNK_Mérleg2020'!I167+'1.2.mell._HKÖH_Mérleg2020'!I167+'1.3.mell._HVÓBKI_Mérleg2020'!I167+'1.4.mell._HKK_Mérleg2020'!I167+'1.5._mell._MŐSZ_Mérleg2020'!I167+'1.6._mell._HVGYKCSSZ_Mérleg2020'!I167</f>
        <v>0</v>
      </c>
      <c r="M167" s="4">
        <f t="shared" si="7"/>
        <v>0</v>
      </c>
    </row>
    <row r="168" spans="1:14">
      <c r="A168" s="85" t="s">
        <v>272</v>
      </c>
      <c r="B168" s="67" t="s">
        <v>164</v>
      </c>
      <c r="C168" s="396">
        <f>+'1.1.mell._ÖNK_Mérleg2020'!C168+'1.2.mell._HKÖH_Mérleg2020'!C168+'1.3.mell._HVÓBKI_Mérleg2020'!C168+'1.4.mell._HKK_Mérleg2020'!C168+'1.5._mell._MŐSZ_Mérleg2020'!C168+'1.6._mell._HVGYKCSSZ_Mérleg2020'!C168</f>
        <v>0</v>
      </c>
      <c r="D168" s="1064">
        <f>+'1.1.mell._ÖNK_Mérleg2020'!D168+'1.2.mell._HKÖH_Mérleg2020'!D168+'1.3.mell._HVÓBKI_Mérleg2020'!D168+'1.4.mell._HKK_Mérleg2020'!D168+'1.5._mell._MŐSZ_Mérleg2020'!D168+'1.6._mell._HVGYKCSSZ_Mérleg2020'!D168</f>
        <v>0</v>
      </c>
      <c r="E168" s="1064">
        <f>+'1.1.mell._ÖNK_Mérleg2020'!E168+'1.2.mell._HKÖH_Mérleg2020'!E168+'1.3.mell._HVÓBKI_Mérleg2020'!E168+'1.4.mell._HKK_Mérleg2020'!E168+'1.5._mell._MŐSZ_Mérleg2020'!E168+'1.6._mell._HVGYKCSSZ_Mérleg2020'!E168</f>
        <v>0</v>
      </c>
      <c r="F168" s="1296" t="str">
        <f t="shared" si="5"/>
        <v>-</v>
      </c>
      <c r="G168" s="20">
        <f>+'1.1.mell._ÖNK_Mérleg2020'!G168+'1.2.mell._HKÖH_Mérleg2020'!G168+'1.3.mell._HVÓBKI_Mérleg2020'!G168+'1.4.mell._HKK_Mérleg2020'!G168+'1.5._mell._MŐSZ_Mérleg2020'!G168+'1.6._mell._HVGYKCSSZ_Mérleg2020'!G168</f>
        <v>0</v>
      </c>
      <c r="H168" s="11">
        <f>+'1.1.mell._ÖNK_Mérleg2020'!H168+'1.2.mell._HKÖH_Mérleg2020'!H168+'1.3.mell._HVÓBKI_Mérleg2020'!H168+'1.4.mell._HKK_Mérleg2020'!H168+'1.5._mell._MŐSZ_Mérleg2020'!H168+'1.6._mell._HVGYKCSSZ_Mérleg2020'!H168</f>
        <v>0</v>
      </c>
      <c r="I168" s="16">
        <f>+'1.1.mell._ÖNK_Mérleg2020'!I168+'1.2.mell._HKÖH_Mérleg2020'!I168+'1.3.mell._HVÓBKI_Mérleg2020'!I168+'1.4.mell._HKK_Mérleg2020'!I168+'1.5._mell._MŐSZ_Mérleg2020'!I168+'1.6._mell._HVGYKCSSZ_Mérleg2020'!I168</f>
        <v>0</v>
      </c>
      <c r="M168" s="4">
        <f t="shared" si="7"/>
        <v>0</v>
      </c>
      <c r="N168" s="13"/>
    </row>
    <row r="169" spans="1:14">
      <c r="A169" s="85" t="s">
        <v>273</v>
      </c>
      <c r="B169" s="67" t="s">
        <v>165</v>
      </c>
      <c r="C169" s="396">
        <f>+'1.1.mell._ÖNK_Mérleg2020'!C169+'1.2.mell._HKÖH_Mérleg2020'!C169+'1.3.mell._HVÓBKI_Mérleg2020'!C169+'1.4.mell._HKK_Mérleg2020'!C169+'1.5._mell._MŐSZ_Mérleg2020'!C169+'1.6._mell._HVGYKCSSZ_Mérleg2020'!C169</f>
        <v>0</v>
      </c>
      <c r="D169" s="1064">
        <f>+'1.1.mell._ÖNK_Mérleg2020'!D169+'1.2.mell._HKÖH_Mérleg2020'!D169+'1.3.mell._HVÓBKI_Mérleg2020'!D169+'1.4.mell._HKK_Mérleg2020'!D169+'1.5._mell._MŐSZ_Mérleg2020'!D169+'1.6._mell._HVGYKCSSZ_Mérleg2020'!D169</f>
        <v>0</v>
      </c>
      <c r="E169" s="1064">
        <f>+'1.1.mell._ÖNK_Mérleg2020'!E169+'1.2.mell._HKÖH_Mérleg2020'!E169+'1.3.mell._HVÓBKI_Mérleg2020'!E169+'1.4.mell._HKK_Mérleg2020'!E169+'1.5._mell._MŐSZ_Mérleg2020'!E169+'1.6._mell._HVGYKCSSZ_Mérleg2020'!E169</f>
        <v>0</v>
      </c>
      <c r="F169" s="1296" t="str">
        <f t="shared" si="5"/>
        <v>-</v>
      </c>
      <c r="G169" s="20">
        <f>+'1.1.mell._ÖNK_Mérleg2020'!G169+'1.2.mell._HKÖH_Mérleg2020'!G169+'1.3.mell._HVÓBKI_Mérleg2020'!G169+'1.4.mell._HKK_Mérleg2020'!G169+'1.5._mell._MŐSZ_Mérleg2020'!G169+'1.6._mell._HVGYKCSSZ_Mérleg2020'!G169</f>
        <v>0</v>
      </c>
      <c r="H169" s="11">
        <f>+'1.1.mell._ÖNK_Mérleg2020'!H169+'1.2.mell._HKÖH_Mérleg2020'!H169+'1.3.mell._HVÓBKI_Mérleg2020'!H169+'1.4.mell._HKK_Mérleg2020'!H169+'1.5._mell._MŐSZ_Mérleg2020'!H169+'1.6._mell._HVGYKCSSZ_Mérleg2020'!H169</f>
        <v>0</v>
      </c>
      <c r="I169" s="16">
        <f>+'1.1.mell._ÖNK_Mérleg2020'!I169+'1.2.mell._HKÖH_Mérleg2020'!I169+'1.3.mell._HVÓBKI_Mérleg2020'!I169+'1.4.mell._HKK_Mérleg2020'!I169+'1.5._mell._MŐSZ_Mérleg2020'!I169+'1.6._mell._HVGYKCSSZ_Mérleg2020'!I169</f>
        <v>0</v>
      </c>
      <c r="M169" s="4">
        <f t="shared" si="7"/>
        <v>0</v>
      </c>
    </row>
    <row r="170" spans="1:14" s="13" customFormat="1">
      <c r="A170" s="89" t="s">
        <v>338</v>
      </c>
      <c r="B170" s="751" t="s">
        <v>339</v>
      </c>
      <c r="C170" s="395">
        <f>+'1.1.mell._ÖNK_Mérleg2020'!C170+'1.2.mell._HKÖH_Mérleg2020'!C170+'1.3.mell._HVÓBKI_Mérleg2020'!C170+'1.4.mell._HKK_Mérleg2020'!C170+'1.5._mell._MŐSZ_Mérleg2020'!C170+'1.6._mell._HVGYKCSSZ_Mérleg2020'!C170</f>
        <v>0</v>
      </c>
      <c r="D170" s="1066">
        <f>+'1.1.mell._ÖNK_Mérleg2020'!D170+'1.2.mell._HKÖH_Mérleg2020'!D170+'1.3.mell._HVÓBKI_Mérleg2020'!D170+'1.4.mell._HKK_Mérleg2020'!D170+'1.5._mell._MŐSZ_Mérleg2020'!D170+'1.6._mell._HVGYKCSSZ_Mérleg2020'!D170</f>
        <v>0</v>
      </c>
      <c r="E170" s="1066">
        <f>+'1.1.mell._ÖNK_Mérleg2020'!E170+'1.2.mell._HKÖH_Mérleg2020'!E170+'1.3.mell._HVÓBKI_Mérleg2020'!E170+'1.4.mell._HKK_Mérleg2020'!E170+'1.5._mell._MŐSZ_Mérleg2020'!E170+'1.6._mell._HVGYKCSSZ_Mérleg2020'!E170</f>
        <v>0</v>
      </c>
      <c r="F170" s="1298" t="str">
        <f t="shared" si="5"/>
        <v>-</v>
      </c>
      <c r="G170" s="45">
        <f>+'1.1.mell._ÖNK_Mérleg2020'!G170+'1.2.mell._HKÖH_Mérleg2020'!G170+'1.3.mell._HVÓBKI_Mérleg2020'!G170+'1.4.mell._HKK_Mérleg2020'!G170+'1.5._mell._MŐSZ_Mérleg2020'!G170+'1.6._mell._HVGYKCSSZ_Mérleg2020'!G170</f>
        <v>0</v>
      </c>
      <c r="H170" s="43">
        <f>+'1.1.mell._ÖNK_Mérleg2020'!H170+'1.2.mell._HKÖH_Mérleg2020'!H170+'1.3.mell._HVÓBKI_Mérleg2020'!H170+'1.4.mell._HKK_Mérleg2020'!H170+'1.5._mell._MŐSZ_Mérleg2020'!H170+'1.6._mell._HVGYKCSSZ_Mérleg2020'!H170</f>
        <v>0</v>
      </c>
      <c r="I170" s="44">
        <f>+'1.1.mell._ÖNK_Mérleg2020'!I170+'1.2.mell._HKÖH_Mérleg2020'!I170+'1.3.mell._HVÓBKI_Mérleg2020'!I170+'1.4.mell._HKK_Mérleg2020'!I170+'1.5._mell._MŐSZ_Mérleg2020'!I170+'1.6._mell._HVGYKCSSZ_Mérleg2020'!I170</f>
        <v>0</v>
      </c>
      <c r="M170" s="13">
        <f t="shared" si="7"/>
        <v>0</v>
      </c>
      <c r="N170" s="4"/>
    </row>
    <row r="171" spans="1:14">
      <c r="A171" s="85" t="s">
        <v>274</v>
      </c>
      <c r="B171" s="67" t="s">
        <v>166</v>
      </c>
      <c r="C171" s="396">
        <f>+'1.1.mell._ÖNK_Mérleg2020'!C171+'1.2.mell._HKÖH_Mérleg2020'!C171+'1.3.mell._HVÓBKI_Mérleg2020'!C171+'1.4.mell._HKK_Mérleg2020'!C171+'1.5._mell._MŐSZ_Mérleg2020'!C171+'1.6._mell._HVGYKCSSZ_Mérleg2020'!C171</f>
        <v>0</v>
      </c>
      <c r="D171" s="1064">
        <f>+'1.1.mell._ÖNK_Mérleg2020'!D171+'1.2.mell._HKÖH_Mérleg2020'!D171+'1.3.mell._HVÓBKI_Mérleg2020'!D171+'1.4.mell._HKK_Mérleg2020'!D171+'1.5._mell._MŐSZ_Mérleg2020'!D171+'1.6._mell._HVGYKCSSZ_Mérleg2020'!D171</f>
        <v>0</v>
      </c>
      <c r="E171" s="1064">
        <f>+'1.1.mell._ÖNK_Mérleg2020'!E171+'1.2.mell._HKÖH_Mérleg2020'!E171+'1.3.mell._HVÓBKI_Mérleg2020'!E171+'1.4.mell._HKK_Mérleg2020'!E171+'1.5._mell._MŐSZ_Mérleg2020'!E171+'1.6._mell._HVGYKCSSZ_Mérleg2020'!E171</f>
        <v>0</v>
      </c>
      <c r="F171" s="1296" t="str">
        <f t="shared" si="5"/>
        <v>-</v>
      </c>
      <c r="G171" s="20">
        <f>+'1.1.mell._ÖNK_Mérleg2020'!G171+'1.2.mell._HKÖH_Mérleg2020'!G171+'1.3.mell._HVÓBKI_Mérleg2020'!G171+'1.4.mell._HKK_Mérleg2020'!G171+'1.5._mell._MŐSZ_Mérleg2020'!G171+'1.6._mell._HVGYKCSSZ_Mérleg2020'!G171</f>
        <v>0</v>
      </c>
      <c r="H171" s="11">
        <f>+'1.1.mell._ÖNK_Mérleg2020'!H171+'1.2.mell._HKÖH_Mérleg2020'!H171+'1.3.mell._HVÓBKI_Mérleg2020'!H171+'1.4.mell._HKK_Mérleg2020'!H171+'1.5._mell._MŐSZ_Mérleg2020'!H171+'1.6._mell._HVGYKCSSZ_Mérleg2020'!H171</f>
        <v>0</v>
      </c>
      <c r="I171" s="16">
        <f>+'1.1.mell._ÖNK_Mérleg2020'!I171+'1.2.mell._HKÖH_Mérleg2020'!I171+'1.3.mell._HVÓBKI_Mérleg2020'!I171+'1.4.mell._HKK_Mérleg2020'!I171+'1.5._mell._MŐSZ_Mérleg2020'!I171+'1.6._mell._HVGYKCSSZ_Mérleg2020'!I171</f>
        <v>0</v>
      </c>
      <c r="M171" s="4">
        <f t="shared" si="7"/>
        <v>0</v>
      </c>
    </row>
    <row r="172" spans="1:14">
      <c r="A172" s="85" t="s">
        <v>275</v>
      </c>
      <c r="B172" s="67" t="s">
        <v>167</v>
      </c>
      <c r="C172" s="396">
        <f>+'1.1.mell._ÖNK_Mérleg2020'!C172+'1.2.mell._HKÖH_Mérleg2020'!C172+'1.3.mell._HVÓBKI_Mérleg2020'!C172+'1.4.mell._HKK_Mérleg2020'!C172+'1.5._mell._MŐSZ_Mérleg2020'!C172+'1.6._mell._HVGYKCSSZ_Mérleg2020'!C172</f>
        <v>0</v>
      </c>
      <c r="D172" s="1064">
        <f>+'1.1.mell._ÖNK_Mérleg2020'!D172+'1.2.mell._HKÖH_Mérleg2020'!D172+'1.3.mell._HVÓBKI_Mérleg2020'!D172+'1.4.mell._HKK_Mérleg2020'!D172+'1.5._mell._MŐSZ_Mérleg2020'!D172+'1.6._mell._HVGYKCSSZ_Mérleg2020'!D172</f>
        <v>0</v>
      </c>
      <c r="E172" s="1064">
        <f>+'1.1.mell._ÖNK_Mérleg2020'!E172+'1.2.mell._HKÖH_Mérleg2020'!E172+'1.3.mell._HVÓBKI_Mérleg2020'!E172+'1.4.mell._HKK_Mérleg2020'!E172+'1.5._mell._MŐSZ_Mérleg2020'!E172+'1.6._mell._HVGYKCSSZ_Mérleg2020'!E172</f>
        <v>0</v>
      </c>
      <c r="F172" s="1296" t="str">
        <f t="shared" si="5"/>
        <v>-</v>
      </c>
      <c r="G172" s="20">
        <f>+'1.1.mell._ÖNK_Mérleg2020'!G172+'1.2.mell._HKÖH_Mérleg2020'!G172+'1.3.mell._HVÓBKI_Mérleg2020'!G172+'1.4.mell._HKK_Mérleg2020'!G172+'1.5._mell._MŐSZ_Mérleg2020'!G172+'1.6._mell._HVGYKCSSZ_Mérleg2020'!G172</f>
        <v>0</v>
      </c>
      <c r="H172" s="11">
        <f>+'1.1.mell._ÖNK_Mérleg2020'!H172+'1.2.mell._HKÖH_Mérleg2020'!H172+'1.3.mell._HVÓBKI_Mérleg2020'!H172+'1.4.mell._HKK_Mérleg2020'!H172+'1.5._mell._MŐSZ_Mérleg2020'!H172+'1.6._mell._HVGYKCSSZ_Mérleg2020'!H172</f>
        <v>0</v>
      </c>
      <c r="I172" s="16">
        <f>+'1.1.mell._ÖNK_Mérleg2020'!I172+'1.2.mell._HKÖH_Mérleg2020'!I172+'1.3.mell._HVÓBKI_Mérleg2020'!I172+'1.4.mell._HKK_Mérleg2020'!I172+'1.5._mell._MŐSZ_Mérleg2020'!I172+'1.6._mell._HVGYKCSSZ_Mérleg2020'!I172</f>
        <v>0</v>
      </c>
      <c r="M172" s="4">
        <f t="shared" si="7"/>
        <v>0</v>
      </c>
    </row>
    <row r="173" spans="1:14">
      <c r="A173" s="85" t="s">
        <v>276</v>
      </c>
      <c r="B173" s="67" t="s">
        <v>168</v>
      </c>
      <c r="C173" s="396">
        <f>+'1.1.mell._ÖNK_Mérleg2020'!C173+'1.2.mell._HKÖH_Mérleg2020'!C173+'1.3.mell._HVÓBKI_Mérleg2020'!C173+'1.4.mell._HKK_Mérleg2020'!C173+'1.5._mell._MŐSZ_Mérleg2020'!C173+'1.6._mell._HVGYKCSSZ_Mérleg2020'!C173</f>
        <v>0</v>
      </c>
      <c r="D173" s="1064">
        <f>+'1.1.mell._ÖNK_Mérleg2020'!D173+'1.2.mell._HKÖH_Mérleg2020'!D173+'1.3.mell._HVÓBKI_Mérleg2020'!D173+'1.4.mell._HKK_Mérleg2020'!D173+'1.5._mell._MŐSZ_Mérleg2020'!D173+'1.6._mell._HVGYKCSSZ_Mérleg2020'!D173</f>
        <v>0</v>
      </c>
      <c r="E173" s="1064">
        <f>+'1.1.mell._ÖNK_Mérleg2020'!E173+'1.2.mell._HKÖH_Mérleg2020'!E173+'1.3.mell._HVÓBKI_Mérleg2020'!E173+'1.4.mell._HKK_Mérleg2020'!E173+'1.5._mell._MŐSZ_Mérleg2020'!E173+'1.6._mell._HVGYKCSSZ_Mérleg2020'!E173</f>
        <v>0</v>
      </c>
      <c r="F173" s="1296" t="str">
        <f t="shared" ref="F173:F208" si="8">IF(ISERROR(E173/D173),"-",E173/D173)</f>
        <v>-</v>
      </c>
      <c r="G173" s="20">
        <f>+'1.1.mell._ÖNK_Mérleg2020'!G173+'1.2.mell._HKÖH_Mérleg2020'!G173+'1.3.mell._HVÓBKI_Mérleg2020'!G173+'1.4.mell._HKK_Mérleg2020'!G173+'1.5._mell._MŐSZ_Mérleg2020'!G173+'1.6._mell._HVGYKCSSZ_Mérleg2020'!G173</f>
        <v>0</v>
      </c>
      <c r="H173" s="11">
        <f>+'1.1.mell._ÖNK_Mérleg2020'!H173+'1.2.mell._HKÖH_Mérleg2020'!H173+'1.3.mell._HVÓBKI_Mérleg2020'!H173+'1.4.mell._HKK_Mérleg2020'!H173+'1.5._mell._MŐSZ_Mérleg2020'!H173+'1.6._mell._HVGYKCSSZ_Mérleg2020'!H173</f>
        <v>0</v>
      </c>
      <c r="I173" s="16">
        <f>+'1.1.mell._ÖNK_Mérleg2020'!I173+'1.2.mell._HKÖH_Mérleg2020'!I173+'1.3.mell._HVÓBKI_Mérleg2020'!I173+'1.4.mell._HKK_Mérleg2020'!I173+'1.5._mell._MŐSZ_Mérleg2020'!I173+'1.6._mell._HVGYKCSSZ_Mérleg2020'!I173</f>
        <v>0</v>
      </c>
      <c r="M173" s="4">
        <f t="shared" ref="M173:M208" si="9">+E173-G173-H173-I173</f>
        <v>0</v>
      </c>
    </row>
    <row r="174" spans="1:14">
      <c r="A174" s="85" t="s">
        <v>277</v>
      </c>
      <c r="B174" s="67" t="s">
        <v>929</v>
      </c>
      <c r="C174" s="396">
        <f>+'1.1.mell._ÖNK_Mérleg2020'!C174+'1.2.mell._HKÖH_Mérleg2020'!C174+'1.3.mell._HVÓBKI_Mérleg2020'!C174+'1.4.mell._HKK_Mérleg2020'!C174+'1.5._mell._MŐSZ_Mérleg2020'!C174+'1.6._mell._HVGYKCSSZ_Mérleg2020'!C174</f>
        <v>0</v>
      </c>
      <c r="D174" s="1064">
        <f>+'1.1.mell._ÖNK_Mérleg2020'!D174+'1.2.mell._HKÖH_Mérleg2020'!D174+'1.3.mell._HVÓBKI_Mérleg2020'!D174+'1.4.mell._HKK_Mérleg2020'!D174+'1.5._mell._MŐSZ_Mérleg2020'!D174+'1.6._mell._HVGYKCSSZ_Mérleg2020'!D174</f>
        <v>0</v>
      </c>
      <c r="E174" s="1064">
        <f>+'1.1.mell._ÖNK_Mérleg2020'!E174+'1.2.mell._HKÖH_Mérleg2020'!E174+'1.3.mell._HVÓBKI_Mérleg2020'!E174+'1.4.mell._HKK_Mérleg2020'!E174+'1.5._mell._MŐSZ_Mérleg2020'!E174+'1.6._mell._HVGYKCSSZ_Mérleg2020'!E174</f>
        <v>0</v>
      </c>
      <c r="F174" s="1296" t="str">
        <f t="shared" si="8"/>
        <v>-</v>
      </c>
      <c r="G174" s="20">
        <f>+'1.1.mell._ÖNK_Mérleg2020'!G174+'1.2.mell._HKÖH_Mérleg2020'!G174+'1.3.mell._HVÓBKI_Mérleg2020'!G174+'1.4.mell._HKK_Mérleg2020'!G174+'1.5._mell._MŐSZ_Mérleg2020'!G174+'1.6._mell._HVGYKCSSZ_Mérleg2020'!G174</f>
        <v>0</v>
      </c>
      <c r="H174" s="11">
        <f>+'1.1.mell._ÖNK_Mérleg2020'!H174+'1.2.mell._HKÖH_Mérleg2020'!H174+'1.3.mell._HVÓBKI_Mérleg2020'!H174+'1.4.mell._HKK_Mérleg2020'!H174+'1.5._mell._MŐSZ_Mérleg2020'!H174+'1.6._mell._HVGYKCSSZ_Mérleg2020'!H174</f>
        <v>0</v>
      </c>
      <c r="I174" s="16">
        <f>+'1.1.mell._ÖNK_Mérleg2020'!I174+'1.2.mell._HKÖH_Mérleg2020'!I174+'1.3.mell._HVÓBKI_Mérleg2020'!I174+'1.4.mell._HKK_Mérleg2020'!I174+'1.5._mell._MŐSZ_Mérleg2020'!I174+'1.6._mell._HVGYKCSSZ_Mérleg2020'!I174</f>
        <v>0</v>
      </c>
      <c r="M174" s="4">
        <f t="shared" si="9"/>
        <v>0</v>
      </c>
      <c r="N174" s="3"/>
    </row>
    <row r="175" spans="1:14" ht="12.75" thickBot="1">
      <c r="A175" s="78" t="s">
        <v>927</v>
      </c>
      <c r="B175" s="68" t="s">
        <v>930</v>
      </c>
      <c r="C175" s="397">
        <f>+'1.1.mell._ÖNK_Mérleg2020'!C175+'1.2.mell._HKÖH_Mérleg2020'!C175+'1.3.mell._HVÓBKI_Mérleg2020'!C175+'1.4.mell._HKK_Mérleg2020'!C175+'1.5._mell._MŐSZ_Mérleg2020'!C175+'1.6._mell._HVGYKCSSZ_Mérleg2020'!C175</f>
        <v>0</v>
      </c>
      <c r="D175" s="1065">
        <f>+'1.1.mell._ÖNK_Mérleg2020'!D175+'1.2.mell._HKÖH_Mérleg2020'!D175+'1.3.mell._HVÓBKI_Mérleg2020'!D175+'1.4.mell._HKK_Mérleg2020'!D175+'1.5._mell._MŐSZ_Mérleg2020'!D175+'1.6._mell._HVGYKCSSZ_Mérleg2020'!D175</f>
        <v>0</v>
      </c>
      <c r="E175" s="1065">
        <f>+'1.1.mell._ÖNK_Mérleg2020'!E175+'1.2.mell._HKÖH_Mérleg2020'!E175+'1.3.mell._HVÓBKI_Mérleg2020'!E175+'1.4.mell._HKK_Mérleg2020'!E175+'1.5._mell._MŐSZ_Mérleg2020'!E175+'1.6._mell._HVGYKCSSZ_Mérleg2020'!E175</f>
        <v>0</v>
      </c>
      <c r="F175" s="1298" t="str">
        <f t="shared" si="8"/>
        <v>-</v>
      </c>
      <c r="G175" s="21">
        <f>+'1.1.mell._ÖNK_Mérleg2020'!G175+'1.2.mell._HKÖH_Mérleg2020'!G175+'1.3.mell._HVÓBKI_Mérleg2020'!G175+'1.4.mell._HKK_Mérleg2020'!G175+'1.5._mell._MŐSZ_Mérleg2020'!G175+'1.6._mell._HVGYKCSSZ_Mérleg2020'!G175</f>
        <v>0</v>
      </c>
      <c r="H175" s="22">
        <f>+'1.1.mell._ÖNK_Mérleg2020'!H175+'1.2.mell._HKÖH_Mérleg2020'!H175+'1.3.mell._HVÓBKI_Mérleg2020'!H175+'1.4.mell._HKK_Mérleg2020'!H175+'1.5._mell._MŐSZ_Mérleg2020'!H175+'1.6._mell._HVGYKCSSZ_Mérleg2020'!H175</f>
        <v>0</v>
      </c>
      <c r="I175" s="23">
        <f>+'1.1.mell._ÖNK_Mérleg2020'!I175+'1.2.mell._HKÖH_Mérleg2020'!I175+'1.3.mell._HVÓBKI_Mérleg2020'!I175+'1.4.mell._HKK_Mérleg2020'!I175+'1.5._mell._MŐSZ_Mérleg2020'!I175+'1.6._mell._HVGYKCSSZ_Mérleg2020'!I175</f>
        <v>0</v>
      </c>
      <c r="M175" s="4">
        <f t="shared" si="9"/>
        <v>0</v>
      </c>
      <c r="N175" s="3"/>
    </row>
    <row r="176" spans="1:14" s="3" customFormat="1" ht="12.75" thickBot="1">
      <c r="A176" s="83" t="s">
        <v>10</v>
      </c>
      <c r="B176" s="69" t="s">
        <v>313</v>
      </c>
      <c r="C176" s="129">
        <f>+C109+C149</f>
        <v>4522728</v>
      </c>
      <c r="D176" s="1061">
        <f>+D109+D149</f>
        <v>5684788</v>
      </c>
      <c r="E176" s="1061">
        <f>+E109+E149</f>
        <v>3081648</v>
      </c>
      <c r="F176" s="1294">
        <f t="shared" si="8"/>
        <v>0.54208670578392726</v>
      </c>
      <c r="G176" s="27">
        <f>+G109+G149</f>
        <v>2959541</v>
      </c>
      <c r="H176" s="28">
        <f>+H109+H149</f>
        <v>122107</v>
      </c>
      <c r="I176" s="29">
        <f>+I109+I149</f>
        <v>0</v>
      </c>
      <c r="J176" s="655">
        <f>+C176/$C$208</f>
        <v>0.99331323599757004</v>
      </c>
      <c r="K176" s="655">
        <f>+D176/$D$208</f>
        <v>0.981165409082703</v>
      </c>
      <c r="L176" s="655">
        <f>+E176/$E$208</f>
        <v>0.96579952074324282</v>
      </c>
      <c r="M176" s="3">
        <f t="shared" si="9"/>
        <v>0</v>
      </c>
    </row>
    <row r="177" spans="1:14" s="3" customFormat="1" ht="12.75" thickBot="1">
      <c r="A177" s="83" t="s">
        <v>9</v>
      </c>
      <c r="B177" s="70" t="s">
        <v>314</v>
      </c>
      <c r="C177" s="129">
        <f>+C178</f>
        <v>30446</v>
      </c>
      <c r="D177" s="1061">
        <f>+D178</f>
        <v>109126</v>
      </c>
      <c r="E177" s="1061">
        <f>+E178</f>
        <v>109126</v>
      </c>
      <c r="F177" s="1294">
        <f t="shared" si="8"/>
        <v>1</v>
      </c>
      <c r="G177" s="27">
        <f>+G178</f>
        <v>109126</v>
      </c>
      <c r="H177" s="28">
        <f>+H178</f>
        <v>0</v>
      </c>
      <c r="I177" s="29">
        <f>+I178</f>
        <v>0</v>
      </c>
      <c r="J177" s="655">
        <f>+C177/$C$208</f>
        <v>6.6867640024299534E-3</v>
      </c>
      <c r="K177" s="655">
        <f>+D177/$D$208</f>
        <v>1.8834590917297011E-2</v>
      </c>
      <c r="L177" s="655">
        <f>+E177/$E$208</f>
        <v>3.4200479256757135E-2</v>
      </c>
      <c r="M177" s="3">
        <f t="shared" si="9"/>
        <v>0</v>
      </c>
      <c r="N177" s="4"/>
    </row>
    <row r="178" spans="1:14" s="3" customFormat="1" ht="12.75" thickBot="1">
      <c r="A178" s="83" t="s">
        <v>45</v>
      </c>
      <c r="B178" s="64" t="s">
        <v>937</v>
      </c>
      <c r="C178" s="129">
        <f>+C179+C189+C190+C191</f>
        <v>30446</v>
      </c>
      <c r="D178" s="1061">
        <f>+D179+D189+D190+D191</f>
        <v>109126</v>
      </c>
      <c r="E178" s="1061">
        <f>+E179+E189+E190+E191</f>
        <v>109126</v>
      </c>
      <c r="F178" s="1294">
        <f t="shared" si="8"/>
        <v>1</v>
      </c>
      <c r="G178" s="27">
        <f>+G179+G189+G190+G191</f>
        <v>109126</v>
      </c>
      <c r="H178" s="28">
        <f>+H179+H189+H190+H191</f>
        <v>0</v>
      </c>
      <c r="I178" s="29">
        <f>+I179+I189+I190+I191</f>
        <v>0</v>
      </c>
      <c r="J178" s="655">
        <f>+C178/$C$208</f>
        <v>6.6867640024299534E-3</v>
      </c>
      <c r="K178" s="655">
        <f>+D178/$D$208</f>
        <v>1.8834590917297011E-2</v>
      </c>
      <c r="L178" s="655">
        <f>+E178/$E$208</f>
        <v>3.4200479256757135E-2</v>
      </c>
      <c r="M178" s="3">
        <f t="shared" si="9"/>
        <v>0</v>
      </c>
      <c r="N178" s="13"/>
    </row>
    <row r="179" spans="1:14">
      <c r="A179" s="84" t="s">
        <v>75</v>
      </c>
      <c r="B179" s="65" t="s">
        <v>938</v>
      </c>
      <c r="C179" s="398">
        <f>+C180+C181+C182+C183+C184+C185+C186+C187+C188</f>
        <v>30446</v>
      </c>
      <c r="D179" s="1062">
        <f>+D180+D181+D182+D183+D184+D185+D186+D187+D188</f>
        <v>109126</v>
      </c>
      <c r="E179" s="1062">
        <f>+E180+E181+E182+E183+E184+E185+E186+E187+E188</f>
        <v>109126</v>
      </c>
      <c r="F179" s="1295">
        <f t="shared" si="8"/>
        <v>1</v>
      </c>
      <c r="G179" s="34">
        <f>+G180+G181+G182+G183+G184+G185+G186+G187+G188</f>
        <v>109126</v>
      </c>
      <c r="H179" s="10">
        <f>+H180+H181+H182+H183+H184+H185+H186+H187+H188</f>
        <v>0</v>
      </c>
      <c r="I179" s="35">
        <f>+I180+I181+I182+I183+I184+I185+I186+I187+I188</f>
        <v>0</v>
      </c>
      <c r="M179" s="4">
        <f t="shared" si="9"/>
        <v>0</v>
      </c>
      <c r="N179" s="13"/>
    </row>
    <row r="180" spans="1:14" s="13" customFormat="1">
      <c r="A180" s="86" t="s">
        <v>204</v>
      </c>
      <c r="B180" s="66" t="s">
        <v>169</v>
      </c>
      <c r="C180" s="394">
        <f>+'1.1.mell._ÖNK_Mérleg2020'!C180+'1.2.mell._HKÖH_Mérleg2020'!C180+'1.3.mell._HVÓBKI_Mérleg2020'!C180+'1.4.mell._HKK_Mérleg2020'!C180+'1.5._mell._MŐSZ_Mérleg2020'!C180+'1.6._mell._HVGYKCSSZ_Mérleg2020'!C180</f>
        <v>0</v>
      </c>
      <c r="D180" s="1063">
        <f>+'1.1.mell._ÖNK_Mérleg2020'!D180+'1.2.mell._HKÖH_Mérleg2020'!D180+'1.3.mell._HVÓBKI_Mérleg2020'!D180+'1.4.mell._HKK_Mérleg2020'!D180+'1.5._mell._MŐSZ_Mérleg2020'!D180+'1.6._mell._HVGYKCSSZ_Mérleg2020'!D180</f>
        <v>77939</v>
      </c>
      <c r="E180" s="1063">
        <f>+'1.1.mell._ÖNK_Mérleg2020'!E180+'1.2.mell._HKÖH_Mérleg2020'!E180+'1.3.mell._HVÓBKI_Mérleg2020'!E180+'1.4.mell._HKK_Mérleg2020'!E180+'1.5._mell._MŐSZ_Mérleg2020'!E180+'1.6._mell._HVGYKCSSZ_Mérleg2020'!E180</f>
        <v>77939</v>
      </c>
      <c r="F180" s="1296">
        <f t="shared" si="8"/>
        <v>1</v>
      </c>
      <c r="G180" s="19">
        <f>+'1.1.mell._ÖNK_Mérleg2020'!G180+'1.2.mell._HKÖH_Mérleg2020'!G180+'1.3.mell._HVÓBKI_Mérleg2020'!G180+'1.4.mell._HKK_Mérleg2020'!G180+'1.5._mell._MŐSZ_Mérleg2020'!G180+'1.6._mell._HVGYKCSSZ_Mérleg2020'!G180</f>
        <v>77939</v>
      </c>
      <c r="H180" s="12">
        <f>+'1.1.mell._ÖNK_Mérleg2020'!H180+'1.2.mell._HKÖH_Mérleg2020'!H180+'1.3.mell._HVÓBKI_Mérleg2020'!H180+'1.4.mell._HKK_Mérleg2020'!H180+'1.5._mell._MŐSZ_Mérleg2020'!H180+'1.6._mell._HVGYKCSSZ_Mérleg2020'!H180</f>
        <v>0</v>
      </c>
      <c r="I180" s="15">
        <f>+'1.1.mell._ÖNK_Mérleg2020'!I180+'1.2.mell._HKÖH_Mérleg2020'!I180+'1.3.mell._HVÓBKI_Mérleg2020'!I180+'1.4.mell._HKK_Mérleg2020'!I180+'1.5._mell._MŐSZ_Mérleg2020'!I180+'1.6._mell._HVGYKCSSZ_Mérleg2020'!I180</f>
        <v>0</v>
      </c>
      <c r="M180" s="13">
        <f t="shared" si="9"/>
        <v>0</v>
      </c>
    </row>
    <row r="181" spans="1:14" s="13" customFormat="1">
      <c r="A181" s="86" t="s">
        <v>205</v>
      </c>
      <c r="B181" s="66" t="s">
        <v>170</v>
      </c>
      <c r="C181" s="394">
        <f>+'1.1.mell._ÖNK_Mérleg2020'!C181+'1.2.mell._HKÖH_Mérleg2020'!C181+'1.3.mell._HVÓBKI_Mérleg2020'!C181+'1.4.mell._HKK_Mérleg2020'!C181+'1.5._mell._MŐSZ_Mérleg2020'!C181+'1.6._mell._HVGYKCSSZ_Mérleg2020'!C181</f>
        <v>0</v>
      </c>
      <c r="D181" s="1063">
        <f>+'1.1.mell._ÖNK_Mérleg2020'!D181+'1.2.mell._HKÖH_Mérleg2020'!D181+'1.3.mell._HVÓBKI_Mérleg2020'!D181+'1.4.mell._HKK_Mérleg2020'!D181+'1.5._mell._MŐSZ_Mérleg2020'!D181+'1.6._mell._HVGYKCSSZ_Mérleg2020'!D181</f>
        <v>0</v>
      </c>
      <c r="E181" s="1063">
        <f>+'1.1.mell._ÖNK_Mérleg2020'!E181+'1.2.mell._HKÖH_Mérleg2020'!E181+'1.3.mell._HVÓBKI_Mérleg2020'!E181+'1.4.mell._HKK_Mérleg2020'!E181+'1.5._mell._MŐSZ_Mérleg2020'!E181+'1.6._mell._HVGYKCSSZ_Mérleg2020'!E181</f>
        <v>0</v>
      </c>
      <c r="F181" s="1296" t="str">
        <f t="shared" si="8"/>
        <v>-</v>
      </c>
      <c r="G181" s="19">
        <f>+'1.1.mell._ÖNK_Mérleg2020'!G181+'1.2.mell._HKÖH_Mérleg2020'!G181+'1.3.mell._HVÓBKI_Mérleg2020'!G181+'1.4.mell._HKK_Mérleg2020'!G181+'1.5._mell._MŐSZ_Mérleg2020'!G181+'1.6._mell._HVGYKCSSZ_Mérleg2020'!G181</f>
        <v>0</v>
      </c>
      <c r="H181" s="12">
        <f>+'1.1.mell._ÖNK_Mérleg2020'!H181+'1.2.mell._HKÖH_Mérleg2020'!H181+'1.3.mell._HVÓBKI_Mérleg2020'!H181+'1.4.mell._HKK_Mérleg2020'!H181+'1.5._mell._MŐSZ_Mérleg2020'!H181+'1.6._mell._HVGYKCSSZ_Mérleg2020'!H181</f>
        <v>0</v>
      </c>
      <c r="I181" s="15">
        <f>+'1.1.mell._ÖNK_Mérleg2020'!I181+'1.2.mell._HKÖH_Mérleg2020'!I181+'1.3.mell._HVÓBKI_Mérleg2020'!I181+'1.4.mell._HKK_Mérleg2020'!I181+'1.5._mell._MŐSZ_Mérleg2020'!I181+'1.6._mell._HVGYKCSSZ_Mérleg2020'!I181</f>
        <v>0</v>
      </c>
      <c r="M181" s="13">
        <f t="shared" si="9"/>
        <v>0</v>
      </c>
    </row>
    <row r="182" spans="1:14" s="13" customFormat="1">
      <c r="A182" s="86" t="s">
        <v>206</v>
      </c>
      <c r="B182" s="66" t="s">
        <v>171</v>
      </c>
      <c r="C182" s="394">
        <f>+'1.1.mell._ÖNK_Mérleg2020'!C182+'1.2.mell._HKÖH_Mérleg2020'!C182+'1.3.mell._HVÓBKI_Mérleg2020'!C182+'1.4.mell._HKK_Mérleg2020'!C182+'1.5._mell._MŐSZ_Mérleg2020'!C182+'1.6._mell._HVGYKCSSZ_Mérleg2020'!C182</f>
        <v>0</v>
      </c>
      <c r="D182" s="1063">
        <f>+'1.1.mell._ÖNK_Mérleg2020'!D182+'1.2.mell._HKÖH_Mérleg2020'!D182+'1.3.mell._HVÓBKI_Mérleg2020'!D182+'1.4.mell._HKK_Mérleg2020'!D182+'1.5._mell._MŐSZ_Mérleg2020'!D182+'1.6._mell._HVGYKCSSZ_Mérleg2020'!D182</f>
        <v>0</v>
      </c>
      <c r="E182" s="1063">
        <f>+'1.1.mell._ÖNK_Mérleg2020'!E182+'1.2.mell._HKÖH_Mérleg2020'!E182+'1.3.mell._HVÓBKI_Mérleg2020'!E182+'1.4.mell._HKK_Mérleg2020'!E182+'1.5._mell._MŐSZ_Mérleg2020'!E182+'1.6._mell._HVGYKCSSZ_Mérleg2020'!E182</f>
        <v>0</v>
      </c>
      <c r="F182" s="1296" t="str">
        <f t="shared" si="8"/>
        <v>-</v>
      </c>
      <c r="G182" s="19">
        <f>+'1.1.mell._ÖNK_Mérleg2020'!G182+'1.2.mell._HKÖH_Mérleg2020'!G182+'1.3.mell._HVÓBKI_Mérleg2020'!G182+'1.4.mell._HKK_Mérleg2020'!G182+'1.5._mell._MŐSZ_Mérleg2020'!G182+'1.6._mell._HVGYKCSSZ_Mérleg2020'!G182</f>
        <v>0</v>
      </c>
      <c r="H182" s="12">
        <f>+'1.1.mell._ÖNK_Mérleg2020'!H182+'1.2.mell._HKÖH_Mérleg2020'!H182+'1.3.mell._HVÓBKI_Mérleg2020'!H182+'1.4.mell._HKK_Mérleg2020'!H182+'1.5._mell._MŐSZ_Mérleg2020'!H182+'1.6._mell._HVGYKCSSZ_Mérleg2020'!H182</f>
        <v>0</v>
      </c>
      <c r="I182" s="15">
        <f>+'1.1.mell._ÖNK_Mérleg2020'!I182+'1.2.mell._HKÖH_Mérleg2020'!I182+'1.3.mell._HVÓBKI_Mérleg2020'!I182+'1.4.mell._HKK_Mérleg2020'!I182+'1.5._mell._MŐSZ_Mérleg2020'!I182+'1.6._mell._HVGYKCSSZ_Mérleg2020'!I182</f>
        <v>0</v>
      </c>
      <c r="M182" s="13">
        <f t="shared" si="9"/>
        <v>0</v>
      </c>
    </row>
    <row r="183" spans="1:14" s="13" customFormat="1">
      <c r="A183" s="86" t="s">
        <v>207</v>
      </c>
      <c r="B183" s="66" t="s">
        <v>172</v>
      </c>
      <c r="C183" s="394">
        <f>+'1.1.mell._ÖNK_Mérleg2020'!C183+'1.2.mell._HKÖH_Mérleg2020'!C183+'1.3.mell._HVÓBKI_Mérleg2020'!C183+'1.4.mell._HKK_Mérleg2020'!C183+'1.5._mell._MŐSZ_Mérleg2020'!C183+'1.6._mell._HVGYKCSSZ_Mérleg2020'!C183</f>
        <v>30446</v>
      </c>
      <c r="D183" s="1063">
        <f>+'1.1.mell._ÖNK_Mérleg2020'!D183+'1.2.mell._HKÖH_Mérleg2020'!D183+'1.3.mell._HVÓBKI_Mérleg2020'!D183+'1.4.mell._HKK_Mérleg2020'!D183+'1.5._mell._MŐSZ_Mérleg2020'!D183+'1.6._mell._HVGYKCSSZ_Mérleg2020'!D183</f>
        <v>31187</v>
      </c>
      <c r="E183" s="1063">
        <f>+'1.1.mell._ÖNK_Mérleg2020'!E183+'1.2.mell._HKÖH_Mérleg2020'!E183+'1.3.mell._HVÓBKI_Mérleg2020'!E183+'1.4.mell._HKK_Mérleg2020'!E183+'1.5._mell._MŐSZ_Mérleg2020'!E183+'1.6._mell._HVGYKCSSZ_Mérleg2020'!E183</f>
        <v>31187</v>
      </c>
      <c r="F183" s="1296">
        <f t="shared" si="8"/>
        <v>1</v>
      </c>
      <c r="G183" s="19">
        <f>+'1.1.mell._ÖNK_Mérleg2020'!G183+'1.2.mell._HKÖH_Mérleg2020'!G183+'1.3.mell._HVÓBKI_Mérleg2020'!G183+'1.4.mell._HKK_Mérleg2020'!G183+'1.5._mell._MŐSZ_Mérleg2020'!G183+'1.6._mell._HVGYKCSSZ_Mérleg2020'!G183</f>
        <v>31187</v>
      </c>
      <c r="H183" s="12">
        <f>+'1.1.mell._ÖNK_Mérleg2020'!H183+'1.2.mell._HKÖH_Mérleg2020'!H183+'1.3.mell._HVÓBKI_Mérleg2020'!H183+'1.4.mell._HKK_Mérleg2020'!H183+'1.5._mell._MŐSZ_Mérleg2020'!H183+'1.6._mell._HVGYKCSSZ_Mérleg2020'!H183</f>
        <v>0</v>
      </c>
      <c r="I183" s="15">
        <f>+'1.1.mell._ÖNK_Mérleg2020'!I183+'1.2.mell._HKÖH_Mérleg2020'!I183+'1.3.mell._HVÓBKI_Mérleg2020'!I183+'1.4.mell._HKK_Mérleg2020'!I183+'1.5._mell._MŐSZ_Mérleg2020'!I183+'1.6._mell._HVGYKCSSZ_Mérleg2020'!I183</f>
        <v>0</v>
      </c>
      <c r="M183" s="13">
        <f t="shared" si="9"/>
        <v>0</v>
      </c>
    </row>
    <row r="184" spans="1:14" s="13" customFormat="1">
      <c r="A184" s="103" t="s">
        <v>208</v>
      </c>
      <c r="B184" s="104" t="s">
        <v>173</v>
      </c>
      <c r="C184" s="393"/>
      <c r="D184" s="1166"/>
      <c r="E184" s="1166"/>
      <c r="F184" s="1314" t="str">
        <f t="shared" si="8"/>
        <v>-</v>
      </c>
      <c r="G184" s="105"/>
      <c r="H184" s="106"/>
      <c r="I184" s="107"/>
      <c r="M184" s="117">
        <f t="shared" si="9"/>
        <v>0</v>
      </c>
    </row>
    <row r="185" spans="1:14" s="13" customFormat="1">
      <c r="A185" s="86" t="s">
        <v>209</v>
      </c>
      <c r="B185" s="66" t="s">
        <v>178</v>
      </c>
      <c r="C185" s="394">
        <f>+'1.1.mell._ÖNK_Mérleg2020'!C185+'1.2.mell._HKÖH_Mérleg2020'!C185+'1.3.mell._HVÓBKI_Mérleg2020'!C185+'1.4.mell._HKK_Mérleg2020'!C185+'1.5._mell._MŐSZ_Mérleg2020'!C185+'1.6._mell._HVGYKCSSZ_Mérleg2020'!C185</f>
        <v>0</v>
      </c>
      <c r="D185" s="1063">
        <f>+'1.1.mell._ÖNK_Mérleg2020'!D185+'1.2.mell._HKÖH_Mérleg2020'!D185+'1.3.mell._HVÓBKI_Mérleg2020'!D185+'1.4.mell._HKK_Mérleg2020'!D185+'1.5._mell._MŐSZ_Mérleg2020'!D185+'1.6._mell._HVGYKCSSZ_Mérleg2020'!D185</f>
        <v>0</v>
      </c>
      <c r="E185" s="1063">
        <f>+'1.1.mell._ÖNK_Mérleg2020'!E185+'1.2.mell._HKÖH_Mérleg2020'!E185+'1.3.mell._HVÓBKI_Mérleg2020'!E185+'1.4.mell._HKK_Mérleg2020'!E185+'1.5._mell._MŐSZ_Mérleg2020'!E185+'1.6._mell._HVGYKCSSZ_Mérleg2020'!E185</f>
        <v>0</v>
      </c>
      <c r="F185" s="1296" t="str">
        <f t="shared" si="8"/>
        <v>-</v>
      </c>
      <c r="G185" s="19">
        <f>+'1.1.mell._ÖNK_Mérleg2020'!G185+'1.2.mell._HKÖH_Mérleg2020'!G185+'1.3.mell._HVÓBKI_Mérleg2020'!G185+'1.4.mell._HKK_Mérleg2020'!G185+'1.5._mell._MŐSZ_Mérleg2020'!G185+'1.6._mell._HVGYKCSSZ_Mérleg2020'!G185</f>
        <v>0</v>
      </c>
      <c r="H185" s="12">
        <f>+'1.1.mell._ÖNK_Mérleg2020'!H185+'1.2.mell._HKÖH_Mérleg2020'!H185+'1.3.mell._HVÓBKI_Mérleg2020'!H185+'1.4.mell._HKK_Mérleg2020'!H185+'1.5._mell._MŐSZ_Mérleg2020'!H185+'1.6._mell._HVGYKCSSZ_Mérleg2020'!H185</f>
        <v>0</v>
      </c>
      <c r="I185" s="15">
        <f>+'1.1.mell._ÖNK_Mérleg2020'!I185+'1.2.mell._HKÖH_Mérleg2020'!I185+'1.3.mell._HVÓBKI_Mérleg2020'!I185+'1.4.mell._HKK_Mérleg2020'!I185+'1.5._mell._MŐSZ_Mérleg2020'!I185+'1.6._mell._HVGYKCSSZ_Mérleg2020'!I185</f>
        <v>0</v>
      </c>
      <c r="M185" s="13">
        <f t="shared" si="9"/>
        <v>0</v>
      </c>
    </row>
    <row r="186" spans="1:14" s="13" customFormat="1">
      <c r="A186" s="86" t="s">
        <v>210</v>
      </c>
      <c r="B186" s="66" t="s">
        <v>174</v>
      </c>
      <c r="C186" s="394">
        <f>+'1.1.mell._ÖNK_Mérleg2020'!C186+'1.2.mell._HKÖH_Mérleg2020'!C186+'1.3.mell._HVÓBKI_Mérleg2020'!C186+'1.4.mell._HKK_Mérleg2020'!C186+'1.5._mell._MŐSZ_Mérleg2020'!C186+'1.6._mell._HVGYKCSSZ_Mérleg2020'!C186</f>
        <v>0</v>
      </c>
      <c r="D186" s="1063">
        <f>+'1.1.mell._ÖNK_Mérleg2020'!D186+'1.2.mell._HKÖH_Mérleg2020'!D186+'1.3.mell._HVÓBKI_Mérleg2020'!D186+'1.4.mell._HKK_Mérleg2020'!D186+'1.5._mell._MŐSZ_Mérleg2020'!D186+'1.6._mell._HVGYKCSSZ_Mérleg2020'!D186</f>
        <v>0</v>
      </c>
      <c r="E186" s="1063">
        <f>+'1.1.mell._ÖNK_Mérleg2020'!E186+'1.2.mell._HKÖH_Mérleg2020'!E186+'1.3.mell._HVÓBKI_Mérleg2020'!E186+'1.4.mell._HKK_Mérleg2020'!E186+'1.5._mell._MŐSZ_Mérleg2020'!E186+'1.6._mell._HVGYKCSSZ_Mérleg2020'!E186</f>
        <v>0</v>
      </c>
      <c r="F186" s="1296" t="str">
        <f t="shared" si="8"/>
        <v>-</v>
      </c>
      <c r="G186" s="19">
        <f>+'1.1.mell._ÖNK_Mérleg2020'!G186+'1.2.mell._HKÖH_Mérleg2020'!G186+'1.3.mell._HVÓBKI_Mérleg2020'!G186+'1.4.mell._HKK_Mérleg2020'!G186+'1.5._mell._MŐSZ_Mérleg2020'!G186+'1.6._mell._HVGYKCSSZ_Mérleg2020'!G186</f>
        <v>0</v>
      </c>
      <c r="H186" s="12">
        <f>+'1.1.mell._ÖNK_Mérleg2020'!H186+'1.2.mell._HKÖH_Mérleg2020'!H186+'1.3.mell._HVÓBKI_Mérleg2020'!H186+'1.4.mell._HKK_Mérleg2020'!H186+'1.5._mell._MŐSZ_Mérleg2020'!H186+'1.6._mell._HVGYKCSSZ_Mérleg2020'!H186</f>
        <v>0</v>
      </c>
      <c r="I186" s="15">
        <f>+'1.1.mell._ÖNK_Mérleg2020'!I186+'1.2.mell._HKÖH_Mérleg2020'!I186+'1.3.mell._HVÓBKI_Mérleg2020'!I186+'1.4.mell._HKK_Mérleg2020'!I186+'1.5._mell._MŐSZ_Mérleg2020'!I186+'1.6._mell._HVGYKCSSZ_Mérleg2020'!I186</f>
        <v>0</v>
      </c>
      <c r="M186" s="13">
        <f t="shared" si="9"/>
        <v>0</v>
      </c>
    </row>
    <row r="187" spans="1:14" s="13" customFormat="1">
      <c r="A187" s="86" t="s">
        <v>211</v>
      </c>
      <c r="B187" s="66" t="s">
        <v>175</v>
      </c>
      <c r="C187" s="394">
        <f>+'1.1.mell._ÖNK_Mérleg2020'!C187+'1.2.mell._HKÖH_Mérleg2020'!C187+'1.3.mell._HVÓBKI_Mérleg2020'!C187+'1.4.mell._HKK_Mérleg2020'!C187+'1.5._mell._MŐSZ_Mérleg2020'!C187+'1.6._mell._HVGYKCSSZ_Mérleg2020'!C187</f>
        <v>0</v>
      </c>
      <c r="D187" s="1063">
        <f>+'1.1.mell._ÖNK_Mérleg2020'!D187+'1.2.mell._HKÖH_Mérleg2020'!D187+'1.3.mell._HVÓBKI_Mérleg2020'!D187+'1.4.mell._HKK_Mérleg2020'!D187+'1.5._mell._MŐSZ_Mérleg2020'!D187+'1.6._mell._HVGYKCSSZ_Mérleg2020'!D187</f>
        <v>0</v>
      </c>
      <c r="E187" s="1063">
        <f>+'1.1.mell._ÖNK_Mérleg2020'!E187+'1.2.mell._HKÖH_Mérleg2020'!E187+'1.3.mell._HVÓBKI_Mérleg2020'!E187+'1.4.mell._HKK_Mérleg2020'!E187+'1.5._mell._MŐSZ_Mérleg2020'!E187+'1.6._mell._HVGYKCSSZ_Mérleg2020'!E187</f>
        <v>0</v>
      </c>
      <c r="F187" s="1296" t="str">
        <f t="shared" si="8"/>
        <v>-</v>
      </c>
      <c r="G187" s="19">
        <f>+'1.1.mell._ÖNK_Mérleg2020'!G187+'1.2.mell._HKÖH_Mérleg2020'!G187+'1.3.mell._HVÓBKI_Mérleg2020'!G187+'1.4.mell._HKK_Mérleg2020'!G187+'1.5._mell._MŐSZ_Mérleg2020'!G187+'1.6._mell._HVGYKCSSZ_Mérleg2020'!G187</f>
        <v>0</v>
      </c>
      <c r="H187" s="12">
        <f>+'1.1.mell._ÖNK_Mérleg2020'!H187+'1.2.mell._HKÖH_Mérleg2020'!H187+'1.3.mell._HVÓBKI_Mérleg2020'!H187+'1.4.mell._HKK_Mérleg2020'!H187+'1.5._mell._MŐSZ_Mérleg2020'!H187+'1.6._mell._HVGYKCSSZ_Mérleg2020'!H187</f>
        <v>0</v>
      </c>
      <c r="I187" s="15">
        <f>+'1.1.mell._ÖNK_Mérleg2020'!I187+'1.2.mell._HKÖH_Mérleg2020'!I187+'1.3.mell._HVÓBKI_Mérleg2020'!I187+'1.4.mell._HKK_Mérleg2020'!I187+'1.5._mell._MŐSZ_Mérleg2020'!I187+'1.6._mell._HVGYKCSSZ_Mérleg2020'!I187</f>
        <v>0</v>
      </c>
      <c r="M187" s="13">
        <f t="shared" si="9"/>
        <v>0</v>
      </c>
      <c r="N187" s="4"/>
    </row>
    <row r="188" spans="1:14" s="13" customFormat="1">
      <c r="A188" s="86" t="s">
        <v>931</v>
      </c>
      <c r="B188" s="66" t="s">
        <v>933</v>
      </c>
      <c r="C188" s="394">
        <f>+'1.1.mell._ÖNK_Mérleg2020'!C188+'1.2.mell._HKÖH_Mérleg2020'!C188+'1.3.mell._HVÓBKI_Mérleg2020'!C188+'1.4.mell._HKK_Mérleg2020'!C188+'1.5._mell._MŐSZ_Mérleg2020'!C188+'1.6._mell._HVGYKCSSZ_Mérleg2020'!C188</f>
        <v>0</v>
      </c>
      <c r="D188" s="1063">
        <f>+'1.1.mell._ÖNK_Mérleg2020'!D188+'1.2.mell._HKÖH_Mérleg2020'!D188+'1.3.mell._HVÓBKI_Mérleg2020'!D188+'1.4.mell._HKK_Mérleg2020'!D188+'1.5._mell._MŐSZ_Mérleg2020'!D188+'1.6._mell._HVGYKCSSZ_Mérleg2020'!D188</f>
        <v>0</v>
      </c>
      <c r="E188" s="1063">
        <f>+'1.1.mell._ÖNK_Mérleg2020'!E188+'1.2.mell._HKÖH_Mérleg2020'!E188+'1.3.mell._HVÓBKI_Mérleg2020'!E188+'1.4.mell._HKK_Mérleg2020'!E188+'1.5._mell._MŐSZ_Mérleg2020'!E188+'1.6._mell._HVGYKCSSZ_Mérleg2020'!E188</f>
        <v>0</v>
      </c>
      <c r="F188" s="1296" t="str">
        <f t="shared" si="8"/>
        <v>-</v>
      </c>
      <c r="G188" s="19">
        <f>+'1.1.mell._ÖNK_Mérleg2020'!G188+'1.2.mell._HKÖH_Mérleg2020'!G188+'1.3.mell._HVÓBKI_Mérleg2020'!G188+'1.4.mell._HKK_Mérleg2020'!G188+'1.5._mell._MŐSZ_Mérleg2020'!G188+'1.6._mell._HVGYKCSSZ_Mérleg2020'!G188</f>
        <v>0</v>
      </c>
      <c r="H188" s="12">
        <f>+'1.1.mell._ÖNK_Mérleg2020'!H188+'1.2.mell._HKÖH_Mérleg2020'!H188+'1.3.mell._HVÓBKI_Mérleg2020'!H188+'1.4.mell._HKK_Mérleg2020'!H188+'1.5._mell._MŐSZ_Mérleg2020'!H188+'1.6._mell._HVGYKCSSZ_Mérleg2020'!H188</f>
        <v>0</v>
      </c>
      <c r="I188" s="15">
        <f>+'1.1.mell._ÖNK_Mérleg2020'!I188+'1.2.mell._HKÖH_Mérleg2020'!I188+'1.3.mell._HVÓBKI_Mérleg2020'!I188+'1.4.mell._HKK_Mérleg2020'!I188+'1.5._mell._MŐSZ_Mérleg2020'!I188+'1.6._mell._HVGYKCSSZ_Mérleg2020'!I188</f>
        <v>0</v>
      </c>
      <c r="M188" s="13">
        <f t="shared" si="9"/>
        <v>0</v>
      </c>
      <c r="N188" s="4"/>
    </row>
    <row r="189" spans="1:14">
      <c r="A189" s="85" t="s">
        <v>76</v>
      </c>
      <c r="B189" s="67" t="s">
        <v>176</v>
      </c>
      <c r="C189" s="396">
        <f>+'1.1.mell._ÖNK_Mérleg2020'!C189+'1.2.mell._HKÖH_Mérleg2020'!C189+'1.3.mell._HVÓBKI_Mérleg2020'!C189+'1.4.mell._HKK_Mérleg2020'!C189+'1.5._mell._MŐSZ_Mérleg2020'!C189+'1.6._mell._HVGYKCSSZ_Mérleg2020'!C189</f>
        <v>0</v>
      </c>
      <c r="D189" s="1064">
        <f>+'1.1.mell._ÖNK_Mérleg2020'!D189+'1.2.mell._HKÖH_Mérleg2020'!D189+'1.3.mell._HVÓBKI_Mérleg2020'!D189+'1.4.mell._HKK_Mérleg2020'!D189+'1.5._mell._MŐSZ_Mérleg2020'!D189+'1.6._mell._HVGYKCSSZ_Mérleg2020'!D189</f>
        <v>0</v>
      </c>
      <c r="E189" s="1064">
        <f>+'1.1.mell._ÖNK_Mérleg2020'!E189+'1.2.mell._HKÖH_Mérleg2020'!E189+'1.3.mell._HVÓBKI_Mérleg2020'!E189+'1.4.mell._HKK_Mérleg2020'!E189+'1.5._mell._MŐSZ_Mérleg2020'!E189+'1.6._mell._HVGYKCSSZ_Mérleg2020'!E189</f>
        <v>0</v>
      </c>
      <c r="F189" s="1296" t="str">
        <f t="shared" si="8"/>
        <v>-</v>
      </c>
      <c r="G189" s="20">
        <f>+'1.1.mell._ÖNK_Mérleg2020'!G189+'1.2.mell._HKÖH_Mérleg2020'!G189+'1.3.mell._HVÓBKI_Mérleg2020'!G189+'1.4.mell._HKK_Mérleg2020'!G189+'1.5._mell._MŐSZ_Mérleg2020'!G189+'1.6._mell._HVGYKCSSZ_Mérleg2020'!G189</f>
        <v>0</v>
      </c>
      <c r="H189" s="11">
        <f>+'1.1.mell._ÖNK_Mérleg2020'!H189+'1.2.mell._HKÖH_Mérleg2020'!H189+'1.3.mell._HVÓBKI_Mérleg2020'!H189+'1.4.mell._HKK_Mérleg2020'!H189+'1.5._mell._MŐSZ_Mérleg2020'!H189+'1.6._mell._HVGYKCSSZ_Mérleg2020'!H189</f>
        <v>0</v>
      </c>
      <c r="I189" s="16">
        <f>+'1.1.mell._ÖNK_Mérleg2020'!I189+'1.2.mell._HKÖH_Mérleg2020'!I189+'1.3.mell._HVÓBKI_Mérleg2020'!I189+'1.4.mell._HKK_Mérleg2020'!I189+'1.5._mell._MŐSZ_Mérleg2020'!I189+'1.6._mell._HVGYKCSSZ_Mérleg2020'!I189</f>
        <v>0</v>
      </c>
      <c r="M189" s="4">
        <f t="shared" si="9"/>
        <v>0</v>
      </c>
    </row>
    <row r="190" spans="1:14">
      <c r="A190" s="78" t="s">
        <v>77</v>
      </c>
      <c r="B190" s="68" t="s">
        <v>177</v>
      </c>
      <c r="C190" s="397">
        <f>+'1.1.mell._ÖNK_Mérleg2020'!C190+'1.2.mell._HKÖH_Mérleg2020'!C190+'1.3.mell._HVÓBKI_Mérleg2020'!C190+'1.4.mell._HKK_Mérleg2020'!C190+'1.5._mell._MŐSZ_Mérleg2020'!C190+'1.6._mell._HVGYKCSSZ_Mérleg2020'!C190</f>
        <v>0</v>
      </c>
      <c r="D190" s="1065">
        <f>+'1.1.mell._ÖNK_Mérleg2020'!D190+'1.2.mell._HKÖH_Mérleg2020'!D190+'1.3.mell._HVÓBKI_Mérleg2020'!D190+'1.4.mell._HKK_Mérleg2020'!D190+'1.5._mell._MŐSZ_Mérleg2020'!D190+'1.6._mell._HVGYKCSSZ_Mérleg2020'!D190</f>
        <v>0</v>
      </c>
      <c r="E190" s="1065">
        <f>+'1.1.mell._ÖNK_Mérleg2020'!E190+'1.2.mell._HKÖH_Mérleg2020'!E190+'1.3.mell._HVÓBKI_Mérleg2020'!E190+'1.4.mell._HKK_Mérleg2020'!E190+'1.5._mell._MŐSZ_Mérleg2020'!E190+'1.6._mell._HVGYKCSSZ_Mérleg2020'!E190</f>
        <v>0</v>
      </c>
      <c r="F190" s="1298" t="str">
        <f t="shared" si="8"/>
        <v>-</v>
      </c>
      <c r="G190" s="21">
        <f>+'1.1.mell._ÖNK_Mérleg2020'!G190+'1.2.mell._HKÖH_Mérleg2020'!G190+'1.3.mell._HVÓBKI_Mérleg2020'!G190+'1.4.mell._HKK_Mérleg2020'!G190+'1.5._mell._MŐSZ_Mérleg2020'!G190+'1.6._mell._HVGYKCSSZ_Mérleg2020'!G190</f>
        <v>0</v>
      </c>
      <c r="H190" s="22">
        <f>+'1.1.mell._ÖNK_Mérleg2020'!H190+'1.2.mell._HKÖH_Mérleg2020'!H190+'1.3.mell._HVÓBKI_Mérleg2020'!H190+'1.4.mell._HKK_Mérleg2020'!H190+'1.5._mell._MŐSZ_Mérleg2020'!H190+'1.6._mell._HVGYKCSSZ_Mérleg2020'!H190</f>
        <v>0</v>
      </c>
      <c r="I190" s="23">
        <f>+'1.1.mell._ÖNK_Mérleg2020'!I190+'1.2.mell._HKÖH_Mérleg2020'!I190+'1.3.mell._HVÓBKI_Mérleg2020'!I190+'1.4.mell._HKK_Mérleg2020'!I190+'1.5._mell._MŐSZ_Mérleg2020'!I190+'1.6._mell._HVGYKCSSZ_Mérleg2020'!I190</f>
        <v>0</v>
      </c>
      <c r="M190" s="4">
        <f t="shared" si="9"/>
        <v>0</v>
      </c>
      <c r="N190" s="3"/>
    </row>
    <row r="191" spans="1:14" ht="12.75" thickBot="1">
      <c r="A191" s="78" t="s">
        <v>936</v>
      </c>
      <c r="B191" s="68" t="s">
        <v>934</v>
      </c>
      <c r="C191" s="397">
        <f>+'1.1.mell._ÖNK_Mérleg2020'!C191+'1.2.mell._HKÖH_Mérleg2020'!C191+'1.3.mell._HVÓBKI_Mérleg2020'!C191+'1.4.mell._HKK_Mérleg2020'!C191+'1.5._mell._MŐSZ_Mérleg2020'!C191+'1.6._mell._HVGYKCSSZ_Mérleg2020'!C191</f>
        <v>0</v>
      </c>
      <c r="D191" s="1065">
        <f>+'1.1.mell._ÖNK_Mérleg2020'!D191+'1.2.mell._HKÖH_Mérleg2020'!D191+'1.3.mell._HVÓBKI_Mérleg2020'!D191+'1.4.mell._HKK_Mérleg2020'!D191+'1.5._mell._MŐSZ_Mérleg2020'!D191+'1.6._mell._HVGYKCSSZ_Mérleg2020'!D191</f>
        <v>0</v>
      </c>
      <c r="E191" s="1065">
        <f>+'1.1.mell._ÖNK_Mérleg2020'!E191+'1.2.mell._HKÖH_Mérleg2020'!E191+'1.3.mell._HVÓBKI_Mérleg2020'!E191+'1.4.mell._HKK_Mérleg2020'!E191+'1.5._mell._MŐSZ_Mérleg2020'!E191+'1.6._mell._HVGYKCSSZ_Mérleg2020'!E191</f>
        <v>0</v>
      </c>
      <c r="F191" s="1298" t="str">
        <f t="shared" si="8"/>
        <v>-</v>
      </c>
      <c r="G191" s="21">
        <f>+'1.1.mell._ÖNK_Mérleg2020'!G191+'1.2.mell._HKÖH_Mérleg2020'!G191+'1.3.mell._HVÓBKI_Mérleg2020'!G191+'1.4.mell._HKK_Mérleg2020'!G191+'1.5._mell._MŐSZ_Mérleg2020'!G191+'1.6._mell._HVGYKCSSZ_Mérleg2020'!G191</f>
        <v>0</v>
      </c>
      <c r="H191" s="22">
        <f>+'1.1.mell._ÖNK_Mérleg2020'!H191+'1.2.mell._HKÖH_Mérleg2020'!H191+'1.3.mell._HVÓBKI_Mérleg2020'!H191+'1.4.mell._HKK_Mérleg2020'!H191+'1.5._mell._MŐSZ_Mérleg2020'!H191+'1.6._mell._HVGYKCSSZ_Mérleg2020'!H191</f>
        <v>0</v>
      </c>
      <c r="I191" s="23">
        <f>+'1.1.mell._ÖNK_Mérleg2020'!I191+'1.2.mell._HKÖH_Mérleg2020'!I191+'1.3.mell._HVÓBKI_Mérleg2020'!I191+'1.4.mell._HKK_Mérleg2020'!I191+'1.5._mell._MŐSZ_Mérleg2020'!I191+'1.6._mell._HVGYKCSSZ_Mérleg2020'!I191</f>
        <v>0</v>
      </c>
      <c r="M191" s="4">
        <f t="shared" si="9"/>
        <v>0</v>
      </c>
      <c r="N191" s="3"/>
    </row>
    <row r="192" spans="1:14" s="3" customFormat="1" ht="12.75" thickBot="1">
      <c r="A192" s="83" t="s">
        <v>44</v>
      </c>
      <c r="B192" s="69" t="s">
        <v>315</v>
      </c>
      <c r="C192" s="129">
        <f>+C193</f>
        <v>0</v>
      </c>
      <c r="D192" s="1061">
        <f>+D193</f>
        <v>0</v>
      </c>
      <c r="E192" s="1061">
        <f>+E193</f>
        <v>0</v>
      </c>
      <c r="F192" s="1294" t="str">
        <f t="shared" si="8"/>
        <v>-</v>
      </c>
      <c r="G192" s="27">
        <f>+G193</f>
        <v>0</v>
      </c>
      <c r="H192" s="28">
        <f>+H193</f>
        <v>0</v>
      </c>
      <c r="I192" s="29">
        <f>+I193</f>
        <v>0</v>
      </c>
      <c r="J192" s="655">
        <f>+C192/$C$208</f>
        <v>0</v>
      </c>
      <c r="K192" s="655">
        <f>+D192/$D$208</f>
        <v>0</v>
      </c>
      <c r="L192" s="655">
        <f>+E192/$E$208</f>
        <v>0</v>
      </c>
      <c r="M192" s="3">
        <f t="shared" si="9"/>
        <v>0</v>
      </c>
      <c r="N192" s="4"/>
    </row>
    <row r="193" spans="1:14" s="3" customFormat="1" ht="12.75" thickBot="1">
      <c r="A193" s="83" t="s">
        <v>43</v>
      </c>
      <c r="B193" s="64" t="s">
        <v>932</v>
      </c>
      <c r="C193" s="129">
        <f>+C194+C204+C205+C206</f>
        <v>0</v>
      </c>
      <c r="D193" s="1061">
        <f>+D194+D204+D205+D206</f>
        <v>0</v>
      </c>
      <c r="E193" s="1061">
        <f>+E194+E204+E205+E206</f>
        <v>0</v>
      </c>
      <c r="F193" s="1294" t="str">
        <f t="shared" si="8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J193" s="655">
        <f>+C193/$C$208</f>
        <v>0</v>
      </c>
      <c r="K193" s="655">
        <f>+D193/$D$208</f>
        <v>0</v>
      </c>
      <c r="L193" s="655">
        <f>+E193/$E$208</f>
        <v>0</v>
      </c>
      <c r="M193" s="3">
        <f t="shared" si="9"/>
        <v>0</v>
      </c>
      <c r="N193" s="13"/>
    </row>
    <row r="194" spans="1:14">
      <c r="A194" s="84" t="s">
        <v>78</v>
      </c>
      <c r="B194" s="65" t="s">
        <v>967</v>
      </c>
      <c r="C194" s="398">
        <f>+C195+C196+C197+C198+C199+C200+C201+C202+C203</f>
        <v>0</v>
      </c>
      <c r="D194" s="1062">
        <f>+D195+D196+D197+D198+D199+D200+D201+D202+D203</f>
        <v>0</v>
      </c>
      <c r="E194" s="1062">
        <f>+E195+E196+E197+E198+E199+E200+E201+E202+E203</f>
        <v>0</v>
      </c>
      <c r="F194" s="1295" t="str">
        <f t="shared" si="8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M194" s="4">
        <f t="shared" si="9"/>
        <v>0</v>
      </c>
      <c r="N194" s="13"/>
    </row>
    <row r="195" spans="1:14" s="13" customFormat="1">
      <c r="A195" s="86" t="s">
        <v>212</v>
      </c>
      <c r="B195" s="66" t="s">
        <v>169</v>
      </c>
      <c r="C195" s="394">
        <f>+'1.1.mell._ÖNK_Mérleg2020'!C195+'1.2.mell._HKÖH_Mérleg2020'!C195+'1.3.mell._HVÓBKI_Mérleg2020'!C195+'1.4.mell._HKK_Mérleg2020'!C195+'1.5._mell._MŐSZ_Mérleg2020'!C195+'1.6._mell._HVGYKCSSZ_Mérleg2020'!C195</f>
        <v>0</v>
      </c>
      <c r="D195" s="1063">
        <f>+'1.1.mell._ÖNK_Mérleg2020'!D195+'1.2.mell._HKÖH_Mérleg2020'!D195+'1.3.mell._HVÓBKI_Mérleg2020'!D195+'1.4.mell._HKK_Mérleg2020'!D195+'1.5._mell._MŐSZ_Mérleg2020'!D195+'1.6._mell._HVGYKCSSZ_Mérleg2020'!D195</f>
        <v>0</v>
      </c>
      <c r="E195" s="1063">
        <f>+'1.1.mell._ÖNK_Mérleg2020'!E195+'1.2.mell._HKÖH_Mérleg2020'!E195+'1.3.mell._HVÓBKI_Mérleg2020'!E195+'1.4.mell._HKK_Mérleg2020'!E195+'1.5._mell._MŐSZ_Mérleg2020'!E195+'1.6._mell._HVGYKCSSZ_Mérleg2020'!E195</f>
        <v>0</v>
      </c>
      <c r="F195" s="1296" t="str">
        <f t="shared" si="8"/>
        <v>-</v>
      </c>
      <c r="G195" s="19">
        <f>+'1.1.mell._ÖNK_Mérleg2020'!G195+'1.2.mell._HKÖH_Mérleg2020'!G195+'1.3.mell._HVÓBKI_Mérleg2020'!G195+'1.4.mell._HKK_Mérleg2020'!G195+'1.5._mell._MŐSZ_Mérleg2020'!G195+'1.6._mell._HVGYKCSSZ_Mérleg2020'!G195</f>
        <v>0</v>
      </c>
      <c r="H195" s="12">
        <f>+'1.1.mell._ÖNK_Mérleg2020'!H195+'1.2.mell._HKÖH_Mérleg2020'!H195+'1.3.mell._HVÓBKI_Mérleg2020'!H195+'1.4.mell._HKK_Mérleg2020'!H195+'1.5._mell._MŐSZ_Mérleg2020'!H195+'1.6._mell._HVGYKCSSZ_Mérleg2020'!H195</f>
        <v>0</v>
      </c>
      <c r="I195" s="15">
        <f>+'1.1.mell._ÖNK_Mérleg2020'!I195+'1.2.mell._HKÖH_Mérleg2020'!I195+'1.3.mell._HVÓBKI_Mérleg2020'!I195+'1.4.mell._HKK_Mérleg2020'!I195+'1.5._mell._MŐSZ_Mérleg2020'!I195+'1.6._mell._HVGYKCSSZ_Mérleg2020'!I195</f>
        <v>0</v>
      </c>
      <c r="M195" s="13">
        <f t="shared" si="9"/>
        <v>0</v>
      </c>
    </row>
    <row r="196" spans="1:14" s="13" customFormat="1">
      <c r="A196" s="86" t="s">
        <v>213</v>
      </c>
      <c r="B196" s="66" t="s">
        <v>170</v>
      </c>
      <c r="C196" s="394">
        <f>+'1.1.mell._ÖNK_Mérleg2020'!C196+'1.2.mell._HKÖH_Mérleg2020'!C196+'1.3.mell._HVÓBKI_Mérleg2020'!C196+'1.4.mell._HKK_Mérleg2020'!C196+'1.5._mell._MŐSZ_Mérleg2020'!C196+'1.6._mell._HVGYKCSSZ_Mérleg2020'!C196</f>
        <v>0</v>
      </c>
      <c r="D196" s="1063">
        <f>+'1.1.mell._ÖNK_Mérleg2020'!D196+'1.2.mell._HKÖH_Mérleg2020'!D196+'1.3.mell._HVÓBKI_Mérleg2020'!D196+'1.4.mell._HKK_Mérleg2020'!D196+'1.5._mell._MŐSZ_Mérleg2020'!D196+'1.6._mell._HVGYKCSSZ_Mérleg2020'!D196</f>
        <v>0</v>
      </c>
      <c r="E196" s="1063">
        <f>+'1.1.mell._ÖNK_Mérleg2020'!E196+'1.2.mell._HKÖH_Mérleg2020'!E196+'1.3.mell._HVÓBKI_Mérleg2020'!E196+'1.4.mell._HKK_Mérleg2020'!E196+'1.5._mell._MŐSZ_Mérleg2020'!E196+'1.6._mell._HVGYKCSSZ_Mérleg2020'!E196</f>
        <v>0</v>
      </c>
      <c r="F196" s="1296" t="str">
        <f t="shared" si="8"/>
        <v>-</v>
      </c>
      <c r="G196" s="19">
        <f>+'1.1.mell._ÖNK_Mérleg2020'!G196+'1.2.mell._HKÖH_Mérleg2020'!G196+'1.3.mell._HVÓBKI_Mérleg2020'!G196+'1.4.mell._HKK_Mérleg2020'!G196+'1.5._mell._MŐSZ_Mérleg2020'!G196+'1.6._mell._HVGYKCSSZ_Mérleg2020'!G196</f>
        <v>0</v>
      </c>
      <c r="H196" s="12">
        <f>+'1.1.mell._ÖNK_Mérleg2020'!H196+'1.2.mell._HKÖH_Mérleg2020'!H196+'1.3.mell._HVÓBKI_Mérleg2020'!H196+'1.4.mell._HKK_Mérleg2020'!H196+'1.5._mell._MŐSZ_Mérleg2020'!H196+'1.6._mell._HVGYKCSSZ_Mérleg2020'!H196</f>
        <v>0</v>
      </c>
      <c r="I196" s="15">
        <f>+'1.1.mell._ÖNK_Mérleg2020'!I196+'1.2.mell._HKÖH_Mérleg2020'!I196+'1.3.mell._HVÓBKI_Mérleg2020'!I196+'1.4.mell._HKK_Mérleg2020'!I196+'1.5._mell._MŐSZ_Mérleg2020'!I196+'1.6._mell._HVGYKCSSZ_Mérleg2020'!I196</f>
        <v>0</v>
      </c>
      <c r="M196" s="13">
        <f t="shared" si="9"/>
        <v>0</v>
      </c>
    </row>
    <row r="197" spans="1:14" s="13" customFormat="1">
      <c r="A197" s="86" t="s">
        <v>214</v>
      </c>
      <c r="B197" s="66" t="s">
        <v>171</v>
      </c>
      <c r="C197" s="394">
        <f>+'1.1.mell._ÖNK_Mérleg2020'!C197+'1.2.mell._HKÖH_Mérleg2020'!C197+'1.3.mell._HVÓBKI_Mérleg2020'!C197+'1.4.mell._HKK_Mérleg2020'!C197+'1.5._mell._MŐSZ_Mérleg2020'!C197+'1.6._mell._HVGYKCSSZ_Mérleg2020'!C197</f>
        <v>0</v>
      </c>
      <c r="D197" s="1063">
        <f>+'1.1.mell._ÖNK_Mérleg2020'!D197+'1.2.mell._HKÖH_Mérleg2020'!D197+'1.3.mell._HVÓBKI_Mérleg2020'!D197+'1.4.mell._HKK_Mérleg2020'!D197+'1.5._mell._MŐSZ_Mérleg2020'!D197+'1.6._mell._HVGYKCSSZ_Mérleg2020'!D197</f>
        <v>0</v>
      </c>
      <c r="E197" s="1063">
        <f>+'1.1.mell._ÖNK_Mérleg2020'!E197+'1.2.mell._HKÖH_Mérleg2020'!E197+'1.3.mell._HVÓBKI_Mérleg2020'!E197+'1.4.mell._HKK_Mérleg2020'!E197+'1.5._mell._MŐSZ_Mérleg2020'!E197+'1.6._mell._HVGYKCSSZ_Mérleg2020'!E197</f>
        <v>0</v>
      </c>
      <c r="F197" s="1296" t="str">
        <f t="shared" si="8"/>
        <v>-</v>
      </c>
      <c r="G197" s="19">
        <f>+'1.1.mell._ÖNK_Mérleg2020'!G197+'1.2.mell._HKÖH_Mérleg2020'!G197+'1.3.mell._HVÓBKI_Mérleg2020'!G197+'1.4.mell._HKK_Mérleg2020'!G197+'1.5._mell._MŐSZ_Mérleg2020'!G197+'1.6._mell._HVGYKCSSZ_Mérleg2020'!G197</f>
        <v>0</v>
      </c>
      <c r="H197" s="12">
        <f>+'1.1.mell._ÖNK_Mérleg2020'!H197+'1.2.mell._HKÖH_Mérleg2020'!H197+'1.3.mell._HVÓBKI_Mérleg2020'!H197+'1.4.mell._HKK_Mérleg2020'!H197+'1.5._mell._MŐSZ_Mérleg2020'!H197+'1.6._mell._HVGYKCSSZ_Mérleg2020'!H197</f>
        <v>0</v>
      </c>
      <c r="I197" s="15">
        <f>+'1.1.mell._ÖNK_Mérleg2020'!I197+'1.2.mell._HKÖH_Mérleg2020'!I197+'1.3.mell._HVÓBKI_Mérleg2020'!I197+'1.4.mell._HKK_Mérleg2020'!I197+'1.5._mell._MŐSZ_Mérleg2020'!I197+'1.6._mell._HVGYKCSSZ_Mérleg2020'!I197</f>
        <v>0</v>
      </c>
      <c r="M197" s="13">
        <f t="shared" si="9"/>
        <v>0</v>
      </c>
    </row>
    <row r="198" spans="1:14" s="13" customFormat="1">
      <c r="A198" s="86" t="s">
        <v>215</v>
      </c>
      <c r="B198" s="66" t="s">
        <v>172</v>
      </c>
      <c r="C198" s="394">
        <f>+'1.1.mell._ÖNK_Mérleg2020'!C198+'1.2.mell._HKÖH_Mérleg2020'!C198+'1.3.mell._HVÓBKI_Mérleg2020'!C198+'1.4.mell._HKK_Mérleg2020'!C198+'1.5._mell._MŐSZ_Mérleg2020'!C198+'1.6._mell._HVGYKCSSZ_Mérleg2020'!C198</f>
        <v>0</v>
      </c>
      <c r="D198" s="1063">
        <f>+'1.1.mell._ÖNK_Mérleg2020'!D198+'1.2.mell._HKÖH_Mérleg2020'!D198+'1.3.mell._HVÓBKI_Mérleg2020'!D198+'1.4.mell._HKK_Mérleg2020'!D198+'1.5._mell._MŐSZ_Mérleg2020'!D198+'1.6._mell._HVGYKCSSZ_Mérleg2020'!D198</f>
        <v>0</v>
      </c>
      <c r="E198" s="1063">
        <f>+'1.1.mell._ÖNK_Mérleg2020'!E198+'1.2.mell._HKÖH_Mérleg2020'!E198+'1.3.mell._HVÓBKI_Mérleg2020'!E198+'1.4.mell._HKK_Mérleg2020'!E198+'1.5._mell._MŐSZ_Mérleg2020'!E198+'1.6._mell._HVGYKCSSZ_Mérleg2020'!E198</f>
        <v>0</v>
      </c>
      <c r="F198" s="1296" t="str">
        <f t="shared" si="8"/>
        <v>-</v>
      </c>
      <c r="G198" s="19">
        <f>+'1.1.mell._ÖNK_Mérleg2020'!G198+'1.2.mell._HKÖH_Mérleg2020'!G198+'1.3.mell._HVÓBKI_Mérleg2020'!G198+'1.4.mell._HKK_Mérleg2020'!G198+'1.5._mell._MŐSZ_Mérleg2020'!G198+'1.6._mell._HVGYKCSSZ_Mérleg2020'!G198</f>
        <v>0</v>
      </c>
      <c r="H198" s="12">
        <f>+'1.1.mell._ÖNK_Mérleg2020'!H198+'1.2.mell._HKÖH_Mérleg2020'!H198+'1.3.mell._HVÓBKI_Mérleg2020'!H198+'1.4.mell._HKK_Mérleg2020'!H198+'1.5._mell._MŐSZ_Mérleg2020'!H198+'1.6._mell._HVGYKCSSZ_Mérleg2020'!H198</f>
        <v>0</v>
      </c>
      <c r="I198" s="15">
        <f>+'1.1.mell._ÖNK_Mérleg2020'!I198+'1.2.mell._HKÖH_Mérleg2020'!I198+'1.3.mell._HVÓBKI_Mérleg2020'!I198+'1.4.mell._HKK_Mérleg2020'!I198+'1.5._mell._MŐSZ_Mérleg2020'!I198+'1.6._mell._HVGYKCSSZ_Mérleg2020'!I198</f>
        <v>0</v>
      </c>
      <c r="M198" s="13">
        <f t="shared" si="9"/>
        <v>0</v>
      </c>
    </row>
    <row r="199" spans="1:14" s="13" customFormat="1">
      <c r="A199" s="103" t="s">
        <v>216</v>
      </c>
      <c r="B199" s="104" t="s">
        <v>173</v>
      </c>
      <c r="C199" s="393"/>
      <c r="D199" s="1166"/>
      <c r="E199" s="1166"/>
      <c r="F199" s="1314" t="str">
        <f t="shared" si="8"/>
        <v>-</v>
      </c>
      <c r="G199" s="105"/>
      <c r="H199" s="106"/>
      <c r="I199" s="107"/>
      <c r="M199" s="117">
        <f t="shared" si="9"/>
        <v>0</v>
      </c>
    </row>
    <row r="200" spans="1:14" s="13" customFormat="1">
      <c r="A200" s="86" t="s">
        <v>217</v>
      </c>
      <c r="B200" s="66" t="s">
        <v>178</v>
      </c>
      <c r="C200" s="394">
        <f>+'1.1.mell._ÖNK_Mérleg2020'!C200+'1.2.mell._HKÖH_Mérleg2020'!C200+'1.3.mell._HVÓBKI_Mérleg2020'!C200+'1.4.mell._HKK_Mérleg2020'!C200+'1.5._mell._MŐSZ_Mérleg2020'!C200+'1.6._mell._HVGYKCSSZ_Mérleg2020'!C200</f>
        <v>0</v>
      </c>
      <c r="D200" s="1063">
        <f>+'1.1.mell._ÖNK_Mérleg2020'!D200+'1.2.mell._HKÖH_Mérleg2020'!D200+'1.3.mell._HVÓBKI_Mérleg2020'!D200+'1.4.mell._HKK_Mérleg2020'!D200+'1.5._mell._MŐSZ_Mérleg2020'!D200+'1.6._mell._HVGYKCSSZ_Mérleg2020'!D200</f>
        <v>0</v>
      </c>
      <c r="E200" s="1063">
        <f>+'1.1.mell._ÖNK_Mérleg2020'!E200+'1.2.mell._HKÖH_Mérleg2020'!E200+'1.3.mell._HVÓBKI_Mérleg2020'!E200+'1.4.mell._HKK_Mérleg2020'!E200+'1.5._mell._MŐSZ_Mérleg2020'!E200+'1.6._mell._HVGYKCSSZ_Mérleg2020'!E200</f>
        <v>0</v>
      </c>
      <c r="F200" s="1296" t="str">
        <f t="shared" si="8"/>
        <v>-</v>
      </c>
      <c r="G200" s="19">
        <f>+'1.1.mell._ÖNK_Mérleg2020'!G200+'1.2.mell._HKÖH_Mérleg2020'!G200+'1.3.mell._HVÓBKI_Mérleg2020'!G200+'1.4.mell._HKK_Mérleg2020'!G200+'1.5._mell._MŐSZ_Mérleg2020'!G200+'1.6._mell._HVGYKCSSZ_Mérleg2020'!G200</f>
        <v>0</v>
      </c>
      <c r="H200" s="12">
        <f>+'1.1.mell._ÖNK_Mérleg2020'!H200+'1.2.mell._HKÖH_Mérleg2020'!H200+'1.3.mell._HVÓBKI_Mérleg2020'!H200+'1.4.mell._HKK_Mérleg2020'!H200+'1.5._mell._MŐSZ_Mérleg2020'!H200+'1.6._mell._HVGYKCSSZ_Mérleg2020'!H200</f>
        <v>0</v>
      </c>
      <c r="I200" s="15">
        <f>+'1.1.mell._ÖNK_Mérleg2020'!I200+'1.2.mell._HKÖH_Mérleg2020'!I200+'1.3.mell._HVÓBKI_Mérleg2020'!I200+'1.4.mell._HKK_Mérleg2020'!I200+'1.5._mell._MŐSZ_Mérleg2020'!I200+'1.6._mell._HVGYKCSSZ_Mérleg2020'!I200</f>
        <v>0</v>
      </c>
      <c r="M200" s="13">
        <f t="shared" si="9"/>
        <v>0</v>
      </c>
    </row>
    <row r="201" spans="1:14" s="13" customFormat="1">
      <c r="A201" s="86" t="s">
        <v>218</v>
      </c>
      <c r="B201" s="66" t="s">
        <v>174</v>
      </c>
      <c r="C201" s="394">
        <f>+'1.1.mell._ÖNK_Mérleg2020'!C201+'1.2.mell._HKÖH_Mérleg2020'!C201+'1.3.mell._HVÓBKI_Mérleg2020'!C201+'1.4.mell._HKK_Mérleg2020'!C201+'1.5._mell._MŐSZ_Mérleg2020'!C201+'1.6._mell._HVGYKCSSZ_Mérleg2020'!C201</f>
        <v>0</v>
      </c>
      <c r="D201" s="1063">
        <f>+'1.1.mell._ÖNK_Mérleg2020'!D201+'1.2.mell._HKÖH_Mérleg2020'!D201+'1.3.mell._HVÓBKI_Mérleg2020'!D201+'1.4.mell._HKK_Mérleg2020'!D201+'1.5._mell._MŐSZ_Mérleg2020'!D201+'1.6._mell._HVGYKCSSZ_Mérleg2020'!D201</f>
        <v>0</v>
      </c>
      <c r="E201" s="1063">
        <f>+'1.1.mell._ÖNK_Mérleg2020'!E201+'1.2.mell._HKÖH_Mérleg2020'!E201+'1.3.mell._HVÓBKI_Mérleg2020'!E201+'1.4.mell._HKK_Mérleg2020'!E201+'1.5._mell._MŐSZ_Mérleg2020'!E201+'1.6._mell._HVGYKCSSZ_Mérleg2020'!E201</f>
        <v>0</v>
      </c>
      <c r="F201" s="1296" t="str">
        <f t="shared" si="8"/>
        <v>-</v>
      </c>
      <c r="G201" s="19">
        <f>+'1.1.mell._ÖNK_Mérleg2020'!G201+'1.2.mell._HKÖH_Mérleg2020'!G201+'1.3.mell._HVÓBKI_Mérleg2020'!G201+'1.4.mell._HKK_Mérleg2020'!G201+'1.5._mell._MŐSZ_Mérleg2020'!G201+'1.6._mell._HVGYKCSSZ_Mérleg2020'!G201</f>
        <v>0</v>
      </c>
      <c r="H201" s="12">
        <f>+'1.1.mell._ÖNK_Mérleg2020'!H201+'1.2.mell._HKÖH_Mérleg2020'!H201+'1.3.mell._HVÓBKI_Mérleg2020'!H201+'1.4.mell._HKK_Mérleg2020'!H201+'1.5._mell._MŐSZ_Mérleg2020'!H201+'1.6._mell._HVGYKCSSZ_Mérleg2020'!H201</f>
        <v>0</v>
      </c>
      <c r="I201" s="15">
        <f>+'1.1.mell._ÖNK_Mérleg2020'!I201+'1.2.mell._HKÖH_Mérleg2020'!I201+'1.3.mell._HVÓBKI_Mérleg2020'!I201+'1.4.mell._HKK_Mérleg2020'!I201+'1.5._mell._MŐSZ_Mérleg2020'!I201+'1.6._mell._HVGYKCSSZ_Mérleg2020'!I201</f>
        <v>0</v>
      </c>
      <c r="M201" s="13">
        <f t="shared" si="9"/>
        <v>0</v>
      </c>
    </row>
    <row r="202" spans="1:14" s="13" customFormat="1">
      <c r="A202" s="86" t="s">
        <v>219</v>
      </c>
      <c r="B202" s="66" t="s">
        <v>175</v>
      </c>
      <c r="C202" s="394">
        <f>+'1.1.mell._ÖNK_Mérleg2020'!C202+'1.2.mell._HKÖH_Mérleg2020'!C202+'1.3.mell._HVÓBKI_Mérleg2020'!C202+'1.4.mell._HKK_Mérleg2020'!C202+'1.5._mell._MŐSZ_Mérleg2020'!C202+'1.6._mell._HVGYKCSSZ_Mérleg2020'!C202</f>
        <v>0</v>
      </c>
      <c r="D202" s="1063">
        <f>+'1.1.mell._ÖNK_Mérleg2020'!D202+'1.2.mell._HKÖH_Mérleg2020'!D202+'1.3.mell._HVÓBKI_Mérleg2020'!D202+'1.4.mell._HKK_Mérleg2020'!D202+'1.5._mell._MŐSZ_Mérleg2020'!D202+'1.6._mell._HVGYKCSSZ_Mérleg2020'!D202</f>
        <v>0</v>
      </c>
      <c r="E202" s="1063">
        <f>+'1.1.mell._ÖNK_Mérleg2020'!E202+'1.2.mell._HKÖH_Mérleg2020'!E202+'1.3.mell._HVÓBKI_Mérleg2020'!E202+'1.4.mell._HKK_Mérleg2020'!E202+'1.5._mell._MŐSZ_Mérleg2020'!E202+'1.6._mell._HVGYKCSSZ_Mérleg2020'!E202</f>
        <v>0</v>
      </c>
      <c r="F202" s="1296" t="str">
        <f t="shared" si="8"/>
        <v>-</v>
      </c>
      <c r="G202" s="19">
        <f>+'1.1.mell._ÖNK_Mérleg2020'!G202+'1.2.mell._HKÖH_Mérleg2020'!G202+'1.3.mell._HVÓBKI_Mérleg2020'!G202+'1.4.mell._HKK_Mérleg2020'!G202+'1.5._mell._MŐSZ_Mérleg2020'!G202+'1.6._mell._HVGYKCSSZ_Mérleg2020'!G202</f>
        <v>0</v>
      </c>
      <c r="H202" s="12">
        <f>+'1.1.mell._ÖNK_Mérleg2020'!H202+'1.2.mell._HKÖH_Mérleg2020'!H202+'1.3.mell._HVÓBKI_Mérleg2020'!H202+'1.4.mell._HKK_Mérleg2020'!H202+'1.5._mell._MŐSZ_Mérleg2020'!H202+'1.6._mell._HVGYKCSSZ_Mérleg2020'!H202</f>
        <v>0</v>
      </c>
      <c r="I202" s="15">
        <f>+'1.1.mell._ÖNK_Mérleg2020'!I202+'1.2.mell._HKÖH_Mérleg2020'!I202+'1.3.mell._HVÓBKI_Mérleg2020'!I202+'1.4.mell._HKK_Mérleg2020'!I202+'1.5._mell._MŐSZ_Mérleg2020'!I202+'1.6._mell._HVGYKCSSZ_Mérleg2020'!I202</f>
        <v>0</v>
      </c>
      <c r="M202" s="13">
        <f t="shared" si="9"/>
        <v>0</v>
      </c>
      <c r="N202" s="4"/>
    </row>
    <row r="203" spans="1:14" s="13" customFormat="1">
      <c r="A203" s="86" t="s">
        <v>931</v>
      </c>
      <c r="B203" s="66" t="s">
        <v>933</v>
      </c>
      <c r="C203" s="394">
        <f>+'1.1.mell._ÖNK_Mérleg2020'!C203+'1.2.mell._HKÖH_Mérleg2020'!C203+'1.3.mell._HVÓBKI_Mérleg2020'!C203+'1.4.mell._HKK_Mérleg2020'!C203+'1.5._mell._MŐSZ_Mérleg2020'!C203+'1.6._mell._HVGYKCSSZ_Mérleg2020'!C203</f>
        <v>0</v>
      </c>
      <c r="D203" s="1063">
        <f>+'1.1.mell._ÖNK_Mérleg2020'!D203+'1.2.mell._HKÖH_Mérleg2020'!D203+'1.3.mell._HVÓBKI_Mérleg2020'!D203+'1.4.mell._HKK_Mérleg2020'!D203+'1.5._mell._MŐSZ_Mérleg2020'!D203+'1.6._mell._HVGYKCSSZ_Mérleg2020'!D203</f>
        <v>0</v>
      </c>
      <c r="E203" s="1063">
        <f>+'1.1.mell._ÖNK_Mérleg2020'!E203+'1.2.mell._HKÖH_Mérleg2020'!E203+'1.3.mell._HVÓBKI_Mérleg2020'!E203+'1.4.mell._HKK_Mérleg2020'!E203+'1.5._mell._MŐSZ_Mérleg2020'!E203+'1.6._mell._HVGYKCSSZ_Mérleg2020'!E203</f>
        <v>0</v>
      </c>
      <c r="F203" s="1296" t="str">
        <f t="shared" si="8"/>
        <v>-</v>
      </c>
      <c r="G203" s="19">
        <f>+'1.1.mell._ÖNK_Mérleg2020'!G203+'1.2.mell._HKÖH_Mérleg2020'!G203+'1.3.mell._HVÓBKI_Mérleg2020'!G203+'1.4.mell._HKK_Mérleg2020'!G203+'1.5._mell._MŐSZ_Mérleg2020'!G203+'1.6._mell._HVGYKCSSZ_Mérleg2020'!G203</f>
        <v>0</v>
      </c>
      <c r="H203" s="12">
        <f>+'1.1.mell._ÖNK_Mérleg2020'!H203+'1.2.mell._HKÖH_Mérleg2020'!H203+'1.3.mell._HVÓBKI_Mérleg2020'!H203+'1.4.mell._HKK_Mérleg2020'!H203+'1.5._mell._MŐSZ_Mérleg2020'!H203+'1.6._mell._HVGYKCSSZ_Mérleg2020'!H203</f>
        <v>0</v>
      </c>
      <c r="I203" s="15">
        <f>+'1.1.mell._ÖNK_Mérleg2020'!I203+'1.2.mell._HKÖH_Mérleg2020'!I203+'1.3.mell._HVÓBKI_Mérleg2020'!I203+'1.4.mell._HKK_Mérleg2020'!I203+'1.5._mell._MŐSZ_Mérleg2020'!I203+'1.6._mell._HVGYKCSSZ_Mérleg2020'!I203</f>
        <v>0</v>
      </c>
      <c r="M203" s="13">
        <f t="shared" si="9"/>
        <v>0</v>
      </c>
      <c r="N203" s="4"/>
    </row>
    <row r="204" spans="1:14">
      <c r="A204" s="85" t="s">
        <v>79</v>
      </c>
      <c r="B204" s="67" t="s">
        <v>176</v>
      </c>
      <c r="C204" s="396">
        <f>+'1.1.mell._ÖNK_Mérleg2020'!C204+'1.2.mell._HKÖH_Mérleg2020'!C204+'1.3.mell._HVÓBKI_Mérleg2020'!C204+'1.4.mell._HKK_Mérleg2020'!C204+'1.5._mell._MŐSZ_Mérleg2020'!C204+'1.6._mell._HVGYKCSSZ_Mérleg2020'!C204</f>
        <v>0</v>
      </c>
      <c r="D204" s="1064">
        <f>+'1.1.mell._ÖNK_Mérleg2020'!D204+'1.2.mell._HKÖH_Mérleg2020'!D204+'1.3.mell._HVÓBKI_Mérleg2020'!D204+'1.4.mell._HKK_Mérleg2020'!D204+'1.5._mell._MŐSZ_Mérleg2020'!D204+'1.6._mell._HVGYKCSSZ_Mérleg2020'!D204</f>
        <v>0</v>
      </c>
      <c r="E204" s="1064">
        <f>+'1.1.mell._ÖNK_Mérleg2020'!E204+'1.2.mell._HKÖH_Mérleg2020'!E204+'1.3.mell._HVÓBKI_Mérleg2020'!E204+'1.4.mell._HKK_Mérleg2020'!E204+'1.5._mell._MŐSZ_Mérleg2020'!E204+'1.6._mell._HVGYKCSSZ_Mérleg2020'!E204</f>
        <v>0</v>
      </c>
      <c r="F204" s="1296" t="str">
        <f t="shared" si="8"/>
        <v>-</v>
      </c>
      <c r="G204" s="20">
        <f>+'1.1.mell._ÖNK_Mérleg2020'!G204+'1.2.mell._HKÖH_Mérleg2020'!G204+'1.3.mell._HVÓBKI_Mérleg2020'!G204+'1.4.mell._HKK_Mérleg2020'!G204+'1.5._mell._MŐSZ_Mérleg2020'!G204+'1.6._mell._HVGYKCSSZ_Mérleg2020'!G204</f>
        <v>0</v>
      </c>
      <c r="H204" s="11">
        <f>+'1.1.mell._ÖNK_Mérleg2020'!H204+'1.2.mell._HKÖH_Mérleg2020'!H204+'1.3.mell._HVÓBKI_Mérleg2020'!H204+'1.4.mell._HKK_Mérleg2020'!H204+'1.5._mell._MŐSZ_Mérleg2020'!H204+'1.6._mell._HVGYKCSSZ_Mérleg2020'!H204</f>
        <v>0</v>
      </c>
      <c r="I204" s="16">
        <f>+'1.1.mell._ÖNK_Mérleg2020'!I204+'1.2.mell._HKÖH_Mérleg2020'!I204+'1.3.mell._HVÓBKI_Mérleg2020'!I204+'1.4.mell._HKK_Mérleg2020'!I204+'1.5._mell._MŐSZ_Mérleg2020'!I204+'1.6._mell._HVGYKCSSZ_Mérleg2020'!I204</f>
        <v>0</v>
      </c>
      <c r="M204" s="4">
        <f t="shared" si="9"/>
        <v>0</v>
      </c>
    </row>
    <row r="205" spans="1:14">
      <c r="A205" s="78" t="s">
        <v>220</v>
      </c>
      <c r="B205" s="68" t="s">
        <v>177</v>
      </c>
      <c r="C205" s="397">
        <f>+'1.1.mell._ÖNK_Mérleg2020'!C205+'1.2.mell._HKÖH_Mérleg2020'!C205+'1.3.mell._HVÓBKI_Mérleg2020'!C205+'1.4.mell._HKK_Mérleg2020'!C205+'1.5._mell._MŐSZ_Mérleg2020'!C205+'1.6._mell._HVGYKCSSZ_Mérleg2020'!C205</f>
        <v>0</v>
      </c>
      <c r="D205" s="1065">
        <f>+'1.1.mell._ÖNK_Mérleg2020'!D205+'1.2.mell._HKÖH_Mérleg2020'!D205+'1.3.mell._HVÓBKI_Mérleg2020'!D205+'1.4.mell._HKK_Mérleg2020'!D205+'1.5._mell._MŐSZ_Mérleg2020'!D205+'1.6._mell._HVGYKCSSZ_Mérleg2020'!D205</f>
        <v>0</v>
      </c>
      <c r="E205" s="1065">
        <f>+'1.1.mell._ÖNK_Mérleg2020'!E205+'1.2.mell._HKÖH_Mérleg2020'!E205+'1.3.mell._HVÓBKI_Mérleg2020'!E205+'1.4.mell._HKK_Mérleg2020'!E205+'1.5._mell._MŐSZ_Mérleg2020'!E205+'1.6._mell._HVGYKCSSZ_Mérleg2020'!E205</f>
        <v>0</v>
      </c>
      <c r="F205" s="1298" t="str">
        <f t="shared" si="8"/>
        <v>-</v>
      </c>
      <c r="G205" s="21">
        <f>+'1.1.mell._ÖNK_Mérleg2020'!G205+'1.2.mell._HKÖH_Mérleg2020'!G205+'1.3.mell._HVÓBKI_Mérleg2020'!G205+'1.4.mell._HKK_Mérleg2020'!G205+'1.5._mell._MŐSZ_Mérleg2020'!G205+'1.6._mell._HVGYKCSSZ_Mérleg2020'!G205</f>
        <v>0</v>
      </c>
      <c r="H205" s="22">
        <f>+'1.1.mell._ÖNK_Mérleg2020'!H205+'1.2.mell._HKÖH_Mérleg2020'!H205+'1.3.mell._HVÓBKI_Mérleg2020'!H205+'1.4.mell._HKK_Mérleg2020'!H205+'1.5._mell._MŐSZ_Mérleg2020'!H205+'1.6._mell._HVGYKCSSZ_Mérleg2020'!H205</f>
        <v>0</v>
      </c>
      <c r="I205" s="23">
        <f>+'1.1.mell._ÖNK_Mérleg2020'!I205+'1.2.mell._HKÖH_Mérleg2020'!I205+'1.3.mell._HVÓBKI_Mérleg2020'!I205+'1.4.mell._HKK_Mérleg2020'!I205+'1.5._mell._MŐSZ_Mérleg2020'!I205+'1.6._mell._HVGYKCSSZ_Mérleg2020'!I205</f>
        <v>0</v>
      </c>
      <c r="M205" s="4">
        <f t="shared" si="9"/>
        <v>0</v>
      </c>
      <c r="N205" s="3"/>
    </row>
    <row r="206" spans="1:14" ht="12.75" thickBot="1">
      <c r="A206" s="78" t="s">
        <v>935</v>
      </c>
      <c r="B206" s="68" t="s">
        <v>934</v>
      </c>
      <c r="C206" s="397">
        <f>+'1.1.mell._ÖNK_Mérleg2020'!C206+'1.2.mell._HKÖH_Mérleg2020'!C206+'1.3.mell._HVÓBKI_Mérleg2020'!C206+'1.4.mell._HKK_Mérleg2020'!C206+'1.5._mell._MŐSZ_Mérleg2020'!C206+'1.6._mell._HVGYKCSSZ_Mérleg2020'!C206</f>
        <v>0</v>
      </c>
      <c r="D206" s="1065">
        <f>+'1.1.mell._ÖNK_Mérleg2020'!D206+'1.2.mell._HKÖH_Mérleg2020'!D206+'1.3.mell._HVÓBKI_Mérleg2020'!D206+'1.4.mell._HKK_Mérleg2020'!D206+'1.5._mell._MŐSZ_Mérleg2020'!D206+'1.6._mell._HVGYKCSSZ_Mérleg2020'!D206</f>
        <v>0</v>
      </c>
      <c r="E206" s="1065">
        <f>+'1.1.mell._ÖNK_Mérleg2020'!E206+'1.2.mell._HKÖH_Mérleg2020'!E206+'1.3.mell._HVÓBKI_Mérleg2020'!E206+'1.4.mell._HKK_Mérleg2020'!E206+'1.5._mell._MŐSZ_Mérleg2020'!E206+'1.6._mell._HVGYKCSSZ_Mérleg2020'!E206</f>
        <v>0</v>
      </c>
      <c r="F206" s="1298" t="str">
        <f t="shared" si="8"/>
        <v>-</v>
      </c>
      <c r="G206" s="21">
        <f>+'1.1.mell._ÖNK_Mérleg2020'!G206+'1.2.mell._HKÖH_Mérleg2020'!G206+'1.3.mell._HVÓBKI_Mérleg2020'!G206+'1.4.mell._HKK_Mérleg2020'!G206+'1.5._mell._MŐSZ_Mérleg2020'!G206+'1.6._mell._HVGYKCSSZ_Mérleg2020'!G206</f>
        <v>0</v>
      </c>
      <c r="H206" s="22">
        <f>+'1.1.mell._ÖNK_Mérleg2020'!H206+'1.2.mell._HKÖH_Mérleg2020'!H206+'1.3.mell._HVÓBKI_Mérleg2020'!H206+'1.4.mell._HKK_Mérleg2020'!H206+'1.5._mell._MŐSZ_Mérleg2020'!H206+'1.6._mell._HVGYKCSSZ_Mérleg2020'!H206</f>
        <v>0</v>
      </c>
      <c r="I206" s="23">
        <f>+'1.1.mell._ÖNK_Mérleg2020'!I206+'1.2.mell._HKÖH_Mérleg2020'!I206+'1.3.mell._HVÓBKI_Mérleg2020'!I206+'1.4.mell._HKK_Mérleg2020'!I206+'1.5._mell._MŐSZ_Mérleg2020'!I206+'1.6._mell._HVGYKCSSZ_Mérleg2020'!I206</f>
        <v>0</v>
      </c>
      <c r="M206" s="4">
        <f t="shared" si="9"/>
        <v>0</v>
      </c>
      <c r="N206" s="3"/>
    </row>
    <row r="207" spans="1:14" s="3" customFormat="1" ht="12.75" thickBot="1">
      <c r="A207" s="83" t="s">
        <v>40</v>
      </c>
      <c r="B207" s="69" t="s">
        <v>316</v>
      </c>
      <c r="C207" s="129">
        <f>+C177+C192</f>
        <v>30446</v>
      </c>
      <c r="D207" s="1061">
        <f>+D177+D192</f>
        <v>109126</v>
      </c>
      <c r="E207" s="1061">
        <f>+E177+E192</f>
        <v>109126</v>
      </c>
      <c r="F207" s="1294">
        <f t="shared" si="8"/>
        <v>1</v>
      </c>
      <c r="G207" s="27">
        <f>+G177+G192</f>
        <v>109126</v>
      </c>
      <c r="H207" s="28">
        <f>+H177+H192</f>
        <v>0</v>
      </c>
      <c r="I207" s="29">
        <f>+I177+I192</f>
        <v>0</v>
      </c>
      <c r="J207" s="655">
        <f>+C207/$C$208</f>
        <v>6.6867640024299534E-3</v>
      </c>
      <c r="K207" s="655">
        <f>+D207/$D$208</f>
        <v>1.8834590917297011E-2</v>
      </c>
      <c r="L207" s="655">
        <f>+E207/$E$208</f>
        <v>3.4200479256757135E-2</v>
      </c>
      <c r="M207" s="3">
        <f t="shared" si="9"/>
        <v>0</v>
      </c>
      <c r="N207" s="4"/>
    </row>
    <row r="208" spans="1:14" s="3" customFormat="1" ht="12.75" thickBot="1">
      <c r="A208" s="87" t="s">
        <v>39</v>
      </c>
      <c r="B208" s="71" t="s">
        <v>334</v>
      </c>
      <c r="C208" s="392">
        <f>+C176+C207</f>
        <v>4553174</v>
      </c>
      <c r="D208" s="1072">
        <f>+D176+D207</f>
        <v>5793914</v>
      </c>
      <c r="E208" s="1072">
        <f>+E176+E207</f>
        <v>3190774</v>
      </c>
      <c r="F208" s="1301">
        <f t="shared" si="8"/>
        <v>0.55071131535607876</v>
      </c>
      <c r="G208" s="24">
        <f>+G176+G207</f>
        <v>3068667</v>
      </c>
      <c r="H208" s="25">
        <f>+H176+H207</f>
        <v>122107</v>
      </c>
      <c r="I208" s="26">
        <f>+I176+I207</f>
        <v>0</v>
      </c>
      <c r="J208" s="655">
        <f>+C208/$C$208</f>
        <v>1</v>
      </c>
      <c r="K208" s="655">
        <f>+D208/$D$208</f>
        <v>1</v>
      </c>
      <c r="L208" s="655">
        <f>+E208/$E$208</f>
        <v>1</v>
      </c>
      <c r="M208" s="3">
        <f t="shared" si="9"/>
        <v>0</v>
      </c>
      <c r="N208" s="4"/>
    </row>
    <row r="209" spans="1:31">
      <c r="N209" s="2"/>
    </row>
    <row r="210" spans="1:31">
      <c r="N210" s="36"/>
    </row>
    <row r="211" spans="1:31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F212" s="1290"/>
      <c r="I212" s="37" t="s">
        <v>280</v>
      </c>
      <c r="N212" s="4"/>
    </row>
    <row r="213" spans="1:31" s="3" customFormat="1" ht="12.75" thickBot="1">
      <c r="A213" s="83" t="s">
        <v>4</v>
      </c>
      <c r="B213" s="69" t="s">
        <v>317</v>
      </c>
      <c r="C213" s="129">
        <f t="shared" ref="C213:I213" si="10">+C214+C215</f>
        <v>-2855803</v>
      </c>
      <c r="D213" s="1061">
        <f t="shared" si="10"/>
        <v>-3341850</v>
      </c>
      <c r="E213" s="1061">
        <f t="shared" si="10"/>
        <v>-943568</v>
      </c>
      <c r="F213" s="1294">
        <f>IF(ISERROR(E213/D213),"-",E213/D213)</f>
        <v>0.2823489983093197</v>
      </c>
      <c r="G213" s="27">
        <f t="shared" si="10"/>
        <v>-850364</v>
      </c>
      <c r="H213" s="28">
        <f t="shared" si="10"/>
        <v>-93204</v>
      </c>
      <c r="I213" s="29">
        <f t="shared" si="10"/>
        <v>0</v>
      </c>
      <c r="M213" s="3">
        <f>+E213-G213-H213-I213</f>
        <v>0</v>
      </c>
      <c r="N213" s="4"/>
    </row>
    <row r="214" spans="1:31">
      <c r="A214" s="84" t="s">
        <v>81</v>
      </c>
      <c r="B214" s="72" t="s">
        <v>318</v>
      </c>
      <c r="C214" s="398">
        <f t="shared" ref="C214:I214" si="11">+C10-C109</f>
        <v>-2425549</v>
      </c>
      <c r="D214" s="1062">
        <f t="shared" si="11"/>
        <v>-2261370</v>
      </c>
      <c r="E214" s="1062">
        <f t="shared" si="11"/>
        <v>2248</v>
      </c>
      <c r="F214" s="1295">
        <f>IF(ISERROR(E214/D214),"-",E214/D214)</f>
        <v>-9.9408765482870997E-4</v>
      </c>
      <c r="G214" s="34">
        <f t="shared" si="11"/>
        <v>30717</v>
      </c>
      <c r="H214" s="10">
        <f t="shared" si="11"/>
        <v>-28469</v>
      </c>
      <c r="I214" s="35">
        <f t="shared" si="11"/>
        <v>0</v>
      </c>
      <c r="M214" s="4">
        <f>+E214-G214-H214-I214</f>
        <v>0</v>
      </c>
    </row>
    <row r="215" spans="1:31" ht="12.75" thickBot="1">
      <c r="A215" s="88" t="s">
        <v>82</v>
      </c>
      <c r="B215" s="73" t="s">
        <v>319</v>
      </c>
      <c r="C215" s="391">
        <f t="shared" ref="C215:I215" si="12">+C50-C149</f>
        <v>-430254</v>
      </c>
      <c r="D215" s="1079">
        <f t="shared" si="12"/>
        <v>-1080480</v>
      </c>
      <c r="E215" s="1079">
        <f t="shared" si="12"/>
        <v>-945816</v>
      </c>
      <c r="F215" s="1307">
        <f>IF(ISERROR(E215/D215),"-",E215/D215)</f>
        <v>0.87536650377609948</v>
      </c>
      <c r="G215" s="40">
        <f t="shared" si="12"/>
        <v>-881081</v>
      </c>
      <c r="H215" s="17">
        <f t="shared" si="12"/>
        <v>-64735</v>
      </c>
      <c r="I215" s="39">
        <f t="shared" si="12"/>
        <v>0</v>
      </c>
      <c r="M215" s="4">
        <f>+E215-G215-H215-I215</f>
        <v>0</v>
      </c>
    </row>
    <row r="216" spans="1:31">
      <c r="N216" s="2"/>
    </row>
    <row r="217" spans="1:31">
      <c r="N217" s="36"/>
    </row>
    <row r="218" spans="1:31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F219" s="1290"/>
      <c r="I219" s="37" t="s">
        <v>280</v>
      </c>
      <c r="N219" s="3"/>
    </row>
    <row r="220" spans="1:31" s="3" customFormat="1" ht="12.75" thickBot="1">
      <c r="A220" s="83" t="s">
        <v>4</v>
      </c>
      <c r="B220" s="69" t="s">
        <v>320</v>
      </c>
      <c r="C220" s="129">
        <f t="shared" ref="C220:I220" si="13">+C221+C228</f>
        <v>2855803</v>
      </c>
      <c r="D220" s="1061">
        <f t="shared" si="13"/>
        <v>3341850</v>
      </c>
      <c r="E220" s="1061">
        <f t="shared" si="13"/>
        <v>3341850</v>
      </c>
      <c r="F220" s="1294">
        <f t="shared" ref="F220:F234" si="14">IF(ISERROR(E220/D220),"-",E220/D220)</f>
        <v>1</v>
      </c>
      <c r="G220" s="27">
        <f t="shared" si="13"/>
        <v>3341825</v>
      </c>
      <c r="H220" s="28">
        <f t="shared" si="13"/>
        <v>25</v>
      </c>
      <c r="I220" s="29">
        <f t="shared" si="13"/>
        <v>0</v>
      </c>
      <c r="M220" s="3">
        <f t="shared" ref="M220:M234" si="15">+E220-G220-H220-I220</f>
        <v>0</v>
      </c>
      <c r="N220" s="4"/>
    </row>
    <row r="221" spans="1:31" s="3" customFormat="1" ht="12.75" thickBot="1">
      <c r="A221" s="83" t="s">
        <v>5</v>
      </c>
      <c r="B221" s="64" t="s">
        <v>321</v>
      </c>
      <c r="C221" s="129">
        <f t="shared" ref="C221:I221" si="16">+C222-C225</f>
        <v>2845803</v>
      </c>
      <c r="D221" s="1061">
        <f t="shared" si="16"/>
        <v>688496</v>
      </c>
      <c r="E221" s="1061">
        <f t="shared" si="16"/>
        <v>688496</v>
      </c>
      <c r="F221" s="1294">
        <f t="shared" si="14"/>
        <v>1</v>
      </c>
      <c r="G221" s="27">
        <f t="shared" si="16"/>
        <v>688471</v>
      </c>
      <c r="H221" s="28">
        <f t="shared" si="16"/>
        <v>25</v>
      </c>
      <c r="I221" s="29">
        <f t="shared" si="16"/>
        <v>0</v>
      </c>
      <c r="M221" s="3">
        <f t="shared" si="15"/>
        <v>0</v>
      </c>
      <c r="N221" s="13"/>
    </row>
    <row r="222" spans="1:31">
      <c r="A222" s="84" t="s">
        <v>54</v>
      </c>
      <c r="B222" s="65" t="s">
        <v>322</v>
      </c>
      <c r="C222" s="398">
        <f t="shared" ref="C222:I222" si="17">+C223+C224</f>
        <v>2876249</v>
      </c>
      <c r="D222" s="1062">
        <f t="shared" si="17"/>
        <v>797622</v>
      </c>
      <c r="E222" s="1062">
        <f t="shared" si="17"/>
        <v>797622</v>
      </c>
      <c r="F222" s="1295">
        <f t="shared" si="14"/>
        <v>1</v>
      </c>
      <c r="G222" s="34">
        <f t="shared" si="17"/>
        <v>797597</v>
      </c>
      <c r="H222" s="10">
        <f t="shared" si="17"/>
        <v>25</v>
      </c>
      <c r="I222" s="35">
        <f t="shared" si="17"/>
        <v>0</v>
      </c>
      <c r="M222" s="4">
        <f t="shared" si="15"/>
        <v>0</v>
      </c>
      <c r="N222" s="13"/>
    </row>
    <row r="223" spans="1:31" s="13" customFormat="1">
      <c r="A223" s="86" t="s">
        <v>189</v>
      </c>
      <c r="B223" s="66" t="s">
        <v>284</v>
      </c>
      <c r="C223" s="394">
        <f t="shared" ref="C223:I223" si="18">+C76+C80</f>
        <v>2876249</v>
      </c>
      <c r="D223" s="1063">
        <f t="shared" si="18"/>
        <v>682647</v>
      </c>
      <c r="E223" s="1063">
        <f t="shared" si="18"/>
        <v>682647</v>
      </c>
      <c r="F223" s="1296">
        <f t="shared" si="14"/>
        <v>1</v>
      </c>
      <c r="G223" s="19">
        <f t="shared" si="18"/>
        <v>682622</v>
      </c>
      <c r="H223" s="12">
        <f t="shared" si="18"/>
        <v>25</v>
      </c>
      <c r="I223" s="15">
        <f t="shared" si="18"/>
        <v>0</v>
      </c>
      <c r="M223" s="13">
        <f t="shared" si="15"/>
        <v>0</v>
      </c>
      <c r="N223" s="4"/>
    </row>
    <row r="224" spans="1:31" s="13" customFormat="1">
      <c r="A224" s="86" t="s">
        <v>190</v>
      </c>
      <c r="B224" s="66" t="s">
        <v>285</v>
      </c>
      <c r="C224" s="394">
        <f t="shared" ref="C224:I224" si="19">+C74+C75+C77+C78+C79+C81</f>
        <v>0</v>
      </c>
      <c r="D224" s="1063">
        <f t="shared" si="19"/>
        <v>114975</v>
      </c>
      <c r="E224" s="1063">
        <f t="shared" si="19"/>
        <v>114975</v>
      </c>
      <c r="F224" s="1296">
        <f t="shared" si="14"/>
        <v>1</v>
      </c>
      <c r="G224" s="19">
        <f t="shared" si="19"/>
        <v>114975</v>
      </c>
      <c r="H224" s="12">
        <f t="shared" si="19"/>
        <v>0</v>
      </c>
      <c r="I224" s="15">
        <f t="shared" si="19"/>
        <v>0</v>
      </c>
      <c r="M224" s="13">
        <f t="shared" si="15"/>
        <v>0</v>
      </c>
    </row>
    <row r="225" spans="1:31">
      <c r="A225" s="85" t="s">
        <v>55</v>
      </c>
      <c r="B225" s="67" t="s">
        <v>323</v>
      </c>
      <c r="C225" s="396">
        <f t="shared" ref="C225:I225" si="20">+C227</f>
        <v>30446</v>
      </c>
      <c r="D225" s="1064">
        <f t="shared" si="20"/>
        <v>109126</v>
      </c>
      <c r="E225" s="1064">
        <f t="shared" si="20"/>
        <v>109126</v>
      </c>
      <c r="F225" s="1296">
        <f t="shared" si="14"/>
        <v>1</v>
      </c>
      <c r="G225" s="20">
        <f t="shared" si="20"/>
        <v>109126</v>
      </c>
      <c r="H225" s="11">
        <f t="shared" si="20"/>
        <v>0</v>
      </c>
      <c r="I225" s="16">
        <f t="shared" si="20"/>
        <v>0</v>
      </c>
      <c r="M225" s="4">
        <f t="shared" si="15"/>
        <v>0</v>
      </c>
      <c r="N225" s="13"/>
    </row>
    <row r="226" spans="1:31" s="13" customFormat="1">
      <c r="A226" s="86" t="s">
        <v>56</v>
      </c>
      <c r="B226" s="66" t="s">
        <v>286</v>
      </c>
      <c r="C226" s="394">
        <f t="shared" ref="C226:I226" si="21">+C185</f>
        <v>0</v>
      </c>
      <c r="D226" s="1063">
        <f t="shared" si="21"/>
        <v>0</v>
      </c>
      <c r="E226" s="1063">
        <f t="shared" si="21"/>
        <v>0</v>
      </c>
      <c r="F226" s="1296" t="str">
        <f t="shared" si="14"/>
        <v>-</v>
      </c>
      <c r="G226" s="19">
        <f t="shared" si="21"/>
        <v>0</v>
      </c>
      <c r="H226" s="12">
        <f t="shared" si="21"/>
        <v>0</v>
      </c>
      <c r="I226" s="15">
        <f t="shared" si="21"/>
        <v>0</v>
      </c>
      <c r="M226" s="13">
        <f t="shared" si="15"/>
        <v>0</v>
      </c>
      <c r="N226" s="3"/>
    </row>
    <row r="227" spans="1:31" s="13" customFormat="1" ht="12.75" thickBot="1">
      <c r="A227" s="89" t="s">
        <v>57</v>
      </c>
      <c r="B227" s="74" t="s">
        <v>287</v>
      </c>
      <c r="C227" s="395">
        <f t="shared" ref="C227:I227" si="22">+C180+C181+C182+C183+C184+C186+C187</f>
        <v>30446</v>
      </c>
      <c r="D227" s="1066">
        <f t="shared" si="22"/>
        <v>109126</v>
      </c>
      <c r="E227" s="1066">
        <f t="shared" si="22"/>
        <v>109126</v>
      </c>
      <c r="F227" s="1298">
        <f t="shared" si="14"/>
        <v>1</v>
      </c>
      <c r="G227" s="45">
        <f t="shared" si="22"/>
        <v>109126</v>
      </c>
      <c r="H227" s="43">
        <f t="shared" si="22"/>
        <v>0</v>
      </c>
      <c r="I227" s="44">
        <f t="shared" si="22"/>
        <v>0</v>
      </c>
      <c r="M227" s="13">
        <f t="shared" si="15"/>
        <v>0</v>
      </c>
      <c r="N227" s="4"/>
    </row>
    <row r="228" spans="1:31" s="3" customFormat="1" ht="12.75" thickBot="1">
      <c r="A228" s="83" t="s">
        <v>6</v>
      </c>
      <c r="B228" s="64" t="s">
        <v>324</v>
      </c>
      <c r="C228" s="129">
        <f t="shared" ref="C228:I228" si="23">+C229-C232</f>
        <v>10000</v>
      </c>
      <c r="D228" s="1061">
        <f t="shared" si="23"/>
        <v>2653354</v>
      </c>
      <c r="E228" s="1061">
        <f t="shared" si="23"/>
        <v>2653354</v>
      </c>
      <c r="F228" s="1294">
        <f t="shared" si="14"/>
        <v>1</v>
      </c>
      <c r="G228" s="27">
        <f t="shared" si="23"/>
        <v>2653354</v>
      </c>
      <c r="H228" s="28">
        <f t="shared" si="23"/>
        <v>0</v>
      </c>
      <c r="I228" s="29">
        <f t="shared" si="23"/>
        <v>0</v>
      </c>
      <c r="M228" s="3">
        <f t="shared" si="15"/>
        <v>0</v>
      </c>
      <c r="N228" s="13"/>
    </row>
    <row r="229" spans="1:31">
      <c r="A229" s="84" t="s">
        <v>58</v>
      </c>
      <c r="B229" s="65" t="s">
        <v>325</v>
      </c>
      <c r="C229" s="398">
        <f t="shared" ref="C229:I229" si="24">+C230+C231</f>
        <v>10000</v>
      </c>
      <c r="D229" s="1062">
        <f t="shared" si="24"/>
        <v>2653354</v>
      </c>
      <c r="E229" s="1062">
        <f t="shared" si="24"/>
        <v>2653354</v>
      </c>
      <c r="F229" s="1295">
        <f t="shared" si="14"/>
        <v>1</v>
      </c>
      <c r="G229" s="34">
        <f t="shared" si="24"/>
        <v>2653354</v>
      </c>
      <c r="H229" s="10">
        <f t="shared" si="24"/>
        <v>0</v>
      </c>
      <c r="I229" s="35">
        <f t="shared" si="24"/>
        <v>0</v>
      </c>
      <c r="M229" s="4">
        <f t="shared" si="15"/>
        <v>0</v>
      </c>
      <c r="N229" s="13"/>
    </row>
    <row r="230" spans="1:31" s="13" customFormat="1">
      <c r="A230" s="86" t="s">
        <v>292</v>
      </c>
      <c r="B230" s="66" t="s">
        <v>290</v>
      </c>
      <c r="C230" s="394">
        <f t="shared" ref="C230:I230" si="25">+C91+C95</f>
        <v>0</v>
      </c>
      <c r="D230" s="1063">
        <f t="shared" si="25"/>
        <v>2644032</v>
      </c>
      <c r="E230" s="1063">
        <f t="shared" si="25"/>
        <v>2644032</v>
      </c>
      <c r="F230" s="1296">
        <f t="shared" si="14"/>
        <v>1</v>
      </c>
      <c r="G230" s="19">
        <f t="shared" si="25"/>
        <v>2644032</v>
      </c>
      <c r="H230" s="12">
        <f t="shared" si="25"/>
        <v>0</v>
      </c>
      <c r="I230" s="15">
        <f t="shared" si="25"/>
        <v>0</v>
      </c>
      <c r="M230" s="13">
        <f t="shared" si="15"/>
        <v>0</v>
      </c>
      <c r="N230" s="4"/>
    </row>
    <row r="231" spans="1:31" s="13" customFormat="1">
      <c r="A231" s="86" t="s">
        <v>293</v>
      </c>
      <c r="B231" s="66" t="s">
        <v>291</v>
      </c>
      <c r="C231" s="394">
        <f t="shared" ref="C231:I231" si="26">+C89+C90+C92+C93+C94+C96</f>
        <v>10000</v>
      </c>
      <c r="D231" s="1063">
        <f t="shared" si="26"/>
        <v>9322</v>
      </c>
      <c r="E231" s="1063">
        <f t="shared" si="26"/>
        <v>9322</v>
      </c>
      <c r="F231" s="1296">
        <f t="shared" si="14"/>
        <v>1</v>
      </c>
      <c r="G231" s="19">
        <f t="shared" si="26"/>
        <v>9322</v>
      </c>
      <c r="H231" s="12">
        <f t="shared" si="26"/>
        <v>0</v>
      </c>
      <c r="I231" s="15">
        <f t="shared" si="26"/>
        <v>0</v>
      </c>
      <c r="M231" s="13">
        <f t="shared" si="15"/>
        <v>0</v>
      </c>
    </row>
    <row r="232" spans="1:31">
      <c r="A232" s="85" t="s">
        <v>59</v>
      </c>
      <c r="B232" s="67" t="s">
        <v>326</v>
      </c>
      <c r="C232" s="396">
        <f t="shared" ref="C232:I232" si="27">+C233+C234</f>
        <v>0</v>
      </c>
      <c r="D232" s="1064">
        <f t="shared" si="27"/>
        <v>0</v>
      </c>
      <c r="E232" s="1064">
        <f t="shared" si="27"/>
        <v>0</v>
      </c>
      <c r="F232" s="1296" t="str">
        <f t="shared" si="14"/>
        <v>-</v>
      </c>
      <c r="G232" s="20">
        <f t="shared" si="27"/>
        <v>0</v>
      </c>
      <c r="H232" s="11">
        <f t="shared" si="27"/>
        <v>0</v>
      </c>
      <c r="I232" s="16">
        <f t="shared" si="27"/>
        <v>0</v>
      </c>
      <c r="M232" s="4">
        <f t="shared" si="15"/>
        <v>0</v>
      </c>
      <c r="N232" s="13"/>
    </row>
    <row r="233" spans="1:31" s="13" customFormat="1">
      <c r="A233" s="86" t="s">
        <v>294</v>
      </c>
      <c r="B233" s="66" t="s">
        <v>288</v>
      </c>
      <c r="C233" s="394">
        <f t="shared" ref="C233:I233" si="28">+C200</f>
        <v>0</v>
      </c>
      <c r="D233" s="1063">
        <f t="shared" si="28"/>
        <v>0</v>
      </c>
      <c r="E233" s="1063">
        <f t="shared" si="28"/>
        <v>0</v>
      </c>
      <c r="F233" s="1296" t="str">
        <f t="shared" si="14"/>
        <v>-</v>
      </c>
      <c r="G233" s="19">
        <f t="shared" si="28"/>
        <v>0</v>
      </c>
      <c r="H233" s="12">
        <f t="shared" si="28"/>
        <v>0</v>
      </c>
      <c r="I233" s="15">
        <f t="shared" si="28"/>
        <v>0</v>
      </c>
      <c r="M233" s="13">
        <f t="shared" si="15"/>
        <v>0</v>
      </c>
      <c r="N233" s="4"/>
    </row>
    <row r="234" spans="1:31" s="13" customFormat="1" ht="12.75" thickBot="1">
      <c r="A234" s="90" t="s">
        <v>295</v>
      </c>
      <c r="B234" s="75" t="s">
        <v>289</v>
      </c>
      <c r="C234" s="390">
        <f t="shared" ref="C234:I234" si="29">+C195+C196+C197+C198+C199+C201+C202</f>
        <v>0</v>
      </c>
      <c r="D234" s="1161">
        <f t="shared" si="29"/>
        <v>0</v>
      </c>
      <c r="E234" s="1161">
        <f t="shared" si="29"/>
        <v>0</v>
      </c>
      <c r="F234" s="1307" t="str">
        <f t="shared" si="14"/>
        <v>-</v>
      </c>
      <c r="G234" s="46">
        <f t="shared" si="29"/>
        <v>0</v>
      </c>
      <c r="H234" s="41">
        <f t="shared" si="29"/>
        <v>0</v>
      </c>
      <c r="I234" s="42">
        <f t="shared" si="29"/>
        <v>0</v>
      </c>
      <c r="M234" s="13">
        <f t="shared" si="15"/>
        <v>0</v>
      </c>
      <c r="N234" s="4"/>
    </row>
    <row r="235" spans="1:31">
      <c r="N235" s="2"/>
    </row>
    <row r="236" spans="1:31">
      <c r="N236" s="36"/>
    </row>
    <row r="237" spans="1:31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F238" s="1290"/>
      <c r="I238" s="37"/>
      <c r="N238" s="13"/>
    </row>
    <row r="239" spans="1:31" s="3" customFormat="1">
      <c r="A239" s="91" t="s">
        <v>4</v>
      </c>
      <c r="B239" s="76" t="s">
        <v>91</v>
      </c>
      <c r="C239" s="1075">
        <f>+'1.1.mell._ÖNK_Mérleg2020'!C239+'1.2.mell._HKÖH_Mérleg2020'!C239+'1.3.mell._HVÓBKI_Mérleg2020'!C239+'1.4.mell._HKK_Mérleg2020'!C239+'1.5._mell._MŐSZ_Mérleg2020'!C239+'1.6._mell._HVGYKCSSZ_Mérleg2020'!C239</f>
        <v>196</v>
      </c>
      <c r="D239" s="1162">
        <f>+'1.1.mell._ÖNK_Mérleg2020'!D239+'1.2.mell._HKÖH_Mérleg2020'!D239+'1.3.mell._HVÓBKI_Mérleg2020'!D239+'1.4.mell._HKK_Mérleg2020'!D239+'1.5._mell._MŐSZ_Mérleg2020'!D239+'1.6._mell._HVGYKCSSZ_Mérleg2020'!D239</f>
        <v>278</v>
      </c>
      <c r="E239" s="1162">
        <f>+'1.1.mell._ÖNK_Mérleg2020'!E239+'1.2.mell._HKÖH_Mérleg2020'!E239+'1.3.mell._HVÓBKI_Mérleg2020'!E239+'1.4.mell._HKK_Mérleg2020'!E239+'1.5._mell._MŐSZ_Mérleg2020'!E239+'1.6._mell._HVGYKCSSZ_Mérleg2020'!E239</f>
        <v>245</v>
      </c>
      <c r="F239" s="1304">
        <f>IF(ISERROR(E239/D239),"-",E239/D239)</f>
        <v>0.88129496402877694</v>
      </c>
      <c r="G239" s="54">
        <f>+'1.1.mell._ÖNK_Mérleg2020'!G239+'1.2.mell._HKÖH_Mérleg2020'!G239+'1.3.mell._HVÓBKI_Mérleg2020'!G239+'1.4.mell._HKK_Mérleg2020'!G239+'1.5._mell._MŐSZ_Mérleg2020'!G239+'1.6._mell._HVGYKCSSZ_Mérleg2020'!G239</f>
        <v>238</v>
      </c>
      <c r="H239" s="55">
        <f>+'1.1.mell._ÖNK_Mérleg2020'!H239+'1.2.mell._HKÖH_Mérleg2020'!H239+'1.3.mell._HVÓBKI_Mérleg2020'!H239+'1.4.mell._HKK_Mérleg2020'!H239+'1.5._mell._MŐSZ_Mérleg2020'!H239+'1.6._mell._HVGYKCSSZ_Mérleg2020'!H239</f>
        <v>7</v>
      </c>
      <c r="I239" s="56">
        <f>+'1.1.mell._ÖNK_Mérleg2020'!I239+'1.2.mell._HKÖH_Mérleg2020'!I239+'1.3.mell._HVÓBKI_Mérleg2020'!I239+'1.4.mell._HKK_Mérleg2020'!I239+'1.5._mell._MŐSZ_Mérleg2020'!I239+'1.6._mell._HVGYKCSSZ_Mérleg2020'!I239</f>
        <v>0</v>
      </c>
      <c r="M239" s="3">
        <f>+E239-G239-H239-I239</f>
        <v>0</v>
      </c>
    </row>
    <row r="240" spans="1:31" s="13" customFormat="1">
      <c r="A240" s="89" t="s">
        <v>350</v>
      </c>
      <c r="B240" s="99" t="s">
        <v>351</v>
      </c>
      <c r="C240" s="1076">
        <f>+'1.1.mell._ÖNK_Mérleg2020'!C240+'1.2.mell._HKÖH_Mérleg2020'!C240+'1.3.mell._HVÓBKI_Mérleg2020'!C240+'1.4.mell._HKK_Mérleg2020'!C240+'1.5._mell._MŐSZ_Mérleg2020'!C240+'1.6._mell._HVGYKCSSZ_Mérleg2020'!C240</f>
        <v>0</v>
      </c>
      <c r="D240" s="1163">
        <f>+'1.1.mell._ÖNK_Mérleg2020'!D240+'1.2.mell._HKÖH_Mérleg2020'!D240+'1.3.mell._HVÓBKI_Mérleg2020'!D240+'1.4.mell._HKK_Mérleg2020'!D240+'1.5._mell._MŐSZ_Mérleg2020'!D240+'1.6._mell._HVGYKCSSZ_Mérleg2020'!D240</f>
        <v>28</v>
      </c>
      <c r="E240" s="1163">
        <f>+'1.1.mell._ÖNK_Mérleg2020'!E240+'1.2.mell._HKÖH_Mérleg2020'!E240+'1.3.mell._HVÓBKI_Mérleg2020'!E240+'1.4.mell._HKK_Mérleg2020'!E240+'1.5._mell._MŐSZ_Mérleg2020'!E240+'1.6._mell._HVGYKCSSZ_Mérleg2020'!E240</f>
        <v>28</v>
      </c>
      <c r="F240" s="1298">
        <f>IF(ISERROR(E240/D240),"-",E240/D240)</f>
        <v>1</v>
      </c>
      <c r="G240" s="100">
        <f>+'1.1.mell._ÖNK_Mérleg2020'!G240+'1.2.mell._HKÖH_Mérleg2020'!G240+'1.3.mell._HVÓBKI_Mérleg2020'!G240+'1.4.mell._HKK_Mérleg2020'!G240+'1.5._mell._MŐSZ_Mérleg2020'!G240+'1.6._mell._HVGYKCSSZ_Mérleg2020'!G240</f>
        <v>28</v>
      </c>
      <c r="H240" s="101">
        <f>+'1.1.mell._ÖNK_Mérleg2020'!H240+'1.2.mell._HKÖH_Mérleg2020'!H240+'1.3.mell._HVÓBKI_Mérleg2020'!H240+'1.4.mell._HKK_Mérleg2020'!H240+'1.5._mell._MŐSZ_Mérleg2020'!H240+'1.6._mell._HVGYKCSSZ_Mérleg2020'!H240</f>
        <v>0</v>
      </c>
      <c r="I240" s="102">
        <f>+'1.1.mell._ÖNK_Mérleg2020'!I240+'1.2.mell._HKÖH_Mérleg2020'!I240+'1.3.mell._HVÓBKI_Mérleg2020'!I240+'1.4.mell._HKK_Mérleg2020'!I240+'1.5._mell._MŐSZ_Mérleg2020'!I240+'1.6._mell._HVGYKCSSZ_Mérleg2020'!I240</f>
        <v>0</v>
      </c>
      <c r="M240" s="13">
        <f>+E240-G240-H240-I240</f>
        <v>0</v>
      </c>
      <c r="N240" s="3"/>
    </row>
    <row r="241" spans="1:14" s="3" customFormat="1" ht="12.75" thickBot="1">
      <c r="A241" s="92" t="s">
        <v>5</v>
      </c>
      <c r="B241" s="77" t="s">
        <v>92</v>
      </c>
      <c r="C241" s="1077">
        <f>+'1.1.mell._ÖNK_Mérleg2020'!C241+'1.2.mell._HKÖH_Mérleg2020'!C241+'1.3.mell._HVÓBKI_Mérleg2020'!C241+'1.4.mell._HKK_Mérleg2020'!C241+'1.5._mell._MŐSZ_Mérleg2020'!C241+'1.6._mell._HVGYKCSSZ_Mérleg2020'!C241</f>
        <v>148</v>
      </c>
      <c r="D241" s="1164">
        <f>+'1.1.mell._ÖNK_Mérleg2020'!D241+'1.2.mell._HKÖH_Mérleg2020'!D241+'1.3.mell._HVÓBKI_Mérleg2020'!D241+'1.4.mell._HKK_Mérleg2020'!D241+'1.5._mell._MŐSZ_Mérleg2020'!D241+'1.6._mell._HVGYKCSSZ_Mérleg2020'!D241</f>
        <v>159</v>
      </c>
      <c r="E241" s="1164">
        <f>+'1.1.mell._ÖNK_Mérleg2020'!E241+'1.2.mell._HKÖH_Mérleg2020'!E241+'1.3.mell._HVÓBKI_Mérleg2020'!E241+'1.4.mell._HKK_Mérleg2020'!E241+'1.5._mell._MŐSZ_Mérleg2020'!E241+'1.6._mell._HVGYKCSSZ_Mérleg2020'!E241</f>
        <v>106</v>
      </c>
      <c r="F241" s="1312">
        <f>IF(ISERROR(E241/D241),"-",E241/D241)</f>
        <v>0.66666666666666663</v>
      </c>
      <c r="G241" s="57">
        <f>+'1.1.mell._ÖNK_Mérleg2020'!G241+'1.2.mell._HKÖH_Mérleg2020'!G241+'1.3.mell._HVÓBKI_Mérleg2020'!G241+'1.4.mell._HKK_Mérleg2020'!G241+'1.5._mell._MŐSZ_Mérleg2020'!G241+'1.6._mell._HVGYKCSSZ_Mérleg2020'!G241</f>
        <v>106</v>
      </c>
      <c r="H241" s="58">
        <f>+'1.1.mell._ÖNK_Mérleg2020'!H241+'1.2.mell._HKÖH_Mérleg2020'!H241+'1.3.mell._HVÓBKI_Mérleg2020'!H241+'1.4.mell._HKK_Mérleg2020'!H241+'1.5._mell._MŐSZ_Mérleg2020'!H241+'1.6._mell._HVGYKCSSZ_Mérleg2020'!H241</f>
        <v>0</v>
      </c>
      <c r="I241" s="59">
        <f>+'1.1.mell._ÖNK_Mérleg2020'!I241+'1.2.mell._HKÖH_Mérleg2020'!I241+'1.3.mell._HVÓBKI_Mérleg2020'!I241+'1.4.mell._HKK_Mérleg2020'!I241+'1.5._mell._MŐSZ_Mérleg2020'!I241+'1.6._mell._HVGYKCSSZ_Mérleg2020'!I241</f>
        <v>0</v>
      </c>
      <c r="M241" s="3">
        <f>+E241-G241-H241-I241</f>
        <v>0</v>
      </c>
      <c r="N241" s="4"/>
    </row>
    <row r="242" spans="1:14" s="3" customFormat="1" ht="12.75" thickBot="1">
      <c r="A242" s="83" t="s">
        <v>6</v>
      </c>
      <c r="B242" s="69" t="s">
        <v>329</v>
      </c>
      <c r="C242" s="1078">
        <f>+C239+C241</f>
        <v>344</v>
      </c>
      <c r="D242" s="1165">
        <f>+D239+D241</f>
        <v>437</v>
      </c>
      <c r="E242" s="1165">
        <f>+E239+E241</f>
        <v>351</v>
      </c>
      <c r="F242" s="1294">
        <f>IF(ISERROR(E242/D242),"-",E242/D242)</f>
        <v>0.80320366132723109</v>
      </c>
      <c r="G242" s="60">
        <f>+G239+G241</f>
        <v>344</v>
      </c>
      <c r="H242" s="61">
        <f>+H239+H241</f>
        <v>7</v>
      </c>
      <c r="I242" s="62">
        <f>+I239+I241</f>
        <v>0</v>
      </c>
      <c r="M242" s="3">
        <f>+E242-G242-H242-I242</f>
        <v>0</v>
      </c>
      <c r="N242" s="4"/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9:I9"/>
    <mergeCell ref="C108:I108"/>
  </mergeCells>
  <conditionalFormatting sqref="C45:I49 C33:I43 C13:I24 C195:I206 C180:I191 C166:I175 C160:I164 C151:I158 C147:I148 C133:I145 C124:I131 C117:I122 C111:I115 C26:I31 C89:I100 C74:I85 C65:I69 C59:I63 C52:I57">
    <cfRule type="cellIs" dxfId="13" priority="7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M44"/>
  <sheetViews>
    <sheetView zoomScaleNormal="100" workbookViewId="0"/>
  </sheetViews>
  <sheetFormatPr defaultRowHeight="12"/>
  <cols>
    <col min="1" max="1" width="4.85546875" style="1020" bestFit="1" customWidth="1"/>
    <col min="2" max="2" width="57.5703125" style="425" bestFit="1" customWidth="1"/>
    <col min="3" max="3" width="44" style="425" bestFit="1" customWidth="1"/>
    <col min="4" max="6" width="13.140625" style="425" bestFit="1" customWidth="1"/>
    <col min="7" max="7" width="13.140625" style="179" bestFit="1" customWidth="1"/>
    <col min="8" max="8" width="9.140625" style="425"/>
    <col min="9" max="12" width="9.140625" style="425" hidden="1" customWidth="1"/>
    <col min="13" max="16384" width="9.140625" style="425"/>
  </cols>
  <sheetData>
    <row r="1" spans="1:13" s="562" customFormat="1" ht="15.75">
      <c r="A1" s="993"/>
      <c r="B1" s="561"/>
      <c r="C1" s="561"/>
      <c r="D1" s="188"/>
      <c r="E1" s="188"/>
      <c r="F1" s="188"/>
      <c r="G1" s="188" t="s">
        <v>780</v>
      </c>
    </row>
    <row r="2" spans="1:13" s="562" customFormat="1" ht="15.75">
      <c r="A2" s="993"/>
      <c r="B2" s="561"/>
      <c r="C2" s="561"/>
      <c r="D2" s="188"/>
      <c r="E2" s="188"/>
      <c r="F2" s="188"/>
      <c r="G2" s="188"/>
    </row>
    <row r="3" spans="1:13" s="562" customFormat="1" ht="15.75" customHeight="1">
      <c r="A3" s="1856" t="s">
        <v>353</v>
      </c>
      <c r="B3" s="1856"/>
      <c r="C3" s="1856"/>
      <c r="D3" s="1856"/>
      <c r="E3" s="1856"/>
      <c r="F3" s="1856"/>
      <c r="G3" s="1856"/>
      <c r="H3" s="439"/>
      <c r="I3" s="439"/>
      <c r="J3" s="439"/>
      <c r="K3" s="439"/>
      <c r="L3" s="439"/>
    </row>
    <row r="4" spans="1:13" s="842" customFormat="1" ht="15.75">
      <c r="A4" s="1861" t="s">
        <v>1478</v>
      </c>
      <c r="B4" s="1861"/>
      <c r="C4" s="1861"/>
      <c r="D4" s="1861"/>
      <c r="E4" s="1861"/>
      <c r="F4" s="1861"/>
      <c r="G4" s="1861"/>
    </row>
    <row r="5" spans="1:13" ht="12.75" thickBot="1">
      <c r="A5" s="994"/>
      <c r="B5" s="994"/>
      <c r="C5" s="994"/>
      <c r="D5" s="350"/>
      <c r="E5" s="350"/>
      <c r="F5" s="350"/>
      <c r="G5" s="350" t="s">
        <v>457</v>
      </c>
    </row>
    <row r="6" spans="1:13" ht="36.75" thickBot="1">
      <c r="A6" s="422" t="s">
        <v>8</v>
      </c>
      <c r="B6" s="995" t="s">
        <v>621</v>
      </c>
      <c r="C6" s="996" t="s">
        <v>622</v>
      </c>
      <c r="D6" s="399" t="s">
        <v>1540</v>
      </c>
      <c r="E6" s="1230" t="s">
        <v>1541</v>
      </c>
      <c r="F6" s="6" t="s">
        <v>2654</v>
      </c>
      <c r="G6" s="1291" t="s">
        <v>1558</v>
      </c>
    </row>
    <row r="7" spans="1:13" s="1000" customFormat="1">
      <c r="A7" s="997"/>
      <c r="B7" s="998" t="s">
        <v>0</v>
      </c>
      <c r="C7" s="999"/>
      <c r="D7" s="1261"/>
      <c r="E7" s="1267"/>
      <c r="F7" s="1267"/>
      <c r="G7" s="1380"/>
    </row>
    <row r="8" spans="1:13">
      <c r="A8" s="908" t="s">
        <v>4</v>
      </c>
      <c r="B8" s="451" t="s">
        <v>623</v>
      </c>
      <c r="C8" s="1001" t="s">
        <v>624</v>
      </c>
      <c r="D8" s="1182">
        <f>1000-500</f>
        <v>500</v>
      </c>
      <c r="E8" s="210">
        <v>250</v>
      </c>
      <c r="F8" s="210">
        <v>250</v>
      </c>
      <c r="G8" s="1381">
        <f t="shared" ref="G8:G14" si="0">IF(ISERROR(F8/E8),"-",F8/E8)</f>
        <v>1</v>
      </c>
    </row>
    <row r="9" spans="1:13">
      <c r="A9" s="1002" t="s">
        <v>5</v>
      </c>
      <c r="B9" s="1003" t="s">
        <v>1060</v>
      </c>
      <c r="C9" s="1001" t="s">
        <v>624</v>
      </c>
      <c r="D9" s="1184">
        <f>12*736</f>
        <v>8832</v>
      </c>
      <c r="E9" s="222">
        <f>7244+1446</f>
        <v>8690</v>
      </c>
      <c r="F9" s="222">
        <v>7244</v>
      </c>
      <c r="G9" s="1381">
        <f>IF(ISERROR(F9/E9),"-",F9/E9)</f>
        <v>0.83360184119677794</v>
      </c>
    </row>
    <row r="10" spans="1:13">
      <c r="A10" s="908" t="s">
        <v>6</v>
      </c>
      <c r="B10" s="1003" t="s">
        <v>2747</v>
      </c>
      <c r="C10" s="1001" t="s">
        <v>2748</v>
      </c>
      <c r="D10" s="1184"/>
      <c r="E10" s="222">
        <v>975</v>
      </c>
      <c r="F10" s="222">
        <v>975</v>
      </c>
      <c r="G10" s="1381">
        <f>IF(ISERROR(F10/E10),"-",F10/E10)</f>
        <v>1</v>
      </c>
    </row>
    <row r="11" spans="1:13">
      <c r="A11" s="1002" t="s">
        <v>3</v>
      </c>
      <c r="B11" s="1003" t="s">
        <v>2749</v>
      </c>
      <c r="C11" s="1001" t="s">
        <v>624</v>
      </c>
      <c r="D11" s="1184"/>
      <c r="E11" s="222">
        <v>806</v>
      </c>
      <c r="F11" s="222">
        <v>806</v>
      </c>
      <c r="G11" s="1381">
        <f>IF(ISERROR(F11/E11),"-",F11/E11)</f>
        <v>1</v>
      </c>
    </row>
    <row r="12" spans="1:13" s="564" customFormat="1">
      <c r="A12" s="1728" t="s">
        <v>16</v>
      </c>
      <c r="B12" s="1729" t="s">
        <v>2750</v>
      </c>
      <c r="C12" s="1730" t="s">
        <v>2755</v>
      </c>
      <c r="D12" s="1186"/>
      <c r="E12" s="1187">
        <v>203</v>
      </c>
      <c r="F12" s="1187">
        <v>203</v>
      </c>
      <c r="G12" s="1381">
        <f>IF(ISERROR(F12/E12),"-",F12/E12)</f>
        <v>1</v>
      </c>
    </row>
    <row r="13" spans="1:13" s="564" customFormat="1" ht="12.75" thickBot="1">
      <c r="A13" s="1728" t="s">
        <v>15</v>
      </c>
      <c r="B13" s="1729" t="s">
        <v>2750</v>
      </c>
      <c r="C13" s="1730" t="s">
        <v>2756</v>
      </c>
      <c r="D13" s="1186"/>
      <c r="E13" s="1187">
        <v>1</v>
      </c>
      <c r="F13" s="1187">
        <v>1</v>
      </c>
      <c r="G13" s="1381">
        <f t="shared" si="0"/>
        <v>1</v>
      </c>
    </row>
    <row r="14" spans="1:13" s="764" customFormat="1" ht="12.75" thickBot="1">
      <c r="A14" s="1004" t="s">
        <v>23</v>
      </c>
      <c r="B14" s="1005" t="s">
        <v>628</v>
      </c>
      <c r="C14" s="1006"/>
      <c r="D14" s="1183">
        <f>SUM(D8:D13)</f>
        <v>9332</v>
      </c>
      <c r="E14" s="212">
        <f>SUM(E8:E13)</f>
        <v>10925</v>
      </c>
      <c r="F14" s="212">
        <f>SUM(F8:F13)</f>
        <v>9479</v>
      </c>
      <c r="G14" s="1333">
        <f t="shared" si="0"/>
        <v>0.86764302059496567</v>
      </c>
      <c r="I14" s="574">
        <f>+'1.mell._Össz_Mérleg2020'!D138</f>
        <v>10925</v>
      </c>
      <c r="J14" s="574">
        <f>+E14-I14</f>
        <v>0</v>
      </c>
      <c r="K14" s="574">
        <f>+'1.mell._Össz_Mérleg2020'!E138</f>
        <v>9479</v>
      </c>
      <c r="L14" s="574">
        <f>+F14-K14</f>
        <v>0</v>
      </c>
      <c r="M14" s="425"/>
    </row>
    <row r="15" spans="1:13" s="764" customFormat="1">
      <c r="A15" s="1007"/>
      <c r="B15" s="1008"/>
      <c r="C15" s="1009"/>
      <c r="D15" s="1262"/>
      <c r="E15" s="1268"/>
      <c r="F15" s="1268"/>
      <c r="G15" s="1382"/>
      <c r="I15" s="425"/>
      <c r="J15" s="425"/>
      <c r="K15" s="425"/>
      <c r="L15" s="425"/>
      <c r="M15" s="425"/>
    </row>
    <row r="16" spans="1:13">
      <c r="A16" s="1010"/>
      <c r="B16" s="1011" t="s">
        <v>1</v>
      </c>
      <c r="C16" s="1012"/>
      <c r="D16" s="1263"/>
      <c r="E16" s="853"/>
      <c r="F16" s="853"/>
      <c r="G16" s="1383"/>
    </row>
    <row r="17" spans="1:7">
      <c r="A17" s="908" t="s">
        <v>4</v>
      </c>
      <c r="B17" s="451" t="s">
        <v>625</v>
      </c>
      <c r="C17" s="1001" t="s">
        <v>624</v>
      </c>
      <c r="D17" s="1182">
        <f>5000*1.1-3000</f>
        <v>2500</v>
      </c>
      <c r="E17" s="210">
        <f>5000*1.1-3000</f>
        <v>2500</v>
      </c>
      <c r="F17" s="210">
        <v>2500</v>
      </c>
      <c r="G17" s="1381">
        <f t="shared" ref="G17:G34" si="1">IF(ISERROR(F17/E17),"-",F17/E17)</f>
        <v>1</v>
      </c>
    </row>
    <row r="18" spans="1:7">
      <c r="A18" s="908" t="s">
        <v>5</v>
      </c>
      <c r="B18" s="451" t="s">
        <v>626</v>
      </c>
      <c r="C18" s="1001" t="s">
        <v>624</v>
      </c>
      <c r="D18" s="1182">
        <f>10650*1.1+1285</f>
        <v>13000.000000000002</v>
      </c>
      <c r="E18" s="210">
        <f>10650*1.1+1285+44-1000+1000</f>
        <v>13044.000000000002</v>
      </c>
      <c r="F18" s="210">
        <v>12000</v>
      </c>
      <c r="G18" s="1381">
        <f t="shared" si="1"/>
        <v>0.91996320147194099</v>
      </c>
    </row>
    <row r="19" spans="1:7">
      <c r="A19" s="908" t="s">
        <v>6</v>
      </c>
      <c r="B19" s="451" t="s">
        <v>1160</v>
      </c>
      <c r="C19" s="1001" t="s">
        <v>624</v>
      </c>
      <c r="D19" s="1182">
        <f>350-150+150</f>
        <v>350</v>
      </c>
      <c r="E19" s="210">
        <v>0</v>
      </c>
      <c r="F19" s="210"/>
      <c r="G19" s="1381" t="str">
        <f t="shared" si="1"/>
        <v>-</v>
      </c>
    </row>
    <row r="20" spans="1:7">
      <c r="A20" s="908" t="s">
        <v>3</v>
      </c>
      <c r="B20" s="451" t="s">
        <v>1538</v>
      </c>
      <c r="C20" s="1001" t="s">
        <v>624</v>
      </c>
      <c r="D20" s="1182">
        <f>0+1000</f>
        <v>1000</v>
      </c>
      <c r="E20" s="210">
        <f>0+1000</f>
        <v>1000</v>
      </c>
      <c r="F20" s="210">
        <v>1000</v>
      </c>
      <c r="G20" s="1381">
        <f t="shared" si="1"/>
        <v>1</v>
      </c>
    </row>
    <row r="21" spans="1:7">
      <c r="A21" s="908" t="s">
        <v>16</v>
      </c>
      <c r="B21" s="451" t="s">
        <v>976</v>
      </c>
      <c r="C21" s="1001" t="s">
        <v>2753</v>
      </c>
      <c r="D21" s="1182">
        <f>15000+10000</f>
        <v>25000</v>
      </c>
      <c r="E21" s="210">
        <v>33500</v>
      </c>
      <c r="F21" s="210">
        <f>8500+25000</f>
        <v>33500</v>
      </c>
      <c r="G21" s="1381">
        <f t="shared" si="1"/>
        <v>1</v>
      </c>
    </row>
    <row r="22" spans="1:7">
      <c r="A22" s="908" t="s">
        <v>15</v>
      </c>
      <c r="B22" s="451" t="s">
        <v>1061</v>
      </c>
      <c r="C22" s="1001" t="s">
        <v>2753</v>
      </c>
      <c r="D22" s="1182">
        <f>11000-3000</f>
        <v>8000</v>
      </c>
      <c r="E22" s="210">
        <v>9000</v>
      </c>
      <c r="F22" s="210">
        <f>1000+8000</f>
        <v>9000</v>
      </c>
      <c r="G22" s="1381">
        <f t="shared" si="1"/>
        <v>1</v>
      </c>
    </row>
    <row r="23" spans="1:7">
      <c r="A23" s="908" t="s">
        <v>14</v>
      </c>
      <c r="B23" s="451" t="s">
        <v>1165</v>
      </c>
      <c r="C23" s="1001" t="s">
        <v>624</v>
      </c>
      <c r="D23" s="1182">
        <v>400</v>
      </c>
      <c r="E23" s="210">
        <v>0</v>
      </c>
      <c r="F23" s="210"/>
      <c r="G23" s="1381" t="str">
        <f t="shared" si="1"/>
        <v>-</v>
      </c>
    </row>
    <row r="24" spans="1:7">
      <c r="A24" s="908" t="s">
        <v>13</v>
      </c>
      <c r="B24" s="451" t="s">
        <v>1163</v>
      </c>
      <c r="C24" s="1001" t="s">
        <v>1164</v>
      </c>
      <c r="D24" s="1182">
        <v>200</v>
      </c>
      <c r="E24" s="210">
        <v>0</v>
      </c>
      <c r="F24" s="210"/>
      <c r="G24" s="1381" t="str">
        <f t="shared" si="1"/>
        <v>-</v>
      </c>
    </row>
    <row r="25" spans="1:7">
      <c r="A25" s="908" t="s">
        <v>12</v>
      </c>
      <c r="B25" s="451" t="s">
        <v>1211</v>
      </c>
      <c r="C25" s="1001" t="s">
        <v>624</v>
      </c>
      <c r="D25" s="1182">
        <v>100</v>
      </c>
      <c r="E25" s="210">
        <v>117</v>
      </c>
      <c r="F25" s="210">
        <f>116+1</f>
        <v>117</v>
      </c>
      <c r="G25" s="1381">
        <f t="shared" si="1"/>
        <v>1</v>
      </c>
    </row>
    <row r="26" spans="1:7">
      <c r="A26" s="908" t="s">
        <v>11</v>
      </c>
      <c r="B26" s="451" t="s">
        <v>1338</v>
      </c>
      <c r="C26" s="1001" t="s">
        <v>624</v>
      </c>
      <c r="D26" s="1182">
        <v>500</v>
      </c>
      <c r="E26" s="210">
        <v>0</v>
      </c>
      <c r="F26" s="210"/>
      <c r="G26" s="1381" t="str">
        <f t="shared" si="1"/>
        <v>-</v>
      </c>
    </row>
    <row r="27" spans="1:7">
      <c r="A27" s="908" t="s">
        <v>10</v>
      </c>
      <c r="B27" s="451" t="s">
        <v>1342</v>
      </c>
      <c r="C27" s="1001" t="s">
        <v>624</v>
      </c>
      <c r="D27" s="1182">
        <f>0+300</f>
        <v>300</v>
      </c>
      <c r="E27" s="210">
        <f>200+100</f>
        <v>300</v>
      </c>
      <c r="F27" s="210">
        <v>200</v>
      </c>
      <c r="G27" s="1381">
        <f t="shared" si="1"/>
        <v>0.66666666666666663</v>
      </c>
    </row>
    <row r="28" spans="1:7">
      <c r="A28" s="908" t="s">
        <v>9</v>
      </c>
      <c r="B28" s="451" t="s">
        <v>1551</v>
      </c>
      <c r="C28" s="1001" t="s">
        <v>624</v>
      </c>
      <c r="D28" s="1182"/>
      <c r="E28" s="210">
        <v>1000</v>
      </c>
      <c r="F28" s="210">
        <v>1000</v>
      </c>
      <c r="G28" s="1381">
        <f t="shared" si="1"/>
        <v>1</v>
      </c>
    </row>
    <row r="29" spans="1:7">
      <c r="A29" s="908" t="s">
        <v>45</v>
      </c>
      <c r="B29" s="451" t="s">
        <v>1552</v>
      </c>
      <c r="C29" s="1001" t="s">
        <v>624</v>
      </c>
      <c r="D29" s="1182"/>
      <c r="E29" s="210"/>
      <c r="F29" s="210"/>
      <c r="G29" s="1381" t="str">
        <f>IF(ISERROR(F29/E29),"-",F29/E29)</f>
        <v>-</v>
      </c>
    </row>
    <row r="30" spans="1:7">
      <c r="A30" s="908" t="s">
        <v>44</v>
      </c>
      <c r="B30" s="451" t="s">
        <v>2751</v>
      </c>
      <c r="C30" s="1001" t="s">
        <v>2752</v>
      </c>
      <c r="D30" s="1182"/>
      <c r="E30" s="210">
        <v>280</v>
      </c>
      <c r="F30" s="210">
        <v>280</v>
      </c>
      <c r="G30" s="1381">
        <f>IF(ISERROR(F30/E30),"-",F30/E30)</f>
        <v>1</v>
      </c>
    </row>
    <row r="31" spans="1:7">
      <c r="A31" s="908" t="s">
        <v>43</v>
      </c>
      <c r="B31" s="451" t="s">
        <v>2754</v>
      </c>
      <c r="C31" s="1001" t="s">
        <v>2757</v>
      </c>
      <c r="D31" s="1182"/>
      <c r="E31" s="210">
        <v>25</v>
      </c>
      <c r="F31" s="210">
        <v>25</v>
      </c>
      <c r="G31" s="1381">
        <f>IF(ISERROR(F31/E31),"-",F31/E31)</f>
        <v>1</v>
      </c>
    </row>
    <row r="32" spans="1:7" s="1716" customFormat="1">
      <c r="A32" s="1731" t="s">
        <v>40</v>
      </c>
      <c r="B32" s="1726" t="s">
        <v>2758</v>
      </c>
      <c r="C32" s="1732" t="s">
        <v>2757</v>
      </c>
      <c r="D32" s="1733"/>
      <c r="E32" s="1734">
        <v>680</v>
      </c>
      <c r="F32" s="1734">
        <v>680</v>
      </c>
      <c r="G32" s="1727">
        <f>IF(ISERROR(F32/E32),"-",F32/E32)</f>
        <v>1</v>
      </c>
    </row>
    <row r="33" spans="1:13" s="1716" customFormat="1" ht="12.75" thickBot="1">
      <c r="A33" s="1731" t="s">
        <v>39</v>
      </c>
      <c r="B33" s="1726" t="s">
        <v>2759</v>
      </c>
      <c r="C33" s="1732" t="s">
        <v>2757</v>
      </c>
      <c r="D33" s="1733"/>
      <c r="E33" s="1734">
        <v>9350</v>
      </c>
      <c r="F33" s="1734">
        <v>9350</v>
      </c>
      <c r="G33" s="1727">
        <f>IF(ISERROR(F33/E33),"-",F33/E33)</f>
        <v>1</v>
      </c>
    </row>
    <row r="34" spans="1:13" ht="12.75" thickBot="1">
      <c r="A34" s="415" t="s">
        <v>22</v>
      </c>
      <c r="B34" s="1005" t="s">
        <v>627</v>
      </c>
      <c r="C34" s="1006"/>
      <c r="D34" s="1183">
        <f>SUM(D17:D33)</f>
        <v>51350</v>
      </c>
      <c r="E34" s="212">
        <f>SUM(E17:E33)</f>
        <v>70796</v>
      </c>
      <c r="F34" s="212">
        <f>SUM(F17:F33)</f>
        <v>69652</v>
      </c>
      <c r="G34" s="1333">
        <f t="shared" si="1"/>
        <v>0.98384089496581728</v>
      </c>
      <c r="I34" s="574">
        <f>+'1.mell._Össz_Mérleg2020'!D145</f>
        <v>70796</v>
      </c>
      <c r="J34" s="574">
        <f>+E34-I34</f>
        <v>0</v>
      </c>
      <c r="K34" s="574">
        <f>+'1.mell._Össz_Mérleg2020'!E145</f>
        <v>69652</v>
      </c>
      <c r="L34" s="574">
        <f>+F34-K34</f>
        <v>0</v>
      </c>
    </row>
    <row r="35" spans="1:13" s="764" customFormat="1">
      <c r="A35" s="1007"/>
      <c r="B35" s="1008"/>
      <c r="C35" s="1009"/>
      <c r="D35" s="1262"/>
      <c r="E35" s="1268"/>
      <c r="F35" s="1268"/>
      <c r="G35" s="1266"/>
      <c r="I35" s="425"/>
      <c r="J35" s="425"/>
      <c r="K35" s="425"/>
      <c r="L35" s="425"/>
      <c r="M35" s="425"/>
    </row>
    <row r="36" spans="1:13">
      <c r="A36" s="997"/>
      <c r="B36" s="998" t="s">
        <v>2</v>
      </c>
      <c r="C36" s="1013"/>
      <c r="D36" s="1264"/>
      <c r="E36" s="1269"/>
      <c r="F36" s="1269"/>
      <c r="G36" s="1384"/>
    </row>
    <row r="37" spans="1:13" ht="12.75" thickBot="1">
      <c r="A37" s="1014" t="s">
        <v>4</v>
      </c>
      <c r="B37" s="810" t="s">
        <v>19</v>
      </c>
      <c r="C37" s="1001"/>
      <c r="D37" s="1182"/>
      <c r="E37" s="210"/>
      <c r="F37" s="210"/>
      <c r="G37" s="1381" t="str">
        <f>IF(ISERROR(F37/E37),"-",F37/E37)</f>
        <v>-</v>
      </c>
    </row>
    <row r="38" spans="1:13" ht="12.75" thickBot="1">
      <c r="A38" s="1004" t="s">
        <v>21</v>
      </c>
      <c r="B38" s="1005" t="s">
        <v>629</v>
      </c>
      <c r="C38" s="1006"/>
      <c r="D38" s="1183">
        <f>SUM(D37)</f>
        <v>0</v>
      </c>
      <c r="E38" s="212">
        <f>SUM(E37)</f>
        <v>0</v>
      </c>
      <c r="F38" s="212">
        <f>SUM(F37)</f>
        <v>0</v>
      </c>
      <c r="G38" s="1333" t="str">
        <f>IF(ISERROR(F38/E38),"-",F38/E38)</f>
        <v>-</v>
      </c>
      <c r="I38" s="574">
        <f>+'1.mell._Össz_Mérleg2020'!D169</f>
        <v>0</v>
      </c>
      <c r="J38" s="574">
        <f>+E38-I38</f>
        <v>0</v>
      </c>
      <c r="K38" s="574">
        <f>+'1.mell._Össz_Mérleg2020'!E169</f>
        <v>0</v>
      </c>
      <c r="L38" s="574">
        <f>+F38-K38</f>
        <v>0</v>
      </c>
    </row>
    <row r="39" spans="1:13">
      <c r="A39" s="1015"/>
      <c r="B39" s="1008"/>
      <c r="C39" s="1009"/>
      <c r="D39" s="1262"/>
      <c r="E39" s="1268"/>
      <c r="F39" s="1268"/>
      <c r="G39" s="1266"/>
    </row>
    <row r="40" spans="1:13">
      <c r="A40" s="1010"/>
      <c r="B40" s="1011" t="s">
        <v>630</v>
      </c>
      <c r="C40" s="1012"/>
      <c r="D40" s="1263"/>
      <c r="E40" s="853"/>
      <c r="F40" s="853"/>
      <c r="G40" s="850"/>
    </row>
    <row r="41" spans="1:13" ht="12.75" thickBot="1">
      <c r="A41" s="1016" t="s">
        <v>4</v>
      </c>
      <c r="B41" s="1017" t="s">
        <v>19</v>
      </c>
      <c r="C41" s="1018"/>
      <c r="D41" s="1265"/>
      <c r="E41" s="1270"/>
      <c r="F41" s="1270"/>
      <c r="G41" s="1381" t="str">
        <f>IF(ISERROR(F41/E41),"-",F41/E41)</f>
        <v>-</v>
      </c>
    </row>
    <row r="42" spans="1:13" ht="12.75" thickBot="1">
      <c r="A42" s="415" t="s">
        <v>20</v>
      </c>
      <c r="B42" s="1005" t="s">
        <v>631</v>
      </c>
      <c r="C42" s="1006"/>
      <c r="D42" s="1183">
        <f>SUM(D41)</f>
        <v>0</v>
      </c>
      <c r="E42" s="212">
        <f>SUM(E41)</f>
        <v>0</v>
      </c>
      <c r="F42" s="212">
        <f>SUM(F41)</f>
        <v>0</v>
      </c>
      <c r="G42" s="1333" t="str">
        <f>IF(ISERROR(F42/E42),"-",F42/E42)</f>
        <v>-</v>
      </c>
      <c r="I42" s="574">
        <f>+'1.mell._Össz_Mérleg2020'!D175</f>
        <v>0</v>
      </c>
      <c r="J42" s="574">
        <f>+E42-I42</f>
        <v>0</v>
      </c>
      <c r="K42" s="574">
        <f>+'1.mell._Össz_Mérleg2020'!E175</f>
        <v>0</v>
      </c>
      <c r="L42" s="574">
        <f>+F42-K42</f>
        <v>0</v>
      </c>
    </row>
    <row r="44" spans="1:13">
      <c r="A44" s="1019" t="s">
        <v>1166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35"/>
  <sheetViews>
    <sheetView zoomScaleNormal="100" workbookViewId="0"/>
  </sheetViews>
  <sheetFormatPr defaultColWidth="10.5703125" defaultRowHeight="12"/>
  <cols>
    <col min="1" max="1" width="5.42578125" style="503" bestFit="1" customWidth="1"/>
    <col min="2" max="2" width="3.7109375" style="788" hidden="1" customWidth="1"/>
    <col min="3" max="3" width="7.85546875" style="879" customWidth="1"/>
    <col min="4" max="4" width="78.42578125" style="461" customWidth="1"/>
    <col min="5" max="5" width="10.5703125" style="874" hidden="1" customWidth="1"/>
    <col min="6" max="6" width="65.28515625" style="295" customWidth="1"/>
    <col min="7" max="9" width="10.85546875" style="462" customWidth="1"/>
    <col min="10" max="14" width="10.85546875" style="463" customWidth="1"/>
    <col min="15" max="18" width="10.85546875" style="295" customWidth="1"/>
    <col min="19" max="21" width="11.42578125" style="295" customWidth="1"/>
    <col min="22" max="26" width="10.85546875" style="295" customWidth="1"/>
    <col min="27" max="30" width="11.28515625" style="295" customWidth="1"/>
    <col min="31" max="34" width="10.85546875" style="462" customWidth="1"/>
    <col min="35" max="42" width="10.85546875" style="295" customWidth="1"/>
    <col min="43" max="46" width="11.28515625" style="295" customWidth="1"/>
    <col min="47" max="51" width="10.85546875" style="295" customWidth="1"/>
    <col min="52" max="16384" width="10.5703125" style="295"/>
  </cols>
  <sheetData>
    <row r="1" spans="1:51" s="293" customFormat="1" ht="15.75">
      <c r="A1" s="502"/>
      <c r="B1" s="787"/>
      <c r="C1" s="878"/>
      <c r="D1" s="495"/>
      <c r="E1" s="873"/>
      <c r="G1" s="453"/>
      <c r="H1" s="453"/>
      <c r="I1" s="453"/>
      <c r="J1" s="496"/>
      <c r="K1" s="496"/>
      <c r="L1" s="496"/>
      <c r="M1" s="496"/>
      <c r="N1" s="496"/>
      <c r="AE1" s="453"/>
      <c r="AF1" s="453"/>
      <c r="AG1" s="453"/>
      <c r="AH1" s="453"/>
      <c r="AU1" s="188"/>
      <c r="AV1" s="188"/>
      <c r="AW1" s="188"/>
      <c r="AX1" s="188" t="s">
        <v>742</v>
      </c>
      <c r="AY1" s="188"/>
    </row>
    <row r="2" spans="1:51" s="293" customFormat="1" ht="15.75">
      <c r="A2" s="502"/>
      <c r="B2" s="787"/>
      <c r="C2" s="878"/>
      <c r="D2" s="495"/>
      <c r="E2" s="873"/>
      <c r="G2" s="453"/>
      <c r="H2" s="453"/>
      <c r="I2" s="453"/>
      <c r="J2" s="496"/>
      <c r="K2" s="496"/>
      <c r="L2" s="496"/>
      <c r="M2" s="496"/>
      <c r="N2" s="496"/>
      <c r="AA2" s="454"/>
      <c r="AB2" s="454"/>
      <c r="AC2" s="454"/>
      <c r="AD2" s="454"/>
      <c r="AE2" s="453"/>
      <c r="AF2" s="453"/>
      <c r="AG2" s="453"/>
      <c r="AH2" s="453"/>
      <c r="AQ2" s="454"/>
      <c r="AR2" s="454"/>
      <c r="AS2" s="454"/>
      <c r="AT2" s="454"/>
      <c r="AU2" s="454"/>
      <c r="AV2" s="454"/>
      <c r="AW2" s="454"/>
      <c r="AX2" s="454"/>
      <c r="AY2" s="454"/>
    </row>
    <row r="3" spans="1:51" s="293" customFormat="1" ht="15.75">
      <c r="A3" s="1796" t="s">
        <v>768</v>
      </c>
      <c r="B3" s="1796"/>
      <c r="C3" s="1796"/>
      <c r="D3" s="1796"/>
      <c r="E3" s="1796"/>
      <c r="F3" s="1796"/>
      <c r="G3" s="1796"/>
      <c r="H3" s="1796"/>
      <c r="I3" s="1796"/>
      <c r="J3" s="1796"/>
      <c r="K3" s="1796"/>
      <c r="L3" s="1796"/>
      <c r="M3" s="1796"/>
      <c r="N3" s="1796"/>
      <c r="O3" s="1796"/>
      <c r="P3" s="1796"/>
      <c r="Q3" s="1796"/>
      <c r="R3" s="1796"/>
      <c r="S3" s="1796"/>
      <c r="T3" s="1796"/>
      <c r="U3" s="1796"/>
      <c r="V3" s="1796"/>
      <c r="W3" s="1796"/>
      <c r="X3" s="1796"/>
      <c r="Y3" s="1796"/>
      <c r="Z3" s="1796"/>
      <c r="AA3" s="1796"/>
      <c r="AB3" s="1796"/>
      <c r="AC3" s="1796"/>
      <c r="AD3" s="1796"/>
      <c r="AE3" s="1796"/>
      <c r="AF3" s="1796"/>
      <c r="AG3" s="1796"/>
      <c r="AH3" s="1796"/>
      <c r="AI3" s="1796"/>
      <c r="AJ3" s="1796"/>
      <c r="AK3" s="1796"/>
      <c r="AL3" s="1796"/>
      <c r="AM3" s="1796"/>
      <c r="AN3" s="1796"/>
      <c r="AO3" s="1796"/>
      <c r="AP3" s="1796"/>
      <c r="AQ3" s="1796"/>
      <c r="AR3" s="1796"/>
      <c r="AS3" s="1796"/>
      <c r="AT3" s="1796"/>
      <c r="AU3" s="1796"/>
      <c r="AV3" s="1796"/>
      <c r="AW3" s="1796"/>
      <c r="AX3" s="1796"/>
      <c r="AY3" s="1738"/>
    </row>
    <row r="4" spans="1:51" ht="12.75" thickBot="1">
      <c r="AA4" s="238"/>
      <c r="AB4" s="238"/>
      <c r="AC4" s="238"/>
      <c r="AD4" s="238"/>
      <c r="AQ4" s="238"/>
      <c r="AR4" s="238"/>
      <c r="AS4" s="238"/>
      <c r="AT4" s="238" t="s">
        <v>457</v>
      </c>
      <c r="AU4" s="464"/>
      <c r="AV4" s="464"/>
      <c r="AW4" s="464"/>
      <c r="AX4" s="464"/>
      <c r="AY4" s="464"/>
    </row>
    <row r="5" spans="1:51" s="466" customFormat="1" ht="12.75" customHeight="1" thickBot="1">
      <c r="A5" s="1865" t="s">
        <v>17</v>
      </c>
      <c r="B5" s="1892" t="s">
        <v>1037</v>
      </c>
      <c r="C5" s="1883" t="s">
        <v>761</v>
      </c>
      <c r="D5" s="1886" t="s">
        <v>760</v>
      </c>
      <c r="E5" s="1868" t="s">
        <v>744</v>
      </c>
      <c r="F5" s="1889" t="s">
        <v>743</v>
      </c>
      <c r="G5" s="1895" t="s">
        <v>1415</v>
      </c>
      <c r="H5" s="1896"/>
      <c r="I5" s="1896"/>
      <c r="J5" s="1897"/>
      <c r="K5" s="1895" t="s">
        <v>1479</v>
      </c>
      <c r="L5" s="1896"/>
      <c r="M5" s="1896"/>
      <c r="N5" s="1897"/>
      <c r="O5" s="1871" t="s">
        <v>745</v>
      </c>
      <c r="P5" s="1872"/>
      <c r="Q5" s="1872"/>
      <c r="R5" s="1872"/>
      <c r="S5" s="1872"/>
      <c r="T5" s="1872"/>
      <c r="U5" s="1872"/>
      <c r="V5" s="1872"/>
      <c r="W5" s="1872"/>
      <c r="X5" s="1872"/>
      <c r="Y5" s="1872"/>
      <c r="Z5" s="1872"/>
      <c r="AA5" s="1872"/>
      <c r="AB5" s="1872"/>
      <c r="AC5" s="1872"/>
      <c r="AD5" s="1873"/>
      <c r="AE5" s="1895" t="s">
        <v>1480</v>
      </c>
      <c r="AF5" s="1896"/>
      <c r="AG5" s="1896"/>
      <c r="AH5" s="1897"/>
      <c r="AI5" s="1871" t="s">
        <v>745</v>
      </c>
      <c r="AJ5" s="1872"/>
      <c r="AK5" s="1872"/>
      <c r="AL5" s="1872"/>
      <c r="AM5" s="1872"/>
      <c r="AN5" s="1872"/>
      <c r="AO5" s="1872"/>
      <c r="AP5" s="1872"/>
      <c r="AQ5" s="1872"/>
      <c r="AR5" s="1872"/>
      <c r="AS5" s="1872"/>
      <c r="AT5" s="1873"/>
      <c r="AU5" s="465"/>
      <c r="AV5" s="465"/>
      <c r="AW5" s="465"/>
      <c r="AX5" s="465"/>
      <c r="AY5" s="465"/>
    </row>
    <row r="6" spans="1:51" s="466" customFormat="1" ht="12.75" customHeight="1" thickBot="1">
      <c r="A6" s="1866"/>
      <c r="B6" s="1893"/>
      <c r="C6" s="1884"/>
      <c r="D6" s="1887"/>
      <c r="E6" s="1869"/>
      <c r="F6" s="1890"/>
      <c r="G6" s="1898"/>
      <c r="H6" s="1899"/>
      <c r="I6" s="1899"/>
      <c r="J6" s="1900"/>
      <c r="K6" s="1898"/>
      <c r="L6" s="1899"/>
      <c r="M6" s="1899"/>
      <c r="N6" s="1900"/>
      <c r="O6" s="1838" t="s">
        <v>762</v>
      </c>
      <c r="P6" s="1839"/>
      <c r="Q6" s="1839"/>
      <c r="R6" s="1840"/>
      <c r="S6" s="1838" t="s">
        <v>524</v>
      </c>
      <c r="T6" s="1839"/>
      <c r="U6" s="1839"/>
      <c r="V6" s="1840"/>
      <c r="W6" s="1838" t="s">
        <v>763</v>
      </c>
      <c r="X6" s="1839"/>
      <c r="Y6" s="1839"/>
      <c r="Z6" s="1840"/>
      <c r="AA6" s="1838" t="s">
        <v>764</v>
      </c>
      <c r="AB6" s="1839"/>
      <c r="AC6" s="1839"/>
      <c r="AD6" s="1840"/>
      <c r="AE6" s="1898"/>
      <c r="AF6" s="1899"/>
      <c r="AG6" s="1899"/>
      <c r="AH6" s="1900"/>
      <c r="AI6" s="1838" t="s">
        <v>531</v>
      </c>
      <c r="AJ6" s="1839"/>
      <c r="AK6" s="1839"/>
      <c r="AL6" s="1840"/>
      <c r="AM6" s="1838" t="s">
        <v>532</v>
      </c>
      <c r="AN6" s="1839"/>
      <c r="AO6" s="1839"/>
      <c r="AP6" s="1840"/>
      <c r="AQ6" s="1838" t="s">
        <v>533</v>
      </c>
      <c r="AR6" s="1839"/>
      <c r="AS6" s="1839"/>
      <c r="AT6" s="1840"/>
      <c r="AU6" s="465"/>
      <c r="AV6" s="465"/>
      <c r="AW6" s="465"/>
      <c r="AX6" s="465"/>
      <c r="AY6" s="465"/>
    </row>
    <row r="7" spans="1:51" s="466" customFormat="1" ht="36.75" thickBot="1">
      <c r="A7" s="1867"/>
      <c r="B7" s="1894"/>
      <c r="C7" s="1885"/>
      <c r="D7" s="1888"/>
      <c r="E7" s="1870"/>
      <c r="F7" s="1891"/>
      <c r="G7" s="1271" t="s">
        <v>1540</v>
      </c>
      <c r="H7" s="1272" t="s">
        <v>1541</v>
      </c>
      <c r="I7" s="6" t="s">
        <v>2654</v>
      </c>
      <c r="J7" s="1291" t="s">
        <v>1558</v>
      </c>
      <c r="K7" s="1271" t="s">
        <v>1540</v>
      </c>
      <c r="L7" s="1272" t="s">
        <v>1541</v>
      </c>
      <c r="M7" s="6" t="s">
        <v>2654</v>
      </c>
      <c r="N7" s="1291" t="s">
        <v>1558</v>
      </c>
      <c r="O7" s="1271" t="s">
        <v>1540</v>
      </c>
      <c r="P7" s="1272" t="s">
        <v>1541</v>
      </c>
      <c r="Q7" s="6" t="s">
        <v>2654</v>
      </c>
      <c r="R7" s="1291" t="s">
        <v>1558</v>
      </c>
      <c r="S7" s="1271" t="s">
        <v>1540</v>
      </c>
      <c r="T7" s="1272" t="s">
        <v>1541</v>
      </c>
      <c r="U7" s="6" t="s">
        <v>2654</v>
      </c>
      <c r="V7" s="1291" t="s">
        <v>1558</v>
      </c>
      <c r="W7" s="1271" t="s">
        <v>1540</v>
      </c>
      <c r="X7" s="1272" t="s">
        <v>1541</v>
      </c>
      <c r="Y7" s="6" t="s">
        <v>2654</v>
      </c>
      <c r="Z7" s="1291" t="s">
        <v>1558</v>
      </c>
      <c r="AA7" s="1271" t="s">
        <v>1540</v>
      </c>
      <c r="AB7" s="1272" t="s">
        <v>1541</v>
      </c>
      <c r="AC7" s="6" t="s">
        <v>2654</v>
      </c>
      <c r="AD7" s="1291" t="s">
        <v>1558</v>
      </c>
      <c r="AE7" s="1271" t="s">
        <v>1540</v>
      </c>
      <c r="AF7" s="1272" t="s">
        <v>1541</v>
      </c>
      <c r="AG7" s="6" t="s">
        <v>2654</v>
      </c>
      <c r="AH7" s="1291" t="s">
        <v>1558</v>
      </c>
      <c r="AI7" s="1271" t="s">
        <v>1540</v>
      </c>
      <c r="AJ7" s="1272" t="s">
        <v>1541</v>
      </c>
      <c r="AK7" s="6" t="s">
        <v>2654</v>
      </c>
      <c r="AL7" s="1291" t="s">
        <v>1558</v>
      </c>
      <c r="AM7" s="1271" t="s">
        <v>1540</v>
      </c>
      <c r="AN7" s="1272" t="s">
        <v>1541</v>
      </c>
      <c r="AO7" s="6" t="s">
        <v>2654</v>
      </c>
      <c r="AP7" s="1291" t="s">
        <v>1558</v>
      </c>
      <c r="AQ7" s="1271" t="s">
        <v>1540</v>
      </c>
      <c r="AR7" s="1272" t="s">
        <v>1541</v>
      </c>
      <c r="AS7" s="6" t="s">
        <v>2654</v>
      </c>
      <c r="AT7" s="1291" t="s">
        <v>1558</v>
      </c>
      <c r="AU7" s="1751"/>
      <c r="AV7" s="1751"/>
      <c r="AW7" s="1751"/>
      <c r="AX7" s="1751"/>
      <c r="AY7" s="1751"/>
    </row>
    <row r="8" spans="1:51" s="466" customFormat="1">
      <c r="A8" s="504">
        <v>1</v>
      </c>
      <c r="B8" s="789">
        <v>1</v>
      </c>
      <c r="C8" s="933" t="s">
        <v>667</v>
      </c>
      <c r="D8" s="894" t="s">
        <v>666</v>
      </c>
      <c r="E8" s="934">
        <v>999000</v>
      </c>
      <c r="F8" s="895" t="s">
        <v>414</v>
      </c>
      <c r="G8" s="1273">
        <f t="shared" ref="G8:I82" si="0">+K8+AE8</f>
        <v>0</v>
      </c>
      <c r="H8" s="1274">
        <f t="shared" si="0"/>
        <v>0</v>
      </c>
      <c r="I8" s="1274">
        <f t="shared" si="0"/>
        <v>0</v>
      </c>
      <c r="J8" s="1388" t="str">
        <f t="shared" ref="J8:J84" si="1">IF(ISERROR(I8/H8),"-",I8/H8)</f>
        <v>-</v>
      </c>
      <c r="K8" s="1273">
        <f t="shared" ref="K8:M82" si="2">+O8+S8+W8+AA8</f>
        <v>0</v>
      </c>
      <c r="L8" s="1274">
        <f t="shared" si="2"/>
        <v>0</v>
      </c>
      <c r="M8" s="1274">
        <f t="shared" si="2"/>
        <v>0</v>
      </c>
      <c r="N8" s="1388" t="str">
        <f t="shared" ref="N8:N84" si="3">IF(ISERROR(M8/L8),"-",M8/L8)</f>
        <v>-</v>
      </c>
      <c r="O8" s="953"/>
      <c r="P8" s="954"/>
      <c r="Q8" s="954"/>
      <c r="R8" s="1355" t="str">
        <f t="shared" ref="R8:R84" si="4">IF(ISERROR(Q8/P8),"-",Q8/P8)</f>
        <v>-</v>
      </c>
      <c r="S8" s="953"/>
      <c r="T8" s="954"/>
      <c r="U8" s="954"/>
      <c r="V8" s="1355" t="str">
        <f t="shared" ref="V8:V84" si="5">IF(ISERROR(U8/T8),"-",U8/T8)</f>
        <v>-</v>
      </c>
      <c r="W8" s="953"/>
      <c r="X8" s="954"/>
      <c r="Y8" s="954"/>
      <c r="Z8" s="1355" t="str">
        <f t="shared" ref="Z8:Z84" si="6">IF(ISERROR(Y8/X8),"-",Y8/X8)</f>
        <v>-</v>
      </c>
      <c r="AA8" s="953"/>
      <c r="AB8" s="954"/>
      <c r="AC8" s="954"/>
      <c r="AD8" s="1355" t="str">
        <f t="shared" ref="AD8:AD84" si="7">IF(ISERROR(AC8/AB8),"-",AC8/AB8)</f>
        <v>-</v>
      </c>
      <c r="AE8" s="1273">
        <f>+AI8+AM8+AQ8</f>
        <v>0</v>
      </c>
      <c r="AF8" s="1274">
        <f>+AJ8+AN8+AR8</f>
        <v>0</v>
      </c>
      <c r="AG8" s="1274">
        <f>+AK8+AO8+AS8</f>
        <v>0</v>
      </c>
      <c r="AH8" s="1388" t="str">
        <f t="shared" ref="AH8:AH84" si="8">IF(ISERROR(AG8/AF8),"-",AG8/AF8)</f>
        <v>-</v>
      </c>
      <c r="AI8" s="953"/>
      <c r="AJ8" s="954"/>
      <c r="AK8" s="954"/>
      <c r="AL8" s="1355" t="str">
        <f t="shared" ref="AL8:AL84" si="9">IF(ISERROR(AK8/AJ8),"-",AK8/AJ8)</f>
        <v>-</v>
      </c>
      <c r="AM8" s="953"/>
      <c r="AN8" s="954"/>
      <c r="AO8" s="954"/>
      <c r="AP8" s="1355" t="str">
        <f t="shared" ref="AP8:AP84" si="10">IF(ISERROR(AO8/AN8),"-",AO8/AN8)</f>
        <v>-</v>
      </c>
      <c r="AQ8" s="953"/>
      <c r="AR8" s="954"/>
      <c r="AS8" s="954"/>
      <c r="AT8" s="1355" t="str">
        <f t="shared" ref="AT8:AT84" si="11">IF(ISERROR(AS8/AR8),"-",AS8/AR8)</f>
        <v>-</v>
      </c>
      <c r="AU8" s="464"/>
      <c r="AV8" s="464"/>
      <c r="AW8" s="464"/>
      <c r="AX8" s="464"/>
      <c r="AY8" s="464"/>
    </row>
    <row r="9" spans="1:51" s="466" customFormat="1">
      <c r="A9" s="504">
        <f>+A8+1</f>
        <v>2</v>
      </c>
      <c r="B9" s="790">
        <v>8</v>
      </c>
      <c r="C9" s="935" t="s">
        <v>667</v>
      </c>
      <c r="D9" s="896" t="s">
        <v>666</v>
      </c>
      <c r="E9" s="936" t="s">
        <v>1218</v>
      </c>
      <c r="F9" s="897" t="s">
        <v>991</v>
      </c>
      <c r="G9" s="1273">
        <f t="shared" si="0"/>
        <v>60647</v>
      </c>
      <c r="H9" s="1274">
        <f t="shared" si="0"/>
        <v>58632</v>
      </c>
      <c r="I9" s="1274">
        <f t="shared" si="0"/>
        <v>22985</v>
      </c>
      <c r="J9" s="1389">
        <f t="shared" si="1"/>
        <v>0.39202142174921545</v>
      </c>
      <c r="K9" s="1273">
        <f t="shared" si="2"/>
        <v>60647</v>
      </c>
      <c r="L9" s="1274">
        <f t="shared" si="2"/>
        <v>58617</v>
      </c>
      <c r="M9" s="1274">
        <f t="shared" si="2"/>
        <v>22970</v>
      </c>
      <c r="N9" s="1389">
        <f t="shared" si="3"/>
        <v>0.39186584096763738</v>
      </c>
      <c r="O9" s="953">
        <v>44166</v>
      </c>
      <c r="P9" s="954">
        <v>4745</v>
      </c>
      <c r="Q9" s="954">
        <v>4745</v>
      </c>
      <c r="R9" s="1349">
        <f t="shared" si="4"/>
        <v>1</v>
      </c>
      <c r="S9" s="953"/>
      <c r="T9" s="954">
        <f>636+583+6322</f>
        <v>7541</v>
      </c>
      <c r="U9" s="954">
        <f>636+583</f>
        <v>1219</v>
      </c>
      <c r="V9" s="1349">
        <f t="shared" si="5"/>
        <v>0.16164964858772046</v>
      </c>
      <c r="W9" s="953">
        <v>16481</v>
      </c>
      <c r="X9" s="954">
        <f>12272+1+14118</f>
        <v>26391</v>
      </c>
      <c r="Y9" s="954">
        <f>12272+1</f>
        <v>12273</v>
      </c>
      <c r="Z9" s="1349">
        <f t="shared" si="6"/>
        <v>0.46504490167102419</v>
      </c>
      <c r="AA9" s="953"/>
      <c r="AB9" s="954">
        <f>3343+1390+15207</f>
        <v>19940</v>
      </c>
      <c r="AC9" s="954">
        <f>3343+1390</f>
        <v>4733</v>
      </c>
      <c r="AD9" s="1349">
        <f t="shared" si="7"/>
        <v>0.23736208625877633</v>
      </c>
      <c r="AE9" s="1273">
        <f t="shared" ref="AE9:AG82" si="12">+AI9+AM9+AQ9</f>
        <v>0</v>
      </c>
      <c r="AF9" s="1274">
        <f t="shared" si="12"/>
        <v>15</v>
      </c>
      <c r="AG9" s="1274">
        <f t="shared" si="12"/>
        <v>15</v>
      </c>
      <c r="AH9" s="1389">
        <f t="shared" si="8"/>
        <v>1</v>
      </c>
      <c r="AI9" s="953"/>
      <c r="AJ9" s="954"/>
      <c r="AK9" s="954"/>
      <c r="AL9" s="1349" t="str">
        <f t="shared" si="9"/>
        <v>-</v>
      </c>
      <c r="AM9" s="953"/>
      <c r="AN9" s="954">
        <v>15</v>
      </c>
      <c r="AO9" s="954">
        <v>15</v>
      </c>
      <c r="AP9" s="1349">
        <f t="shared" si="10"/>
        <v>1</v>
      </c>
      <c r="AQ9" s="953"/>
      <c r="AR9" s="954"/>
      <c r="AS9" s="954"/>
      <c r="AT9" s="1349" t="str">
        <f t="shared" si="11"/>
        <v>-</v>
      </c>
      <c r="AU9" s="464"/>
      <c r="AV9" s="464"/>
      <c r="AW9" s="464"/>
      <c r="AX9" s="464"/>
      <c r="AY9" s="464"/>
    </row>
    <row r="10" spans="1:51" s="466" customFormat="1">
      <c r="A10" s="504">
        <f t="shared" ref="A10:A89" si="13">+A9+1</f>
        <v>3</v>
      </c>
      <c r="B10" s="790">
        <v>7</v>
      </c>
      <c r="C10" s="935" t="s">
        <v>667</v>
      </c>
      <c r="D10" s="896" t="s">
        <v>1488</v>
      </c>
      <c r="E10" s="936" t="s">
        <v>1218</v>
      </c>
      <c r="F10" s="897" t="s">
        <v>1489</v>
      </c>
      <c r="G10" s="1273">
        <f t="shared" si="0"/>
        <v>0</v>
      </c>
      <c r="H10" s="1274">
        <f t="shared" si="0"/>
        <v>0</v>
      </c>
      <c r="I10" s="1274">
        <f t="shared" si="0"/>
        <v>0</v>
      </c>
      <c r="J10" s="1389" t="str">
        <f t="shared" si="1"/>
        <v>-</v>
      </c>
      <c r="K10" s="1273">
        <f t="shared" si="2"/>
        <v>0</v>
      </c>
      <c r="L10" s="1274">
        <f t="shared" si="2"/>
        <v>0</v>
      </c>
      <c r="M10" s="1274">
        <f t="shared" si="2"/>
        <v>0</v>
      </c>
      <c r="N10" s="1389" t="str">
        <f t="shared" si="3"/>
        <v>-</v>
      </c>
      <c r="O10" s="953"/>
      <c r="P10" s="954"/>
      <c r="Q10" s="954"/>
      <c r="R10" s="1349" t="str">
        <f t="shared" si="4"/>
        <v>-</v>
      </c>
      <c r="S10" s="953"/>
      <c r="T10" s="954"/>
      <c r="U10" s="954"/>
      <c r="V10" s="1349" t="str">
        <f t="shared" si="5"/>
        <v>-</v>
      </c>
      <c r="W10" s="953"/>
      <c r="X10" s="954"/>
      <c r="Y10" s="954"/>
      <c r="Z10" s="1349" t="str">
        <f t="shared" si="6"/>
        <v>-</v>
      </c>
      <c r="AA10" s="953"/>
      <c r="AB10" s="954"/>
      <c r="AC10" s="954"/>
      <c r="AD10" s="1349" t="str">
        <f t="shared" si="7"/>
        <v>-</v>
      </c>
      <c r="AE10" s="1273">
        <f t="shared" si="12"/>
        <v>0</v>
      </c>
      <c r="AF10" s="1274">
        <f t="shared" si="12"/>
        <v>0</v>
      </c>
      <c r="AG10" s="1274">
        <f t="shared" si="12"/>
        <v>0</v>
      </c>
      <c r="AH10" s="1389" t="str">
        <f t="shared" si="8"/>
        <v>-</v>
      </c>
      <c r="AI10" s="953"/>
      <c r="AJ10" s="954"/>
      <c r="AK10" s="954"/>
      <c r="AL10" s="1349" t="str">
        <f t="shared" si="9"/>
        <v>-</v>
      </c>
      <c r="AM10" s="953"/>
      <c r="AN10" s="954"/>
      <c r="AO10" s="954"/>
      <c r="AP10" s="1349" t="str">
        <f t="shared" si="10"/>
        <v>-</v>
      </c>
      <c r="AQ10" s="953"/>
      <c r="AR10" s="954"/>
      <c r="AS10" s="954"/>
      <c r="AT10" s="1349" t="str">
        <f t="shared" si="11"/>
        <v>-</v>
      </c>
      <c r="AU10" s="464"/>
      <c r="AV10" s="464"/>
      <c r="AW10" s="464"/>
      <c r="AX10" s="464"/>
      <c r="AY10" s="464"/>
    </row>
    <row r="11" spans="1:51" s="467" customFormat="1">
      <c r="A11" s="504">
        <f t="shared" si="13"/>
        <v>4</v>
      </c>
      <c r="B11" s="790">
        <v>8</v>
      </c>
      <c r="C11" s="935" t="s">
        <v>675</v>
      </c>
      <c r="D11" s="896" t="s">
        <v>854</v>
      </c>
      <c r="E11" s="936" t="s">
        <v>1218</v>
      </c>
      <c r="F11" s="897" t="s">
        <v>674</v>
      </c>
      <c r="G11" s="1275">
        <f t="shared" si="0"/>
        <v>0</v>
      </c>
      <c r="H11" s="1276">
        <f t="shared" si="0"/>
        <v>0</v>
      </c>
      <c r="I11" s="1276">
        <f t="shared" si="0"/>
        <v>0</v>
      </c>
      <c r="J11" s="1389" t="str">
        <f t="shared" si="1"/>
        <v>-</v>
      </c>
      <c r="K11" s="1275">
        <f t="shared" si="2"/>
        <v>0</v>
      </c>
      <c r="L11" s="1276">
        <f t="shared" si="2"/>
        <v>0</v>
      </c>
      <c r="M11" s="1276">
        <f t="shared" si="2"/>
        <v>0</v>
      </c>
      <c r="N11" s="1389" t="str">
        <f t="shared" si="3"/>
        <v>-</v>
      </c>
      <c r="O11" s="953"/>
      <c r="P11" s="954"/>
      <c r="Q11" s="954"/>
      <c r="R11" s="1349" t="str">
        <f t="shared" si="4"/>
        <v>-</v>
      </c>
      <c r="S11" s="953"/>
      <c r="T11" s="954"/>
      <c r="U11" s="954"/>
      <c r="V11" s="1349" t="str">
        <f t="shared" si="5"/>
        <v>-</v>
      </c>
      <c r="W11" s="953"/>
      <c r="X11" s="954"/>
      <c r="Y11" s="954"/>
      <c r="Z11" s="1349" t="str">
        <f t="shared" si="6"/>
        <v>-</v>
      </c>
      <c r="AA11" s="953"/>
      <c r="AB11" s="954"/>
      <c r="AC11" s="954"/>
      <c r="AD11" s="1349" t="str">
        <f t="shared" si="7"/>
        <v>-</v>
      </c>
      <c r="AE11" s="1275">
        <f t="shared" si="12"/>
        <v>0</v>
      </c>
      <c r="AF11" s="1276">
        <f t="shared" si="12"/>
        <v>0</v>
      </c>
      <c r="AG11" s="1276">
        <f t="shared" si="12"/>
        <v>0</v>
      </c>
      <c r="AH11" s="1389" t="str">
        <f t="shared" si="8"/>
        <v>-</v>
      </c>
      <c r="AI11" s="953"/>
      <c r="AJ11" s="954"/>
      <c r="AK11" s="954"/>
      <c r="AL11" s="1349" t="str">
        <f t="shared" si="9"/>
        <v>-</v>
      </c>
      <c r="AM11" s="953"/>
      <c r="AN11" s="954"/>
      <c r="AO11" s="954"/>
      <c r="AP11" s="1349" t="str">
        <f t="shared" si="10"/>
        <v>-</v>
      </c>
      <c r="AQ11" s="953"/>
      <c r="AR11" s="954"/>
      <c r="AS11" s="954"/>
      <c r="AT11" s="1349" t="str">
        <f t="shared" si="11"/>
        <v>-</v>
      </c>
      <c r="AU11" s="464"/>
      <c r="AV11" s="464"/>
      <c r="AW11" s="464"/>
      <c r="AX11" s="464"/>
      <c r="AY11" s="464"/>
    </row>
    <row r="12" spans="1:51" s="466" customFormat="1">
      <c r="A12" s="504">
        <f t="shared" si="13"/>
        <v>5</v>
      </c>
      <c r="B12" s="790">
        <v>8</v>
      </c>
      <c r="C12" s="935" t="s">
        <v>669</v>
      </c>
      <c r="D12" s="896" t="s">
        <v>668</v>
      </c>
      <c r="E12" s="937" t="s">
        <v>1218</v>
      </c>
      <c r="F12" s="897" t="s">
        <v>634</v>
      </c>
      <c r="G12" s="1277">
        <f>+K12+AE12</f>
        <v>396552</v>
      </c>
      <c r="H12" s="1278">
        <f>+L12+AF12</f>
        <v>531144</v>
      </c>
      <c r="I12" s="1278">
        <f>+M12+AG12</f>
        <v>369220</v>
      </c>
      <c r="J12" s="1389">
        <f t="shared" si="1"/>
        <v>0.69514105402677995</v>
      </c>
      <c r="K12" s="1277">
        <f>+O12+S12+W12+AA12</f>
        <v>396552</v>
      </c>
      <c r="L12" s="1278">
        <f>+P12+T12+X12+AB12</f>
        <v>531144</v>
      </c>
      <c r="M12" s="1278">
        <f>+Q12+U12+Y12+AC12</f>
        <v>369220</v>
      </c>
      <c r="N12" s="1389">
        <f t="shared" si="3"/>
        <v>0.69514105402677995</v>
      </c>
      <c r="O12" s="953"/>
      <c r="P12" s="954"/>
      <c r="Q12" s="954"/>
      <c r="R12" s="1349" t="str">
        <f t="shared" si="4"/>
        <v>-</v>
      </c>
      <c r="S12" s="953">
        <v>396552</v>
      </c>
      <c r="T12" s="954">
        <f>368916+161924</f>
        <v>530840</v>
      </c>
      <c r="U12" s="954">
        <v>368916</v>
      </c>
      <c r="V12" s="1349">
        <f t="shared" si="5"/>
        <v>0.69496646823901742</v>
      </c>
      <c r="W12" s="953"/>
      <c r="X12" s="954">
        <v>304</v>
      </c>
      <c r="Y12" s="954">
        <v>304</v>
      </c>
      <c r="Z12" s="1349">
        <f t="shared" si="6"/>
        <v>1</v>
      </c>
      <c r="AA12" s="953"/>
      <c r="AB12" s="954"/>
      <c r="AC12" s="954"/>
      <c r="AD12" s="1349" t="str">
        <f t="shared" si="7"/>
        <v>-</v>
      </c>
      <c r="AE12" s="1277">
        <f>+AI12+AM12+AQ12</f>
        <v>0</v>
      </c>
      <c r="AF12" s="1278">
        <f>+AJ12+AN12+AR12</f>
        <v>0</v>
      </c>
      <c r="AG12" s="1278">
        <f>+AK12+AO12+AS12</f>
        <v>0</v>
      </c>
      <c r="AH12" s="1389" t="str">
        <f t="shared" si="8"/>
        <v>-</v>
      </c>
      <c r="AI12" s="953"/>
      <c r="AJ12" s="954"/>
      <c r="AK12" s="954"/>
      <c r="AL12" s="1349" t="str">
        <f t="shared" si="9"/>
        <v>-</v>
      </c>
      <c r="AM12" s="953"/>
      <c r="AN12" s="954"/>
      <c r="AO12" s="954"/>
      <c r="AP12" s="1349" t="str">
        <f t="shared" si="10"/>
        <v>-</v>
      </c>
      <c r="AQ12" s="953"/>
      <c r="AR12" s="954"/>
      <c r="AS12" s="954"/>
      <c r="AT12" s="1349" t="str">
        <f t="shared" si="11"/>
        <v>-</v>
      </c>
      <c r="AU12" s="464"/>
      <c r="AV12" s="464"/>
      <c r="AW12" s="464"/>
      <c r="AX12" s="464"/>
      <c r="AY12" s="464"/>
    </row>
    <row r="13" spans="1:51" ht="12.75" customHeight="1">
      <c r="A13" s="504">
        <f t="shared" si="13"/>
        <v>6</v>
      </c>
      <c r="B13" s="790">
        <v>2</v>
      </c>
      <c r="C13" s="935" t="s">
        <v>720</v>
      </c>
      <c r="D13" s="497" t="s">
        <v>719</v>
      </c>
      <c r="E13" s="936" t="s">
        <v>1219</v>
      </c>
      <c r="F13" s="898" t="s">
        <v>719</v>
      </c>
      <c r="G13" s="1273">
        <f t="shared" si="0"/>
        <v>1500</v>
      </c>
      <c r="H13" s="1274">
        <f t="shared" si="0"/>
        <v>0</v>
      </c>
      <c r="I13" s="1274">
        <f t="shared" si="0"/>
        <v>0</v>
      </c>
      <c r="J13" s="1389" t="str">
        <f t="shared" si="1"/>
        <v>-</v>
      </c>
      <c r="K13" s="1273">
        <f t="shared" si="2"/>
        <v>1500</v>
      </c>
      <c r="L13" s="1274">
        <f t="shared" si="2"/>
        <v>0</v>
      </c>
      <c r="M13" s="1274">
        <f t="shared" si="2"/>
        <v>0</v>
      </c>
      <c r="N13" s="1389" t="str">
        <f t="shared" si="3"/>
        <v>-</v>
      </c>
      <c r="O13" s="953"/>
      <c r="P13" s="954"/>
      <c r="Q13" s="954"/>
      <c r="R13" s="1349" t="str">
        <f t="shared" si="4"/>
        <v>-</v>
      </c>
      <c r="S13" s="953"/>
      <c r="T13" s="954"/>
      <c r="U13" s="954"/>
      <c r="V13" s="1349" t="str">
        <f t="shared" si="5"/>
        <v>-</v>
      </c>
      <c r="W13" s="953">
        <v>1500</v>
      </c>
      <c r="X13" s="954">
        <v>0</v>
      </c>
      <c r="Y13" s="954"/>
      <c r="Z13" s="1349" t="str">
        <f t="shared" si="6"/>
        <v>-</v>
      </c>
      <c r="AA13" s="953"/>
      <c r="AB13" s="954"/>
      <c r="AC13" s="954"/>
      <c r="AD13" s="1349" t="str">
        <f t="shared" si="7"/>
        <v>-</v>
      </c>
      <c r="AE13" s="1273">
        <f t="shared" si="12"/>
        <v>0</v>
      </c>
      <c r="AF13" s="1274">
        <f t="shared" si="12"/>
        <v>0</v>
      </c>
      <c r="AG13" s="1274">
        <f t="shared" si="12"/>
        <v>0</v>
      </c>
      <c r="AH13" s="1389" t="str">
        <f t="shared" si="8"/>
        <v>-</v>
      </c>
      <c r="AI13" s="953"/>
      <c r="AJ13" s="954"/>
      <c r="AK13" s="954"/>
      <c r="AL13" s="1349" t="str">
        <f t="shared" si="9"/>
        <v>-</v>
      </c>
      <c r="AM13" s="953"/>
      <c r="AN13" s="954"/>
      <c r="AO13" s="954"/>
      <c r="AP13" s="1349" t="str">
        <f t="shared" si="10"/>
        <v>-</v>
      </c>
      <c r="AQ13" s="953"/>
      <c r="AR13" s="954"/>
      <c r="AS13" s="954"/>
      <c r="AT13" s="1349" t="str">
        <f t="shared" si="11"/>
        <v>-</v>
      </c>
      <c r="AU13" s="464"/>
      <c r="AV13" s="464"/>
      <c r="AW13" s="464"/>
      <c r="AX13" s="464"/>
      <c r="AY13" s="464"/>
    </row>
    <row r="14" spans="1:51" ht="12.75" customHeight="1">
      <c r="A14" s="504">
        <f t="shared" si="13"/>
        <v>7</v>
      </c>
      <c r="B14" s="790">
        <v>8</v>
      </c>
      <c r="C14" s="935" t="s">
        <v>704</v>
      </c>
      <c r="D14" s="896" t="s">
        <v>1052</v>
      </c>
      <c r="E14" s="937" t="s">
        <v>1220</v>
      </c>
      <c r="F14" s="899" t="s">
        <v>1054</v>
      </c>
      <c r="G14" s="1277">
        <f t="shared" si="0"/>
        <v>350</v>
      </c>
      <c r="H14" s="1278">
        <f t="shared" si="0"/>
        <v>0</v>
      </c>
      <c r="I14" s="1278">
        <f t="shared" si="0"/>
        <v>0</v>
      </c>
      <c r="J14" s="1389" t="str">
        <f t="shared" si="1"/>
        <v>-</v>
      </c>
      <c r="K14" s="1277">
        <f t="shared" si="2"/>
        <v>0</v>
      </c>
      <c r="L14" s="1278">
        <f t="shared" si="2"/>
        <v>0</v>
      </c>
      <c r="M14" s="1278">
        <f t="shared" si="2"/>
        <v>0</v>
      </c>
      <c r="N14" s="1389" t="str">
        <f t="shared" si="3"/>
        <v>-</v>
      </c>
      <c r="O14" s="953"/>
      <c r="P14" s="954"/>
      <c r="Q14" s="954"/>
      <c r="R14" s="1349" t="str">
        <f t="shared" si="4"/>
        <v>-</v>
      </c>
      <c r="S14" s="953"/>
      <c r="T14" s="954"/>
      <c r="U14" s="954"/>
      <c r="V14" s="1349" t="str">
        <f t="shared" si="5"/>
        <v>-</v>
      </c>
      <c r="W14" s="953"/>
      <c r="X14" s="954"/>
      <c r="Y14" s="954"/>
      <c r="Z14" s="1349" t="str">
        <f t="shared" si="6"/>
        <v>-</v>
      </c>
      <c r="AA14" s="953"/>
      <c r="AB14" s="954"/>
      <c r="AC14" s="954"/>
      <c r="AD14" s="1349" t="str">
        <f t="shared" si="7"/>
        <v>-</v>
      </c>
      <c r="AE14" s="1277">
        <f t="shared" si="12"/>
        <v>350</v>
      </c>
      <c r="AF14" s="1278">
        <f t="shared" si="12"/>
        <v>0</v>
      </c>
      <c r="AG14" s="1278">
        <f t="shared" si="12"/>
        <v>0</v>
      </c>
      <c r="AH14" s="1389" t="str">
        <f t="shared" si="8"/>
        <v>-</v>
      </c>
      <c r="AI14" s="953"/>
      <c r="AJ14" s="954"/>
      <c r="AK14" s="954"/>
      <c r="AL14" s="1349" t="str">
        <f t="shared" si="9"/>
        <v>-</v>
      </c>
      <c r="AM14" s="953">
        <v>350</v>
      </c>
      <c r="AN14" s="954">
        <v>0</v>
      </c>
      <c r="AO14" s="954"/>
      <c r="AP14" s="1349" t="str">
        <f t="shared" si="10"/>
        <v>-</v>
      </c>
      <c r="AQ14" s="953"/>
      <c r="AR14" s="954"/>
      <c r="AS14" s="954"/>
      <c r="AT14" s="1349" t="str">
        <f t="shared" si="11"/>
        <v>-</v>
      </c>
      <c r="AU14" s="464"/>
      <c r="AV14" s="464"/>
      <c r="AW14" s="464"/>
      <c r="AX14" s="464"/>
      <c r="AY14" s="464"/>
    </row>
    <row r="15" spans="1:51" s="470" customFormat="1" ht="12.75" customHeight="1">
      <c r="A15" s="504">
        <f t="shared" si="13"/>
        <v>8</v>
      </c>
      <c r="B15" s="790">
        <v>8</v>
      </c>
      <c r="C15" s="935" t="s">
        <v>704</v>
      </c>
      <c r="D15" s="900" t="s">
        <v>1052</v>
      </c>
      <c r="E15" s="937" t="s">
        <v>1221</v>
      </c>
      <c r="F15" s="901" t="s">
        <v>650</v>
      </c>
      <c r="G15" s="1277">
        <f t="shared" si="0"/>
        <v>20887</v>
      </c>
      <c r="H15" s="1278">
        <f t="shared" si="0"/>
        <v>76528</v>
      </c>
      <c r="I15" s="1278">
        <f t="shared" si="0"/>
        <v>76025</v>
      </c>
      <c r="J15" s="1389">
        <f t="shared" si="1"/>
        <v>0.99342724231653778</v>
      </c>
      <c r="K15" s="1277">
        <f t="shared" si="2"/>
        <v>20887</v>
      </c>
      <c r="L15" s="1278">
        <f t="shared" si="2"/>
        <v>34116</v>
      </c>
      <c r="M15" s="1278">
        <f t="shared" si="2"/>
        <v>34116</v>
      </c>
      <c r="N15" s="1389">
        <f t="shared" si="3"/>
        <v>1</v>
      </c>
      <c r="O15" s="953"/>
      <c r="P15" s="954"/>
      <c r="Q15" s="954"/>
      <c r="R15" s="1349" t="str">
        <f t="shared" si="4"/>
        <v>-</v>
      </c>
      <c r="S15" s="953"/>
      <c r="T15" s="954"/>
      <c r="U15" s="954"/>
      <c r="V15" s="1349" t="str">
        <f t="shared" si="5"/>
        <v>-</v>
      </c>
      <c r="W15" s="953">
        <v>20887</v>
      </c>
      <c r="X15" s="954">
        <v>34116</v>
      </c>
      <c r="Y15" s="954">
        <v>34116</v>
      </c>
      <c r="Z15" s="1349">
        <f t="shared" si="6"/>
        <v>1</v>
      </c>
      <c r="AA15" s="953"/>
      <c r="AB15" s="954"/>
      <c r="AC15" s="954"/>
      <c r="AD15" s="1349" t="str">
        <f t="shared" si="7"/>
        <v>-</v>
      </c>
      <c r="AE15" s="1277">
        <f t="shared" si="12"/>
        <v>0</v>
      </c>
      <c r="AF15" s="1278">
        <f t="shared" si="12"/>
        <v>42412</v>
      </c>
      <c r="AG15" s="1278">
        <f t="shared" si="12"/>
        <v>41909</v>
      </c>
      <c r="AH15" s="1389">
        <f t="shared" si="8"/>
        <v>0.98814014901442992</v>
      </c>
      <c r="AI15" s="953"/>
      <c r="AJ15" s="954"/>
      <c r="AK15" s="954"/>
      <c r="AL15" s="1349" t="str">
        <f t="shared" si="9"/>
        <v>-</v>
      </c>
      <c r="AM15" s="953"/>
      <c r="AN15" s="954">
        <f>41909+503</f>
        <v>42412</v>
      </c>
      <c r="AO15" s="954">
        <v>41909</v>
      </c>
      <c r="AP15" s="1349">
        <f t="shared" si="10"/>
        <v>0.98814014901442992</v>
      </c>
      <c r="AQ15" s="953"/>
      <c r="AR15" s="954"/>
      <c r="AS15" s="954"/>
      <c r="AT15" s="1349" t="str">
        <f t="shared" si="11"/>
        <v>-</v>
      </c>
      <c r="AU15" s="464"/>
      <c r="AV15" s="464"/>
      <c r="AW15" s="464"/>
      <c r="AX15" s="464"/>
      <c r="AY15" s="464"/>
    </row>
    <row r="16" spans="1:51">
      <c r="A16" s="504">
        <f t="shared" si="13"/>
        <v>9</v>
      </c>
      <c r="B16" s="790">
        <v>8</v>
      </c>
      <c r="C16" s="935" t="s">
        <v>701</v>
      </c>
      <c r="D16" s="896" t="s">
        <v>700</v>
      </c>
      <c r="E16" s="937" t="s">
        <v>1222</v>
      </c>
      <c r="F16" s="899" t="s">
        <v>776</v>
      </c>
      <c r="G16" s="1277">
        <f t="shared" si="0"/>
        <v>0</v>
      </c>
      <c r="H16" s="1278">
        <f t="shared" si="0"/>
        <v>11546</v>
      </c>
      <c r="I16" s="1278">
        <f t="shared" si="0"/>
        <v>11546</v>
      </c>
      <c r="J16" s="1389">
        <f t="shared" si="1"/>
        <v>1</v>
      </c>
      <c r="K16" s="1277">
        <f t="shared" si="2"/>
        <v>0</v>
      </c>
      <c r="L16" s="1278">
        <f t="shared" si="2"/>
        <v>11546</v>
      </c>
      <c r="M16" s="1278">
        <f t="shared" si="2"/>
        <v>11546</v>
      </c>
      <c r="N16" s="1389">
        <f t="shared" si="3"/>
        <v>1</v>
      </c>
      <c r="O16" s="953"/>
      <c r="P16" s="954"/>
      <c r="Q16" s="954"/>
      <c r="R16" s="1349" t="str">
        <f t="shared" si="4"/>
        <v>-</v>
      </c>
      <c r="S16" s="953"/>
      <c r="T16" s="954"/>
      <c r="U16" s="954"/>
      <c r="V16" s="1349" t="str">
        <f t="shared" si="5"/>
        <v>-</v>
      </c>
      <c r="W16" s="953"/>
      <c r="X16" s="954">
        <f>11545+1</f>
        <v>11546</v>
      </c>
      <c r="Y16" s="954">
        <f>11545+1</f>
        <v>11546</v>
      </c>
      <c r="Z16" s="1349">
        <f t="shared" si="6"/>
        <v>1</v>
      </c>
      <c r="AA16" s="953"/>
      <c r="AB16" s="954"/>
      <c r="AC16" s="954"/>
      <c r="AD16" s="1349" t="str">
        <f t="shared" si="7"/>
        <v>-</v>
      </c>
      <c r="AE16" s="1277">
        <f t="shared" si="12"/>
        <v>0</v>
      </c>
      <c r="AF16" s="1278">
        <f t="shared" si="12"/>
        <v>0</v>
      </c>
      <c r="AG16" s="1278">
        <f t="shared" si="12"/>
        <v>0</v>
      </c>
      <c r="AH16" s="1389" t="str">
        <f t="shared" si="8"/>
        <v>-</v>
      </c>
      <c r="AI16" s="953"/>
      <c r="AJ16" s="954"/>
      <c r="AK16" s="954"/>
      <c r="AL16" s="1349" t="str">
        <f t="shared" si="9"/>
        <v>-</v>
      </c>
      <c r="AM16" s="953"/>
      <c r="AN16" s="954"/>
      <c r="AO16" s="954"/>
      <c r="AP16" s="1349" t="str">
        <f t="shared" si="10"/>
        <v>-</v>
      </c>
      <c r="AQ16" s="953"/>
      <c r="AR16" s="954"/>
      <c r="AS16" s="954"/>
      <c r="AT16" s="1349" t="str">
        <f t="shared" si="11"/>
        <v>-</v>
      </c>
      <c r="AU16" s="464"/>
      <c r="AV16" s="464"/>
      <c r="AW16" s="464"/>
      <c r="AX16" s="464"/>
      <c r="AY16" s="464"/>
    </row>
    <row r="17" spans="1:51">
      <c r="A17" s="504">
        <f t="shared" si="13"/>
        <v>10</v>
      </c>
      <c r="B17" s="790">
        <v>8</v>
      </c>
      <c r="C17" s="935" t="s">
        <v>995</v>
      </c>
      <c r="D17" s="896" t="s">
        <v>996</v>
      </c>
      <c r="E17" s="937" t="s">
        <v>1218</v>
      </c>
      <c r="F17" s="899" t="s">
        <v>997</v>
      </c>
      <c r="G17" s="1277">
        <f t="shared" si="0"/>
        <v>0</v>
      </c>
      <c r="H17" s="1278">
        <f t="shared" si="0"/>
        <v>0</v>
      </c>
      <c r="I17" s="1278">
        <f t="shared" si="0"/>
        <v>0</v>
      </c>
      <c r="J17" s="1389" t="str">
        <f t="shared" si="1"/>
        <v>-</v>
      </c>
      <c r="K17" s="1277">
        <f t="shared" si="2"/>
        <v>0</v>
      </c>
      <c r="L17" s="1278">
        <f t="shared" si="2"/>
        <v>0</v>
      </c>
      <c r="M17" s="1278">
        <f t="shared" si="2"/>
        <v>0</v>
      </c>
      <c r="N17" s="1389" t="str">
        <f t="shared" si="3"/>
        <v>-</v>
      </c>
      <c r="O17" s="953"/>
      <c r="P17" s="954"/>
      <c r="Q17" s="954"/>
      <c r="R17" s="1349" t="str">
        <f t="shared" si="4"/>
        <v>-</v>
      </c>
      <c r="S17" s="953"/>
      <c r="T17" s="954"/>
      <c r="U17" s="954"/>
      <c r="V17" s="1349" t="str">
        <f t="shared" si="5"/>
        <v>-</v>
      </c>
      <c r="W17" s="953"/>
      <c r="X17" s="954"/>
      <c r="Y17" s="954"/>
      <c r="Z17" s="1349" t="str">
        <f t="shared" si="6"/>
        <v>-</v>
      </c>
      <c r="AA17" s="953"/>
      <c r="AB17" s="954"/>
      <c r="AC17" s="954"/>
      <c r="AD17" s="1349" t="str">
        <f t="shared" si="7"/>
        <v>-</v>
      </c>
      <c r="AE17" s="1277">
        <f t="shared" si="12"/>
        <v>0</v>
      </c>
      <c r="AF17" s="1278">
        <f t="shared" si="12"/>
        <v>0</v>
      </c>
      <c r="AG17" s="1278">
        <f t="shared" si="12"/>
        <v>0</v>
      </c>
      <c r="AH17" s="1389" t="str">
        <f t="shared" si="8"/>
        <v>-</v>
      </c>
      <c r="AI17" s="953"/>
      <c r="AJ17" s="954"/>
      <c r="AK17" s="954"/>
      <c r="AL17" s="1349" t="str">
        <f t="shared" si="9"/>
        <v>-</v>
      </c>
      <c r="AM17" s="953"/>
      <c r="AN17" s="954"/>
      <c r="AO17" s="954"/>
      <c r="AP17" s="1349" t="str">
        <f t="shared" si="10"/>
        <v>-</v>
      </c>
      <c r="AQ17" s="953"/>
      <c r="AR17" s="954"/>
      <c r="AS17" s="954"/>
      <c r="AT17" s="1349" t="str">
        <f t="shared" si="11"/>
        <v>-</v>
      </c>
      <c r="AU17" s="464"/>
      <c r="AV17" s="464"/>
      <c r="AW17" s="464"/>
      <c r="AX17" s="464"/>
      <c r="AY17" s="464"/>
    </row>
    <row r="18" spans="1:51">
      <c r="A18" s="504">
        <f t="shared" si="13"/>
        <v>11</v>
      </c>
      <c r="B18" s="790">
        <v>8</v>
      </c>
      <c r="C18" s="935" t="s">
        <v>725</v>
      </c>
      <c r="D18" s="896" t="s">
        <v>723</v>
      </c>
      <c r="E18" s="937" t="s">
        <v>1218</v>
      </c>
      <c r="F18" s="899" t="s">
        <v>721</v>
      </c>
      <c r="G18" s="1277">
        <f t="shared" si="0"/>
        <v>917056</v>
      </c>
      <c r="H18" s="1278">
        <f t="shared" si="0"/>
        <v>1006364</v>
      </c>
      <c r="I18" s="1278">
        <f t="shared" si="0"/>
        <v>1006364</v>
      </c>
      <c r="J18" s="1389">
        <f t="shared" si="1"/>
        <v>1</v>
      </c>
      <c r="K18" s="1277">
        <f t="shared" si="2"/>
        <v>917056</v>
      </c>
      <c r="L18" s="1278">
        <f t="shared" si="2"/>
        <v>967057</v>
      </c>
      <c r="M18" s="1278">
        <f t="shared" si="2"/>
        <v>967057</v>
      </c>
      <c r="N18" s="1389">
        <f t="shared" si="3"/>
        <v>1</v>
      </c>
      <c r="O18" s="953">
        <v>917056</v>
      </c>
      <c r="P18" s="954">
        <v>967057</v>
      </c>
      <c r="Q18" s="954">
        <v>967057</v>
      </c>
      <c r="R18" s="1349">
        <f t="shared" si="4"/>
        <v>1</v>
      </c>
      <c r="S18" s="953"/>
      <c r="T18" s="954"/>
      <c r="U18" s="954"/>
      <c r="V18" s="1349" t="str">
        <f t="shared" si="5"/>
        <v>-</v>
      </c>
      <c r="W18" s="953"/>
      <c r="X18" s="954"/>
      <c r="Y18" s="954"/>
      <c r="Z18" s="1349" t="str">
        <f t="shared" si="6"/>
        <v>-</v>
      </c>
      <c r="AA18" s="953"/>
      <c r="AB18" s="954"/>
      <c r="AC18" s="954"/>
      <c r="AD18" s="1349" t="str">
        <f t="shared" si="7"/>
        <v>-</v>
      </c>
      <c r="AE18" s="1277">
        <f t="shared" si="12"/>
        <v>0</v>
      </c>
      <c r="AF18" s="1278">
        <f t="shared" si="12"/>
        <v>39307</v>
      </c>
      <c r="AG18" s="1278">
        <f t="shared" si="12"/>
        <v>39307</v>
      </c>
      <c r="AH18" s="1389">
        <f t="shared" si="8"/>
        <v>1</v>
      </c>
      <c r="AI18" s="953"/>
      <c r="AJ18" s="954">
        <v>39307</v>
      </c>
      <c r="AK18" s="954">
        <v>39307</v>
      </c>
      <c r="AL18" s="1349">
        <f t="shared" si="9"/>
        <v>1</v>
      </c>
      <c r="AM18" s="953"/>
      <c r="AN18" s="954"/>
      <c r="AO18" s="954"/>
      <c r="AP18" s="1349" t="str">
        <f t="shared" si="10"/>
        <v>-</v>
      </c>
      <c r="AQ18" s="953"/>
      <c r="AR18" s="954"/>
      <c r="AS18" s="954"/>
      <c r="AT18" s="1349" t="str">
        <f t="shared" si="11"/>
        <v>-</v>
      </c>
      <c r="AU18" s="464"/>
      <c r="AV18" s="464"/>
      <c r="AW18" s="464"/>
      <c r="AX18" s="464"/>
      <c r="AY18" s="464"/>
    </row>
    <row r="19" spans="1:51">
      <c r="A19" s="504">
        <f t="shared" si="13"/>
        <v>12</v>
      </c>
      <c r="B19" s="790">
        <v>8</v>
      </c>
      <c r="C19" s="935" t="s">
        <v>722</v>
      </c>
      <c r="D19" s="896" t="s">
        <v>724</v>
      </c>
      <c r="E19" s="937" t="s">
        <v>1218</v>
      </c>
      <c r="F19" s="899" t="s">
        <v>651</v>
      </c>
      <c r="G19" s="1277">
        <f t="shared" si="0"/>
        <v>0</v>
      </c>
      <c r="H19" s="1278">
        <f t="shared" si="0"/>
        <v>0</v>
      </c>
      <c r="I19" s="1278">
        <f t="shared" si="0"/>
        <v>0</v>
      </c>
      <c r="J19" s="1389" t="str">
        <f t="shared" si="1"/>
        <v>-</v>
      </c>
      <c r="K19" s="1277">
        <f t="shared" si="2"/>
        <v>0</v>
      </c>
      <c r="L19" s="1278">
        <f t="shared" si="2"/>
        <v>0</v>
      </c>
      <c r="M19" s="1278">
        <f t="shared" si="2"/>
        <v>0</v>
      </c>
      <c r="N19" s="1389" t="str">
        <f t="shared" si="3"/>
        <v>-</v>
      </c>
      <c r="O19" s="953"/>
      <c r="P19" s="954"/>
      <c r="Q19" s="954"/>
      <c r="R19" s="1349" t="str">
        <f t="shared" si="4"/>
        <v>-</v>
      </c>
      <c r="S19" s="953"/>
      <c r="T19" s="954"/>
      <c r="U19" s="954"/>
      <c r="V19" s="1349" t="str">
        <f t="shared" si="5"/>
        <v>-</v>
      </c>
      <c r="W19" s="953"/>
      <c r="X19" s="954"/>
      <c r="Y19" s="954"/>
      <c r="Z19" s="1349" t="str">
        <f t="shared" si="6"/>
        <v>-</v>
      </c>
      <c r="AA19" s="953"/>
      <c r="AB19" s="954"/>
      <c r="AC19" s="954"/>
      <c r="AD19" s="1349" t="str">
        <f t="shared" si="7"/>
        <v>-</v>
      </c>
      <c r="AE19" s="1277">
        <f t="shared" si="12"/>
        <v>0</v>
      </c>
      <c r="AF19" s="1278">
        <f t="shared" si="12"/>
        <v>0</v>
      </c>
      <c r="AG19" s="1278">
        <f t="shared" si="12"/>
        <v>0</v>
      </c>
      <c r="AH19" s="1389" t="str">
        <f t="shared" si="8"/>
        <v>-</v>
      </c>
      <c r="AI19" s="953"/>
      <c r="AJ19" s="954"/>
      <c r="AK19" s="954"/>
      <c r="AL19" s="1349" t="str">
        <f t="shared" si="9"/>
        <v>-</v>
      </c>
      <c r="AM19" s="953"/>
      <c r="AN19" s="954"/>
      <c r="AO19" s="954"/>
      <c r="AP19" s="1349" t="str">
        <f t="shared" si="10"/>
        <v>-</v>
      </c>
      <c r="AQ19" s="953"/>
      <c r="AR19" s="954"/>
      <c r="AS19" s="954"/>
      <c r="AT19" s="1349" t="str">
        <f t="shared" si="11"/>
        <v>-</v>
      </c>
      <c r="AU19" s="464"/>
      <c r="AV19" s="464"/>
      <c r="AW19" s="464"/>
      <c r="AX19" s="464"/>
      <c r="AY19" s="464"/>
    </row>
    <row r="20" spans="1:51">
      <c r="A20" s="504">
        <f t="shared" si="13"/>
        <v>13</v>
      </c>
      <c r="B20" s="790">
        <v>8</v>
      </c>
      <c r="C20" s="935" t="s">
        <v>998</v>
      </c>
      <c r="D20" s="896" t="s">
        <v>999</v>
      </c>
      <c r="E20" s="937" t="s">
        <v>1218</v>
      </c>
      <c r="F20" s="899" t="s">
        <v>991</v>
      </c>
      <c r="G20" s="1277">
        <f t="shared" si="0"/>
        <v>8014</v>
      </c>
      <c r="H20" s="1278">
        <f t="shared" si="0"/>
        <v>1176</v>
      </c>
      <c r="I20" s="1278">
        <f t="shared" si="0"/>
        <v>1176</v>
      </c>
      <c r="J20" s="1389">
        <f t="shared" si="1"/>
        <v>1</v>
      </c>
      <c r="K20" s="1277">
        <f t="shared" si="2"/>
        <v>8014</v>
      </c>
      <c r="L20" s="1278">
        <f t="shared" si="2"/>
        <v>1176</v>
      </c>
      <c r="M20" s="1278">
        <f t="shared" si="2"/>
        <v>1176</v>
      </c>
      <c r="N20" s="1389">
        <f t="shared" si="3"/>
        <v>1</v>
      </c>
      <c r="O20" s="953">
        <v>8014</v>
      </c>
      <c r="P20" s="954">
        <v>1176</v>
      </c>
      <c r="Q20" s="954">
        <v>1176</v>
      </c>
      <c r="R20" s="1349">
        <f t="shared" si="4"/>
        <v>1</v>
      </c>
      <c r="S20" s="953"/>
      <c r="T20" s="954"/>
      <c r="U20" s="954"/>
      <c r="V20" s="1349" t="str">
        <f t="shared" si="5"/>
        <v>-</v>
      </c>
      <c r="W20" s="953"/>
      <c r="X20" s="954"/>
      <c r="Y20" s="954"/>
      <c r="Z20" s="1349" t="str">
        <f t="shared" si="6"/>
        <v>-</v>
      </c>
      <c r="AA20" s="953"/>
      <c r="AB20" s="954"/>
      <c r="AC20" s="954"/>
      <c r="AD20" s="1349" t="str">
        <f t="shared" si="7"/>
        <v>-</v>
      </c>
      <c r="AE20" s="1277">
        <f t="shared" si="12"/>
        <v>0</v>
      </c>
      <c r="AF20" s="1278">
        <f t="shared" si="12"/>
        <v>0</v>
      </c>
      <c r="AG20" s="1278">
        <f t="shared" si="12"/>
        <v>0</v>
      </c>
      <c r="AH20" s="1389" t="str">
        <f t="shared" si="8"/>
        <v>-</v>
      </c>
      <c r="AI20" s="953"/>
      <c r="AJ20" s="954"/>
      <c r="AK20" s="954"/>
      <c r="AL20" s="1349" t="str">
        <f t="shared" si="9"/>
        <v>-</v>
      </c>
      <c r="AM20" s="953"/>
      <c r="AN20" s="954"/>
      <c r="AO20" s="954"/>
      <c r="AP20" s="1349" t="str">
        <f t="shared" si="10"/>
        <v>-</v>
      </c>
      <c r="AQ20" s="953"/>
      <c r="AR20" s="954"/>
      <c r="AS20" s="954"/>
      <c r="AT20" s="1349" t="str">
        <f t="shared" si="11"/>
        <v>-</v>
      </c>
      <c r="AU20" s="464"/>
      <c r="AV20" s="464"/>
      <c r="AW20" s="464"/>
      <c r="AX20" s="464"/>
      <c r="AY20" s="464"/>
    </row>
    <row r="21" spans="1:51">
      <c r="A21" s="504">
        <f t="shared" si="13"/>
        <v>14</v>
      </c>
      <c r="B21" s="790">
        <v>8</v>
      </c>
      <c r="C21" s="935" t="s">
        <v>727</v>
      </c>
      <c r="D21" s="896" t="s">
        <v>726</v>
      </c>
      <c r="E21" s="937" t="s">
        <v>1218</v>
      </c>
      <c r="F21" s="899" t="s">
        <v>652</v>
      </c>
      <c r="G21" s="1277">
        <f t="shared" si="0"/>
        <v>0</v>
      </c>
      <c r="H21" s="1278">
        <f t="shared" si="0"/>
        <v>0</v>
      </c>
      <c r="I21" s="1278">
        <f t="shared" si="0"/>
        <v>0</v>
      </c>
      <c r="J21" s="1389" t="str">
        <f t="shared" si="1"/>
        <v>-</v>
      </c>
      <c r="K21" s="1277">
        <f t="shared" si="2"/>
        <v>0</v>
      </c>
      <c r="L21" s="1278">
        <f t="shared" si="2"/>
        <v>0</v>
      </c>
      <c r="M21" s="1278">
        <f t="shared" si="2"/>
        <v>0</v>
      </c>
      <c r="N21" s="1389" t="str">
        <f t="shared" si="3"/>
        <v>-</v>
      </c>
      <c r="O21" s="953"/>
      <c r="P21" s="954"/>
      <c r="Q21" s="954"/>
      <c r="R21" s="1349" t="str">
        <f t="shared" si="4"/>
        <v>-</v>
      </c>
      <c r="S21" s="953"/>
      <c r="T21" s="954"/>
      <c r="U21" s="954"/>
      <c r="V21" s="1349" t="str">
        <f t="shared" si="5"/>
        <v>-</v>
      </c>
      <c r="W21" s="953"/>
      <c r="X21" s="954"/>
      <c r="Y21" s="954"/>
      <c r="Z21" s="1349" t="str">
        <f t="shared" si="6"/>
        <v>-</v>
      </c>
      <c r="AA21" s="953"/>
      <c r="AB21" s="954"/>
      <c r="AC21" s="954"/>
      <c r="AD21" s="1349" t="str">
        <f t="shared" si="7"/>
        <v>-</v>
      </c>
      <c r="AE21" s="1277">
        <f t="shared" si="12"/>
        <v>0</v>
      </c>
      <c r="AF21" s="1278">
        <f t="shared" si="12"/>
        <v>0</v>
      </c>
      <c r="AG21" s="1278">
        <f t="shared" si="12"/>
        <v>0</v>
      </c>
      <c r="AH21" s="1389" t="str">
        <f t="shared" si="8"/>
        <v>-</v>
      </c>
      <c r="AI21" s="953"/>
      <c r="AJ21" s="954"/>
      <c r="AK21" s="954"/>
      <c r="AL21" s="1349" t="str">
        <f t="shared" si="9"/>
        <v>-</v>
      </c>
      <c r="AM21" s="953"/>
      <c r="AN21" s="954"/>
      <c r="AO21" s="954"/>
      <c r="AP21" s="1349" t="str">
        <f t="shared" si="10"/>
        <v>-</v>
      </c>
      <c r="AQ21" s="953"/>
      <c r="AR21" s="954"/>
      <c r="AS21" s="954"/>
      <c r="AT21" s="1349" t="str">
        <f t="shared" si="11"/>
        <v>-</v>
      </c>
      <c r="AU21" s="464"/>
      <c r="AV21" s="464"/>
      <c r="AW21" s="464"/>
      <c r="AX21" s="464"/>
      <c r="AY21" s="464"/>
    </row>
    <row r="22" spans="1:51">
      <c r="A22" s="504">
        <f t="shared" si="13"/>
        <v>15</v>
      </c>
      <c r="B22" s="790">
        <v>8</v>
      </c>
      <c r="C22" s="935" t="s">
        <v>709</v>
      </c>
      <c r="D22" s="896" t="s">
        <v>661</v>
      </c>
      <c r="E22" s="937" t="s">
        <v>1218</v>
      </c>
      <c r="F22" s="899" t="s">
        <v>708</v>
      </c>
      <c r="G22" s="1277">
        <f t="shared" si="0"/>
        <v>0</v>
      </c>
      <c r="H22" s="1278">
        <f t="shared" si="0"/>
        <v>0</v>
      </c>
      <c r="I22" s="1278">
        <f t="shared" si="0"/>
        <v>0</v>
      </c>
      <c r="J22" s="1389" t="str">
        <f t="shared" si="1"/>
        <v>-</v>
      </c>
      <c r="K22" s="1277">
        <f t="shared" si="2"/>
        <v>0</v>
      </c>
      <c r="L22" s="1278">
        <f t="shared" si="2"/>
        <v>0</v>
      </c>
      <c r="M22" s="1278">
        <f t="shared" si="2"/>
        <v>0</v>
      </c>
      <c r="N22" s="1389" t="str">
        <f t="shared" si="3"/>
        <v>-</v>
      </c>
      <c r="O22" s="953"/>
      <c r="P22" s="954"/>
      <c r="Q22" s="954"/>
      <c r="R22" s="1349" t="str">
        <f t="shared" si="4"/>
        <v>-</v>
      </c>
      <c r="S22" s="953"/>
      <c r="T22" s="954"/>
      <c r="U22" s="954"/>
      <c r="V22" s="1349" t="str">
        <f t="shared" si="5"/>
        <v>-</v>
      </c>
      <c r="W22" s="953"/>
      <c r="X22" s="954"/>
      <c r="Y22" s="954"/>
      <c r="Z22" s="1349" t="str">
        <f t="shared" si="6"/>
        <v>-</v>
      </c>
      <c r="AA22" s="953"/>
      <c r="AB22" s="954"/>
      <c r="AC22" s="954"/>
      <c r="AD22" s="1349" t="str">
        <f t="shared" si="7"/>
        <v>-</v>
      </c>
      <c r="AE22" s="1277">
        <f t="shared" si="12"/>
        <v>0</v>
      </c>
      <c r="AF22" s="1278">
        <f t="shared" si="12"/>
        <v>0</v>
      </c>
      <c r="AG22" s="1278">
        <f t="shared" si="12"/>
        <v>0</v>
      </c>
      <c r="AH22" s="1389" t="str">
        <f t="shared" si="8"/>
        <v>-</v>
      </c>
      <c r="AI22" s="953"/>
      <c r="AJ22" s="954"/>
      <c r="AK22" s="954"/>
      <c r="AL22" s="1349" t="str">
        <f t="shared" si="9"/>
        <v>-</v>
      </c>
      <c r="AM22" s="953"/>
      <c r="AN22" s="954"/>
      <c r="AO22" s="954"/>
      <c r="AP22" s="1349" t="str">
        <f t="shared" si="10"/>
        <v>-</v>
      </c>
      <c r="AQ22" s="953"/>
      <c r="AR22" s="954"/>
      <c r="AS22" s="954"/>
      <c r="AT22" s="1349" t="str">
        <f t="shared" si="11"/>
        <v>-</v>
      </c>
      <c r="AU22" s="464"/>
      <c r="AV22" s="464"/>
      <c r="AW22" s="464"/>
      <c r="AX22" s="464"/>
      <c r="AY22" s="464"/>
    </row>
    <row r="23" spans="1:51">
      <c r="A23" s="504">
        <f t="shared" si="13"/>
        <v>16</v>
      </c>
      <c r="B23" s="790">
        <v>8</v>
      </c>
      <c r="C23" s="935" t="s">
        <v>710</v>
      </c>
      <c r="D23" s="896" t="s">
        <v>662</v>
      </c>
      <c r="E23" s="937" t="s">
        <v>1218</v>
      </c>
      <c r="F23" s="899" t="s">
        <v>708</v>
      </c>
      <c r="G23" s="1277">
        <f t="shared" si="0"/>
        <v>0</v>
      </c>
      <c r="H23" s="1278">
        <f t="shared" si="0"/>
        <v>0</v>
      </c>
      <c r="I23" s="1278">
        <f t="shared" si="0"/>
        <v>0</v>
      </c>
      <c r="J23" s="1389" t="str">
        <f t="shared" si="1"/>
        <v>-</v>
      </c>
      <c r="K23" s="1277">
        <f t="shared" si="2"/>
        <v>0</v>
      </c>
      <c r="L23" s="1278">
        <f t="shared" si="2"/>
        <v>0</v>
      </c>
      <c r="M23" s="1278">
        <f t="shared" si="2"/>
        <v>0</v>
      </c>
      <c r="N23" s="1389" t="str">
        <f t="shared" si="3"/>
        <v>-</v>
      </c>
      <c r="O23" s="953"/>
      <c r="P23" s="954"/>
      <c r="Q23" s="954"/>
      <c r="R23" s="1349" t="str">
        <f t="shared" si="4"/>
        <v>-</v>
      </c>
      <c r="S23" s="953"/>
      <c r="T23" s="954"/>
      <c r="U23" s="954"/>
      <c r="V23" s="1349" t="str">
        <f t="shared" si="5"/>
        <v>-</v>
      </c>
      <c r="W23" s="953"/>
      <c r="X23" s="954"/>
      <c r="Y23" s="954"/>
      <c r="Z23" s="1349" t="str">
        <f t="shared" si="6"/>
        <v>-</v>
      </c>
      <c r="AA23" s="953"/>
      <c r="AB23" s="954"/>
      <c r="AC23" s="954"/>
      <c r="AD23" s="1349" t="str">
        <f t="shared" si="7"/>
        <v>-</v>
      </c>
      <c r="AE23" s="1277">
        <f t="shared" si="12"/>
        <v>0</v>
      </c>
      <c r="AF23" s="1278">
        <f t="shared" si="12"/>
        <v>0</v>
      </c>
      <c r="AG23" s="1278">
        <f t="shared" si="12"/>
        <v>0</v>
      </c>
      <c r="AH23" s="1389" t="str">
        <f t="shared" si="8"/>
        <v>-</v>
      </c>
      <c r="AI23" s="953"/>
      <c r="AJ23" s="954"/>
      <c r="AK23" s="954"/>
      <c r="AL23" s="1349" t="str">
        <f t="shared" si="9"/>
        <v>-</v>
      </c>
      <c r="AM23" s="953"/>
      <c r="AN23" s="954"/>
      <c r="AO23" s="954"/>
      <c r="AP23" s="1349" t="str">
        <f t="shared" si="10"/>
        <v>-</v>
      </c>
      <c r="AQ23" s="953"/>
      <c r="AR23" s="954"/>
      <c r="AS23" s="954"/>
      <c r="AT23" s="1349" t="str">
        <f t="shared" si="11"/>
        <v>-</v>
      </c>
      <c r="AU23" s="464"/>
      <c r="AV23" s="464"/>
      <c r="AW23" s="464"/>
      <c r="AX23" s="464"/>
      <c r="AY23" s="464"/>
    </row>
    <row r="24" spans="1:51">
      <c r="A24" s="504">
        <f t="shared" si="13"/>
        <v>17</v>
      </c>
      <c r="B24" s="790">
        <v>8</v>
      </c>
      <c r="C24" s="935" t="s">
        <v>712</v>
      </c>
      <c r="D24" s="896" t="s">
        <v>713</v>
      </c>
      <c r="E24" s="937" t="s">
        <v>1218</v>
      </c>
      <c r="F24" s="899" t="s">
        <v>711</v>
      </c>
      <c r="G24" s="1277">
        <f t="shared" si="0"/>
        <v>11612</v>
      </c>
      <c r="H24" s="1278">
        <f t="shared" si="0"/>
        <v>50500</v>
      </c>
      <c r="I24" s="1278">
        <f t="shared" si="0"/>
        <v>50500</v>
      </c>
      <c r="J24" s="1389">
        <f t="shared" si="1"/>
        <v>1</v>
      </c>
      <c r="K24" s="1277">
        <f t="shared" si="2"/>
        <v>11612</v>
      </c>
      <c r="L24" s="1278">
        <f t="shared" si="2"/>
        <v>50500</v>
      </c>
      <c r="M24" s="1278">
        <f t="shared" si="2"/>
        <v>50500</v>
      </c>
      <c r="N24" s="1389">
        <f t="shared" si="3"/>
        <v>1</v>
      </c>
      <c r="O24" s="953">
        <v>11612</v>
      </c>
      <c r="P24" s="954">
        <v>50500</v>
      </c>
      <c r="Q24" s="954">
        <v>50500</v>
      </c>
      <c r="R24" s="1349">
        <f t="shared" si="4"/>
        <v>1</v>
      </c>
      <c r="S24" s="953"/>
      <c r="T24" s="954"/>
      <c r="U24" s="954"/>
      <c r="V24" s="1349" t="str">
        <f t="shared" si="5"/>
        <v>-</v>
      </c>
      <c r="W24" s="953"/>
      <c r="X24" s="954"/>
      <c r="Y24" s="954"/>
      <c r="Z24" s="1349" t="str">
        <f t="shared" si="6"/>
        <v>-</v>
      </c>
      <c r="AA24" s="953"/>
      <c r="AB24" s="954"/>
      <c r="AC24" s="954"/>
      <c r="AD24" s="1349" t="str">
        <f t="shared" si="7"/>
        <v>-</v>
      </c>
      <c r="AE24" s="1277">
        <f t="shared" si="12"/>
        <v>0</v>
      </c>
      <c r="AF24" s="1278">
        <f t="shared" si="12"/>
        <v>0</v>
      </c>
      <c r="AG24" s="1278">
        <f t="shared" si="12"/>
        <v>0</v>
      </c>
      <c r="AH24" s="1389" t="str">
        <f t="shared" si="8"/>
        <v>-</v>
      </c>
      <c r="AI24" s="953"/>
      <c r="AJ24" s="954"/>
      <c r="AK24" s="954"/>
      <c r="AL24" s="1349" t="str">
        <f t="shared" si="9"/>
        <v>-</v>
      </c>
      <c r="AM24" s="953"/>
      <c r="AN24" s="954"/>
      <c r="AO24" s="954"/>
      <c r="AP24" s="1349" t="str">
        <f t="shared" si="10"/>
        <v>-</v>
      </c>
      <c r="AQ24" s="953"/>
      <c r="AR24" s="954"/>
      <c r="AS24" s="954"/>
      <c r="AT24" s="1349" t="str">
        <f t="shared" si="11"/>
        <v>-</v>
      </c>
      <c r="AU24" s="464"/>
      <c r="AV24" s="464"/>
      <c r="AW24" s="464"/>
      <c r="AX24" s="464"/>
      <c r="AY24" s="464"/>
    </row>
    <row r="25" spans="1:51">
      <c r="A25" s="504">
        <f t="shared" si="13"/>
        <v>18</v>
      </c>
      <c r="B25" s="790">
        <v>8</v>
      </c>
      <c r="C25" s="935" t="s">
        <v>716</v>
      </c>
      <c r="D25" s="896" t="s">
        <v>717</v>
      </c>
      <c r="E25" s="937" t="s">
        <v>1218</v>
      </c>
      <c r="F25" s="899" t="s">
        <v>714</v>
      </c>
      <c r="G25" s="1277">
        <f t="shared" si="0"/>
        <v>0</v>
      </c>
      <c r="H25" s="1278">
        <f t="shared" si="0"/>
        <v>0</v>
      </c>
      <c r="I25" s="1278">
        <f t="shared" si="0"/>
        <v>0</v>
      </c>
      <c r="J25" s="1389" t="str">
        <f t="shared" si="1"/>
        <v>-</v>
      </c>
      <c r="K25" s="1277">
        <f t="shared" si="2"/>
        <v>0</v>
      </c>
      <c r="L25" s="1278">
        <f t="shared" si="2"/>
        <v>0</v>
      </c>
      <c r="M25" s="1278">
        <f t="shared" si="2"/>
        <v>0</v>
      </c>
      <c r="N25" s="1389" t="str">
        <f t="shared" si="3"/>
        <v>-</v>
      </c>
      <c r="O25" s="953"/>
      <c r="P25" s="954"/>
      <c r="Q25" s="954"/>
      <c r="R25" s="1349" t="str">
        <f t="shared" si="4"/>
        <v>-</v>
      </c>
      <c r="S25" s="953"/>
      <c r="T25" s="954"/>
      <c r="U25" s="954"/>
      <c r="V25" s="1349" t="str">
        <f t="shared" si="5"/>
        <v>-</v>
      </c>
      <c r="W25" s="953"/>
      <c r="X25" s="954"/>
      <c r="Y25" s="954"/>
      <c r="Z25" s="1349" t="str">
        <f t="shared" si="6"/>
        <v>-</v>
      </c>
      <c r="AA25" s="953"/>
      <c r="AB25" s="954"/>
      <c r="AC25" s="954"/>
      <c r="AD25" s="1349" t="str">
        <f t="shared" si="7"/>
        <v>-</v>
      </c>
      <c r="AE25" s="1277">
        <f t="shared" si="12"/>
        <v>0</v>
      </c>
      <c r="AF25" s="1278">
        <f t="shared" si="12"/>
        <v>0</v>
      </c>
      <c r="AG25" s="1278">
        <f t="shared" si="12"/>
        <v>0</v>
      </c>
      <c r="AH25" s="1389" t="str">
        <f t="shared" si="8"/>
        <v>-</v>
      </c>
      <c r="AI25" s="953"/>
      <c r="AJ25" s="954"/>
      <c r="AK25" s="954"/>
      <c r="AL25" s="1349" t="str">
        <f t="shared" si="9"/>
        <v>-</v>
      </c>
      <c r="AM25" s="953"/>
      <c r="AN25" s="954"/>
      <c r="AO25" s="954"/>
      <c r="AP25" s="1349" t="str">
        <f t="shared" si="10"/>
        <v>-</v>
      </c>
      <c r="AQ25" s="953"/>
      <c r="AR25" s="954"/>
      <c r="AS25" s="954"/>
      <c r="AT25" s="1349" t="str">
        <f t="shared" si="11"/>
        <v>-</v>
      </c>
      <c r="AU25" s="464"/>
      <c r="AV25" s="464"/>
      <c r="AW25" s="464"/>
      <c r="AX25" s="464"/>
      <c r="AY25" s="464"/>
    </row>
    <row r="26" spans="1:51">
      <c r="A26" s="504">
        <f t="shared" si="13"/>
        <v>19</v>
      </c>
      <c r="B26" s="790">
        <v>8</v>
      </c>
      <c r="C26" s="938" t="s">
        <v>715</v>
      </c>
      <c r="D26" s="896" t="s">
        <v>663</v>
      </c>
      <c r="E26" s="937" t="s">
        <v>1218</v>
      </c>
      <c r="F26" s="899" t="s">
        <v>714</v>
      </c>
      <c r="G26" s="1277">
        <f t="shared" si="0"/>
        <v>11238</v>
      </c>
      <c r="H26" s="1278">
        <f t="shared" si="0"/>
        <v>81712</v>
      </c>
      <c r="I26" s="1278">
        <f t="shared" si="0"/>
        <v>81712</v>
      </c>
      <c r="J26" s="1389">
        <f t="shared" si="1"/>
        <v>1</v>
      </c>
      <c r="K26" s="1277">
        <f t="shared" si="2"/>
        <v>11238</v>
      </c>
      <c r="L26" s="1278">
        <f t="shared" si="2"/>
        <v>71656</v>
      </c>
      <c r="M26" s="1278">
        <f t="shared" si="2"/>
        <v>71656</v>
      </c>
      <c r="N26" s="1389">
        <f t="shared" si="3"/>
        <v>1</v>
      </c>
      <c r="O26" s="953">
        <v>3238</v>
      </c>
      <c r="P26" s="954">
        <v>62256</v>
      </c>
      <c r="Q26" s="954">
        <v>62256</v>
      </c>
      <c r="R26" s="1349">
        <f t="shared" si="4"/>
        <v>1</v>
      </c>
      <c r="S26" s="953"/>
      <c r="T26" s="954"/>
      <c r="U26" s="954"/>
      <c r="V26" s="1349" t="str">
        <f t="shared" si="5"/>
        <v>-</v>
      </c>
      <c r="W26" s="953">
        <v>8000</v>
      </c>
      <c r="X26" s="954">
        <v>9400</v>
      </c>
      <c r="Y26" s="954">
        <v>9400</v>
      </c>
      <c r="Z26" s="1349">
        <f t="shared" si="6"/>
        <v>1</v>
      </c>
      <c r="AA26" s="953"/>
      <c r="AB26" s="954"/>
      <c r="AC26" s="954"/>
      <c r="AD26" s="1349" t="str">
        <f t="shared" si="7"/>
        <v>-</v>
      </c>
      <c r="AE26" s="1277">
        <f t="shared" si="12"/>
        <v>0</v>
      </c>
      <c r="AF26" s="1278">
        <f t="shared" si="12"/>
        <v>10056</v>
      </c>
      <c r="AG26" s="1278">
        <f t="shared" si="12"/>
        <v>10056</v>
      </c>
      <c r="AH26" s="1389">
        <f t="shared" si="8"/>
        <v>1</v>
      </c>
      <c r="AI26" s="953"/>
      <c r="AJ26" s="954">
        <f>10055+1</f>
        <v>10056</v>
      </c>
      <c r="AK26" s="954">
        <f>10055+1</f>
        <v>10056</v>
      </c>
      <c r="AL26" s="1349">
        <f t="shared" si="9"/>
        <v>1</v>
      </c>
      <c r="AM26" s="953"/>
      <c r="AN26" s="954"/>
      <c r="AO26" s="954"/>
      <c r="AP26" s="1349" t="str">
        <f t="shared" si="10"/>
        <v>-</v>
      </c>
      <c r="AQ26" s="953"/>
      <c r="AR26" s="954"/>
      <c r="AS26" s="954"/>
      <c r="AT26" s="1349" t="str">
        <f t="shared" si="11"/>
        <v>-</v>
      </c>
      <c r="AU26" s="464"/>
      <c r="AV26" s="464"/>
      <c r="AW26" s="464"/>
      <c r="AX26" s="464"/>
      <c r="AY26" s="464"/>
    </row>
    <row r="27" spans="1:51">
      <c r="A27" s="504">
        <f t="shared" si="13"/>
        <v>20</v>
      </c>
      <c r="B27" s="791">
        <v>8</v>
      </c>
      <c r="C27" s="939" t="s">
        <v>706</v>
      </c>
      <c r="D27" s="902" t="s">
        <v>705</v>
      </c>
      <c r="E27" s="940" t="s">
        <v>1223</v>
      </c>
      <c r="F27" s="903" t="s">
        <v>1000</v>
      </c>
      <c r="G27" s="1279">
        <f t="shared" si="0"/>
        <v>0</v>
      </c>
      <c r="H27" s="1280">
        <f t="shared" si="0"/>
        <v>0</v>
      </c>
      <c r="I27" s="1280">
        <f t="shared" si="0"/>
        <v>0</v>
      </c>
      <c r="J27" s="1389" t="str">
        <f t="shared" si="1"/>
        <v>-</v>
      </c>
      <c r="K27" s="1279">
        <f t="shared" si="2"/>
        <v>0</v>
      </c>
      <c r="L27" s="1280">
        <f t="shared" si="2"/>
        <v>0</v>
      </c>
      <c r="M27" s="1280">
        <f t="shared" si="2"/>
        <v>0</v>
      </c>
      <c r="N27" s="1389" t="str">
        <f t="shared" si="3"/>
        <v>-</v>
      </c>
      <c r="O27" s="953"/>
      <c r="P27" s="954"/>
      <c r="Q27" s="954"/>
      <c r="R27" s="1349" t="str">
        <f t="shared" si="4"/>
        <v>-</v>
      </c>
      <c r="S27" s="953"/>
      <c r="T27" s="954"/>
      <c r="U27" s="954"/>
      <c r="V27" s="1349" t="str">
        <f t="shared" si="5"/>
        <v>-</v>
      </c>
      <c r="W27" s="953"/>
      <c r="X27" s="954"/>
      <c r="Y27" s="954"/>
      <c r="Z27" s="1349" t="str">
        <f t="shared" si="6"/>
        <v>-</v>
      </c>
      <c r="AA27" s="953"/>
      <c r="AB27" s="954"/>
      <c r="AC27" s="954"/>
      <c r="AD27" s="1349" t="str">
        <f t="shared" si="7"/>
        <v>-</v>
      </c>
      <c r="AE27" s="1279">
        <f t="shared" si="12"/>
        <v>0</v>
      </c>
      <c r="AF27" s="1280">
        <f t="shared" si="12"/>
        <v>0</v>
      </c>
      <c r="AG27" s="1280">
        <f t="shared" si="12"/>
        <v>0</v>
      </c>
      <c r="AH27" s="1389" t="str">
        <f t="shared" si="8"/>
        <v>-</v>
      </c>
      <c r="AI27" s="953"/>
      <c r="AJ27" s="954"/>
      <c r="AK27" s="954"/>
      <c r="AL27" s="1349" t="str">
        <f t="shared" si="9"/>
        <v>-</v>
      </c>
      <c r="AM27" s="953"/>
      <c r="AN27" s="954"/>
      <c r="AO27" s="954"/>
      <c r="AP27" s="1349" t="str">
        <f t="shared" si="10"/>
        <v>-</v>
      </c>
      <c r="AQ27" s="953"/>
      <c r="AR27" s="954"/>
      <c r="AS27" s="954"/>
      <c r="AT27" s="1349" t="str">
        <f t="shared" si="11"/>
        <v>-</v>
      </c>
      <c r="AU27" s="464"/>
      <c r="AV27" s="464"/>
      <c r="AW27" s="464"/>
      <c r="AX27" s="464"/>
      <c r="AY27" s="464"/>
    </row>
    <row r="28" spans="1:51">
      <c r="A28" s="504">
        <f t="shared" si="13"/>
        <v>21</v>
      </c>
      <c r="B28" s="792">
        <v>5</v>
      </c>
      <c r="C28" s="939" t="s">
        <v>694</v>
      </c>
      <c r="D28" s="902" t="s">
        <v>642</v>
      </c>
      <c r="E28" s="940" t="s">
        <v>1218</v>
      </c>
      <c r="F28" s="903" t="s">
        <v>642</v>
      </c>
      <c r="G28" s="1279">
        <f t="shared" si="0"/>
        <v>0</v>
      </c>
      <c r="H28" s="1280">
        <f t="shared" si="0"/>
        <v>0</v>
      </c>
      <c r="I28" s="1280">
        <f t="shared" si="0"/>
        <v>0</v>
      </c>
      <c r="J28" s="1389" t="str">
        <f t="shared" si="1"/>
        <v>-</v>
      </c>
      <c r="K28" s="1279">
        <f t="shared" si="2"/>
        <v>0</v>
      </c>
      <c r="L28" s="1280">
        <f t="shared" si="2"/>
        <v>0</v>
      </c>
      <c r="M28" s="1280">
        <f t="shared" si="2"/>
        <v>0</v>
      </c>
      <c r="N28" s="1389" t="str">
        <f t="shared" si="3"/>
        <v>-</v>
      </c>
      <c r="O28" s="953"/>
      <c r="P28" s="954"/>
      <c r="Q28" s="954"/>
      <c r="R28" s="1349" t="str">
        <f t="shared" si="4"/>
        <v>-</v>
      </c>
      <c r="S28" s="953"/>
      <c r="T28" s="954"/>
      <c r="U28" s="954"/>
      <c r="V28" s="1349" t="str">
        <f t="shared" si="5"/>
        <v>-</v>
      </c>
      <c r="W28" s="953"/>
      <c r="X28" s="954"/>
      <c r="Y28" s="954"/>
      <c r="Z28" s="1349" t="str">
        <f t="shared" si="6"/>
        <v>-</v>
      </c>
      <c r="AA28" s="953"/>
      <c r="AB28" s="954"/>
      <c r="AC28" s="954"/>
      <c r="AD28" s="1349" t="str">
        <f t="shared" si="7"/>
        <v>-</v>
      </c>
      <c r="AE28" s="1279">
        <f t="shared" si="12"/>
        <v>0</v>
      </c>
      <c r="AF28" s="1280">
        <f t="shared" si="12"/>
        <v>0</v>
      </c>
      <c r="AG28" s="1280">
        <f t="shared" si="12"/>
        <v>0</v>
      </c>
      <c r="AH28" s="1389" t="str">
        <f t="shared" si="8"/>
        <v>-</v>
      </c>
      <c r="AI28" s="953"/>
      <c r="AJ28" s="954"/>
      <c r="AK28" s="954"/>
      <c r="AL28" s="1349" t="str">
        <f t="shared" si="9"/>
        <v>-</v>
      </c>
      <c r="AM28" s="953"/>
      <c r="AN28" s="954"/>
      <c r="AO28" s="954"/>
      <c r="AP28" s="1349" t="str">
        <f t="shared" si="10"/>
        <v>-</v>
      </c>
      <c r="AQ28" s="953"/>
      <c r="AR28" s="954"/>
      <c r="AS28" s="954"/>
      <c r="AT28" s="1349" t="str">
        <f t="shared" si="11"/>
        <v>-</v>
      </c>
      <c r="AU28" s="464"/>
      <c r="AV28" s="464"/>
      <c r="AW28" s="464"/>
      <c r="AX28" s="464"/>
      <c r="AY28" s="464"/>
    </row>
    <row r="29" spans="1:51" s="470" customFormat="1">
      <c r="A29" s="504">
        <f t="shared" si="13"/>
        <v>22</v>
      </c>
      <c r="B29" s="792">
        <v>8</v>
      </c>
      <c r="C29" s="938" t="s">
        <v>696</v>
      </c>
      <c r="D29" s="896" t="s">
        <v>695</v>
      </c>
      <c r="E29" s="937" t="s">
        <v>1240</v>
      </c>
      <c r="F29" s="899" t="s">
        <v>695</v>
      </c>
      <c r="G29" s="1277">
        <f t="shared" si="0"/>
        <v>0</v>
      </c>
      <c r="H29" s="1278">
        <f t="shared" si="0"/>
        <v>0</v>
      </c>
      <c r="I29" s="1278">
        <f t="shared" si="0"/>
        <v>0</v>
      </c>
      <c r="J29" s="1389" t="str">
        <f t="shared" si="1"/>
        <v>-</v>
      </c>
      <c r="K29" s="1277">
        <f t="shared" si="2"/>
        <v>0</v>
      </c>
      <c r="L29" s="1278">
        <f t="shared" si="2"/>
        <v>0</v>
      </c>
      <c r="M29" s="1278">
        <f t="shared" si="2"/>
        <v>0</v>
      </c>
      <c r="N29" s="1389" t="str">
        <f t="shared" si="3"/>
        <v>-</v>
      </c>
      <c r="O29" s="953"/>
      <c r="P29" s="954"/>
      <c r="Q29" s="954"/>
      <c r="R29" s="1349" t="str">
        <f t="shared" si="4"/>
        <v>-</v>
      </c>
      <c r="S29" s="953"/>
      <c r="T29" s="954"/>
      <c r="U29" s="954"/>
      <c r="V29" s="1349" t="str">
        <f t="shared" si="5"/>
        <v>-</v>
      </c>
      <c r="W29" s="953"/>
      <c r="X29" s="954"/>
      <c r="Y29" s="954"/>
      <c r="Z29" s="1349" t="str">
        <f t="shared" si="6"/>
        <v>-</v>
      </c>
      <c r="AA29" s="953"/>
      <c r="AB29" s="954"/>
      <c r="AC29" s="954"/>
      <c r="AD29" s="1349" t="str">
        <f t="shared" si="7"/>
        <v>-</v>
      </c>
      <c r="AE29" s="1277">
        <f t="shared" si="12"/>
        <v>0</v>
      </c>
      <c r="AF29" s="1278">
        <f t="shared" si="12"/>
        <v>0</v>
      </c>
      <c r="AG29" s="1278">
        <f t="shared" si="12"/>
        <v>0</v>
      </c>
      <c r="AH29" s="1389" t="str">
        <f t="shared" si="8"/>
        <v>-</v>
      </c>
      <c r="AI29" s="953"/>
      <c r="AJ29" s="954"/>
      <c r="AK29" s="954"/>
      <c r="AL29" s="1349" t="str">
        <f t="shared" si="9"/>
        <v>-</v>
      </c>
      <c r="AM29" s="953"/>
      <c r="AN29" s="954"/>
      <c r="AO29" s="954"/>
      <c r="AP29" s="1349" t="str">
        <f t="shared" si="10"/>
        <v>-</v>
      </c>
      <c r="AQ29" s="953"/>
      <c r="AR29" s="954"/>
      <c r="AS29" s="954"/>
      <c r="AT29" s="1349" t="str">
        <f t="shared" si="11"/>
        <v>-</v>
      </c>
      <c r="AU29" s="464"/>
      <c r="AV29" s="464"/>
      <c r="AW29" s="464"/>
      <c r="AX29" s="464"/>
      <c r="AY29" s="464"/>
    </row>
    <row r="30" spans="1:51" s="470" customFormat="1">
      <c r="A30" s="504">
        <f t="shared" si="13"/>
        <v>23</v>
      </c>
      <c r="B30" s="791">
        <v>5</v>
      </c>
      <c r="C30" s="938" t="s">
        <v>697</v>
      </c>
      <c r="D30" s="896" t="s">
        <v>643</v>
      </c>
      <c r="E30" s="937" t="s">
        <v>1218</v>
      </c>
      <c r="F30" s="899" t="s">
        <v>643</v>
      </c>
      <c r="G30" s="1277">
        <f t="shared" si="0"/>
        <v>0</v>
      </c>
      <c r="H30" s="1278">
        <f t="shared" si="0"/>
        <v>0</v>
      </c>
      <c r="I30" s="1278">
        <f t="shared" si="0"/>
        <v>0</v>
      </c>
      <c r="J30" s="1389" t="str">
        <f t="shared" si="1"/>
        <v>-</v>
      </c>
      <c r="K30" s="1277">
        <f t="shared" si="2"/>
        <v>0</v>
      </c>
      <c r="L30" s="1278">
        <f t="shared" si="2"/>
        <v>0</v>
      </c>
      <c r="M30" s="1278">
        <f t="shared" si="2"/>
        <v>0</v>
      </c>
      <c r="N30" s="1389" t="str">
        <f t="shared" si="3"/>
        <v>-</v>
      </c>
      <c r="O30" s="953"/>
      <c r="P30" s="954"/>
      <c r="Q30" s="954"/>
      <c r="R30" s="1349" t="str">
        <f t="shared" si="4"/>
        <v>-</v>
      </c>
      <c r="S30" s="953"/>
      <c r="T30" s="954"/>
      <c r="U30" s="954"/>
      <c r="V30" s="1349" t="str">
        <f t="shared" si="5"/>
        <v>-</v>
      </c>
      <c r="W30" s="953"/>
      <c r="X30" s="954"/>
      <c r="Y30" s="954"/>
      <c r="Z30" s="1349" t="str">
        <f t="shared" si="6"/>
        <v>-</v>
      </c>
      <c r="AA30" s="953"/>
      <c r="AB30" s="954"/>
      <c r="AC30" s="954"/>
      <c r="AD30" s="1349" t="str">
        <f t="shared" si="7"/>
        <v>-</v>
      </c>
      <c r="AE30" s="1277">
        <f t="shared" si="12"/>
        <v>0</v>
      </c>
      <c r="AF30" s="1278">
        <f t="shared" si="12"/>
        <v>0</v>
      </c>
      <c r="AG30" s="1278">
        <f t="shared" si="12"/>
        <v>0</v>
      </c>
      <c r="AH30" s="1389" t="str">
        <f t="shared" si="8"/>
        <v>-</v>
      </c>
      <c r="AI30" s="953"/>
      <c r="AJ30" s="954"/>
      <c r="AK30" s="954"/>
      <c r="AL30" s="1349" t="str">
        <f t="shared" si="9"/>
        <v>-</v>
      </c>
      <c r="AM30" s="953"/>
      <c r="AN30" s="954"/>
      <c r="AO30" s="954"/>
      <c r="AP30" s="1349" t="str">
        <f t="shared" si="10"/>
        <v>-</v>
      </c>
      <c r="AQ30" s="953"/>
      <c r="AR30" s="954"/>
      <c r="AS30" s="954"/>
      <c r="AT30" s="1349" t="str">
        <f t="shared" si="11"/>
        <v>-</v>
      </c>
      <c r="AU30" s="464"/>
      <c r="AV30" s="464"/>
      <c r="AW30" s="464"/>
      <c r="AX30" s="464"/>
      <c r="AY30" s="464"/>
    </row>
    <row r="31" spans="1:51" s="470" customFormat="1">
      <c r="A31" s="504">
        <f t="shared" si="13"/>
        <v>24</v>
      </c>
      <c r="B31" s="791">
        <v>8</v>
      </c>
      <c r="C31" s="938" t="s">
        <v>718</v>
      </c>
      <c r="D31" s="896" t="s">
        <v>648</v>
      </c>
      <c r="E31" s="937" t="s">
        <v>1218</v>
      </c>
      <c r="F31" s="899" t="s">
        <v>648</v>
      </c>
      <c r="G31" s="1277">
        <f t="shared" si="0"/>
        <v>0</v>
      </c>
      <c r="H31" s="1278">
        <f t="shared" si="0"/>
        <v>0</v>
      </c>
      <c r="I31" s="1278">
        <f t="shared" si="0"/>
        <v>0</v>
      </c>
      <c r="J31" s="1389" t="str">
        <f t="shared" si="1"/>
        <v>-</v>
      </c>
      <c r="K31" s="1277">
        <f t="shared" si="2"/>
        <v>0</v>
      </c>
      <c r="L31" s="1278">
        <f t="shared" si="2"/>
        <v>0</v>
      </c>
      <c r="M31" s="1278">
        <f t="shared" si="2"/>
        <v>0</v>
      </c>
      <c r="N31" s="1389" t="str">
        <f t="shared" si="3"/>
        <v>-</v>
      </c>
      <c r="O31" s="953"/>
      <c r="P31" s="954"/>
      <c r="Q31" s="954"/>
      <c r="R31" s="1349" t="str">
        <f t="shared" si="4"/>
        <v>-</v>
      </c>
      <c r="S31" s="953"/>
      <c r="T31" s="954"/>
      <c r="U31" s="954"/>
      <c r="V31" s="1349" t="str">
        <f t="shared" si="5"/>
        <v>-</v>
      </c>
      <c r="W31" s="953"/>
      <c r="X31" s="954"/>
      <c r="Y31" s="954"/>
      <c r="Z31" s="1349" t="str">
        <f t="shared" si="6"/>
        <v>-</v>
      </c>
      <c r="AA31" s="953"/>
      <c r="AB31" s="954"/>
      <c r="AC31" s="954"/>
      <c r="AD31" s="1349" t="str">
        <f t="shared" si="7"/>
        <v>-</v>
      </c>
      <c r="AE31" s="1277">
        <f t="shared" si="12"/>
        <v>0</v>
      </c>
      <c r="AF31" s="1278">
        <f t="shared" si="12"/>
        <v>0</v>
      </c>
      <c r="AG31" s="1278">
        <f t="shared" si="12"/>
        <v>0</v>
      </c>
      <c r="AH31" s="1389" t="str">
        <f t="shared" si="8"/>
        <v>-</v>
      </c>
      <c r="AI31" s="953"/>
      <c r="AJ31" s="954"/>
      <c r="AK31" s="954"/>
      <c r="AL31" s="1349" t="str">
        <f t="shared" si="9"/>
        <v>-</v>
      </c>
      <c r="AM31" s="953"/>
      <c r="AN31" s="954"/>
      <c r="AO31" s="954"/>
      <c r="AP31" s="1349" t="str">
        <f t="shared" si="10"/>
        <v>-</v>
      </c>
      <c r="AQ31" s="953"/>
      <c r="AR31" s="954"/>
      <c r="AS31" s="954"/>
      <c r="AT31" s="1349" t="str">
        <f t="shared" si="11"/>
        <v>-</v>
      </c>
      <c r="AU31" s="464"/>
      <c r="AV31" s="464"/>
      <c r="AW31" s="464"/>
      <c r="AX31" s="464"/>
      <c r="AY31" s="464"/>
    </row>
    <row r="32" spans="1:51" s="470" customFormat="1">
      <c r="A32" s="504">
        <f t="shared" si="13"/>
        <v>25</v>
      </c>
      <c r="B32" s="791">
        <v>8</v>
      </c>
      <c r="C32" s="938" t="s">
        <v>692</v>
      </c>
      <c r="D32" s="896" t="s">
        <v>693</v>
      </c>
      <c r="E32" s="937" t="s">
        <v>1218</v>
      </c>
      <c r="F32" s="899" t="s">
        <v>1003</v>
      </c>
      <c r="G32" s="1277">
        <f t="shared" si="0"/>
        <v>0</v>
      </c>
      <c r="H32" s="1278">
        <f t="shared" si="0"/>
        <v>0</v>
      </c>
      <c r="I32" s="1278">
        <f t="shared" si="0"/>
        <v>0</v>
      </c>
      <c r="J32" s="1389" t="str">
        <f t="shared" si="1"/>
        <v>-</v>
      </c>
      <c r="K32" s="1277">
        <f t="shared" si="2"/>
        <v>0</v>
      </c>
      <c r="L32" s="1278">
        <f t="shared" si="2"/>
        <v>0</v>
      </c>
      <c r="M32" s="1278">
        <f t="shared" si="2"/>
        <v>0</v>
      </c>
      <c r="N32" s="1389" t="str">
        <f t="shared" si="3"/>
        <v>-</v>
      </c>
      <c r="O32" s="953"/>
      <c r="P32" s="954"/>
      <c r="Q32" s="954"/>
      <c r="R32" s="1349" t="str">
        <f t="shared" si="4"/>
        <v>-</v>
      </c>
      <c r="S32" s="953"/>
      <c r="T32" s="954"/>
      <c r="U32" s="954"/>
      <c r="V32" s="1349" t="str">
        <f t="shared" si="5"/>
        <v>-</v>
      </c>
      <c r="W32" s="953"/>
      <c r="X32" s="954"/>
      <c r="Y32" s="954"/>
      <c r="Z32" s="1349" t="str">
        <f t="shared" si="6"/>
        <v>-</v>
      </c>
      <c r="AA32" s="953"/>
      <c r="AB32" s="954"/>
      <c r="AC32" s="954"/>
      <c r="AD32" s="1349" t="str">
        <f t="shared" si="7"/>
        <v>-</v>
      </c>
      <c r="AE32" s="1277">
        <f t="shared" si="12"/>
        <v>0</v>
      </c>
      <c r="AF32" s="1278">
        <f t="shared" si="12"/>
        <v>0</v>
      </c>
      <c r="AG32" s="1278">
        <f t="shared" si="12"/>
        <v>0</v>
      </c>
      <c r="AH32" s="1389" t="str">
        <f t="shared" si="8"/>
        <v>-</v>
      </c>
      <c r="AI32" s="953"/>
      <c r="AJ32" s="954"/>
      <c r="AK32" s="954"/>
      <c r="AL32" s="1349" t="str">
        <f t="shared" si="9"/>
        <v>-</v>
      </c>
      <c r="AM32" s="953"/>
      <c r="AN32" s="954"/>
      <c r="AO32" s="954"/>
      <c r="AP32" s="1349" t="str">
        <f t="shared" si="10"/>
        <v>-</v>
      </c>
      <c r="AQ32" s="953"/>
      <c r="AR32" s="954"/>
      <c r="AS32" s="954"/>
      <c r="AT32" s="1349" t="str">
        <f t="shared" si="11"/>
        <v>-</v>
      </c>
      <c r="AU32" s="464"/>
      <c r="AV32" s="464"/>
      <c r="AW32" s="464"/>
      <c r="AX32" s="464"/>
      <c r="AY32" s="464"/>
    </row>
    <row r="33" spans="1:51" s="470" customFormat="1">
      <c r="A33" s="504">
        <f t="shared" si="13"/>
        <v>26</v>
      </c>
      <c r="B33" s="791">
        <v>8</v>
      </c>
      <c r="C33" s="938" t="s">
        <v>690</v>
      </c>
      <c r="D33" s="896" t="s">
        <v>691</v>
      </c>
      <c r="E33" s="937" t="s">
        <v>1218</v>
      </c>
      <c r="F33" s="899" t="s">
        <v>641</v>
      </c>
      <c r="G33" s="1277">
        <f t="shared" si="0"/>
        <v>11527</v>
      </c>
      <c r="H33" s="1278">
        <f t="shared" si="0"/>
        <v>9505</v>
      </c>
      <c r="I33" s="1278">
        <f t="shared" si="0"/>
        <v>9505</v>
      </c>
      <c r="J33" s="1389">
        <f t="shared" si="1"/>
        <v>1</v>
      </c>
      <c r="K33" s="1277">
        <f t="shared" si="2"/>
        <v>11527</v>
      </c>
      <c r="L33" s="1278">
        <f t="shared" si="2"/>
        <v>9505</v>
      </c>
      <c r="M33" s="1278">
        <f t="shared" si="2"/>
        <v>9505</v>
      </c>
      <c r="N33" s="1389">
        <f t="shared" si="3"/>
        <v>1</v>
      </c>
      <c r="O33" s="953"/>
      <c r="P33" s="954"/>
      <c r="Q33" s="954"/>
      <c r="R33" s="1349" t="str">
        <f t="shared" si="4"/>
        <v>-</v>
      </c>
      <c r="S33" s="953"/>
      <c r="T33" s="954"/>
      <c r="U33" s="954"/>
      <c r="V33" s="1349" t="str">
        <f t="shared" si="5"/>
        <v>-</v>
      </c>
      <c r="W33" s="953">
        <v>11527</v>
      </c>
      <c r="X33" s="954">
        <v>9505</v>
      </c>
      <c r="Y33" s="954">
        <v>9505</v>
      </c>
      <c r="Z33" s="1349">
        <f t="shared" si="6"/>
        <v>1</v>
      </c>
      <c r="AA33" s="953"/>
      <c r="AB33" s="954"/>
      <c r="AC33" s="954"/>
      <c r="AD33" s="1349" t="str">
        <f t="shared" si="7"/>
        <v>-</v>
      </c>
      <c r="AE33" s="1277">
        <f t="shared" si="12"/>
        <v>0</v>
      </c>
      <c r="AF33" s="1278">
        <f t="shared" si="12"/>
        <v>0</v>
      </c>
      <c r="AG33" s="1278">
        <f t="shared" si="12"/>
        <v>0</v>
      </c>
      <c r="AH33" s="1389" t="str">
        <f t="shared" si="8"/>
        <v>-</v>
      </c>
      <c r="AI33" s="953"/>
      <c r="AJ33" s="954"/>
      <c r="AK33" s="954"/>
      <c r="AL33" s="1349" t="str">
        <f t="shared" si="9"/>
        <v>-</v>
      </c>
      <c r="AM33" s="953"/>
      <c r="AN33" s="954"/>
      <c r="AO33" s="954"/>
      <c r="AP33" s="1349" t="str">
        <f t="shared" si="10"/>
        <v>-</v>
      </c>
      <c r="AQ33" s="953"/>
      <c r="AR33" s="954"/>
      <c r="AS33" s="954"/>
      <c r="AT33" s="1349" t="str">
        <f t="shared" si="11"/>
        <v>-</v>
      </c>
      <c r="AU33" s="464"/>
      <c r="AV33" s="464"/>
      <c r="AW33" s="464"/>
      <c r="AX33" s="464"/>
      <c r="AY33" s="464"/>
    </row>
    <row r="34" spans="1:51" s="470" customFormat="1">
      <c r="A34" s="504">
        <f t="shared" si="13"/>
        <v>27</v>
      </c>
      <c r="B34" s="791">
        <v>3</v>
      </c>
      <c r="C34" s="938" t="s">
        <v>698</v>
      </c>
      <c r="D34" s="896" t="s">
        <v>644</v>
      </c>
      <c r="E34" s="937" t="s">
        <v>1218</v>
      </c>
      <c r="F34" s="899" t="s">
        <v>644</v>
      </c>
      <c r="G34" s="1277">
        <f t="shared" si="0"/>
        <v>0</v>
      </c>
      <c r="H34" s="1278">
        <f t="shared" si="0"/>
        <v>0</v>
      </c>
      <c r="I34" s="1278">
        <f t="shared" si="0"/>
        <v>0</v>
      </c>
      <c r="J34" s="1389" t="str">
        <f t="shared" si="1"/>
        <v>-</v>
      </c>
      <c r="K34" s="1277">
        <f t="shared" si="2"/>
        <v>0</v>
      </c>
      <c r="L34" s="1278">
        <f t="shared" si="2"/>
        <v>0</v>
      </c>
      <c r="M34" s="1278">
        <f t="shared" si="2"/>
        <v>0</v>
      </c>
      <c r="N34" s="1389" t="str">
        <f t="shared" si="3"/>
        <v>-</v>
      </c>
      <c r="O34" s="953"/>
      <c r="P34" s="954"/>
      <c r="Q34" s="954"/>
      <c r="R34" s="1349" t="str">
        <f t="shared" si="4"/>
        <v>-</v>
      </c>
      <c r="S34" s="953"/>
      <c r="T34" s="954"/>
      <c r="U34" s="954"/>
      <c r="V34" s="1349" t="str">
        <f t="shared" si="5"/>
        <v>-</v>
      </c>
      <c r="W34" s="953"/>
      <c r="X34" s="954"/>
      <c r="Y34" s="954"/>
      <c r="Z34" s="1349" t="str">
        <f t="shared" si="6"/>
        <v>-</v>
      </c>
      <c r="AA34" s="953"/>
      <c r="AB34" s="954"/>
      <c r="AC34" s="954"/>
      <c r="AD34" s="1349" t="str">
        <f t="shared" si="7"/>
        <v>-</v>
      </c>
      <c r="AE34" s="1277">
        <f t="shared" si="12"/>
        <v>0</v>
      </c>
      <c r="AF34" s="1278">
        <f t="shared" si="12"/>
        <v>0</v>
      </c>
      <c r="AG34" s="1278">
        <f t="shared" si="12"/>
        <v>0</v>
      </c>
      <c r="AH34" s="1389" t="str">
        <f t="shared" si="8"/>
        <v>-</v>
      </c>
      <c r="AI34" s="953"/>
      <c r="AJ34" s="954"/>
      <c r="AK34" s="954"/>
      <c r="AL34" s="1349" t="str">
        <f t="shared" si="9"/>
        <v>-</v>
      </c>
      <c r="AM34" s="953"/>
      <c r="AN34" s="954"/>
      <c r="AO34" s="954"/>
      <c r="AP34" s="1349" t="str">
        <f t="shared" si="10"/>
        <v>-</v>
      </c>
      <c r="AQ34" s="953"/>
      <c r="AR34" s="954"/>
      <c r="AS34" s="954"/>
      <c r="AT34" s="1349" t="str">
        <f t="shared" si="11"/>
        <v>-</v>
      </c>
      <c r="AU34" s="464"/>
      <c r="AV34" s="464"/>
      <c r="AW34" s="464"/>
      <c r="AX34" s="464"/>
      <c r="AY34" s="464"/>
    </row>
    <row r="35" spans="1:51" s="470" customFormat="1">
      <c r="A35" s="504">
        <f t="shared" si="13"/>
        <v>28</v>
      </c>
      <c r="B35" s="791">
        <v>4</v>
      </c>
      <c r="C35" s="938" t="s">
        <v>707</v>
      </c>
      <c r="D35" s="896" t="s">
        <v>646</v>
      </c>
      <c r="E35" s="937" t="s">
        <v>1225</v>
      </c>
      <c r="F35" s="899" t="s">
        <v>646</v>
      </c>
      <c r="G35" s="1277">
        <f>+K35+AE35</f>
        <v>0</v>
      </c>
      <c r="H35" s="1278">
        <f>+L35+AF35</f>
        <v>0</v>
      </c>
      <c r="I35" s="1278">
        <f>+M35+AG35</f>
        <v>0</v>
      </c>
      <c r="J35" s="1389" t="str">
        <f t="shared" si="1"/>
        <v>-</v>
      </c>
      <c r="K35" s="1277">
        <f t="shared" si="2"/>
        <v>0</v>
      </c>
      <c r="L35" s="1278">
        <f t="shared" si="2"/>
        <v>0</v>
      </c>
      <c r="M35" s="1278">
        <f t="shared" si="2"/>
        <v>0</v>
      </c>
      <c r="N35" s="1389" t="str">
        <f t="shared" si="3"/>
        <v>-</v>
      </c>
      <c r="O35" s="953"/>
      <c r="P35" s="954"/>
      <c r="Q35" s="954"/>
      <c r="R35" s="1349" t="str">
        <f t="shared" si="4"/>
        <v>-</v>
      </c>
      <c r="S35" s="953"/>
      <c r="T35" s="954"/>
      <c r="U35" s="954"/>
      <c r="V35" s="1349" t="str">
        <f t="shared" si="5"/>
        <v>-</v>
      </c>
      <c r="W35" s="953"/>
      <c r="X35" s="954"/>
      <c r="Y35" s="954"/>
      <c r="Z35" s="1349" t="str">
        <f t="shared" si="6"/>
        <v>-</v>
      </c>
      <c r="AA35" s="953"/>
      <c r="AB35" s="954"/>
      <c r="AC35" s="954"/>
      <c r="AD35" s="1349" t="str">
        <f t="shared" si="7"/>
        <v>-</v>
      </c>
      <c r="AE35" s="1277">
        <f t="shared" si="12"/>
        <v>0</v>
      </c>
      <c r="AF35" s="1278">
        <f t="shared" si="12"/>
        <v>0</v>
      </c>
      <c r="AG35" s="1278">
        <f t="shared" si="12"/>
        <v>0</v>
      </c>
      <c r="AH35" s="1389" t="str">
        <f t="shared" si="8"/>
        <v>-</v>
      </c>
      <c r="AI35" s="953"/>
      <c r="AJ35" s="954"/>
      <c r="AK35" s="954"/>
      <c r="AL35" s="1349" t="str">
        <f t="shared" si="9"/>
        <v>-</v>
      </c>
      <c r="AM35" s="953"/>
      <c r="AN35" s="954"/>
      <c r="AO35" s="954"/>
      <c r="AP35" s="1349" t="str">
        <f t="shared" si="10"/>
        <v>-</v>
      </c>
      <c r="AQ35" s="953"/>
      <c r="AR35" s="954"/>
      <c r="AS35" s="954"/>
      <c r="AT35" s="1349" t="str">
        <f t="shared" si="11"/>
        <v>-</v>
      </c>
      <c r="AU35" s="464"/>
      <c r="AV35" s="464"/>
      <c r="AW35" s="464"/>
      <c r="AX35" s="464"/>
      <c r="AY35" s="464"/>
    </row>
    <row r="36" spans="1:51" s="470" customFormat="1">
      <c r="A36" s="504">
        <f t="shared" si="13"/>
        <v>29</v>
      </c>
      <c r="B36" s="791">
        <v>8</v>
      </c>
      <c r="C36" s="935" t="s">
        <v>699</v>
      </c>
      <c r="D36" s="900" t="s">
        <v>645</v>
      </c>
      <c r="E36" s="937" t="s">
        <v>1218</v>
      </c>
      <c r="F36" s="901" t="s">
        <v>645</v>
      </c>
      <c r="G36" s="1277">
        <f t="shared" si="0"/>
        <v>109542</v>
      </c>
      <c r="H36" s="1278">
        <f t="shared" si="0"/>
        <v>16009</v>
      </c>
      <c r="I36" s="1278">
        <f t="shared" si="0"/>
        <v>16009</v>
      </c>
      <c r="J36" s="1389">
        <f t="shared" si="1"/>
        <v>1</v>
      </c>
      <c r="K36" s="1277">
        <f t="shared" si="2"/>
        <v>67243</v>
      </c>
      <c r="L36" s="1278">
        <f t="shared" si="2"/>
        <v>16009</v>
      </c>
      <c r="M36" s="1278">
        <f t="shared" si="2"/>
        <v>16009</v>
      </c>
      <c r="N36" s="1389">
        <f t="shared" si="3"/>
        <v>1</v>
      </c>
      <c r="O36" s="953">
        <v>4900</v>
      </c>
      <c r="P36" s="954">
        <v>11845</v>
      </c>
      <c r="Q36" s="954">
        <v>11845</v>
      </c>
      <c r="R36" s="1349">
        <f t="shared" si="4"/>
        <v>1</v>
      </c>
      <c r="S36" s="953"/>
      <c r="T36" s="954"/>
      <c r="U36" s="954"/>
      <c r="V36" s="1349" t="str">
        <f t="shared" si="5"/>
        <v>-</v>
      </c>
      <c r="W36" s="953">
        <v>62343</v>
      </c>
      <c r="X36" s="954">
        <v>4164</v>
      </c>
      <c r="Y36" s="954">
        <v>4164</v>
      </c>
      <c r="Z36" s="1349">
        <f t="shared" si="6"/>
        <v>1</v>
      </c>
      <c r="AA36" s="953"/>
      <c r="AB36" s="954"/>
      <c r="AC36" s="954"/>
      <c r="AD36" s="1349" t="str">
        <f t="shared" si="7"/>
        <v>-</v>
      </c>
      <c r="AE36" s="1277">
        <f t="shared" si="12"/>
        <v>42299</v>
      </c>
      <c r="AF36" s="1278">
        <f t="shared" si="12"/>
        <v>0</v>
      </c>
      <c r="AG36" s="1278">
        <f t="shared" si="12"/>
        <v>0</v>
      </c>
      <c r="AH36" s="1389" t="str">
        <f t="shared" si="8"/>
        <v>-</v>
      </c>
      <c r="AI36" s="953">
        <v>2299</v>
      </c>
      <c r="AJ36" s="954">
        <v>0</v>
      </c>
      <c r="AK36" s="954"/>
      <c r="AL36" s="1349" t="str">
        <f t="shared" si="9"/>
        <v>-</v>
      </c>
      <c r="AM36" s="953">
        <v>40000</v>
      </c>
      <c r="AN36" s="954">
        <v>0</v>
      </c>
      <c r="AO36" s="954"/>
      <c r="AP36" s="1349" t="str">
        <f t="shared" si="10"/>
        <v>-</v>
      </c>
      <c r="AQ36" s="953"/>
      <c r="AR36" s="954"/>
      <c r="AS36" s="954"/>
      <c r="AT36" s="1349" t="str">
        <f t="shared" si="11"/>
        <v>-</v>
      </c>
      <c r="AU36" s="464"/>
      <c r="AV36" s="464"/>
      <c r="AW36" s="464"/>
      <c r="AX36" s="464"/>
      <c r="AY36" s="464"/>
    </row>
    <row r="37" spans="1:51" s="470" customFormat="1" ht="24">
      <c r="A37" s="504">
        <f t="shared" si="13"/>
        <v>30</v>
      </c>
      <c r="B37" s="790">
        <v>7</v>
      </c>
      <c r="C37" s="935" t="s">
        <v>696</v>
      </c>
      <c r="D37" s="900" t="s">
        <v>1251</v>
      </c>
      <c r="E37" s="937" t="s">
        <v>1240</v>
      </c>
      <c r="F37" s="901" t="s">
        <v>1242</v>
      </c>
      <c r="G37" s="1277">
        <f>+K37+AE37</f>
        <v>0</v>
      </c>
      <c r="H37" s="1278">
        <f>+L37+AF37</f>
        <v>0</v>
      </c>
      <c r="I37" s="1278">
        <f>+M37+AG37</f>
        <v>0</v>
      </c>
      <c r="J37" s="1389" t="str">
        <f t="shared" si="1"/>
        <v>-</v>
      </c>
      <c r="K37" s="1277">
        <f>+O37+S37+W37+AA37</f>
        <v>0</v>
      </c>
      <c r="L37" s="1278">
        <f>+P37+T37+X37+AB37</f>
        <v>0</v>
      </c>
      <c r="M37" s="1278">
        <f>+Q37+U37+Y37+AC37</f>
        <v>0</v>
      </c>
      <c r="N37" s="1389" t="str">
        <f t="shared" si="3"/>
        <v>-</v>
      </c>
      <c r="O37" s="953"/>
      <c r="P37" s="954"/>
      <c r="Q37" s="954"/>
      <c r="R37" s="1349" t="str">
        <f t="shared" si="4"/>
        <v>-</v>
      </c>
      <c r="S37" s="953"/>
      <c r="T37" s="954"/>
      <c r="U37" s="954"/>
      <c r="V37" s="1349" t="str">
        <f t="shared" si="5"/>
        <v>-</v>
      </c>
      <c r="W37" s="953"/>
      <c r="X37" s="954"/>
      <c r="Y37" s="954"/>
      <c r="Z37" s="1349" t="str">
        <f t="shared" si="6"/>
        <v>-</v>
      </c>
      <c r="AA37" s="953"/>
      <c r="AB37" s="954"/>
      <c r="AC37" s="954"/>
      <c r="AD37" s="1349" t="str">
        <f t="shared" si="7"/>
        <v>-</v>
      </c>
      <c r="AE37" s="1277">
        <f>+AI37+AM37+AQ37</f>
        <v>0</v>
      </c>
      <c r="AF37" s="1278">
        <f>+AJ37+AN37+AR37</f>
        <v>0</v>
      </c>
      <c r="AG37" s="1278">
        <f>+AK37+AO37+AS37</f>
        <v>0</v>
      </c>
      <c r="AH37" s="1389" t="str">
        <f t="shared" si="8"/>
        <v>-</v>
      </c>
      <c r="AI37" s="953"/>
      <c r="AJ37" s="954"/>
      <c r="AK37" s="954"/>
      <c r="AL37" s="1349" t="str">
        <f t="shared" si="9"/>
        <v>-</v>
      </c>
      <c r="AM37" s="953"/>
      <c r="AN37" s="954"/>
      <c r="AO37" s="954"/>
      <c r="AP37" s="1349" t="str">
        <f t="shared" si="10"/>
        <v>-</v>
      </c>
      <c r="AQ37" s="953"/>
      <c r="AR37" s="954"/>
      <c r="AS37" s="954"/>
      <c r="AT37" s="1349" t="str">
        <f t="shared" si="11"/>
        <v>-</v>
      </c>
      <c r="AU37" s="464"/>
      <c r="AV37" s="464"/>
      <c r="AW37" s="464"/>
      <c r="AX37" s="464"/>
      <c r="AY37" s="464"/>
    </row>
    <row r="38" spans="1:51" s="470" customFormat="1" ht="24">
      <c r="A38" s="504">
        <f t="shared" si="13"/>
        <v>31</v>
      </c>
      <c r="B38" s="790">
        <v>7</v>
      </c>
      <c r="C38" s="935" t="s">
        <v>696</v>
      </c>
      <c r="D38" s="900" t="s">
        <v>1251</v>
      </c>
      <c r="E38" s="937" t="s">
        <v>1240</v>
      </c>
      <c r="F38" s="901" t="s">
        <v>1243</v>
      </c>
      <c r="G38" s="1277">
        <f t="shared" si="0"/>
        <v>0</v>
      </c>
      <c r="H38" s="1278">
        <f t="shared" si="0"/>
        <v>0</v>
      </c>
      <c r="I38" s="1278">
        <f t="shared" si="0"/>
        <v>0</v>
      </c>
      <c r="J38" s="1389" t="str">
        <f t="shared" si="1"/>
        <v>-</v>
      </c>
      <c r="K38" s="1277">
        <f t="shared" si="2"/>
        <v>0</v>
      </c>
      <c r="L38" s="1278">
        <f t="shared" si="2"/>
        <v>0</v>
      </c>
      <c r="M38" s="1278">
        <f t="shared" si="2"/>
        <v>0</v>
      </c>
      <c r="N38" s="1389" t="str">
        <f t="shared" si="3"/>
        <v>-</v>
      </c>
      <c r="O38" s="953"/>
      <c r="P38" s="954"/>
      <c r="Q38" s="954"/>
      <c r="R38" s="1349" t="str">
        <f t="shared" si="4"/>
        <v>-</v>
      </c>
      <c r="S38" s="953"/>
      <c r="T38" s="954"/>
      <c r="U38" s="954"/>
      <c r="V38" s="1349" t="str">
        <f t="shared" si="5"/>
        <v>-</v>
      </c>
      <c r="W38" s="953"/>
      <c r="X38" s="954"/>
      <c r="Y38" s="954"/>
      <c r="Z38" s="1349" t="str">
        <f t="shared" si="6"/>
        <v>-</v>
      </c>
      <c r="AA38" s="953"/>
      <c r="AB38" s="954"/>
      <c r="AC38" s="954"/>
      <c r="AD38" s="1349" t="str">
        <f t="shared" si="7"/>
        <v>-</v>
      </c>
      <c r="AE38" s="1277">
        <f t="shared" si="12"/>
        <v>0</v>
      </c>
      <c r="AF38" s="1278">
        <f t="shared" si="12"/>
        <v>0</v>
      </c>
      <c r="AG38" s="1278">
        <f t="shared" si="12"/>
        <v>0</v>
      </c>
      <c r="AH38" s="1389" t="str">
        <f t="shared" si="8"/>
        <v>-</v>
      </c>
      <c r="AI38" s="953"/>
      <c r="AJ38" s="954"/>
      <c r="AK38" s="954"/>
      <c r="AL38" s="1349" t="str">
        <f t="shared" si="9"/>
        <v>-</v>
      </c>
      <c r="AM38" s="953"/>
      <c r="AN38" s="954"/>
      <c r="AO38" s="954"/>
      <c r="AP38" s="1349" t="str">
        <f t="shared" si="10"/>
        <v>-</v>
      </c>
      <c r="AQ38" s="953"/>
      <c r="AR38" s="954"/>
      <c r="AS38" s="954"/>
      <c r="AT38" s="1349" t="str">
        <f t="shared" si="11"/>
        <v>-</v>
      </c>
      <c r="AU38" s="464"/>
      <c r="AV38" s="464"/>
      <c r="AW38" s="464"/>
      <c r="AX38" s="464"/>
      <c r="AY38" s="464"/>
    </row>
    <row r="39" spans="1:51" s="470" customFormat="1" ht="24">
      <c r="A39" s="504">
        <f t="shared" si="13"/>
        <v>32</v>
      </c>
      <c r="B39" s="790">
        <v>7</v>
      </c>
      <c r="C39" s="935" t="s">
        <v>696</v>
      </c>
      <c r="D39" s="900" t="s">
        <v>1251</v>
      </c>
      <c r="E39" s="937" t="s">
        <v>1240</v>
      </c>
      <c r="F39" s="901" t="s">
        <v>1244</v>
      </c>
      <c r="G39" s="1277">
        <f t="shared" si="0"/>
        <v>0</v>
      </c>
      <c r="H39" s="1278">
        <f t="shared" si="0"/>
        <v>0</v>
      </c>
      <c r="I39" s="1278">
        <f t="shared" si="0"/>
        <v>0</v>
      </c>
      <c r="J39" s="1389" t="str">
        <f t="shared" si="1"/>
        <v>-</v>
      </c>
      <c r="K39" s="1277">
        <f t="shared" si="2"/>
        <v>0</v>
      </c>
      <c r="L39" s="1278">
        <f t="shared" si="2"/>
        <v>0</v>
      </c>
      <c r="M39" s="1278">
        <f t="shared" si="2"/>
        <v>0</v>
      </c>
      <c r="N39" s="1389" t="str">
        <f t="shared" si="3"/>
        <v>-</v>
      </c>
      <c r="O39" s="953"/>
      <c r="P39" s="954"/>
      <c r="Q39" s="954"/>
      <c r="R39" s="1349" t="str">
        <f t="shared" si="4"/>
        <v>-</v>
      </c>
      <c r="S39" s="953"/>
      <c r="T39" s="954"/>
      <c r="U39" s="954"/>
      <c r="V39" s="1349" t="str">
        <f t="shared" si="5"/>
        <v>-</v>
      </c>
      <c r="W39" s="953"/>
      <c r="X39" s="954"/>
      <c r="Y39" s="954"/>
      <c r="Z39" s="1349" t="str">
        <f t="shared" si="6"/>
        <v>-</v>
      </c>
      <c r="AA39" s="953"/>
      <c r="AB39" s="954"/>
      <c r="AC39" s="954"/>
      <c r="AD39" s="1349" t="str">
        <f t="shared" si="7"/>
        <v>-</v>
      </c>
      <c r="AE39" s="1277">
        <f t="shared" si="12"/>
        <v>0</v>
      </c>
      <c r="AF39" s="1278">
        <f t="shared" si="12"/>
        <v>0</v>
      </c>
      <c r="AG39" s="1278">
        <f t="shared" si="12"/>
        <v>0</v>
      </c>
      <c r="AH39" s="1389" t="str">
        <f t="shared" si="8"/>
        <v>-</v>
      </c>
      <c r="AI39" s="953"/>
      <c r="AJ39" s="954"/>
      <c r="AK39" s="954"/>
      <c r="AL39" s="1349" t="str">
        <f t="shared" si="9"/>
        <v>-</v>
      </c>
      <c r="AM39" s="953"/>
      <c r="AN39" s="954"/>
      <c r="AO39" s="954"/>
      <c r="AP39" s="1349" t="str">
        <f t="shared" si="10"/>
        <v>-</v>
      </c>
      <c r="AQ39" s="953"/>
      <c r="AR39" s="954"/>
      <c r="AS39" s="954"/>
      <c r="AT39" s="1349" t="str">
        <f t="shared" si="11"/>
        <v>-</v>
      </c>
      <c r="AU39" s="464"/>
      <c r="AV39" s="464"/>
      <c r="AW39" s="464"/>
      <c r="AX39" s="464"/>
      <c r="AY39" s="464"/>
    </row>
    <row r="40" spans="1:51" s="470" customFormat="1" ht="24">
      <c r="A40" s="504">
        <f t="shared" si="13"/>
        <v>33</v>
      </c>
      <c r="B40" s="790">
        <v>7</v>
      </c>
      <c r="C40" s="935" t="s">
        <v>1247</v>
      </c>
      <c r="D40" s="900" t="s">
        <v>1245</v>
      </c>
      <c r="E40" s="937" t="s">
        <v>1218</v>
      </c>
      <c r="F40" s="901" t="s">
        <v>1246</v>
      </c>
      <c r="G40" s="1277">
        <f t="shared" si="0"/>
        <v>0</v>
      </c>
      <c r="H40" s="1278">
        <f t="shared" si="0"/>
        <v>0</v>
      </c>
      <c r="I40" s="1278">
        <f t="shared" si="0"/>
        <v>0</v>
      </c>
      <c r="J40" s="1389" t="str">
        <f t="shared" si="1"/>
        <v>-</v>
      </c>
      <c r="K40" s="1277">
        <f t="shared" si="2"/>
        <v>0</v>
      </c>
      <c r="L40" s="1278">
        <f t="shared" si="2"/>
        <v>0</v>
      </c>
      <c r="M40" s="1278">
        <f t="shared" si="2"/>
        <v>0</v>
      </c>
      <c r="N40" s="1389" t="str">
        <f t="shared" si="3"/>
        <v>-</v>
      </c>
      <c r="O40" s="953"/>
      <c r="P40" s="954"/>
      <c r="Q40" s="954"/>
      <c r="R40" s="1349" t="str">
        <f t="shared" si="4"/>
        <v>-</v>
      </c>
      <c r="S40" s="953"/>
      <c r="T40" s="954"/>
      <c r="U40" s="954"/>
      <c r="V40" s="1349" t="str">
        <f t="shared" si="5"/>
        <v>-</v>
      </c>
      <c r="W40" s="953"/>
      <c r="X40" s="954"/>
      <c r="Y40" s="954"/>
      <c r="Z40" s="1349" t="str">
        <f t="shared" si="6"/>
        <v>-</v>
      </c>
      <c r="AA40" s="953"/>
      <c r="AB40" s="954"/>
      <c r="AC40" s="954"/>
      <c r="AD40" s="1349" t="str">
        <f t="shared" si="7"/>
        <v>-</v>
      </c>
      <c r="AE40" s="1277">
        <f t="shared" si="12"/>
        <v>0</v>
      </c>
      <c r="AF40" s="1278">
        <f t="shared" si="12"/>
        <v>0</v>
      </c>
      <c r="AG40" s="1278">
        <f t="shared" si="12"/>
        <v>0</v>
      </c>
      <c r="AH40" s="1389" t="str">
        <f t="shared" si="8"/>
        <v>-</v>
      </c>
      <c r="AI40" s="953"/>
      <c r="AJ40" s="954"/>
      <c r="AK40" s="954"/>
      <c r="AL40" s="1349" t="str">
        <f t="shared" si="9"/>
        <v>-</v>
      </c>
      <c r="AM40" s="953"/>
      <c r="AN40" s="954"/>
      <c r="AO40" s="954"/>
      <c r="AP40" s="1349" t="str">
        <f t="shared" si="10"/>
        <v>-</v>
      </c>
      <c r="AQ40" s="953"/>
      <c r="AR40" s="954"/>
      <c r="AS40" s="954"/>
      <c r="AT40" s="1349" t="str">
        <f t="shared" si="11"/>
        <v>-</v>
      </c>
      <c r="AU40" s="464"/>
      <c r="AV40" s="464"/>
      <c r="AW40" s="464"/>
      <c r="AX40" s="464"/>
      <c r="AY40" s="464"/>
    </row>
    <row r="41" spans="1:51" s="470" customFormat="1" ht="24">
      <c r="A41" s="504">
        <f t="shared" si="13"/>
        <v>34</v>
      </c>
      <c r="B41" s="790">
        <v>7</v>
      </c>
      <c r="C41" s="935" t="s">
        <v>1072</v>
      </c>
      <c r="D41" s="900" t="s">
        <v>1250</v>
      </c>
      <c r="E41" s="937" t="s">
        <v>1218</v>
      </c>
      <c r="F41" s="901" t="s">
        <v>1249</v>
      </c>
      <c r="G41" s="1277">
        <f t="shared" ref="G41:I43" si="14">+K41+AE41</f>
        <v>0</v>
      </c>
      <c r="H41" s="1278">
        <f t="shared" si="14"/>
        <v>0</v>
      </c>
      <c r="I41" s="1278">
        <f t="shared" si="14"/>
        <v>0</v>
      </c>
      <c r="J41" s="1389" t="str">
        <f t="shared" si="1"/>
        <v>-</v>
      </c>
      <c r="K41" s="1277">
        <f t="shared" ref="K41:M43" si="15">+O41+S41+W41+AA41</f>
        <v>0</v>
      </c>
      <c r="L41" s="1278">
        <f t="shared" si="15"/>
        <v>0</v>
      </c>
      <c r="M41" s="1278">
        <f t="shared" si="15"/>
        <v>0</v>
      </c>
      <c r="N41" s="1389" t="str">
        <f t="shared" si="3"/>
        <v>-</v>
      </c>
      <c r="O41" s="953"/>
      <c r="P41" s="954"/>
      <c r="Q41" s="954"/>
      <c r="R41" s="1349" t="str">
        <f t="shared" si="4"/>
        <v>-</v>
      </c>
      <c r="S41" s="953"/>
      <c r="T41" s="954"/>
      <c r="U41" s="954"/>
      <c r="V41" s="1349" t="str">
        <f t="shared" si="5"/>
        <v>-</v>
      </c>
      <c r="W41" s="953"/>
      <c r="X41" s="954"/>
      <c r="Y41" s="954"/>
      <c r="Z41" s="1349" t="str">
        <f t="shared" si="6"/>
        <v>-</v>
      </c>
      <c r="AA41" s="953"/>
      <c r="AB41" s="954"/>
      <c r="AC41" s="954"/>
      <c r="AD41" s="1349" t="str">
        <f t="shared" si="7"/>
        <v>-</v>
      </c>
      <c r="AE41" s="1277">
        <f t="shared" ref="AE41:AG43" si="16">+AI41+AM41+AQ41</f>
        <v>0</v>
      </c>
      <c r="AF41" s="1278">
        <f t="shared" si="16"/>
        <v>0</v>
      </c>
      <c r="AG41" s="1278">
        <f t="shared" si="16"/>
        <v>0</v>
      </c>
      <c r="AH41" s="1389" t="str">
        <f t="shared" si="8"/>
        <v>-</v>
      </c>
      <c r="AI41" s="953"/>
      <c r="AJ41" s="954"/>
      <c r="AK41" s="954"/>
      <c r="AL41" s="1349" t="str">
        <f t="shared" si="9"/>
        <v>-</v>
      </c>
      <c r="AM41" s="953"/>
      <c r="AN41" s="954"/>
      <c r="AO41" s="954"/>
      <c r="AP41" s="1349" t="str">
        <f t="shared" si="10"/>
        <v>-</v>
      </c>
      <c r="AQ41" s="953"/>
      <c r="AR41" s="954"/>
      <c r="AS41" s="954"/>
      <c r="AT41" s="1349" t="str">
        <f t="shared" si="11"/>
        <v>-</v>
      </c>
      <c r="AU41" s="464"/>
      <c r="AV41" s="464"/>
      <c r="AW41" s="464"/>
      <c r="AX41" s="464"/>
      <c r="AY41" s="464"/>
    </row>
    <row r="42" spans="1:51" s="470" customFormat="1" ht="24">
      <c r="A42" s="504">
        <f t="shared" si="13"/>
        <v>35</v>
      </c>
      <c r="B42" s="790">
        <v>7</v>
      </c>
      <c r="C42" s="935" t="s">
        <v>1252</v>
      </c>
      <c r="D42" s="900" t="s">
        <v>1253</v>
      </c>
      <c r="E42" s="937" t="s">
        <v>1218</v>
      </c>
      <c r="F42" s="901" t="s">
        <v>1254</v>
      </c>
      <c r="G42" s="1277">
        <f t="shared" si="14"/>
        <v>0</v>
      </c>
      <c r="H42" s="1278">
        <f t="shared" si="14"/>
        <v>0</v>
      </c>
      <c r="I42" s="1278">
        <f t="shared" si="14"/>
        <v>0</v>
      </c>
      <c r="J42" s="1389" t="str">
        <f t="shared" si="1"/>
        <v>-</v>
      </c>
      <c r="K42" s="1277">
        <f t="shared" si="15"/>
        <v>0</v>
      </c>
      <c r="L42" s="1278">
        <f t="shared" si="15"/>
        <v>0</v>
      </c>
      <c r="M42" s="1278">
        <f t="shared" si="15"/>
        <v>0</v>
      </c>
      <c r="N42" s="1389" t="str">
        <f t="shared" si="3"/>
        <v>-</v>
      </c>
      <c r="O42" s="953"/>
      <c r="P42" s="954"/>
      <c r="Q42" s="954"/>
      <c r="R42" s="1349" t="str">
        <f t="shared" si="4"/>
        <v>-</v>
      </c>
      <c r="S42" s="953"/>
      <c r="T42" s="954"/>
      <c r="U42" s="954"/>
      <c r="V42" s="1349" t="str">
        <f t="shared" si="5"/>
        <v>-</v>
      </c>
      <c r="W42" s="953"/>
      <c r="X42" s="954"/>
      <c r="Y42" s="954"/>
      <c r="Z42" s="1349" t="str">
        <f t="shared" si="6"/>
        <v>-</v>
      </c>
      <c r="AA42" s="953"/>
      <c r="AB42" s="954"/>
      <c r="AC42" s="954"/>
      <c r="AD42" s="1349" t="str">
        <f t="shared" si="7"/>
        <v>-</v>
      </c>
      <c r="AE42" s="1277">
        <f t="shared" si="16"/>
        <v>0</v>
      </c>
      <c r="AF42" s="1278">
        <f t="shared" si="16"/>
        <v>0</v>
      </c>
      <c r="AG42" s="1278">
        <f t="shared" si="16"/>
        <v>0</v>
      </c>
      <c r="AH42" s="1389" t="str">
        <f t="shared" si="8"/>
        <v>-</v>
      </c>
      <c r="AI42" s="953"/>
      <c r="AJ42" s="954"/>
      <c r="AK42" s="954"/>
      <c r="AL42" s="1349" t="str">
        <f t="shared" si="9"/>
        <v>-</v>
      </c>
      <c r="AM42" s="953"/>
      <c r="AN42" s="954"/>
      <c r="AO42" s="954"/>
      <c r="AP42" s="1349" t="str">
        <f t="shared" si="10"/>
        <v>-</v>
      </c>
      <c r="AQ42" s="953"/>
      <c r="AR42" s="954"/>
      <c r="AS42" s="954"/>
      <c r="AT42" s="1349" t="str">
        <f t="shared" si="11"/>
        <v>-</v>
      </c>
      <c r="AU42" s="464"/>
      <c r="AV42" s="464"/>
      <c r="AW42" s="464"/>
      <c r="AX42" s="464"/>
      <c r="AY42" s="464"/>
    </row>
    <row r="43" spans="1:51" s="470" customFormat="1" ht="24">
      <c r="A43" s="504">
        <f t="shared" si="13"/>
        <v>36</v>
      </c>
      <c r="B43" s="790">
        <v>7</v>
      </c>
      <c r="C43" s="935" t="s">
        <v>704</v>
      </c>
      <c r="D43" s="900" t="s">
        <v>1256</v>
      </c>
      <c r="E43" s="937" t="s">
        <v>1221</v>
      </c>
      <c r="F43" s="901" t="s">
        <v>1255</v>
      </c>
      <c r="G43" s="1277">
        <f t="shared" si="14"/>
        <v>0</v>
      </c>
      <c r="H43" s="1278">
        <f t="shared" si="14"/>
        <v>0</v>
      </c>
      <c r="I43" s="1278">
        <f t="shared" si="14"/>
        <v>0</v>
      </c>
      <c r="J43" s="1389" t="str">
        <f t="shared" si="1"/>
        <v>-</v>
      </c>
      <c r="K43" s="1277">
        <f t="shared" si="15"/>
        <v>0</v>
      </c>
      <c r="L43" s="1278">
        <f t="shared" si="15"/>
        <v>0</v>
      </c>
      <c r="M43" s="1278">
        <f t="shared" si="15"/>
        <v>0</v>
      </c>
      <c r="N43" s="1389" t="str">
        <f t="shared" si="3"/>
        <v>-</v>
      </c>
      <c r="O43" s="953"/>
      <c r="P43" s="954"/>
      <c r="Q43" s="954"/>
      <c r="R43" s="1349" t="str">
        <f t="shared" si="4"/>
        <v>-</v>
      </c>
      <c r="S43" s="953"/>
      <c r="T43" s="954"/>
      <c r="U43" s="954"/>
      <c r="V43" s="1349" t="str">
        <f t="shared" si="5"/>
        <v>-</v>
      </c>
      <c r="W43" s="953"/>
      <c r="X43" s="954"/>
      <c r="Y43" s="954"/>
      <c r="Z43" s="1349" t="str">
        <f t="shared" si="6"/>
        <v>-</v>
      </c>
      <c r="AA43" s="953"/>
      <c r="AB43" s="954"/>
      <c r="AC43" s="954"/>
      <c r="AD43" s="1349" t="str">
        <f t="shared" si="7"/>
        <v>-</v>
      </c>
      <c r="AE43" s="1277">
        <f t="shared" si="16"/>
        <v>0</v>
      </c>
      <c r="AF43" s="1278">
        <f t="shared" si="16"/>
        <v>0</v>
      </c>
      <c r="AG43" s="1278">
        <f t="shared" si="16"/>
        <v>0</v>
      </c>
      <c r="AH43" s="1389" t="str">
        <f t="shared" si="8"/>
        <v>-</v>
      </c>
      <c r="AI43" s="953"/>
      <c r="AJ43" s="954"/>
      <c r="AK43" s="954"/>
      <c r="AL43" s="1349" t="str">
        <f t="shared" si="9"/>
        <v>-</v>
      </c>
      <c r="AM43" s="953"/>
      <c r="AN43" s="954"/>
      <c r="AO43" s="954"/>
      <c r="AP43" s="1349" t="str">
        <f t="shared" si="10"/>
        <v>-</v>
      </c>
      <c r="AQ43" s="953"/>
      <c r="AR43" s="954"/>
      <c r="AS43" s="954"/>
      <c r="AT43" s="1349" t="str">
        <f t="shared" si="11"/>
        <v>-</v>
      </c>
      <c r="AU43" s="464"/>
      <c r="AV43" s="464"/>
      <c r="AW43" s="464"/>
      <c r="AX43" s="464"/>
      <c r="AY43" s="464"/>
    </row>
    <row r="44" spans="1:51" s="470" customFormat="1">
      <c r="A44" s="504">
        <f t="shared" si="13"/>
        <v>37</v>
      </c>
      <c r="B44" s="790">
        <v>7</v>
      </c>
      <c r="C44" s="938" t="s">
        <v>1257</v>
      </c>
      <c r="D44" s="896" t="s">
        <v>1259</v>
      </c>
      <c r="E44" s="937" t="s">
        <v>1218</v>
      </c>
      <c r="F44" s="899" t="s">
        <v>1258</v>
      </c>
      <c r="G44" s="1277">
        <f t="shared" si="0"/>
        <v>0</v>
      </c>
      <c r="H44" s="1278">
        <f t="shared" si="0"/>
        <v>0</v>
      </c>
      <c r="I44" s="1278">
        <f t="shared" si="0"/>
        <v>0</v>
      </c>
      <c r="J44" s="1389" t="str">
        <f t="shared" si="1"/>
        <v>-</v>
      </c>
      <c r="K44" s="1277">
        <f t="shared" si="2"/>
        <v>0</v>
      </c>
      <c r="L44" s="1278">
        <f t="shared" si="2"/>
        <v>0</v>
      </c>
      <c r="M44" s="1278">
        <f t="shared" si="2"/>
        <v>0</v>
      </c>
      <c r="N44" s="1389" t="str">
        <f t="shared" si="3"/>
        <v>-</v>
      </c>
      <c r="O44" s="953"/>
      <c r="P44" s="954"/>
      <c r="Q44" s="954"/>
      <c r="R44" s="1349" t="str">
        <f t="shared" si="4"/>
        <v>-</v>
      </c>
      <c r="S44" s="953"/>
      <c r="T44" s="954"/>
      <c r="U44" s="954"/>
      <c r="V44" s="1349" t="str">
        <f t="shared" si="5"/>
        <v>-</v>
      </c>
      <c r="W44" s="953"/>
      <c r="X44" s="954"/>
      <c r="Y44" s="954"/>
      <c r="Z44" s="1349" t="str">
        <f t="shared" si="6"/>
        <v>-</v>
      </c>
      <c r="AA44" s="953"/>
      <c r="AB44" s="954"/>
      <c r="AC44" s="954"/>
      <c r="AD44" s="1349" t="str">
        <f t="shared" si="7"/>
        <v>-</v>
      </c>
      <c r="AE44" s="1277">
        <f t="shared" si="12"/>
        <v>0</v>
      </c>
      <c r="AF44" s="1278">
        <f t="shared" si="12"/>
        <v>0</v>
      </c>
      <c r="AG44" s="1278">
        <f t="shared" si="12"/>
        <v>0</v>
      </c>
      <c r="AH44" s="1389" t="str">
        <f t="shared" si="8"/>
        <v>-</v>
      </c>
      <c r="AI44" s="953"/>
      <c r="AJ44" s="954"/>
      <c r="AK44" s="954"/>
      <c r="AL44" s="1349" t="str">
        <f t="shared" si="9"/>
        <v>-</v>
      </c>
      <c r="AM44" s="953"/>
      <c r="AN44" s="954"/>
      <c r="AO44" s="954"/>
      <c r="AP44" s="1349" t="str">
        <f t="shared" si="10"/>
        <v>-</v>
      </c>
      <c r="AQ44" s="953"/>
      <c r="AR44" s="954"/>
      <c r="AS44" s="954"/>
      <c r="AT44" s="1349" t="str">
        <f t="shared" si="11"/>
        <v>-</v>
      </c>
      <c r="AU44" s="464"/>
      <c r="AV44" s="464"/>
      <c r="AW44" s="464"/>
      <c r="AX44" s="464"/>
      <c r="AY44" s="464"/>
    </row>
    <row r="45" spans="1:51" s="470" customFormat="1">
      <c r="A45" s="504">
        <f t="shared" si="13"/>
        <v>38</v>
      </c>
      <c r="B45" s="790">
        <v>7</v>
      </c>
      <c r="C45" s="938" t="s">
        <v>1257</v>
      </c>
      <c r="D45" s="896" t="s">
        <v>1259</v>
      </c>
      <c r="E45" s="937" t="s">
        <v>1218</v>
      </c>
      <c r="F45" s="899" t="s">
        <v>2788</v>
      </c>
      <c r="G45" s="1277">
        <f>+K45+AE45</f>
        <v>0</v>
      </c>
      <c r="H45" s="1278">
        <f>+L45+AF45</f>
        <v>16882</v>
      </c>
      <c r="I45" s="1278">
        <f>+M45+AG45</f>
        <v>16882</v>
      </c>
      <c r="J45" s="1389">
        <f>IF(ISERROR(I45/H45),"-",I45/H45)</f>
        <v>1</v>
      </c>
      <c r="K45" s="1277">
        <f>+O45+S45+W45+AA45</f>
        <v>0</v>
      </c>
      <c r="L45" s="1278">
        <f>+P45+T45+X45+AB45</f>
        <v>16882</v>
      </c>
      <c r="M45" s="1278">
        <f>+Q45+U45+Y45+AC45</f>
        <v>16882</v>
      </c>
      <c r="N45" s="1389">
        <f>IF(ISERROR(M45/L45),"-",M45/L45)</f>
        <v>1</v>
      </c>
      <c r="O45" s="953"/>
      <c r="P45" s="954">
        <v>16882</v>
      </c>
      <c r="Q45" s="954">
        <v>16882</v>
      </c>
      <c r="R45" s="1349">
        <f>IF(ISERROR(Q45/P45),"-",Q45/P45)</f>
        <v>1</v>
      </c>
      <c r="S45" s="953"/>
      <c r="T45" s="954"/>
      <c r="U45" s="954"/>
      <c r="V45" s="1349" t="str">
        <f>IF(ISERROR(U45/T45),"-",U45/T45)</f>
        <v>-</v>
      </c>
      <c r="W45" s="953"/>
      <c r="X45" s="954"/>
      <c r="Y45" s="954"/>
      <c r="Z45" s="1349" t="str">
        <f>IF(ISERROR(Y45/X45),"-",Y45/X45)</f>
        <v>-</v>
      </c>
      <c r="AA45" s="953"/>
      <c r="AB45" s="954"/>
      <c r="AC45" s="954"/>
      <c r="AD45" s="1349" t="str">
        <f>IF(ISERROR(AC45/AB45),"-",AC45/AB45)</f>
        <v>-</v>
      </c>
      <c r="AE45" s="1277">
        <f>+AI45+AM45+AQ45</f>
        <v>0</v>
      </c>
      <c r="AF45" s="1278">
        <f>+AJ45+AN45+AR45</f>
        <v>0</v>
      </c>
      <c r="AG45" s="1278">
        <f>+AK45+AO45+AS45</f>
        <v>0</v>
      </c>
      <c r="AH45" s="1389" t="str">
        <f>IF(ISERROR(AG45/AF45),"-",AG45/AF45)</f>
        <v>-</v>
      </c>
      <c r="AI45" s="953"/>
      <c r="AJ45" s="954"/>
      <c r="AK45" s="954"/>
      <c r="AL45" s="1349" t="str">
        <f>IF(ISERROR(AK45/AJ45),"-",AK45/AJ45)</f>
        <v>-</v>
      </c>
      <c r="AM45" s="953"/>
      <c r="AN45" s="954"/>
      <c r="AO45" s="954"/>
      <c r="AP45" s="1349" t="str">
        <f>IF(ISERROR(AO45/AN45),"-",AO45/AN45)</f>
        <v>-</v>
      </c>
      <c r="AQ45" s="953"/>
      <c r="AR45" s="954"/>
      <c r="AS45" s="954"/>
      <c r="AT45" s="1349" t="str">
        <f>IF(ISERROR(AS45/AR45),"-",AS45/AR45)</f>
        <v>-</v>
      </c>
      <c r="AU45" s="464"/>
      <c r="AV45" s="464"/>
      <c r="AW45" s="464"/>
      <c r="AX45" s="464"/>
      <c r="AY45" s="464"/>
    </row>
    <row r="46" spans="1:51" s="470" customFormat="1">
      <c r="A46" s="504">
        <f t="shared" si="13"/>
        <v>39</v>
      </c>
      <c r="B46" s="790">
        <v>7</v>
      </c>
      <c r="C46" s="938" t="s">
        <v>704</v>
      </c>
      <c r="D46" s="896" t="s">
        <v>1261</v>
      </c>
      <c r="E46" s="937" t="s">
        <v>1221</v>
      </c>
      <c r="F46" s="899" t="s">
        <v>1260</v>
      </c>
      <c r="G46" s="1277">
        <f t="shared" si="0"/>
        <v>0</v>
      </c>
      <c r="H46" s="1278">
        <f t="shared" si="0"/>
        <v>0</v>
      </c>
      <c r="I46" s="1278">
        <f t="shared" si="0"/>
        <v>0</v>
      </c>
      <c r="J46" s="1389" t="str">
        <f t="shared" si="1"/>
        <v>-</v>
      </c>
      <c r="K46" s="1277">
        <f t="shared" si="2"/>
        <v>0</v>
      </c>
      <c r="L46" s="1278">
        <f t="shared" si="2"/>
        <v>0</v>
      </c>
      <c r="M46" s="1278">
        <f t="shared" si="2"/>
        <v>0</v>
      </c>
      <c r="N46" s="1389" t="str">
        <f t="shared" si="3"/>
        <v>-</v>
      </c>
      <c r="O46" s="953"/>
      <c r="P46" s="954"/>
      <c r="Q46" s="954"/>
      <c r="R46" s="1349" t="str">
        <f t="shared" si="4"/>
        <v>-</v>
      </c>
      <c r="S46" s="953"/>
      <c r="T46" s="954"/>
      <c r="U46" s="954"/>
      <c r="V46" s="1349" t="str">
        <f t="shared" si="5"/>
        <v>-</v>
      </c>
      <c r="W46" s="953"/>
      <c r="X46" s="954"/>
      <c r="Y46" s="954"/>
      <c r="Z46" s="1349" t="str">
        <f t="shared" si="6"/>
        <v>-</v>
      </c>
      <c r="AA46" s="953"/>
      <c r="AB46" s="954"/>
      <c r="AC46" s="954"/>
      <c r="AD46" s="1349" t="str">
        <f t="shared" si="7"/>
        <v>-</v>
      </c>
      <c r="AE46" s="1277">
        <f t="shared" si="12"/>
        <v>0</v>
      </c>
      <c r="AF46" s="1278">
        <f t="shared" si="12"/>
        <v>0</v>
      </c>
      <c r="AG46" s="1278">
        <f t="shared" si="12"/>
        <v>0</v>
      </c>
      <c r="AH46" s="1389" t="str">
        <f t="shared" si="8"/>
        <v>-</v>
      </c>
      <c r="AI46" s="953"/>
      <c r="AJ46" s="954"/>
      <c r="AK46" s="954"/>
      <c r="AL46" s="1349" t="str">
        <f t="shared" si="9"/>
        <v>-</v>
      </c>
      <c r="AM46" s="953"/>
      <c r="AN46" s="954"/>
      <c r="AO46" s="954"/>
      <c r="AP46" s="1349" t="str">
        <f t="shared" si="10"/>
        <v>-</v>
      </c>
      <c r="AQ46" s="953"/>
      <c r="AR46" s="954"/>
      <c r="AS46" s="954"/>
      <c r="AT46" s="1349" t="str">
        <f t="shared" si="11"/>
        <v>-</v>
      </c>
      <c r="AU46" s="464"/>
      <c r="AV46" s="464"/>
      <c r="AW46" s="464"/>
      <c r="AX46" s="464"/>
      <c r="AY46" s="464"/>
    </row>
    <row r="47" spans="1:51" s="470" customFormat="1">
      <c r="A47" s="504">
        <f t="shared" si="13"/>
        <v>40</v>
      </c>
      <c r="B47" s="790">
        <v>7</v>
      </c>
      <c r="C47" s="938" t="s">
        <v>1019</v>
      </c>
      <c r="D47" s="896" t="s">
        <v>1262</v>
      </c>
      <c r="E47" s="937" t="s">
        <v>1238</v>
      </c>
      <c r="F47" s="899" t="s">
        <v>1263</v>
      </c>
      <c r="G47" s="1277">
        <f t="shared" si="0"/>
        <v>0</v>
      </c>
      <c r="H47" s="1278">
        <f t="shared" si="0"/>
        <v>12873</v>
      </c>
      <c r="I47" s="1278">
        <f t="shared" si="0"/>
        <v>12873</v>
      </c>
      <c r="J47" s="1389">
        <f t="shared" si="1"/>
        <v>1</v>
      </c>
      <c r="K47" s="1277">
        <f t="shared" si="2"/>
        <v>0</v>
      </c>
      <c r="L47" s="1278">
        <f t="shared" si="2"/>
        <v>12873</v>
      </c>
      <c r="M47" s="1278">
        <f t="shared" si="2"/>
        <v>12873</v>
      </c>
      <c r="N47" s="1389">
        <f t="shared" si="3"/>
        <v>1</v>
      </c>
      <c r="O47" s="953"/>
      <c r="P47" s="954"/>
      <c r="Q47" s="954"/>
      <c r="R47" s="1349" t="str">
        <f t="shared" si="4"/>
        <v>-</v>
      </c>
      <c r="S47" s="953"/>
      <c r="T47" s="954"/>
      <c r="U47" s="954"/>
      <c r="V47" s="1349" t="str">
        <f t="shared" si="5"/>
        <v>-</v>
      </c>
      <c r="W47" s="953"/>
      <c r="X47" s="954">
        <v>12873</v>
      </c>
      <c r="Y47" s="954">
        <v>12873</v>
      </c>
      <c r="Z47" s="1349">
        <f t="shared" si="6"/>
        <v>1</v>
      </c>
      <c r="AA47" s="953"/>
      <c r="AB47" s="954"/>
      <c r="AC47" s="954"/>
      <c r="AD47" s="1349" t="str">
        <f t="shared" si="7"/>
        <v>-</v>
      </c>
      <c r="AE47" s="1277">
        <f t="shared" si="12"/>
        <v>0</v>
      </c>
      <c r="AF47" s="1278">
        <f t="shared" si="12"/>
        <v>0</v>
      </c>
      <c r="AG47" s="1278">
        <f t="shared" si="12"/>
        <v>0</v>
      </c>
      <c r="AH47" s="1389" t="str">
        <f t="shared" si="8"/>
        <v>-</v>
      </c>
      <c r="AI47" s="953"/>
      <c r="AJ47" s="954"/>
      <c r="AK47" s="954"/>
      <c r="AL47" s="1349" t="str">
        <f t="shared" si="9"/>
        <v>-</v>
      </c>
      <c r="AM47" s="953"/>
      <c r="AN47" s="954"/>
      <c r="AO47" s="954"/>
      <c r="AP47" s="1349" t="str">
        <f t="shared" si="10"/>
        <v>-</v>
      </c>
      <c r="AQ47" s="953"/>
      <c r="AR47" s="954"/>
      <c r="AS47" s="954"/>
      <c r="AT47" s="1349" t="str">
        <f t="shared" si="11"/>
        <v>-</v>
      </c>
      <c r="AU47" s="464"/>
      <c r="AV47" s="464"/>
      <c r="AW47" s="464"/>
      <c r="AX47" s="464"/>
      <c r="AY47" s="464"/>
    </row>
    <row r="48" spans="1:51">
      <c r="A48" s="504">
        <f t="shared" si="13"/>
        <v>41</v>
      </c>
      <c r="B48" s="790">
        <v>7</v>
      </c>
      <c r="C48" s="938" t="s">
        <v>699</v>
      </c>
      <c r="D48" s="896" t="s">
        <v>1168</v>
      </c>
      <c r="E48" s="941" t="s">
        <v>1218</v>
      </c>
      <c r="F48" s="899" t="s">
        <v>1169</v>
      </c>
      <c r="G48" s="1277">
        <f t="shared" si="0"/>
        <v>0</v>
      </c>
      <c r="H48" s="1278">
        <f t="shared" si="0"/>
        <v>105307</v>
      </c>
      <c r="I48" s="1278">
        <f t="shared" si="0"/>
        <v>105307</v>
      </c>
      <c r="J48" s="1389">
        <f t="shared" si="1"/>
        <v>1</v>
      </c>
      <c r="K48" s="1277">
        <f t="shared" si="2"/>
        <v>0</v>
      </c>
      <c r="L48" s="1278">
        <f t="shared" si="2"/>
        <v>0</v>
      </c>
      <c r="M48" s="1278">
        <f t="shared" si="2"/>
        <v>0</v>
      </c>
      <c r="N48" s="1389" t="str">
        <f t="shared" si="3"/>
        <v>-</v>
      </c>
      <c r="O48" s="953"/>
      <c r="P48" s="954"/>
      <c r="Q48" s="954"/>
      <c r="R48" s="1349" t="str">
        <f t="shared" si="4"/>
        <v>-</v>
      </c>
      <c r="S48" s="953"/>
      <c r="T48" s="954"/>
      <c r="U48" s="954"/>
      <c r="V48" s="1349" t="str">
        <f t="shared" si="5"/>
        <v>-</v>
      </c>
      <c r="W48" s="953"/>
      <c r="X48" s="954"/>
      <c r="Y48" s="954"/>
      <c r="Z48" s="1349" t="str">
        <f t="shared" si="6"/>
        <v>-</v>
      </c>
      <c r="AA48" s="953"/>
      <c r="AB48" s="954"/>
      <c r="AC48" s="954"/>
      <c r="AD48" s="1349" t="str">
        <f t="shared" si="7"/>
        <v>-</v>
      </c>
      <c r="AE48" s="1277">
        <f t="shared" si="12"/>
        <v>0</v>
      </c>
      <c r="AF48" s="1278">
        <f t="shared" si="12"/>
        <v>105307</v>
      </c>
      <c r="AG48" s="1278">
        <f t="shared" si="12"/>
        <v>105307</v>
      </c>
      <c r="AH48" s="1389">
        <f t="shared" si="8"/>
        <v>1</v>
      </c>
      <c r="AI48" s="953"/>
      <c r="AJ48" s="954">
        <v>105307</v>
      </c>
      <c r="AK48" s="954">
        <v>105307</v>
      </c>
      <c r="AL48" s="1349">
        <f t="shared" si="9"/>
        <v>1</v>
      </c>
      <c r="AM48" s="953"/>
      <c r="AN48" s="954"/>
      <c r="AO48" s="954"/>
      <c r="AP48" s="1349" t="str">
        <f t="shared" si="10"/>
        <v>-</v>
      </c>
      <c r="AQ48" s="953"/>
      <c r="AR48" s="954"/>
      <c r="AS48" s="954"/>
      <c r="AT48" s="1349" t="str">
        <f t="shared" si="11"/>
        <v>-</v>
      </c>
      <c r="AU48" s="464"/>
      <c r="AV48" s="464"/>
      <c r="AW48" s="464"/>
      <c r="AX48" s="464"/>
      <c r="AY48" s="464"/>
    </row>
    <row r="49" spans="1:51">
      <c r="A49" s="504">
        <f t="shared" si="13"/>
        <v>42</v>
      </c>
      <c r="B49" s="790">
        <v>8</v>
      </c>
      <c r="C49" s="938" t="s">
        <v>1004</v>
      </c>
      <c r="D49" s="896" t="s">
        <v>1005</v>
      </c>
      <c r="E49" s="937" t="s">
        <v>1218</v>
      </c>
      <c r="F49" s="899" t="s">
        <v>1006</v>
      </c>
      <c r="G49" s="1277">
        <f t="shared" si="0"/>
        <v>0</v>
      </c>
      <c r="H49" s="1278">
        <f t="shared" si="0"/>
        <v>0</v>
      </c>
      <c r="I49" s="1278">
        <f t="shared" si="0"/>
        <v>0</v>
      </c>
      <c r="J49" s="1389" t="str">
        <f t="shared" si="1"/>
        <v>-</v>
      </c>
      <c r="K49" s="1277">
        <f t="shared" si="2"/>
        <v>0</v>
      </c>
      <c r="L49" s="1278">
        <f t="shared" si="2"/>
        <v>0</v>
      </c>
      <c r="M49" s="1278">
        <f t="shared" si="2"/>
        <v>0</v>
      </c>
      <c r="N49" s="1389" t="str">
        <f t="shared" si="3"/>
        <v>-</v>
      </c>
      <c r="O49" s="953"/>
      <c r="P49" s="954"/>
      <c r="Q49" s="954"/>
      <c r="R49" s="1349" t="str">
        <f t="shared" si="4"/>
        <v>-</v>
      </c>
      <c r="S49" s="953"/>
      <c r="T49" s="954"/>
      <c r="U49" s="954"/>
      <c r="V49" s="1349" t="str">
        <f t="shared" si="5"/>
        <v>-</v>
      </c>
      <c r="W49" s="953"/>
      <c r="X49" s="954"/>
      <c r="Y49" s="954"/>
      <c r="Z49" s="1349" t="str">
        <f t="shared" si="6"/>
        <v>-</v>
      </c>
      <c r="AA49" s="953"/>
      <c r="AB49" s="954"/>
      <c r="AC49" s="954"/>
      <c r="AD49" s="1349" t="str">
        <f t="shared" si="7"/>
        <v>-</v>
      </c>
      <c r="AE49" s="1277">
        <f t="shared" si="12"/>
        <v>0</v>
      </c>
      <c r="AF49" s="1278">
        <f t="shared" si="12"/>
        <v>0</v>
      </c>
      <c r="AG49" s="1278">
        <f t="shared" si="12"/>
        <v>0</v>
      </c>
      <c r="AH49" s="1389" t="str">
        <f t="shared" si="8"/>
        <v>-</v>
      </c>
      <c r="AI49" s="953"/>
      <c r="AJ49" s="954"/>
      <c r="AK49" s="954"/>
      <c r="AL49" s="1349" t="str">
        <f t="shared" si="9"/>
        <v>-</v>
      </c>
      <c r="AM49" s="953"/>
      <c r="AN49" s="954"/>
      <c r="AO49" s="954"/>
      <c r="AP49" s="1349" t="str">
        <f t="shared" si="10"/>
        <v>-</v>
      </c>
      <c r="AQ49" s="953"/>
      <c r="AR49" s="954"/>
      <c r="AS49" s="954"/>
      <c r="AT49" s="1349" t="str">
        <f t="shared" si="11"/>
        <v>-</v>
      </c>
      <c r="AU49" s="464"/>
      <c r="AV49" s="464"/>
      <c r="AW49" s="464"/>
      <c r="AX49" s="464"/>
      <c r="AY49" s="464"/>
    </row>
    <row r="50" spans="1:51">
      <c r="A50" s="504">
        <f t="shared" si="13"/>
        <v>43</v>
      </c>
      <c r="B50" s="790">
        <v>8</v>
      </c>
      <c r="C50" s="938" t="s">
        <v>1007</v>
      </c>
      <c r="D50" s="896" t="s">
        <v>1008</v>
      </c>
      <c r="E50" s="937" t="s">
        <v>1218</v>
      </c>
      <c r="F50" s="899" t="s">
        <v>1008</v>
      </c>
      <c r="G50" s="1277">
        <f>+K50+AE50</f>
        <v>0</v>
      </c>
      <c r="H50" s="1278">
        <f>+L50+AF50</f>
        <v>0</v>
      </c>
      <c r="I50" s="1278">
        <f>+M50+AG50</f>
        <v>0</v>
      </c>
      <c r="J50" s="1389" t="str">
        <f t="shared" si="1"/>
        <v>-</v>
      </c>
      <c r="K50" s="1277">
        <f>+O50+S50+W50+AA50</f>
        <v>0</v>
      </c>
      <c r="L50" s="1278">
        <f>+P50+T50+X50+AB50</f>
        <v>0</v>
      </c>
      <c r="M50" s="1278">
        <f>+Q50+U50+Y50+AC50</f>
        <v>0</v>
      </c>
      <c r="N50" s="1389" t="str">
        <f t="shared" si="3"/>
        <v>-</v>
      </c>
      <c r="O50" s="953"/>
      <c r="P50" s="954"/>
      <c r="Q50" s="954"/>
      <c r="R50" s="1349" t="str">
        <f t="shared" si="4"/>
        <v>-</v>
      </c>
      <c r="S50" s="953"/>
      <c r="T50" s="954"/>
      <c r="U50" s="954"/>
      <c r="V50" s="1349" t="str">
        <f t="shared" si="5"/>
        <v>-</v>
      </c>
      <c r="W50" s="953"/>
      <c r="X50" s="954"/>
      <c r="Y50" s="954"/>
      <c r="Z50" s="1349" t="str">
        <f t="shared" si="6"/>
        <v>-</v>
      </c>
      <c r="AA50" s="953"/>
      <c r="AB50" s="954"/>
      <c r="AC50" s="954"/>
      <c r="AD50" s="1349" t="str">
        <f t="shared" si="7"/>
        <v>-</v>
      </c>
      <c r="AE50" s="1277">
        <f>+AI50+AM50+AQ50</f>
        <v>0</v>
      </c>
      <c r="AF50" s="1278">
        <f>+AJ50+AN50+AR50</f>
        <v>0</v>
      </c>
      <c r="AG50" s="1278">
        <f>+AK50+AO50+AS50</f>
        <v>0</v>
      </c>
      <c r="AH50" s="1389" t="str">
        <f t="shared" si="8"/>
        <v>-</v>
      </c>
      <c r="AI50" s="953"/>
      <c r="AJ50" s="954"/>
      <c r="AK50" s="954"/>
      <c r="AL50" s="1349" t="str">
        <f t="shared" si="9"/>
        <v>-</v>
      </c>
      <c r="AM50" s="953"/>
      <c r="AN50" s="954"/>
      <c r="AO50" s="954"/>
      <c r="AP50" s="1349" t="str">
        <f t="shared" si="10"/>
        <v>-</v>
      </c>
      <c r="AQ50" s="953"/>
      <c r="AR50" s="954"/>
      <c r="AS50" s="954"/>
      <c r="AT50" s="1349" t="str">
        <f t="shared" si="11"/>
        <v>-</v>
      </c>
      <c r="AU50" s="464"/>
      <c r="AV50" s="464"/>
      <c r="AW50" s="464"/>
      <c r="AX50" s="464"/>
      <c r="AY50" s="464"/>
    </row>
    <row r="51" spans="1:51">
      <c r="A51" s="504">
        <f t="shared" si="13"/>
        <v>44</v>
      </c>
      <c r="B51" s="790">
        <v>8</v>
      </c>
      <c r="C51" s="938" t="s">
        <v>702</v>
      </c>
      <c r="D51" s="896" t="s">
        <v>703</v>
      </c>
      <c r="E51" s="937" t="s">
        <v>1224</v>
      </c>
      <c r="F51" s="899" t="s">
        <v>703</v>
      </c>
      <c r="G51" s="1277">
        <f t="shared" si="0"/>
        <v>29977</v>
      </c>
      <c r="H51" s="1278">
        <f t="shared" si="0"/>
        <v>0</v>
      </c>
      <c r="I51" s="1278">
        <f t="shared" si="0"/>
        <v>0</v>
      </c>
      <c r="J51" s="1389" t="str">
        <f t="shared" si="1"/>
        <v>-</v>
      </c>
      <c r="K51" s="1277">
        <f t="shared" si="2"/>
        <v>0</v>
      </c>
      <c r="L51" s="1278">
        <f t="shared" si="2"/>
        <v>0</v>
      </c>
      <c r="M51" s="1278">
        <f t="shared" si="2"/>
        <v>0</v>
      </c>
      <c r="N51" s="1389" t="str">
        <f t="shared" si="3"/>
        <v>-</v>
      </c>
      <c r="O51" s="953"/>
      <c r="P51" s="954"/>
      <c r="Q51" s="954"/>
      <c r="R51" s="1349" t="str">
        <f t="shared" si="4"/>
        <v>-</v>
      </c>
      <c r="S51" s="953"/>
      <c r="T51" s="954"/>
      <c r="U51" s="954"/>
      <c r="V51" s="1349" t="str">
        <f t="shared" si="5"/>
        <v>-</v>
      </c>
      <c r="W51" s="953"/>
      <c r="X51" s="954"/>
      <c r="Y51" s="954"/>
      <c r="Z51" s="1349" t="str">
        <f t="shared" si="6"/>
        <v>-</v>
      </c>
      <c r="AA51" s="953"/>
      <c r="AB51" s="954"/>
      <c r="AC51" s="954"/>
      <c r="AD51" s="1349" t="str">
        <f t="shared" si="7"/>
        <v>-</v>
      </c>
      <c r="AE51" s="1277">
        <f t="shared" si="12"/>
        <v>29977</v>
      </c>
      <c r="AF51" s="1278">
        <f t="shared" si="12"/>
        <v>0</v>
      </c>
      <c r="AG51" s="1278">
        <f t="shared" si="12"/>
        <v>0</v>
      </c>
      <c r="AH51" s="1389" t="str">
        <f t="shared" si="8"/>
        <v>-</v>
      </c>
      <c r="AI51" s="953">
        <v>29977</v>
      </c>
      <c r="AJ51" s="954">
        <v>0</v>
      </c>
      <c r="AK51" s="954"/>
      <c r="AL51" s="1349" t="str">
        <f t="shared" si="9"/>
        <v>-</v>
      </c>
      <c r="AM51" s="953"/>
      <c r="AN51" s="954"/>
      <c r="AO51" s="954"/>
      <c r="AP51" s="1349" t="str">
        <f t="shared" si="10"/>
        <v>-</v>
      </c>
      <c r="AQ51" s="953"/>
      <c r="AR51" s="954"/>
      <c r="AS51" s="954"/>
      <c r="AT51" s="1349" t="str">
        <f t="shared" si="11"/>
        <v>-</v>
      </c>
      <c r="AU51" s="464"/>
      <c r="AV51" s="464"/>
      <c r="AW51" s="464"/>
      <c r="AX51" s="464"/>
      <c r="AY51" s="464"/>
    </row>
    <row r="52" spans="1:51">
      <c r="A52" s="504">
        <f t="shared" si="13"/>
        <v>45</v>
      </c>
      <c r="B52" s="790">
        <v>8</v>
      </c>
      <c r="C52" s="938" t="s">
        <v>1011</v>
      </c>
      <c r="D52" s="896" t="s">
        <v>1009</v>
      </c>
      <c r="E52" s="937" t="s">
        <v>1226</v>
      </c>
      <c r="F52" s="899" t="s">
        <v>1009</v>
      </c>
      <c r="G52" s="1277">
        <f t="shared" si="0"/>
        <v>0</v>
      </c>
      <c r="H52" s="1278">
        <f t="shared" si="0"/>
        <v>0</v>
      </c>
      <c r="I52" s="1278">
        <f t="shared" si="0"/>
        <v>0</v>
      </c>
      <c r="J52" s="1389" t="str">
        <f t="shared" si="1"/>
        <v>-</v>
      </c>
      <c r="K52" s="1277">
        <f t="shared" si="2"/>
        <v>0</v>
      </c>
      <c r="L52" s="1278">
        <f t="shared" si="2"/>
        <v>0</v>
      </c>
      <c r="M52" s="1278">
        <f t="shared" si="2"/>
        <v>0</v>
      </c>
      <c r="N52" s="1389" t="str">
        <f t="shared" si="3"/>
        <v>-</v>
      </c>
      <c r="O52" s="953"/>
      <c r="P52" s="954"/>
      <c r="Q52" s="954"/>
      <c r="R52" s="1349" t="str">
        <f t="shared" si="4"/>
        <v>-</v>
      </c>
      <c r="S52" s="953"/>
      <c r="T52" s="954"/>
      <c r="U52" s="954"/>
      <c r="V52" s="1349" t="str">
        <f t="shared" si="5"/>
        <v>-</v>
      </c>
      <c r="W52" s="953"/>
      <c r="X52" s="954"/>
      <c r="Y52" s="954"/>
      <c r="Z52" s="1349" t="str">
        <f t="shared" si="6"/>
        <v>-</v>
      </c>
      <c r="AA52" s="953"/>
      <c r="AB52" s="954"/>
      <c r="AC52" s="954"/>
      <c r="AD52" s="1349" t="str">
        <f t="shared" si="7"/>
        <v>-</v>
      </c>
      <c r="AE52" s="1277">
        <f t="shared" si="12"/>
        <v>0</v>
      </c>
      <c r="AF52" s="1278">
        <f t="shared" si="12"/>
        <v>0</v>
      </c>
      <c r="AG52" s="1278">
        <f t="shared" si="12"/>
        <v>0</v>
      </c>
      <c r="AH52" s="1389" t="str">
        <f t="shared" si="8"/>
        <v>-</v>
      </c>
      <c r="AI52" s="953"/>
      <c r="AJ52" s="954"/>
      <c r="AK52" s="954"/>
      <c r="AL52" s="1349" t="str">
        <f t="shared" si="9"/>
        <v>-</v>
      </c>
      <c r="AM52" s="953"/>
      <c r="AN52" s="954"/>
      <c r="AO52" s="954"/>
      <c r="AP52" s="1349" t="str">
        <f t="shared" si="10"/>
        <v>-</v>
      </c>
      <c r="AQ52" s="953"/>
      <c r="AR52" s="954"/>
      <c r="AS52" s="954"/>
      <c r="AT52" s="1349" t="str">
        <f t="shared" si="11"/>
        <v>-</v>
      </c>
      <c r="AU52" s="464"/>
      <c r="AV52" s="464"/>
      <c r="AW52" s="464"/>
      <c r="AX52" s="464"/>
      <c r="AY52" s="464"/>
    </row>
    <row r="53" spans="1:51">
      <c r="A53" s="504">
        <f t="shared" si="13"/>
        <v>46</v>
      </c>
      <c r="B53" s="790">
        <v>8</v>
      </c>
      <c r="C53" s="938" t="s">
        <v>1012</v>
      </c>
      <c r="D53" s="896" t="s">
        <v>1010</v>
      </c>
      <c r="E53" s="937" t="s">
        <v>1218</v>
      </c>
      <c r="F53" s="899" t="s">
        <v>1013</v>
      </c>
      <c r="G53" s="1277">
        <f t="shared" si="0"/>
        <v>0</v>
      </c>
      <c r="H53" s="1278">
        <f t="shared" si="0"/>
        <v>0</v>
      </c>
      <c r="I53" s="1278">
        <f t="shared" si="0"/>
        <v>0</v>
      </c>
      <c r="J53" s="1389" t="str">
        <f t="shared" si="1"/>
        <v>-</v>
      </c>
      <c r="K53" s="1277">
        <f t="shared" si="2"/>
        <v>0</v>
      </c>
      <c r="L53" s="1278">
        <f t="shared" si="2"/>
        <v>0</v>
      </c>
      <c r="M53" s="1278">
        <f t="shared" si="2"/>
        <v>0</v>
      </c>
      <c r="N53" s="1389" t="str">
        <f t="shared" si="3"/>
        <v>-</v>
      </c>
      <c r="O53" s="953"/>
      <c r="P53" s="954"/>
      <c r="Q53" s="954"/>
      <c r="R53" s="1349" t="str">
        <f t="shared" si="4"/>
        <v>-</v>
      </c>
      <c r="S53" s="953"/>
      <c r="T53" s="954"/>
      <c r="U53" s="954"/>
      <c r="V53" s="1349" t="str">
        <f t="shared" si="5"/>
        <v>-</v>
      </c>
      <c r="W53" s="953"/>
      <c r="X53" s="954"/>
      <c r="Y53" s="954"/>
      <c r="Z53" s="1349" t="str">
        <f t="shared" si="6"/>
        <v>-</v>
      </c>
      <c r="AA53" s="953"/>
      <c r="AB53" s="954"/>
      <c r="AC53" s="954"/>
      <c r="AD53" s="1349" t="str">
        <f t="shared" si="7"/>
        <v>-</v>
      </c>
      <c r="AE53" s="1277">
        <f t="shared" si="12"/>
        <v>0</v>
      </c>
      <c r="AF53" s="1278">
        <f t="shared" si="12"/>
        <v>0</v>
      </c>
      <c r="AG53" s="1278">
        <f t="shared" si="12"/>
        <v>0</v>
      </c>
      <c r="AH53" s="1389" t="str">
        <f t="shared" si="8"/>
        <v>-</v>
      </c>
      <c r="AI53" s="953"/>
      <c r="AJ53" s="954"/>
      <c r="AK53" s="954"/>
      <c r="AL53" s="1349" t="str">
        <f t="shared" si="9"/>
        <v>-</v>
      </c>
      <c r="AM53" s="953"/>
      <c r="AN53" s="954"/>
      <c r="AO53" s="954"/>
      <c r="AP53" s="1349" t="str">
        <f t="shared" si="10"/>
        <v>-</v>
      </c>
      <c r="AQ53" s="953"/>
      <c r="AR53" s="954"/>
      <c r="AS53" s="954"/>
      <c r="AT53" s="1349" t="str">
        <f t="shared" si="11"/>
        <v>-</v>
      </c>
      <c r="AU53" s="464"/>
      <c r="AV53" s="464"/>
      <c r="AW53" s="464"/>
      <c r="AX53" s="464"/>
      <c r="AY53" s="464"/>
    </row>
    <row r="54" spans="1:51">
      <c r="A54" s="504">
        <f t="shared" si="13"/>
        <v>47</v>
      </c>
      <c r="B54" s="791">
        <v>8</v>
      </c>
      <c r="C54" s="939" t="s">
        <v>1014</v>
      </c>
      <c r="D54" s="902" t="s">
        <v>1015</v>
      </c>
      <c r="E54" s="940" t="s">
        <v>1218</v>
      </c>
      <c r="F54" s="903" t="s">
        <v>1015</v>
      </c>
      <c r="G54" s="1279">
        <f t="shared" si="0"/>
        <v>0</v>
      </c>
      <c r="H54" s="1280">
        <f t="shared" si="0"/>
        <v>0</v>
      </c>
      <c r="I54" s="1280">
        <f t="shared" si="0"/>
        <v>0</v>
      </c>
      <c r="J54" s="1389" t="str">
        <f t="shared" si="1"/>
        <v>-</v>
      </c>
      <c r="K54" s="1279">
        <f t="shared" si="2"/>
        <v>0</v>
      </c>
      <c r="L54" s="1280">
        <f t="shared" si="2"/>
        <v>0</v>
      </c>
      <c r="M54" s="1280">
        <f t="shared" si="2"/>
        <v>0</v>
      </c>
      <c r="N54" s="1389" t="str">
        <f t="shared" si="3"/>
        <v>-</v>
      </c>
      <c r="O54" s="953"/>
      <c r="P54" s="954"/>
      <c r="Q54" s="954"/>
      <c r="R54" s="1349" t="str">
        <f t="shared" si="4"/>
        <v>-</v>
      </c>
      <c r="S54" s="953"/>
      <c r="T54" s="954"/>
      <c r="U54" s="954"/>
      <c r="V54" s="1349" t="str">
        <f t="shared" si="5"/>
        <v>-</v>
      </c>
      <c r="W54" s="953"/>
      <c r="X54" s="954"/>
      <c r="Y54" s="954"/>
      <c r="Z54" s="1349" t="str">
        <f t="shared" si="6"/>
        <v>-</v>
      </c>
      <c r="AA54" s="953"/>
      <c r="AB54" s="954"/>
      <c r="AC54" s="954"/>
      <c r="AD54" s="1349" t="str">
        <f t="shared" si="7"/>
        <v>-</v>
      </c>
      <c r="AE54" s="1279">
        <f t="shared" si="12"/>
        <v>0</v>
      </c>
      <c r="AF54" s="1280">
        <f t="shared" si="12"/>
        <v>0</v>
      </c>
      <c r="AG54" s="1280">
        <f t="shared" si="12"/>
        <v>0</v>
      </c>
      <c r="AH54" s="1389" t="str">
        <f t="shared" si="8"/>
        <v>-</v>
      </c>
      <c r="AI54" s="953"/>
      <c r="AJ54" s="954"/>
      <c r="AK54" s="954"/>
      <c r="AL54" s="1349" t="str">
        <f t="shared" si="9"/>
        <v>-</v>
      </c>
      <c r="AM54" s="953"/>
      <c r="AN54" s="954"/>
      <c r="AO54" s="954"/>
      <c r="AP54" s="1349" t="str">
        <f t="shared" si="10"/>
        <v>-</v>
      </c>
      <c r="AQ54" s="953"/>
      <c r="AR54" s="954"/>
      <c r="AS54" s="954"/>
      <c r="AT54" s="1349" t="str">
        <f t="shared" si="11"/>
        <v>-</v>
      </c>
      <c r="AU54" s="464"/>
      <c r="AV54" s="464"/>
      <c r="AW54" s="464"/>
      <c r="AX54" s="464"/>
      <c r="AY54" s="464"/>
    </row>
    <row r="55" spans="1:51">
      <c r="A55" s="504">
        <f t="shared" si="13"/>
        <v>48</v>
      </c>
      <c r="B55" s="791">
        <v>8</v>
      </c>
      <c r="C55" s="939" t="s">
        <v>730</v>
      </c>
      <c r="D55" s="902" t="s">
        <v>728</v>
      </c>
      <c r="E55" s="940" t="s">
        <v>1227</v>
      </c>
      <c r="F55" s="903" t="s">
        <v>657</v>
      </c>
      <c r="G55" s="1279">
        <f t="shared" si="0"/>
        <v>2500</v>
      </c>
      <c r="H55" s="1280">
        <f t="shared" si="0"/>
        <v>0</v>
      </c>
      <c r="I55" s="1280">
        <f t="shared" si="0"/>
        <v>0</v>
      </c>
      <c r="J55" s="1389" t="str">
        <f t="shared" si="1"/>
        <v>-</v>
      </c>
      <c r="K55" s="1279">
        <f t="shared" si="2"/>
        <v>2500</v>
      </c>
      <c r="L55" s="1280">
        <f t="shared" si="2"/>
        <v>0</v>
      </c>
      <c r="M55" s="1280">
        <f t="shared" si="2"/>
        <v>0</v>
      </c>
      <c r="N55" s="1389" t="str">
        <f t="shared" si="3"/>
        <v>-</v>
      </c>
      <c r="O55" s="953"/>
      <c r="P55" s="954"/>
      <c r="Q55" s="954"/>
      <c r="R55" s="1349" t="str">
        <f t="shared" si="4"/>
        <v>-</v>
      </c>
      <c r="S55" s="953"/>
      <c r="T55" s="954"/>
      <c r="U55" s="954"/>
      <c r="V55" s="1349" t="str">
        <f t="shared" si="5"/>
        <v>-</v>
      </c>
      <c r="W55" s="953">
        <v>2500</v>
      </c>
      <c r="X55" s="954">
        <v>0</v>
      </c>
      <c r="Y55" s="954"/>
      <c r="Z55" s="1349" t="str">
        <f t="shared" si="6"/>
        <v>-</v>
      </c>
      <c r="AA55" s="953"/>
      <c r="AB55" s="954"/>
      <c r="AC55" s="954"/>
      <c r="AD55" s="1349" t="str">
        <f t="shared" si="7"/>
        <v>-</v>
      </c>
      <c r="AE55" s="1279">
        <f t="shared" si="12"/>
        <v>0</v>
      </c>
      <c r="AF55" s="1280">
        <f t="shared" si="12"/>
        <v>0</v>
      </c>
      <c r="AG55" s="1280">
        <f t="shared" si="12"/>
        <v>0</v>
      </c>
      <c r="AH55" s="1389" t="str">
        <f t="shared" si="8"/>
        <v>-</v>
      </c>
      <c r="AI55" s="953"/>
      <c r="AJ55" s="954"/>
      <c r="AK55" s="954"/>
      <c r="AL55" s="1349" t="str">
        <f t="shared" si="9"/>
        <v>-</v>
      </c>
      <c r="AM55" s="953"/>
      <c r="AN55" s="954"/>
      <c r="AO55" s="954"/>
      <c r="AP55" s="1349" t="str">
        <f t="shared" si="10"/>
        <v>-</v>
      </c>
      <c r="AQ55" s="953"/>
      <c r="AR55" s="954"/>
      <c r="AS55" s="954"/>
      <c r="AT55" s="1349" t="str">
        <f t="shared" si="11"/>
        <v>-</v>
      </c>
      <c r="AU55" s="464"/>
      <c r="AV55" s="464"/>
      <c r="AW55" s="464"/>
      <c r="AX55" s="464"/>
      <c r="AY55" s="464"/>
    </row>
    <row r="56" spans="1:51">
      <c r="A56" s="504">
        <f t="shared" si="13"/>
        <v>49</v>
      </c>
      <c r="B56" s="791">
        <v>8</v>
      </c>
      <c r="C56" s="939" t="s">
        <v>731</v>
      </c>
      <c r="D56" s="902" t="s">
        <v>729</v>
      </c>
      <c r="E56" s="940" t="s">
        <v>1218</v>
      </c>
      <c r="F56" s="903" t="s">
        <v>653</v>
      </c>
      <c r="G56" s="1279">
        <f>+K56+AE56</f>
        <v>0</v>
      </c>
      <c r="H56" s="1280">
        <f>+L56+AF56</f>
        <v>0</v>
      </c>
      <c r="I56" s="1280">
        <f>+M56+AG56</f>
        <v>0</v>
      </c>
      <c r="J56" s="1389" t="str">
        <f t="shared" si="1"/>
        <v>-</v>
      </c>
      <c r="K56" s="1279">
        <f>+O56+S56+W56+AA56</f>
        <v>0</v>
      </c>
      <c r="L56" s="1280">
        <f>+P56+T56+X56+AB56</f>
        <v>0</v>
      </c>
      <c r="M56" s="1280">
        <f>+Q56+U56+Y56+AC56</f>
        <v>0</v>
      </c>
      <c r="N56" s="1389" t="str">
        <f t="shared" si="3"/>
        <v>-</v>
      </c>
      <c r="O56" s="953"/>
      <c r="P56" s="954"/>
      <c r="Q56" s="954"/>
      <c r="R56" s="1349" t="str">
        <f t="shared" si="4"/>
        <v>-</v>
      </c>
      <c r="S56" s="953"/>
      <c r="T56" s="954"/>
      <c r="U56" s="954"/>
      <c r="V56" s="1349" t="str">
        <f t="shared" si="5"/>
        <v>-</v>
      </c>
      <c r="W56" s="953"/>
      <c r="X56" s="954"/>
      <c r="Y56" s="954"/>
      <c r="Z56" s="1349" t="str">
        <f t="shared" si="6"/>
        <v>-</v>
      </c>
      <c r="AA56" s="953"/>
      <c r="AB56" s="954"/>
      <c r="AC56" s="954"/>
      <c r="AD56" s="1349" t="str">
        <f t="shared" si="7"/>
        <v>-</v>
      </c>
      <c r="AE56" s="1279">
        <f>+AI56+AM56+AQ56</f>
        <v>0</v>
      </c>
      <c r="AF56" s="1280">
        <f>+AJ56+AN56+AR56</f>
        <v>0</v>
      </c>
      <c r="AG56" s="1280">
        <f>+AK56+AO56+AS56</f>
        <v>0</v>
      </c>
      <c r="AH56" s="1389" t="str">
        <f t="shared" si="8"/>
        <v>-</v>
      </c>
      <c r="AI56" s="953"/>
      <c r="AJ56" s="954"/>
      <c r="AK56" s="954"/>
      <c r="AL56" s="1349" t="str">
        <f t="shared" si="9"/>
        <v>-</v>
      </c>
      <c r="AM56" s="953"/>
      <c r="AN56" s="954"/>
      <c r="AO56" s="954"/>
      <c r="AP56" s="1349" t="str">
        <f t="shared" si="10"/>
        <v>-</v>
      </c>
      <c r="AQ56" s="953"/>
      <c r="AR56" s="954"/>
      <c r="AS56" s="954"/>
      <c r="AT56" s="1349" t="str">
        <f t="shared" si="11"/>
        <v>-</v>
      </c>
      <c r="AU56" s="464"/>
      <c r="AV56" s="464"/>
      <c r="AW56" s="464"/>
      <c r="AX56" s="464"/>
      <c r="AY56" s="464"/>
    </row>
    <row r="57" spans="1:51">
      <c r="A57" s="504">
        <f t="shared" si="13"/>
        <v>50</v>
      </c>
      <c r="B57" s="791">
        <v>8</v>
      </c>
      <c r="C57" s="939" t="s">
        <v>1016</v>
      </c>
      <c r="D57" s="902" t="s">
        <v>1017</v>
      </c>
      <c r="E57" s="940" t="s">
        <v>1218</v>
      </c>
      <c r="F57" s="903" t="s">
        <v>1017</v>
      </c>
      <c r="G57" s="1279">
        <f t="shared" si="0"/>
        <v>0</v>
      </c>
      <c r="H57" s="1280">
        <f t="shared" si="0"/>
        <v>0</v>
      </c>
      <c r="I57" s="1280">
        <f t="shared" si="0"/>
        <v>0</v>
      </c>
      <c r="J57" s="1389" t="str">
        <f t="shared" si="1"/>
        <v>-</v>
      </c>
      <c r="K57" s="1279">
        <f t="shared" si="2"/>
        <v>0</v>
      </c>
      <c r="L57" s="1280">
        <f t="shared" si="2"/>
        <v>0</v>
      </c>
      <c r="M57" s="1280">
        <f t="shared" si="2"/>
        <v>0</v>
      </c>
      <c r="N57" s="1389" t="str">
        <f t="shared" si="3"/>
        <v>-</v>
      </c>
      <c r="O57" s="953"/>
      <c r="P57" s="954"/>
      <c r="Q57" s="954"/>
      <c r="R57" s="1349" t="str">
        <f t="shared" si="4"/>
        <v>-</v>
      </c>
      <c r="S57" s="953"/>
      <c r="T57" s="954"/>
      <c r="U57" s="954"/>
      <c r="V57" s="1349" t="str">
        <f t="shared" si="5"/>
        <v>-</v>
      </c>
      <c r="W57" s="953"/>
      <c r="X57" s="954"/>
      <c r="Y57" s="954"/>
      <c r="Z57" s="1349" t="str">
        <f t="shared" si="6"/>
        <v>-</v>
      </c>
      <c r="AA57" s="953"/>
      <c r="AB57" s="954"/>
      <c r="AC57" s="954"/>
      <c r="AD57" s="1349" t="str">
        <f t="shared" si="7"/>
        <v>-</v>
      </c>
      <c r="AE57" s="1279">
        <f t="shared" si="12"/>
        <v>0</v>
      </c>
      <c r="AF57" s="1280">
        <f t="shared" si="12"/>
        <v>0</v>
      </c>
      <c r="AG57" s="1280">
        <f t="shared" si="12"/>
        <v>0</v>
      </c>
      <c r="AH57" s="1389" t="str">
        <f t="shared" si="8"/>
        <v>-</v>
      </c>
      <c r="AI57" s="953"/>
      <c r="AJ57" s="954"/>
      <c r="AK57" s="954"/>
      <c r="AL57" s="1349" t="str">
        <f t="shared" si="9"/>
        <v>-</v>
      </c>
      <c r="AM57" s="953"/>
      <c r="AN57" s="954"/>
      <c r="AO57" s="954"/>
      <c r="AP57" s="1349" t="str">
        <f t="shared" si="10"/>
        <v>-</v>
      </c>
      <c r="AQ57" s="953"/>
      <c r="AR57" s="954"/>
      <c r="AS57" s="954"/>
      <c r="AT57" s="1349" t="str">
        <f t="shared" si="11"/>
        <v>-</v>
      </c>
      <c r="AU57" s="464"/>
      <c r="AV57" s="464"/>
      <c r="AW57" s="464"/>
      <c r="AX57" s="464"/>
      <c r="AY57" s="464"/>
    </row>
    <row r="58" spans="1:51">
      <c r="A58" s="504">
        <f t="shared" si="13"/>
        <v>51</v>
      </c>
      <c r="B58" s="791">
        <v>6</v>
      </c>
      <c r="C58" s="939" t="s">
        <v>679</v>
      </c>
      <c r="D58" s="902" t="s">
        <v>678</v>
      </c>
      <c r="E58" s="940" t="s">
        <v>1218</v>
      </c>
      <c r="F58" s="903" t="s">
        <v>1027</v>
      </c>
      <c r="G58" s="1279">
        <f t="shared" ref="G58:I60" si="17">+K58+AE58</f>
        <v>0</v>
      </c>
      <c r="H58" s="1280">
        <f t="shared" si="17"/>
        <v>0</v>
      </c>
      <c r="I58" s="1280">
        <f t="shared" si="17"/>
        <v>0</v>
      </c>
      <c r="J58" s="1389" t="str">
        <f t="shared" si="1"/>
        <v>-</v>
      </c>
      <c r="K58" s="1279">
        <f t="shared" ref="K58:M60" si="18">+O58+S58+W58+AA58</f>
        <v>0</v>
      </c>
      <c r="L58" s="1280">
        <f t="shared" si="18"/>
        <v>0</v>
      </c>
      <c r="M58" s="1280">
        <f t="shared" si="18"/>
        <v>0</v>
      </c>
      <c r="N58" s="1389" t="str">
        <f t="shared" si="3"/>
        <v>-</v>
      </c>
      <c r="O58" s="953"/>
      <c r="P58" s="954"/>
      <c r="Q58" s="954"/>
      <c r="R58" s="1349" t="str">
        <f t="shared" si="4"/>
        <v>-</v>
      </c>
      <c r="S58" s="953"/>
      <c r="T58" s="954"/>
      <c r="U58" s="954"/>
      <c r="V58" s="1349" t="str">
        <f t="shared" si="5"/>
        <v>-</v>
      </c>
      <c r="W58" s="953"/>
      <c r="X58" s="954"/>
      <c r="Y58" s="954"/>
      <c r="Z58" s="1349" t="str">
        <f t="shared" si="6"/>
        <v>-</v>
      </c>
      <c r="AA58" s="953"/>
      <c r="AB58" s="954"/>
      <c r="AC58" s="954"/>
      <c r="AD58" s="1349" t="str">
        <f t="shared" si="7"/>
        <v>-</v>
      </c>
      <c r="AE58" s="1279">
        <f t="shared" ref="AE58:AG60" si="19">+AI58+AM58+AQ58</f>
        <v>0</v>
      </c>
      <c r="AF58" s="1280">
        <f t="shared" si="19"/>
        <v>0</v>
      </c>
      <c r="AG58" s="1280">
        <f t="shared" si="19"/>
        <v>0</v>
      </c>
      <c r="AH58" s="1389" t="str">
        <f t="shared" si="8"/>
        <v>-</v>
      </c>
      <c r="AI58" s="953"/>
      <c r="AJ58" s="954"/>
      <c r="AK58" s="954"/>
      <c r="AL58" s="1349" t="str">
        <f t="shared" si="9"/>
        <v>-</v>
      </c>
      <c r="AM58" s="953"/>
      <c r="AN58" s="954"/>
      <c r="AO58" s="954"/>
      <c r="AP58" s="1349" t="str">
        <f t="shared" si="10"/>
        <v>-</v>
      </c>
      <c r="AQ58" s="953"/>
      <c r="AR58" s="954"/>
      <c r="AS58" s="954"/>
      <c r="AT58" s="1349" t="str">
        <f t="shared" si="11"/>
        <v>-</v>
      </c>
      <c r="AU58" s="464"/>
      <c r="AV58" s="464"/>
      <c r="AW58" s="464"/>
      <c r="AX58" s="464"/>
      <c r="AY58" s="464"/>
    </row>
    <row r="59" spans="1:51">
      <c r="A59" s="504">
        <f t="shared" si="13"/>
        <v>52</v>
      </c>
      <c r="B59" s="791">
        <v>6</v>
      </c>
      <c r="C59" s="939" t="s">
        <v>685</v>
      </c>
      <c r="D59" s="902" t="s">
        <v>684</v>
      </c>
      <c r="E59" s="940" t="s">
        <v>1218</v>
      </c>
      <c r="F59" s="903" t="s">
        <v>1029</v>
      </c>
      <c r="G59" s="1279">
        <f t="shared" si="17"/>
        <v>0</v>
      </c>
      <c r="H59" s="1280">
        <f t="shared" si="17"/>
        <v>0</v>
      </c>
      <c r="I59" s="1280">
        <f t="shared" si="17"/>
        <v>0</v>
      </c>
      <c r="J59" s="1389" t="str">
        <f t="shared" si="1"/>
        <v>-</v>
      </c>
      <c r="K59" s="1279">
        <f t="shared" si="18"/>
        <v>0</v>
      </c>
      <c r="L59" s="1280">
        <f t="shared" si="18"/>
        <v>0</v>
      </c>
      <c r="M59" s="1280">
        <f t="shared" si="18"/>
        <v>0</v>
      </c>
      <c r="N59" s="1389" t="str">
        <f t="shared" si="3"/>
        <v>-</v>
      </c>
      <c r="O59" s="953"/>
      <c r="P59" s="954"/>
      <c r="Q59" s="954"/>
      <c r="R59" s="1349" t="str">
        <f t="shared" si="4"/>
        <v>-</v>
      </c>
      <c r="S59" s="953"/>
      <c r="T59" s="954"/>
      <c r="U59" s="954"/>
      <c r="V59" s="1349" t="str">
        <f t="shared" si="5"/>
        <v>-</v>
      </c>
      <c r="W59" s="953"/>
      <c r="X59" s="954"/>
      <c r="Y59" s="954"/>
      <c r="Z59" s="1349" t="str">
        <f t="shared" si="6"/>
        <v>-</v>
      </c>
      <c r="AA59" s="953"/>
      <c r="AB59" s="954"/>
      <c r="AC59" s="954"/>
      <c r="AD59" s="1349" t="str">
        <f t="shared" si="7"/>
        <v>-</v>
      </c>
      <c r="AE59" s="1279">
        <f t="shared" si="19"/>
        <v>0</v>
      </c>
      <c r="AF59" s="1280">
        <f t="shared" si="19"/>
        <v>0</v>
      </c>
      <c r="AG59" s="1280">
        <f t="shared" si="19"/>
        <v>0</v>
      </c>
      <c r="AH59" s="1389" t="str">
        <f t="shared" si="8"/>
        <v>-</v>
      </c>
      <c r="AI59" s="953"/>
      <c r="AJ59" s="954"/>
      <c r="AK59" s="954"/>
      <c r="AL59" s="1349" t="str">
        <f t="shared" si="9"/>
        <v>-</v>
      </c>
      <c r="AM59" s="953"/>
      <c r="AN59" s="954"/>
      <c r="AO59" s="954"/>
      <c r="AP59" s="1349" t="str">
        <f t="shared" si="10"/>
        <v>-</v>
      </c>
      <c r="AQ59" s="953"/>
      <c r="AR59" s="954"/>
      <c r="AS59" s="954"/>
      <c r="AT59" s="1349" t="str">
        <f t="shared" si="11"/>
        <v>-</v>
      </c>
      <c r="AU59" s="464"/>
      <c r="AV59" s="464"/>
      <c r="AW59" s="464"/>
      <c r="AX59" s="464"/>
      <c r="AY59" s="464"/>
    </row>
    <row r="60" spans="1:51">
      <c r="A60" s="504">
        <f t="shared" si="13"/>
        <v>53</v>
      </c>
      <c r="B60" s="791">
        <v>6</v>
      </c>
      <c r="C60" s="939" t="s">
        <v>1026</v>
      </c>
      <c r="D60" s="902" t="s">
        <v>1025</v>
      </c>
      <c r="E60" s="940" t="s">
        <v>1228</v>
      </c>
      <c r="F60" s="903" t="s">
        <v>1025</v>
      </c>
      <c r="G60" s="1279">
        <f t="shared" si="17"/>
        <v>0</v>
      </c>
      <c r="H60" s="1280">
        <f t="shared" si="17"/>
        <v>0</v>
      </c>
      <c r="I60" s="1280">
        <f t="shared" si="17"/>
        <v>0</v>
      </c>
      <c r="J60" s="1389" t="str">
        <f t="shared" si="1"/>
        <v>-</v>
      </c>
      <c r="K60" s="1279">
        <f t="shared" si="18"/>
        <v>0</v>
      </c>
      <c r="L60" s="1280">
        <f t="shared" si="18"/>
        <v>0</v>
      </c>
      <c r="M60" s="1280">
        <f t="shared" si="18"/>
        <v>0</v>
      </c>
      <c r="N60" s="1389" t="str">
        <f t="shared" si="3"/>
        <v>-</v>
      </c>
      <c r="O60" s="953"/>
      <c r="P60" s="954"/>
      <c r="Q60" s="954"/>
      <c r="R60" s="1349" t="str">
        <f t="shared" si="4"/>
        <v>-</v>
      </c>
      <c r="S60" s="953"/>
      <c r="T60" s="954"/>
      <c r="U60" s="954"/>
      <c r="V60" s="1349" t="str">
        <f t="shared" si="5"/>
        <v>-</v>
      </c>
      <c r="W60" s="953"/>
      <c r="X60" s="954"/>
      <c r="Y60" s="954"/>
      <c r="Z60" s="1349" t="str">
        <f t="shared" si="6"/>
        <v>-</v>
      </c>
      <c r="AA60" s="953"/>
      <c r="AB60" s="954"/>
      <c r="AC60" s="954"/>
      <c r="AD60" s="1349" t="str">
        <f t="shared" si="7"/>
        <v>-</v>
      </c>
      <c r="AE60" s="1279">
        <f t="shared" si="19"/>
        <v>0</v>
      </c>
      <c r="AF60" s="1280">
        <f t="shared" si="19"/>
        <v>0</v>
      </c>
      <c r="AG60" s="1280">
        <f t="shared" si="19"/>
        <v>0</v>
      </c>
      <c r="AH60" s="1389" t="str">
        <f t="shared" si="8"/>
        <v>-</v>
      </c>
      <c r="AI60" s="953"/>
      <c r="AJ60" s="954"/>
      <c r="AK60" s="954"/>
      <c r="AL60" s="1349" t="str">
        <f t="shared" si="9"/>
        <v>-</v>
      </c>
      <c r="AM60" s="953"/>
      <c r="AN60" s="954"/>
      <c r="AO60" s="954"/>
      <c r="AP60" s="1349" t="str">
        <f t="shared" si="10"/>
        <v>-</v>
      </c>
      <c r="AQ60" s="953"/>
      <c r="AR60" s="954"/>
      <c r="AS60" s="954"/>
      <c r="AT60" s="1349" t="str">
        <f t="shared" si="11"/>
        <v>-</v>
      </c>
      <c r="AU60" s="464"/>
      <c r="AV60" s="464"/>
      <c r="AW60" s="464"/>
      <c r="AX60" s="464"/>
      <c r="AY60" s="464"/>
    </row>
    <row r="61" spans="1:51">
      <c r="A61" s="504">
        <f t="shared" si="13"/>
        <v>54</v>
      </c>
      <c r="B61" s="791">
        <v>6</v>
      </c>
      <c r="C61" s="939" t="s">
        <v>681</v>
      </c>
      <c r="D61" s="902" t="s">
        <v>680</v>
      </c>
      <c r="E61" s="940" t="s">
        <v>1218</v>
      </c>
      <c r="F61" s="903" t="s">
        <v>637</v>
      </c>
      <c r="G61" s="1279">
        <f t="shared" ref="G61:I67" si="20">+K61+AE61</f>
        <v>0</v>
      </c>
      <c r="H61" s="1280">
        <f t="shared" si="20"/>
        <v>0</v>
      </c>
      <c r="I61" s="1280">
        <f t="shared" si="20"/>
        <v>0</v>
      </c>
      <c r="J61" s="1389" t="str">
        <f t="shared" si="1"/>
        <v>-</v>
      </c>
      <c r="K61" s="1279">
        <f t="shared" ref="K61:M67" si="21">+O61+S61+W61+AA61</f>
        <v>0</v>
      </c>
      <c r="L61" s="1280">
        <f t="shared" si="21"/>
        <v>0</v>
      </c>
      <c r="M61" s="1280">
        <f t="shared" si="21"/>
        <v>0</v>
      </c>
      <c r="N61" s="1389" t="str">
        <f t="shared" si="3"/>
        <v>-</v>
      </c>
      <c r="O61" s="953"/>
      <c r="P61" s="954"/>
      <c r="Q61" s="954"/>
      <c r="R61" s="1349" t="str">
        <f t="shared" si="4"/>
        <v>-</v>
      </c>
      <c r="S61" s="953"/>
      <c r="T61" s="954"/>
      <c r="U61" s="954"/>
      <c r="V61" s="1349" t="str">
        <f t="shared" si="5"/>
        <v>-</v>
      </c>
      <c r="W61" s="953"/>
      <c r="X61" s="954"/>
      <c r="Y61" s="954"/>
      <c r="Z61" s="1349" t="str">
        <f t="shared" si="6"/>
        <v>-</v>
      </c>
      <c r="AA61" s="953"/>
      <c r="AB61" s="954"/>
      <c r="AC61" s="954"/>
      <c r="AD61" s="1349" t="str">
        <f t="shared" si="7"/>
        <v>-</v>
      </c>
      <c r="AE61" s="1279">
        <f t="shared" ref="AE61:AG67" si="22">+AI61+AM61+AQ61</f>
        <v>0</v>
      </c>
      <c r="AF61" s="1280">
        <f t="shared" si="22"/>
        <v>0</v>
      </c>
      <c r="AG61" s="1280">
        <f t="shared" si="22"/>
        <v>0</v>
      </c>
      <c r="AH61" s="1389" t="str">
        <f t="shared" si="8"/>
        <v>-</v>
      </c>
      <c r="AI61" s="953"/>
      <c r="AJ61" s="954"/>
      <c r="AK61" s="954"/>
      <c r="AL61" s="1349" t="str">
        <f t="shared" si="9"/>
        <v>-</v>
      </c>
      <c r="AM61" s="953"/>
      <c r="AN61" s="954"/>
      <c r="AO61" s="954"/>
      <c r="AP61" s="1349" t="str">
        <f t="shared" si="10"/>
        <v>-</v>
      </c>
      <c r="AQ61" s="953"/>
      <c r="AR61" s="954"/>
      <c r="AS61" s="954"/>
      <c r="AT61" s="1349" t="str">
        <f t="shared" si="11"/>
        <v>-</v>
      </c>
      <c r="AU61" s="464"/>
      <c r="AV61" s="464"/>
      <c r="AW61" s="464"/>
      <c r="AX61" s="464"/>
      <c r="AY61" s="464"/>
    </row>
    <row r="62" spans="1:51">
      <c r="A62" s="504">
        <f t="shared" si="13"/>
        <v>55</v>
      </c>
      <c r="B62" s="791">
        <v>6</v>
      </c>
      <c r="C62" s="939" t="s">
        <v>681</v>
      </c>
      <c r="D62" s="902" t="s">
        <v>680</v>
      </c>
      <c r="E62" s="940" t="s">
        <v>1218</v>
      </c>
      <c r="F62" s="903" t="s">
        <v>638</v>
      </c>
      <c r="G62" s="1279">
        <f t="shared" si="20"/>
        <v>0</v>
      </c>
      <c r="H62" s="1280">
        <f t="shared" si="20"/>
        <v>0</v>
      </c>
      <c r="I62" s="1280">
        <f t="shared" si="20"/>
        <v>0</v>
      </c>
      <c r="J62" s="1389" t="str">
        <f t="shared" si="1"/>
        <v>-</v>
      </c>
      <c r="K62" s="1279">
        <f t="shared" si="21"/>
        <v>0</v>
      </c>
      <c r="L62" s="1280">
        <f t="shared" si="21"/>
        <v>0</v>
      </c>
      <c r="M62" s="1280">
        <f t="shared" si="21"/>
        <v>0</v>
      </c>
      <c r="N62" s="1389" t="str">
        <f t="shared" si="3"/>
        <v>-</v>
      </c>
      <c r="O62" s="953"/>
      <c r="P62" s="954"/>
      <c r="Q62" s="954"/>
      <c r="R62" s="1349" t="str">
        <f t="shared" si="4"/>
        <v>-</v>
      </c>
      <c r="S62" s="953"/>
      <c r="T62" s="954"/>
      <c r="U62" s="954"/>
      <c r="V62" s="1349" t="str">
        <f t="shared" si="5"/>
        <v>-</v>
      </c>
      <c r="W62" s="953"/>
      <c r="X62" s="954"/>
      <c r="Y62" s="954"/>
      <c r="Z62" s="1349" t="str">
        <f t="shared" si="6"/>
        <v>-</v>
      </c>
      <c r="AA62" s="953"/>
      <c r="AB62" s="954"/>
      <c r="AC62" s="954"/>
      <c r="AD62" s="1349" t="str">
        <f t="shared" si="7"/>
        <v>-</v>
      </c>
      <c r="AE62" s="1279">
        <f t="shared" si="22"/>
        <v>0</v>
      </c>
      <c r="AF62" s="1280">
        <f t="shared" si="22"/>
        <v>0</v>
      </c>
      <c r="AG62" s="1280">
        <f t="shared" si="22"/>
        <v>0</v>
      </c>
      <c r="AH62" s="1389" t="str">
        <f t="shared" si="8"/>
        <v>-</v>
      </c>
      <c r="AI62" s="953"/>
      <c r="AJ62" s="954"/>
      <c r="AK62" s="954"/>
      <c r="AL62" s="1349" t="str">
        <f t="shared" si="9"/>
        <v>-</v>
      </c>
      <c r="AM62" s="953"/>
      <c r="AN62" s="954"/>
      <c r="AO62" s="954"/>
      <c r="AP62" s="1349" t="str">
        <f t="shared" si="10"/>
        <v>-</v>
      </c>
      <c r="AQ62" s="953"/>
      <c r="AR62" s="954"/>
      <c r="AS62" s="954"/>
      <c r="AT62" s="1349" t="str">
        <f t="shared" si="11"/>
        <v>-</v>
      </c>
      <c r="AU62" s="464"/>
      <c r="AV62" s="464"/>
      <c r="AW62" s="464"/>
      <c r="AX62" s="464"/>
      <c r="AY62" s="464"/>
    </row>
    <row r="63" spans="1:51">
      <c r="A63" s="504">
        <f t="shared" si="13"/>
        <v>56</v>
      </c>
      <c r="B63" s="792">
        <v>6</v>
      </c>
      <c r="C63" s="939" t="s">
        <v>681</v>
      </c>
      <c r="D63" s="902" t="s">
        <v>680</v>
      </c>
      <c r="E63" s="940" t="s">
        <v>1218</v>
      </c>
      <c r="F63" s="903" t="s">
        <v>639</v>
      </c>
      <c r="G63" s="1279">
        <f t="shared" si="20"/>
        <v>0</v>
      </c>
      <c r="H63" s="1280">
        <f t="shared" si="20"/>
        <v>0</v>
      </c>
      <c r="I63" s="1280">
        <f t="shared" si="20"/>
        <v>0</v>
      </c>
      <c r="J63" s="1390" t="str">
        <f t="shared" si="1"/>
        <v>-</v>
      </c>
      <c r="K63" s="1279">
        <f t="shared" si="21"/>
        <v>0</v>
      </c>
      <c r="L63" s="1280">
        <f t="shared" si="21"/>
        <v>0</v>
      </c>
      <c r="M63" s="1280">
        <f t="shared" si="21"/>
        <v>0</v>
      </c>
      <c r="N63" s="1390" t="str">
        <f t="shared" si="3"/>
        <v>-</v>
      </c>
      <c r="O63" s="953"/>
      <c r="P63" s="954"/>
      <c r="Q63" s="954"/>
      <c r="R63" s="1357" t="str">
        <f t="shared" si="4"/>
        <v>-</v>
      </c>
      <c r="S63" s="953"/>
      <c r="T63" s="954"/>
      <c r="U63" s="954"/>
      <c r="V63" s="1357" t="str">
        <f t="shared" si="5"/>
        <v>-</v>
      </c>
      <c r="W63" s="953"/>
      <c r="X63" s="954"/>
      <c r="Y63" s="954"/>
      <c r="Z63" s="1357" t="str">
        <f t="shared" si="6"/>
        <v>-</v>
      </c>
      <c r="AA63" s="953"/>
      <c r="AB63" s="954"/>
      <c r="AC63" s="954"/>
      <c r="AD63" s="1357" t="str">
        <f t="shared" si="7"/>
        <v>-</v>
      </c>
      <c r="AE63" s="1279">
        <f t="shared" si="22"/>
        <v>0</v>
      </c>
      <c r="AF63" s="1280">
        <f t="shared" si="22"/>
        <v>0</v>
      </c>
      <c r="AG63" s="1280">
        <f t="shared" si="22"/>
        <v>0</v>
      </c>
      <c r="AH63" s="1390" t="str">
        <f t="shared" si="8"/>
        <v>-</v>
      </c>
      <c r="AI63" s="953"/>
      <c r="AJ63" s="954"/>
      <c r="AK63" s="954"/>
      <c r="AL63" s="1357" t="str">
        <f t="shared" si="9"/>
        <v>-</v>
      </c>
      <c r="AM63" s="953"/>
      <c r="AN63" s="954"/>
      <c r="AO63" s="954"/>
      <c r="AP63" s="1357" t="str">
        <f t="shared" si="10"/>
        <v>-</v>
      </c>
      <c r="AQ63" s="953"/>
      <c r="AR63" s="954"/>
      <c r="AS63" s="954"/>
      <c r="AT63" s="1357" t="str">
        <f t="shared" si="11"/>
        <v>-</v>
      </c>
      <c r="AU63" s="464"/>
      <c r="AV63" s="464"/>
      <c r="AW63" s="464"/>
      <c r="AX63" s="464"/>
      <c r="AY63" s="464"/>
    </row>
    <row r="64" spans="1:51">
      <c r="A64" s="504">
        <f t="shared" si="13"/>
        <v>57</v>
      </c>
      <c r="B64" s="792">
        <v>7</v>
      </c>
      <c r="C64" s="939" t="s">
        <v>1252</v>
      </c>
      <c r="D64" s="902" t="s">
        <v>1265</v>
      </c>
      <c r="E64" s="940" t="s">
        <v>1218</v>
      </c>
      <c r="F64" s="903" t="s">
        <v>1264</v>
      </c>
      <c r="G64" s="1279">
        <f t="shared" si="20"/>
        <v>0</v>
      </c>
      <c r="H64" s="1280">
        <f t="shared" si="20"/>
        <v>0</v>
      </c>
      <c r="I64" s="1280">
        <f t="shared" si="20"/>
        <v>0</v>
      </c>
      <c r="J64" s="1389" t="str">
        <f t="shared" si="1"/>
        <v>-</v>
      </c>
      <c r="K64" s="1279">
        <f t="shared" si="21"/>
        <v>0</v>
      </c>
      <c r="L64" s="1280">
        <f t="shared" si="21"/>
        <v>0</v>
      </c>
      <c r="M64" s="1280">
        <f t="shared" si="21"/>
        <v>0</v>
      </c>
      <c r="N64" s="1389" t="str">
        <f t="shared" si="3"/>
        <v>-</v>
      </c>
      <c r="O64" s="953"/>
      <c r="P64" s="954"/>
      <c r="Q64" s="954"/>
      <c r="R64" s="1349" t="str">
        <f t="shared" si="4"/>
        <v>-</v>
      </c>
      <c r="S64" s="953"/>
      <c r="T64" s="954"/>
      <c r="U64" s="954"/>
      <c r="V64" s="1349" t="str">
        <f t="shared" si="5"/>
        <v>-</v>
      </c>
      <c r="W64" s="953"/>
      <c r="X64" s="954"/>
      <c r="Y64" s="954"/>
      <c r="Z64" s="1349" t="str">
        <f t="shared" si="6"/>
        <v>-</v>
      </c>
      <c r="AA64" s="953"/>
      <c r="AB64" s="954"/>
      <c r="AC64" s="954"/>
      <c r="AD64" s="1349" t="str">
        <f t="shared" si="7"/>
        <v>-</v>
      </c>
      <c r="AE64" s="1279">
        <f t="shared" si="22"/>
        <v>0</v>
      </c>
      <c r="AF64" s="1280">
        <f t="shared" si="22"/>
        <v>0</v>
      </c>
      <c r="AG64" s="1280">
        <f t="shared" si="22"/>
        <v>0</v>
      </c>
      <c r="AH64" s="1389" t="str">
        <f t="shared" si="8"/>
        <v>-</v>
      </c>
      <c r="AI64" s="953"/>
      <c r="AJ64" s="954"/>
      <c r="AK64" s="954"/>
      <c r="AL64" s="1349" t="str">
        <f t="shared" si="9"/>
        <v>-</v>
      </c>
      <c r="AM64" s="953"/>
      <c r="AN64" s="954"/>
      <c r="AO64" s="954"/>
      <c r="AP64" s="1349" t="str">
        <f t="shared" si="10"/>
        <v>-</v>
      </c>
      <c r="AQ64" s="953"/>
      <c r="AR64" s="954"/>
      <c r="AS64" s="954"/>
      <c r="AT64" s="1349" t="str">
        <f t="shared" si="11"/>
        <v>-</v>
      </c>
      <c r="AU64" s="464"/>
      <c r="AV64" s="464"/>
      <c r="AW64" s="464"/>
      <c r="AX64" s="464"/>
      <c r="AY64" s="464"/>
    </row>
    <row r="65" spans="1:51">
      <c r="A65" s="504">
        <f t="shared" si="13"/>
        <v>58</v>
      </c>
      <c r="B65" s="792">
        <v>8</v>
      </c>
      <c r="C65" s="939" t="s">
        <v>1033</v>
      </c>
      <c r="D65" s="902" t="s">
        <v>1035</v>
      </c>
      <c r="E65" s="940" t="s">
        <v>1218</v>
      </c>
      <c r="F65" s="903" t="s">
        <v>1034</v>
      </c>
      <c r="G65" s="1279">
        <f t="shared" si="20"/>
        <v>0</v>
      </c>
      <c r="H65" s="1280">
        <f t="shared" si="20"/>
        <v>0</v>
      </c>
      <c r="I65" s="1280">
        <f t="shared" si="20"/>
        <v>0</v>
      </c>
      <c r="J65" s="1389" t="str">
        <f t="shared" si="1"/>
        <v>-</v>
      </c>
      <c r="K65" s="1279">
        <f t="shared" si="21"/>
        <v>0</v>
      </c>
      <c r="L65" s="1280">
        <f t="shared" si="21"/>
        <v>0</v>
      </c>
      <c r="M65" s="1280">
        <f t="shared" si="21"/>
        <v>0</v>
      </c>
      <c r="N65" s="1389" t="str">
        <f t="shared" si="3"/>
        <v>-</v>
      </c>
      <c r="O65" s="953"/>
      <c r="P65" s="954"/>
      <c r="Q65" s="954"/>
      <c r="R65" s="1349" t="str">
        <f t="shared" si="4"/>
        <v>-</v>
      </c>
      <c r="S65" s="953"/>
      <c r="T65" s="954"/>
      <c r="U65" s="954"/>
      <c r="V65" s="1349" t="str">
        <f t="shared" si="5"/>
        <v>-</v>
      </c>
      <c r="W65" s="953"/>
      <c r="X65" s="954"/>
      <c r="Y65" s="954"/>
      <c r="Z65" s="1349" t="str">
        <f t="shared" si="6"/>
        <v>-</v>
      </c>
      <c r="AA65" s="953"/>
      <c r="AB65" s="954"/>
      <c r="AC65" s="954"/>
      <c r="AD65" s="1349" t="str">
        <f t="shared" si="7"/>
        <v>-</v>
      </c>
      <c r="AE65" s="1279">
        <f t="shared" si="22"/>
        <v>0</v>
      </c>
      <c r="AF65" s="1280">
        <f t="shared" si="22"/>
        <v>0</v>
      </c>
      <c r="AG65" s="1280">
        <f t="shared" si="22"/>
        <v>0</v>
      </c>
      <c r="AH65" s="1389" t="str">
        <f t="shared" si="8"/>
        <v>-</v>
      </c>
      <c r="AI65" s="953"/>
      <c r="AJ65" s="954"/>
      <c r="AK65" s="954"/>
      <c r="AL65" s="1349" t="str">
        <f t="shared" si="9"/>
        <v>-</v>
      </c>
      <c r="AM65" s="953"/>
      <c r="AN65" s="954"/>
      <c r="AO65" s="954"/>
      <c r="AP65" s="1349" t="str">
        <f t="shared" si="10"/>
        <v>-</v>
      </c>
      <c r="AQ65" s="953"/>
      <c r="AR65" s="954"/>
      <c r="AS65" s="954"/>
      <c r="AT65" s="1349" t="str">
        <f t="shared" si="11"/>
        <v>-</v>
      </c>
      <c r="AU65" s="464"/>
      <c r="AV65" s="464"/>
      <c r="AW65" s="464"/>
      <c r="AX65" s="464"/>
      <c r="AY65" s="464"/>
    </row>
    <row r="66" spans="1:51">
      <c r="A66" s="504">
        <f t="shared" si="13"/>
        <v>59</v>
      </c>
      <c r="B66" s="792">
        <v>6</v>
      </c>
      <c r="C66" s="939" t="s">
        <v>1053</v>
      </c>
      <c r="D66" s="902" t="s">
        <v>1055</v>
      </c>
      <c r="E66" s="940" t="s">
        <v>1229</v>
      </c>
      <c r="F66" s="903" t="s">
        <v>1055</v>
      </c>
      <c r="G66" s="1279">
        <f t="shared" si="20"/>
        <v>0</v>
      </c>
      <c r="H66" s="1280">
        <f t="shared" si="20"/>
        <v>0</v>
      </c>
      <c r="I66" s="1280">
        <f t="shared" si="20"/>
        <v>0</v>
      </c>
      <c r="J66" s="1389" t="str">
        <f t="shared" si="1"/>
        <v>-</v>
      </c>
      <c r="K66" s="1279">
        <f t="shared" si="21"/>
        <v>0</v>
      </c>
      <c r="L66" s="1280">
        <f t="shared" si="21"/>
        <v>0</v>
      </c>
      <c r="M66" s="1280">
        <f t="shared" si="21"/>
        <v>0</v>
      </c>
      <c r="N66" s="1389" t="str">
        <f t="shared" si="3"/>
        <v>-</v>
      </c>
      <c r="O66" s="953"/>
      <c r="P66" s="954"/>
      <c r="Q66" s="954"/>
      <c r="R66" s="1349" t="str">
        <f t="shared" si="4"/>
        <v>-</v>
      </c>
      <c r="S66" s="953"/>
      <c r="T66" s="954"/>
      <c r="U66" s="954"/>
      <c r="V66" s="1349" t="str">
        <f t="shared" si="5"/>
        <v>-</v>
      </c>
      <c r="W66" s="953"/>
      <c r="X66" s="954"/>
      <c r="Y66" s="954"/>
      <c r="Z66" s="1349" t="str">
        <f t="shared" si="6"/>
        <v>-</v>
      </c>
      <c r="AA66" s="953"/>
      <c r="AB66" s="954"/>
      <c r="AC66" s="954"/>
      <c r="AD66" s="1349" t="str">
        <f t="shared" si="7"/>
        <v>-</v>
      </c>
      <c r="AE66" s="1279">
        <f t="shared" si="22"/>
        <v>0</v>
      </c>
      <c r="AF66" s="1280">
        <f t="shared" si="22"/>
        <v>0</v>
      </c>
      <c r="AG66" s="1280">
        <f t="shared" si="22"/>
        <v>0</v>
      </c>
      <c r="AH66" s="1389" t="str">
        <f t="shared" si="8"/>
        <v>-</v>
      </c>
      <c r="AI66" s="953"/>
      <c r="AJ66" s="954"/>
      <c r="AK66" s="954"/>
      <c r="AL66" s="1349" t="str">
        <f t="shared" si="9"/>
        <v>-</v>
      </c>
      <c r="AM66" s="953"/>
      <c r="AN66" s="954"/>
      <c r="AO66" s="954"/>
      <c r="AP66" s="1349" t="str">
        <f t="shared" si="10"/>
        <v>-</v>
      </c>
      <c r="AQ66" s="953"/>
      <c r="AR66" s="954"/>
      <c r="AS66" s="954"/>
      <c r="AT66" s="1349" t="str">
        <f t="shared" si="11"/>
        <v>-</v>
      </c>
      <c r="AU66" s="464"/>
      <c r="AV66" s="464"/>
      <c r="AW66" s="464"/>
      <c r="AX66" s="464"/>
      <c r="AY66" s="464"/>
    </row>
    <row r="67" spans="1:51">
      <c r="A67" s="504">
        <f t="shared" si="13"/>
        <v>60</v>
      </c>
      <c r="B67" s="792">
        <v>6</v>
      </c>
      <c r="C67" s="939" t="s">
        <v>676</v>
      </c>
      <c r="D67" s="902" t="s">
        <v>677</v>
      </c>
      <c r="E67" s="940" t="s">
        <v>1218</v>
      </c>
      <c r="F67" s="903" t="s">
        <v>1028</v>
      </c>
      <c r="G67" s="1279">
        <f t="shared" si="20"/>
        <v>0</v>
      </c>
      <c r="H67" s="1280">
        <f t="shared" si="20"/>
        <v>0</v>
      </c>
      <c r="I67" s="1280">
        <f t="shared" si="20"/>
        <v>0</v>
      </c>
      <c r="J67" s="1389" t="str">
        <f t="shared" si="1"/>
        <v>-</v>
      </c>
      <c r="K67" s="1279">
        <f t="shared" si="21"/>
        <v>0</v>
      </c>
      <c r="L67" s="1280">
        <f t="shared" si="21"/>
        <v>0</v>
      </c>
      <c r="M67" s="1280">
        <f t="shared" si="21"/>
        <v>0</v>
      </c>
      <c r="N67" s="1389" t="str">
        <f t="shared" si="3"/>
        <v>-</v>
      </c>
      <c r="O67" s="953"/>
      <c r="P67" s="954"/>
      <c r="Q67" s="954"/>
      <c r="R67" s="1349" t="str">
        <f t="shared" si="4"/>
        <v>-</v>
      </c>
      <c r="S67" s="953"/>
      <c r="T67" s="954"/>
      <c r="U67" s="954"/>
      <c r="V67" s="1349" t="str">
        <f t="shared" si="5"/>
        <v>-</v>
      </c>
      <c r="W67" s="953"/>
      <c r="X67" s="954"/>
      <c r="Y67" s="954"/>
      <c r="Z67" s="1349" t="str">
        <f t="shared" si="6"/>
        <v>-</v>
      </c>
      <c r="AA67" s="953"/>
      <c r="AB67" s="954"/>
      <c r="AC67" s="954"/>
      <c r="AD67" s="1349" t="str">
        <f t="shared" si="7"/>
        <v>-</v>
      </c>
      <c r="AE67" s="1279">
        <f t="shared" si="22"/>
        <v>0</v>
      </c>
      <c r="AF67" s="1280">
        <f t="shared" si="22"/>
        <v>0</v>
      </c>
      <c r="AG67" s="1280">
        <f t="shared" si="22"/>
        <v>0</v>
      </c>
      <c r="AH67" s="1389" t="str">
        <f t="shared" si="8"/>
        <v>-</v>
      </c>
      <c r="AI67" s="953"/>
      <c r="AJ67" s="954"/>
      <c r="AK67" s="954"/>
      <c r="AL67" s="1349" t="str">
        <f t="shared" si="9"/>
        <v>-</v>
      </c>
      <c r="AM67" s="953"/>
      <c r="AN67" s="954"/>
      <c r="AO67" s="954"/>
      <c r="AP67" s="1349" t="str">
        <f t="shared" si="10"/>
        <v>-</v>
      </c>
      <c r="AQ67" s="953"/>
      <c r="AR67" s="954"/>
      <c r="AS67" s="954"/>
      <c r="AT67" s="1349" t="str">
        <f t="shared" si="11"/>
        <v>-</v>
      </c>
      <c r="AU67" s="464"/>
      <c r="AV67" s="464"/>
      <c r="AW67" s="464"/>
      <c r="AX67" s="464"/>
      <c r="AY67" s="464"/>
    </row>
    <row r="68" spans="1:51">
      <c r="A68" s="504">
        <f t="shared" si="13"/>
        <v>61</v>
      </c>
      <c r="B68" s="792">
        <v>6</v>
      </c>
      <c r="C68" s="939" t="s">
        <v>682</v>
      </c>
      <c r="D68" s="902" t="s">
        <v>683</v>
      </c>
      <c r="E68" s="940" t="s">
        <v>1218</v>
      </c>
      <c r="F68" s="903" t="s">
        <v>1030</v>
      </c>
      <c r="G68" s="1279">
        <f t="shared" ref="G68:I80" si="23">+K68+AE68</f>
        <v>0</v>
      </c>
      <c r="H68" s="1280">
        <f t="shared" si="23"/>
        <v>12</v>
      </c>
      <c r="I68" s="1280">
        <f t="shared" si="23"/>
        <v>12</v>
      </c>
      <c r="J68" s="1389">
        <f t="shared" si="1"/>
        <v>1</v>
      </c>
      <c r="K68" s="1279">
        <f t="shared" ref="K68:M80" si="24">+O68+S68+W68+AA68</f>
        <v>0</v>
      </c>
      <c r="L68" s="1280">
        <f t="shared" si="24"/>
        <v>12</v>
      </c>
      <c r="M68" s="1280">
        <f t="shared" si="24"/>
        <v>12</v>
      </c>
      <c r="N68" s="1389">
        <f t="shared" si="3"/>
        <v>1</v>
      </c>
      <c r="O68" s="953"/>
      <c r="P68" s="954"/>
      <c r="Q68" s="954"/>
      <c r="R68" s="1349" t="str">
        <f t="shared" si="4"/>
        <v>-</v>
      </c>
      <c r="S68" s="953"/>
      <c r="T68" s="954"/>
      <c r="U68" s="954"/>
      <c r="V68" s="1349" t="str">
        <f t="shared" si="5"/>
        <v>-</v>
      </c>
      <c r="W68" s="953"/>
      <c r="X68" s="954">
        <v>12</v>
      </c>
      <c r="Y68" s="954">
        <v>12</v>
      </c>
      <c r="Z68" s="1349">
        <f t="shared" si="6"/>
        <v>1</v>
      </c>
      <c r="AA68" s="953"/>
      <c r="AB68" s="954"/>
      <c r="AC68" s="954"/>
      <c r="AD68" s="1349" t="str">
        <f t="shared" si="7"/>
        <v>-</v>
      </c>
      <c r="AE68" s="1279">
        <f t="shared" ref="AE68:AG80" si="25">+AI68+AM68+AQ68</f>
        <v>0</v>
      </c>
      <c r="AF68" s="1280">
        <f t="shared" si="25"/>
        <v>0</v>
      </c>
      <c r="AG68" s="1280">
        <f t="shared" si="25"/>
        <v>0</v>
      </c>
      <c r="AH68" s="1389" t="str">
        <f t="shared" si="8"/>
        <v>-</v>
      </c>
      <c r="AI68" s="953"/>
      <c r="AJ68" s="954"/>
      <c r="AK68" s="954"/>
      <c r="AL68" s="1349" t="str">
        <f t="shared" si="9"/>
        <v>-</v>
      </c>
      <c r="AM68" s="953"/>
      <c r="AN68" s="954"/>
      <c r="AO68" s="954"/>
      <c r="AP68" s="1349" t="str">
        <f t="shared" si="10"/>
        <v>-</v>
      </c>
      <c r="AQ68" s="953"/>
      <c r="AR68" s="954"/>
      <c r="AS68" s="954"/>
      <c r="AT68" s="1349" t="str">
        <f t="shared" si="11"/>
        <v>-</v>
      </c>
      <c r="AU68" s="464"/>
      <c r="AV68" s="464"/>
      <c r="AW68" s="464"/>
      <c r="AX68" s="464"/>
      <c r="AY68" s="464"/>
    </row>
    <row r="69" spans="1:51">
      <c r="A69" s="504">
        <f t="shared" si="13"/>
        <v>62</v>
      </c>
      <c r="B69" s="792">
        <v>6</v>
      </c>
      <c r="C69" s="939" t="s">
        <v>682</v>
      </c>
      <c r="D69" s="902" t="s">
        <v>689</v>
      </c>
      <c r="E69" s="940" t="s">
        <v>1218</v>
      </c>
      <c r="F69" s="903" t="s">
        <v>640</v>
      </c>
      <c r="G69" s="1279">
        <f t="shared" si="23"/>
        <v>0</v>
      </c>
      <c r="H69" s="1280">
        <f t="shared" si="23"/>
        <v>0</v>
      </c>
      <c r="I69" s="1280">
        <f t="shared" si="23"/>
        <v>0</v>
      </c>
      <c r="J69" s="1389" t="str">
        <f t="shared" si="1"/>
        <v>-</v>
      </c>
      <c r="K69" s="1279">
        <f t="shared" si="24"/>
        <v>0</v>
      </c>
      <c r="L69" s="1280">
        <f t="shared" si="24"/>
        <v>0</v>
      </c>
      <c r="M69" s="1280">
        <f t="shared" si="24"/>
        <v>0</v>
      </c>
      <c r="N69" s="1389" t="str">
        <f t="shared" si="3"/>
        <v>-</v>
      </c>
      <c r="O69" s="953"/>
      <c r="P69" s="954"/>
      <c r="Q69" s="954"/>
      <c r="R69" s="1349" t="str">
        <f t="shared" si="4"/>
        <v>-</v>
      </c>
      <c r="S69" s="953"/>
      <c r="T69" s="954"/>
      <c r="U69" s="954"/>
      <c r="V69" s="1349" t="str">
        <f t="shared" si="5"/>
        <v>-</v>
      </c>
      <c r="W69" s="953"/>
      <c r="X69" s="954"/>
      <c r="Y69" s="954"/>
      <c r="Z69" s="1349" t="str">
        <f t="shared" si="6"/>
        <v>-</v>
      </c>
      <c r="AA69" s="953"/>
      <c r="AB69" s="954"/>
      <c r="AC69" s="954"/>
      <c r="AD69" s="1349" t="str">
        <f t="shared" si="7"/>
        <v>-</v>
      </c>
      <c r="AE69" s="1279">
        <f t="shared" si="25"/>
        <v>0</v>
      </c>
      <c r="AF69" s="1280">
        <f t="shared" si="25"/>
        <v>0</v>
      </c>
      <c r="AG69" s="1280">
        <f t="shared" si="25"/>
        <v>0</v>
      </c>
      <c r="AH69" s="1389" t="str">
        <f t="shared" si="8"/>
        <v>-</v>
      </c>
      <c r="AI69" s="953"/>
      <c r="AJ69" s="954"/>
      <c r="AK69" s="954"/>
      <c r="AL69" s="1349" t="str">
        <f t="shared" si="9"/>
        <v>-</v>
      </c>
      <c r="AM69" s="953"/>
      <c r="AN69" s="954"/>
      <c r="AO69" s="954"/>
      <c r="AP69" s="1349" t="str">
        <f t="shared" si="10"/>
        <v>-</v>
      </c>
      <c r="AQ69" s="953"/>
      <c r="AR69" s="954"/>
      <c r="AS69" s="954"/>
      <c r="AT69" s="1349" t="str">
        <f t="shared" si="11"/>
        <v>-</v>
      </c>
      <c r="AU69" s="464"/>
      <c r="AV69" s="464"/>
      <c r="AW69" s="464"/>
      <c r="AX69" s="464"/>
      <c r="AY69" s="464"/>
    </row>
    <row r="70" spans="1:51">
      <c r="A70" s="504">
        <f t="shared" si="13"/>
        <v>63</v>
      </c>
      <c r="B70" s="792">
        <v>7</v>
      </c>
      <c r="C70" s="939" t="s">
        <v>704</v>
      </c>
      <c r="D70" s="902" t="s">
        <v>1273</v>
      </c>
      <c r="E70" s="940" t="s">
        <v>1221</v>
      </c>
      <c r="F70" s="903" t="s">
        <v>1274</v>
      </c>
      <c r="G70" s="1279">
        <f>+K70+AE70</f>
        <v>0</v>
      </c>
      <c r="H70" s="1280">
        <f>+L70+AF70</f>
        <v>0</v>
      </c>
      <c r="I70" s="1280">
        <f>+M70+AG70</f>
        <v>0</v>
      </c>
      <c r="J70" s="1389" t="str">
        <f t="shared" si="1"/>
        <v>-</v>
      </c>
      <c r="K70" s="1279">
        <f>+O70+S70+W70+AA70</f>
        <v>0</v>
      </c>
      <c r="L70" s="1280">
        <f>+P70+T70+X70+AB70</f>
        <v>0</v>
      </c>
      <c r="M70" s="1280">
        <f>+Q70+U70+Y70+AC70</f>
        <v>0</v>
      </c>
      <c r="N70" s="1389" t="str">
        <f t="shared" si="3"/>
        <v>-</v>
      </c>
      <c r="O70" s="953"/>
      <c r="P70" s="954"/>
      <c r="Q70" s="954"/>
      <c r="R70" s="1349" t="str">
        <f t="shared" si="4"/>
        <v>-</v>
      </c>
      <c r="S70" s="953"/>
      <c r="T70" s="954"/>
      <c r="U70" s="954"/>
      <c r="V70" s="1349" t="str">
        <f t="shared" si="5"/>
        <v>-</v>
      </c>
      <c r="W70" s="953"/>
      <c r="X70" s="954"/>
      <c r="Y70" s="954"/>
      <c r="Z70" s="1349" t="str">
        <f t="shared" si="6"/>
        <v>-</v>
      </c>
      <c r="AA70" s="953"/>
      <c r="AB70" s="954"/>
      <c r="AC70" s="954"/>
      <c r="AD70" s="1349" t="str">
        <f t="shared" si="7"/>
        <v>-</v>
      </c>
      <c r="AE70" s="1279">
        <f>+AI70+AM70+AQ70</f>
        <v>0</v>
      </c>
      <c r="AF70" s="1280">
        <f>+AJ70+AN70+AR70</f>
        <v>0</v>
      </c>
      <c r="AG70" s="1280">
        <f>+AK70+AO70+AS70</f>
        <v>0</v>
      </c>
      <c r="AH70" s="1389" t="str">
        <f t="shared" si="8"/>
        <v>-</v>
      </c>
      <c r="AI70" s="953"/>
      <c r="AJ70" s="954"/>
      <c r="AK70" s="954"/>
      <c r="AL70" s="1349" t="str">
        <f t="shared" si="9"/>
        <v>-</v>
      </c>
      <c r="AM70" s="953"/>
      <c r="AN70" s="954"/>
      <c r="AO70" s="954"/>
      <c r="AP70" s="1349" t="str">
        <f t="shared" si="10"/>
        <v>-</v>
      </c>
      <c r="AQ70" s="953"/>
      <c r="AR70" s="954"/>
      <c r="AS70" s="954"/>
      <c r="AT70" s="1349" t="str">
        <f t="shared" si="11"/>
        <v>-</v>
      </c>
      <c r="AU70" s="464"/>
      <c r="AV70" s="464"/>
      <c r="AW70" s="464"/>
      <c r="AX70" s="464"/>
      <c r="AY70" s="464"/>
    </row>
    <row r="71" spans="1:51">
      <c r="A71" s="504">
        <f t="shared" si="13"/>
        <v>64</v>
      </c>
      <c r="B71" s="792">
        <v>7</v>
      </c>
      <c r="C71" s="939" t="s">
        <v>1247</v>
      </c>
      <c r="D71" s="902" t="s">
        <v>1245</v>
      </c>
      <c r="E71" s="940" t="s">
        <v>1218</v>
      </c>
      <c r="F71" s="903" t="s">
        <v>1275</v>
      </c>
      <c r="G71" s="1279">
        <f t="shared" si="23"/>
        <v>0</v>
      </c>
      <c r="H71" s="1280">
        <f t="shared" si="23"/>
        <v>0</v>
      </c>
      <c r="I71" s="1280">
        <f t="shared" si="23"/>
        <v>0</v>
      </c>
      <c r="J71" s="1389" t="str">
        <f t="shared" si="1"/>
        <v>-</v>
      </c>
      <c r="K71" s="1279">
        <f t="shared" si="24"/>
        <v>0</v>
      </c>
      <c r="L71" s="1280">
        <f t="shared" si="24"/>
        <v>0</v>
      </c>
      <c r="M71" s="1280">
        <f t="shared" si="24"/>
        <v>0</v>
      </c>
      <c r="N71" s="1389" t="str">
        <f t="shared" si="3"/>
        <v>-</v>
      </c>
      <c r="O71" s="953"/>
      <c r="P71" s="954"/>
      <c r="Q71" s="954"/>
      <c r="R71" s="1349" t="str">
        <f t="shared" si="4"/>
        <v>-</v>
      </c>
      <c r="S71" s="953"/>
      <c r="T71" s="954"/>
      <c r="U71" s="954"/>
      <c r="V71" s="1349" t="str">
        <f t="shared" si="5"/>
        <v>-</v>
      </c>
      <c r="W71" s="953"/>
      <c r="X71" s="954"/>
      <c r="Y71" s="954"/>
      <c r="Z71" s="1349" t="str">
        <f t="shared" si="6"/>
        <v>-</v>
      </c>
      <c r="AA71" s="953"/>
      <c r="AB71" s="954"/>
      <c r="AC71" s="954"/>
      <c r="AD71" s="1349" t="str">
        <f t="shared" si="7"/>
        <v>-</v>
      </c>
      <c r="AE71" s="1279">
        <f t="shared" si="25"/>
        <v>0</v>
      </c>
      <c r="AF71" s="1280">
        <f t="shared" si="25"/>
        <v>0</v>
      </c>
      <c r="AG71" s="1280">
        <f t="shared" si="25"/>
        <v>0</v>
      </c>
      <c r="AH71" s="1389" t="str">
        <f t="shared" si="8"/>
        <v>-</v>
      </c>
      <c r="AI71" s="953"/>
      <c r="AJ71" s="954"/>
      <c r="AK71" s="954"/>
      <c r="AL71" s="1349" t="str">
        <f t="shared" si="9"/>
        <v>-</v>
      </c>
      <c r="AM71" s="953"/>
      <c r="AN71" s="954"/>
      <c r="AO71" s="954"/>
      <c r="AP71" s="1349" t="str">
        <f t="shared" si="10"/>
        <v>-</v>
      </c>
      <c r="AQ71" s="953"/>
      <c r="AR71" s="954"/>
      <c r="AS71" s="954"/>
      <c r="AT71" s="1349" t="str">
        <f t="shared" si="11"/>
        <v>-</v>
      </c>
      <c r="AU71" s="464"/>
      <c r="AV71" s="464"/>
      <c r="AW71" s="464"/>
      <c r="AX71" s="464"/>
      <c r="AY71" s="464"/>
    </row>
    <row r="72" spans="1:51">
      <c r="A72" s="504">
        <f t="shared" si="13"/>
        <v>65</v>
      </c>
      <c r="B72" s="792">
        <v>7</v>
      </c>
      <c r="C72" s="939" t="s">
        <v>1252</v>
      </c>
      <c r="D72" s="902" t="s">
        <v>1277</v>
      </c>
      <c r="E72" s="940" t="s">
        <v>1218</v>
      </c>
      <c r="F72" s="903" t="s">
        <v>1276</v>
      </c>
      <c r="G72" s="1279">
        <f>+K72+AE72</f>
        <v>0</v>
      </c>
      <c r="H72" s="1280">
        <f>+L72+AF72</f>
        <v>0</v>
      </c>
      <c r="I72" s="1280">
        <f>+M72+AG72</f>
        <v>0</v>
      </c>
      <c r="J72" s="1389" t="str">
        <f t="shared" si="1"/>
        <v>-</v>
      </c>
      <c r="K72" s="1279">
        <f>+O72+S72+W72+AA72</f>
        <v>0</v>
      </c>
      <c r="L72" s="1280">
        <f>+P72+T72+X72+AB72</f>
        <v>0</v>
      </c>
      <c r="M72" s="1280">
        <f>+Q72+U72+Y72+AC72</f>
        <v>0</v>
      </c>
      <c r="N72" s="1389" t="str">
        <f t="shared" si="3"/>
        <v>-</v>
      </c>
      <c r="O72" s="953"/>
      <c r="P72" s="954"/>
      <c r="Q72" s="954"/>
      <c r="R72" s="1349" t="str">
        <f t="shared" si="4"/>
        <v>-</v>
      </c>
      <c r="S72" s="953"/>
      <c r="T72" s="954"/>
      <c r="U72" s="954"/>
      <c r="V72" s="1349" t="str">
        <f t="shared" si="5"/>
        <v>-</v>
      </c>
      <c r="W72" s="953"/>
      <c r="X72" s="954"/>
      <c r="Y72" s="954"/>
      <c r="Z72" s="1349" t="str">
        <f t="shared" si="6"/>
        <v>-</v>
      </c>
      <c r="AA72" s="953"/>
      <c r="AB72" s="954"/>
      <c r="AC72" s="954"/>
      <c r="AD72" s="1349" t="str">
        <f t="shared" si="7"/>
        <v>-</v>
      </c>
      <c r="AE72" s="1279">
        <f>+AI72+AM72+AQ72</f>
        <v>0</v>
      </c>
      <c r="AF72" s="1280">
        <f>+AJ72+AN72+AR72</f>
        <v>0</v>
      </c>
      <c r="AG72" s="1280">
        <f>+AK72+AO72+AS72</f>
        <v>0</v>
      </c>
      <c r="AH72" s="1389" t="str">
        <f t="shared" si="8"/>
        <v>-</v>
      </c>
      <c r="AI72" s="953"/>
      <c r="AJ72" s="954"/>
      <c r="AK72" s="954"/>
      <c r="AL72" s="1349" t="str">
        <f t="shared" si="9"/>
        <v>-</v>
      </c>
      <c r="AM72" s="953"/>
      <c r="AN72" s="954"/>
      <c r="AO72" s="954"/>
      <c r="AP72" s="1349" t="str">
        <f t="shared" si="10"/>
        <v>-</v>
      </c>
      <c r="AQ72" s="953"/>
      <c r="AR72" s="954"/>
      <c r="AS72" s="954"/>
      <c r="AT72" s="1349" t="str">
        <f t="shared" si="11"/>
        <v>-</v>
      </c>
      <c r="AU72" s="464"/>
      <c r="AV72" s="464"/>
      <c r="AW72" s="464"/>
      <c r="AX72" s="464"/>
      <c r="AY72" s="464"/>
    </row>
    <row r="73" spans="1:51">
      <c r="A73" s="504">
        <f t="shared" si="13"/>
        <v>66</v>
      </c>
      <c r="B73" s="792">
        <v>7</v>
      </c>
      <c r="C73" s="939" t="s">
        <v>1278</v>
      </c>
      <c r="D73" s="902" t="s">
        <v>1279</v>
      </c>
      <c r="E73" s="940" t="s">
        <v>1218</v>
      </c>
      <c r="F73" s="903" t="s">
        <v>1280</v>
      </c>
      <c r="G73" s="1279">
        <f t="shared" si="23"/>
        <v>0</v>
      </c>
      <c r="H73" s="1280">
        <f t="shared" si="23"/>
        <v>0</v>
      </c>
      <c r="I73" s="1280">
        <f t="shared" si="23"/>
        <v>0</v>
      </c>
      <c r="J73" s="1389" t="str">
        <f t="shared" si="1"/>
        <v>-</v>
      </c>
      <c r="K73" s="1279">
        <f t="shared" si="24"/>
        <v>0</v>
      </c>
      <c r="L73" s="1280">
        <f t="shared" si="24"/>
        <v>0</v>
      </c>
      <c r="M73" s="1280">
        <f t="shared" si="24"/>
        <v>0</v>
      </c>
      <c r="N73" s="1389" t="str">
        <f t="shared" si="3"/>
        <v>-</v>
      </c>
      <c r="O73" s="953"/>
      <c r="P73" s="954"/>
      <c r="Q73" s="954"/>
      <c r="R73" s="1349" t="str">
        <f t="shared" si="4"/>
        <v>-</v>
      </c>
      <c r="S73" s="953"/>
      <c r="T73" s="954"/>
      <c r="U73" s="954"/>
      <c r="V73" s="1349" t="str">
        <f t="shared" si="5"/>
        <v>-</v>
      </c>
      <c r="W73" s="953"/>
      <c r="X73" s="954"/>
      <c r="Y73" s="954"/>
      <c r="Z73" s="1349" t="str">
        <f t="shared" si="6"/>
        <v>-</v>
      </c>
      <c r="AA73" s="953"/>
      <c r="AB73" s="954"/>
      <c r="AC73" s="954"/>
      <c r="AD73" s="1349" t="str">
        <f t="shared" si="7"/>
        <v>-</v>
      </c>
      <c r="AE73" s="1279">
        <f t="shared" si="25"/>
        <v>0</v>
      </c>
      <c r="AF73" s="1280">
        <f t="shared" si="25"/>
        <v>0</v>
      </c>
      <c r="AG73" s="1280">
        <f t="shared" si="25"/>
        <v>0</v>
      </c>
      <c r="AH73" s="1389" t="str">
        <f t="shared" si="8"/>
        <v>-</v>
      </c>
      <c r="AI73" s="953"/>
      <c r="AJ73" s="954"/>
      <c r="AK73" s="954"/>
      <c r="AL73" s="1349" t="str">
        <f t="shared" si="9"/>
        <v>-</v>
      </c>
      <c r="AM73" s="953"/>
      <c r="AN73" s="954"/>
      <c r="AO73" s="954"/>
      <c r="AP73" s="1349" t="str">
        <f t="shared" si="10"/>
        <v>-</v>
      </c>
      <c r="AQ73" s="953"/>
      <c r="AR73" s="954"/>
      <c r="AS73" s="954"/>
      <c r="AT73" s="1349" t="str">
        <f t="shared" si="11"/>
        <v>-</v>
      </c>
      <c r="AU73" s="464"/>
      <c r="AV73" s="464"/>
      <c r="AW73" s="464"/>
      <c r="AX73" s="464"/>
      <c r="AY73" s="464"/>
    </row>
    <row r="74" spans="1:51">
      <c r="A74" s="504">
        <f t="shared" si="13"/>
        <v>67</v>
      </c>
      <c r="B74" s="792">
        <v>7</v>
      </c>
      <c r="C74" s="939" t="s">
        <v>1281</v>
      </c>
      <c r="D74" s="902" t="s">
        <v>1282</v>
      </c>
      <c r="E74" s="940" t="s">
        <v>1218</v>
      </c>
      <c r="F74" s="903" t="s">
        <v>1287</v>
      </c>
      <c r="G74" s="1279">
        <f>+K74+AE74</f>
        <v>0</v>
      </c>
      <c r="H74" s="1280">
        <f>+L74+AF74</f>
        <v>105706</v>
      </c>
      <c r="I74" s="1280">
        <f>+M74+AG74</f>
        <v>105706</v>
      </c>
      <c r="J74" s="1389">
        <f t="shared" si="1"/>
        <v>1</v>
      </c>
      <c r="K74" s="1279">
        <f>+O74+S74+W74+AA74</f>
        <v>0</v>
      </c>
      <c r="L74" s="1280">
        <f>+P74+T74+X74+AB74</f>
        <v>105706</v>
      </c>
      <c r="M74" s="1280">
        <f>+Q74+U74+Y74+AC74</f>
        <v>105706</v>
      </c>
      <c r="N74" s="1389">
        <f t="shared" si="3"/>
        <v>1</v>
      </c>
      <c r="O74" s="953"/>
      <c r="P74" s="954">
        <v>105706</v>
      </c>
      <c r="Q74" s="954">
        <v>105706</v>
      </c>
      <c r="R74" s="1349">
        <f t="shared" si="4"/>
        <v>1</v>
      </c>
      <c r="S74" s="953"/>
      <c r="T74" s="954"/>
      <c r="U74" s="954"/>
      <c r="V74" s="1349" t="str">
        <f t="shared" si="5"/>
        <v>-</v>
      </c>
      <c r="W74" s="953"/>
      <c r="X74" s="954"/>
      <c r="Y74" s="954"/>
      <c r="Z74" s="1349" t="str">
        <f t="shared" si="6"/>
        <v>-</v>
      </c>
      <c r="AA74" s="953"/>
      <c r="AB74" s="954"/>
      <c r="AC74" s="954"/>
      <c r="AD74" s="1349" t="str">
        <f t="shared" si="7"/>
        <v>-</v>
      </c>
      <c r="AE74" s="1279">
        <f>+AI74+AM74+AQ74</f>
        <v>0</v>
      </c>
      <c r="AF74" s="1280">
        <f>+AJ74+AN74+AR74</f>
        <v>0</v>
      </c>
      <c r="AG74" s="1280">
        <f>+AK74+AO74+AS74</f>
        <v>0</v>
      </c>
      <c r="AH74" s="1389" t="str">
        <f t="shared" si="8"/>
        <v>-</v>
      </c>
      <c r="AI74" s="953"/>
      <c r="AJ74" s="954"/>
      <c r="AK74" s="954"/>
      <c r="AL74" s="1349" t="str">
        <f t="shared" si="9"/>
        <v>-</v>
      </c>
      <c r="AM74" s="953"/>
      <c r="AN74" s="954"/>
      <c r="AO74" s="954"/>
      <c r="AP74" s="1349" t="str">
        <f t="shared" si="10"/>
        <v>-</v>
      </c>
      <c r="AQ74" s="953"/>
      <c r="AR74" s="954"/>
      <c r="AS74" s="954"/>
      <c r="AT74" s="1349" t="str">
        <f t="shared" si="11"/>
        <v>-</v>
      </c>
      <c r="AU74" s="464"/>
      <c r="AV74" s="464"/>
      <c r="AW74" s="464"/>
      <c r="AX74" s="464"/>
      <c r="AY74" s="464"/>
    </row>
    <row r="75" spans="1:51">
      <c r="A75" s="504">
        <f t="shared" si="13"/>
        <v>68</v>
      </c>
      <c r="B75" s="792">
        <v>7</v>
      </c>
      <c r="C75" s="939" t="s">
        <v>1283</v>
      </c>
      <c r="D75" s="902" t="s">
        <v>1284</v>
      </c>
      <c r="E75" s="940" t="s">
        <v>1285</v>
      </c>
      <c r="F75" s="903" t="s">
        <v>1286</v>
      </c>
      <c r="G75" s="1279">
        <f t="shared" si="23"/>
        <v>0</v>
      </c>
      <c r="H75" s="1280">
        <f t="shared" si="23"/>
        <v>80877</v>
      </c>
      <c r="I75" s="1280">
        <f t="shared" si="23"/>
        <v>80877</v>
      </c>
      <c r="J75" s="1389">
        <f t="shared" si="1"/>
        <v>1</v>
      </c>
      <c r="K75" s="1279">
        <f t="shared" si="24"/>
        <v>0</v>
      </c>
      <c r="L75" s="1280">
        <f t="shared" si="24"/>
        <v>80877</v>
      </c>
      <c r="M75" s="1280">
        <f t="shared" si="24"/>
        <v>80877</v>
      </c>
      <c r="N75" s="1389">
        <f t="shared" si="3"/>
        <v>1</v>
      </c>
      <c r="O75" s="953"/>
      <c r="P75" s="954">
        <v>80877</v>
      </c>
      <c r="Q75" s="954">
        <v>80877</v>
      </c>
      <c r="R75" s="1349">
        <f t="shared" si="4"/>
        <v>1</v>
      </c>
      <c r="S75" s="953"/>
      <c r="T75" s="954"/>
      <c r="U75" s="954"/>
      <c r="V75" s="1349" t="str">
        <f t="shared" si="5"/>
        <v>-</v>
      </c>
      <c r="W75" s="953"/>
      <c r="X75" s="954"/>
      <c r="Y75" s="954"/>
      <c r="Z75" s="1349" t="str">
        <f t="shared" si="6"/>
        <v>-</v>
      </c>
      <c r="AA75" s="953"/>
      <c r="AB75" s="954"/>
      <c r="AC75" s="954"/>
      <c r="AD75" s="1349" t="str">
        <f t="shared" si="7"/>
        <v>-</v>
      </c>
      <c r="AE75" s="1279">
        <f t="shared" si="25"/>
        <v>0</v>
      </c>
      <c r="AF75" s="1280">
        <f t="shared" si="25"/>
        <v>0</v>
      </c>
      <c r="AG75" s="1280">
        <f t="shared" si="25"/>
        <v>0</v>
      </c>
      <c r="AH75" s="1389" t="str">
        <f t="shared" si="8"/>
        <v>-</v>
      </c>
      <c r="AI75" s="953"/>
      <c r="AJ75" s="954"/>
      <c r="AK75" s="954"/>
      <c r="AL75" s="1349" t="str">
        <f t="shared" si="9"/>
        <v>-</v>
      </c>
      <c r="AM75" s="953"/>
      <c r="AN75" s="954"/>
      <c r="AO75" s="954"/>
      <c r="AP75" s="1349" t="str">
        <f t="shared" si="10"/>
        <v>-</v>
      </c>
      <c r="AQ75" s="953"/>
      <c r="AR75" s="954"/>
      <c r="AS75" s="954"/>
      <c r="AT75" s="1349" t="str">
        <f t="shared" si="11"/>
        <v>-</v>
      </c>
      <c r="AU75" s="464"/>
      <c r="AV75" s="464"/>
      <c r="AW75" s="464"/>
      <c r="AX75" s="464"/>
      <c r="AY75" s="464"/>
    </row>
    <row r="76" spans="1:51">
      <c r="A76" s="504">
        <f t="shared" si="13"/>
        <v>69</v>
      </c>
      <c r="B76" s="792">
        <v>7</v>
      </c>
      <c r="C76" s="939" t="s">
        <v>1033</v>
      </c>
      <c r="D76" s="902" t="s">
        <v>1288</v>
      </c>
      <c r="E76" s="940" t="s">
        <v>1218</v>
      </c>
      <c r="F76" s="903" t="s">
        <v>1289</v>
      </c>
      <c r="G76" s="1279">
        <f>+K76+AE76</f>
        <v>0</v>
      </c>
      <c r="H76" s="1280">
        <f>+L76+AF76</f>
        <v>0</v>
      </c>
      <c r="I76" s="1280">
        <f>+M76+AG76</f>
        <v>0</v>
      </c>
      <c r="J76" s="1389" t="str">
        <f t="shared" si="1"/>
        <v>-</v>
      </c>
      <c r="K76" s="1279">
        <f>+O76+S76+W76+AA76</f>
        <v>0</v>
      </c>
      <c r="L76" s="1280">
        <f>+P76+T76+X76+AB76</f>
        <v>0</v>
      </c>
      <c r="M76" s="1280">
        <f>+Q76+U76+Y76+AC76</f>
        <v>0</v>
      </c>
      <c r="N76" s="1389" t="str">
        <f t="shared" si="3"/>
        <v>-</v>
      </c>
      <c r="O76" s="953"/>
      <c r="P76" s="954"/>
      <c r="Q76" s="954"/>
      <c r="R76" s="1349" t="str">
        <f t="shared" si="4"/>
        <v>-</v>
      </c>
      <c r="S76" s="953"/>
      <c r="T76" s="954"/>
      <c r="U76" s="954"/>
      <c r="V76" s="1349" t="str">
        <f t="shared" si="5"/>
        <v>-</v>
      </c>
      <c r="W76" s="953"/>
      <c r="X76" s="954"/>
      <c r="Y76" s="954"/>
      <c r="Z76" s="1349" t="str">
        <f t="shared" si="6"/>
        <v>-</v>
      </c>
      <c r="AA76" s="953"/>
      <c r="AB76" s="954"/>
      <c r="AC76" s="954"/>
      <c r="AD76" s="1349" t="str">
        <f t="shared" si="7"/>
        <v>-</v>
      </c>
      <c r="AE76" s="1279">
        <f>+AI76+AM76+AQ76</f>
        <v>0</v>
      </c>
      <c r="AF76" s="1280">
        <f>+AJ76+AN76+AR76</f>
        <v>0</v>
      </c>
      <c r="AG76" s="1280">
        <f>+AK76+AO76+AS76</f>
        <v>0</v>
      </c>
      <c r="AH76" s="1389" t="str">
        <f t="shared" si="8"/>
        <v>-</v>
      </c>
      <c r="AI76" s="953"/>
      <c r="AJ76" s="954"/>
      <c r="AK76" s="954"/>
      <c r="AL76" s="1349" t="str">
        <f t="shared" si="9"/>
        <v>-</v>
      </c>
      <c r="AM76" s="953"/>
      <c r="AN76" s="954"/>
      <c r="AO76" s="954"/>
      <c r="AP76" s="1349" t="str">
        <f t="shared" si="10"/>
        <v>-</v>
      </c>
      <c r="AQ76" s="953"/>
      <c r="AR76" s="954"/>
      <c r="AS76" s="954"/>
      <c r="AT76" s="1349" t="str">
        <f t="shared" si="11"/>
        <v>-</v>
      </c>
      <c r="AU76" s="464"/>
      <c r="AV76" s="464"/>
      <c r="AW76" s="464"/>
      <c r="AX76" s="464"/>
      <c r="AY76" s="464"/>
    </row>
    <row r="77" spans="1:51">
      <c r="A77" s="504">
        <f t="shared" si="13"/>
        <v>70</v>
      </c>
      <c r="B77" s="792">
        <v>7</v>
      </c>
      <c r="C77" s="939" t="s">
        <v>1247</v>
      </c>
      <c r="D77" s="902" t="s">
        <v>1245</v>
      </c>
      <c r="E77" s="940" t="s">
        <v>1218</v>
      </c>
      <c r="F77" s="903" t="s">
        <v>1290</v>
      </c>
      <c r="G77" s="1279">
        <f t="shared" si="23"/>
        <v>0</v>
      </c>
      <c r="H77" s="1280">
        <f t="shared" si="23"/>
        <v>0</v>
      </c>
      <c r="I77" s="1280">
        <f t="shared" si="23"/>
        <v>0</v>
      </c>
      <c r="J77" s="1389" t="str">
        <f t="shared" si="1"/>
        <v>-</v>
      </c>
      <c r="K77" s="1279">
        <f t="shared" si="24"/>
        <v>0</v>
      </c>
      <c r="L77" s="1280">
        <f t="shared" si="24"/>
        <v>0</v>
      </c>
      <c r="M77" s="1280">
        <f t="shared" si="24"/>
        <v>0</v>
      </c>
      <c r="N77" s="1389" t="str">
        <f t="shared" si="3"/>
        <v>-</v>
      </c>
      <c r="O77" s="953"/>
      <c r="P77" s="954"/>
      <c r="Q77" s="954"/>
      <c r="R77" s="1349" t="str">
        <f t="shared" si="4"/>
        <v>-</v>
      </c>
      <c r="S77" s="953"/>
      <c r="T77" s="954"/>
      <c r="U77" s="954"/>
      <c r="V77" s="1349" t="str">
        <f t="shared" si="5"/>
        <v>-</v>
      </c>
      <c r="W77" s="953"/>
      <c r="X77" s="954"/>
      <c r="Y77" s="954"/>
      <c r="Z77" s="1349" t="str">
        <f t="shared" si="6"/>
        <v>-</v>
      </c>
      <c r="AA77" s="953"/>
      <c r="AB77" s="954"/>
      <c r="AC77" s="954"/>
      <c r="AD77" s="1349" t="str">
        <f t="shared" si="7"/>
        <v>-</v>
      </c>
      <c r="AE77" s="1279">
        <f t="shared" si="25"/>
        <v>0</v>
      </c>
      <c r="AF77" s="1280">
        <f t="shared" si="25"/>
        <v>0</v>
      </c>
      <c r="AG77" s="1280">
        <f t="shared" si="25"/>
        <v>0</v>
      </c>
      <c r="AH77" s="1389" t="str">
        <f t="shared" si="8"/>
        <v>-</v>
      </c>
      <c r="AI77" s="953"/>
      <c r="AJ77" s="954"/>
      <c r="AK77" s="954"/>
      <c r="AL77" s="1349" t="str">
        <f t="shared" si="9"/>
        <v>-</v>
      </c>
      <c r="AM77" s="953"/>
      <c r="AN77" s="954"/>
      <c r="AO77" s="954"/>
      <c r="AP77" s="1349" t="str">
        <f t="shared" si="10"/>
        <v>-</v>
      </c>
      <c r="AQ77" s="953"/>
      <c r="AR77" s="954"/>
      <c r="AS77" s="954"/>
      <c r="AT77" s="1349" t="str">
        <f t="shared" si="11"/>
        <v>-</v>
      </c>
      <c r="AU77" s="464"/>
      <c r="AV77" s="464"/>
      <c r="AW77" s="464"/>
      <c r="AX77" s="464"/>
      <c r="AY77" s="464"/>
    </row>
    <row r="78" spans="1:51">
      <c r="A78" s="504">
        <f t="shared" si="13"/>
        <v>71</v>
      </c>
      <c r="B78" s="792">
        <v>7</v>
      </c>
      <c r="C78" s="939" t="s">
        <v>1291</v>
      </c>
      <c r="D78" s="902" t="s">
        <v>1293</v>
      </c>
      <c r="E78" s="940" t="s">
        <v>1218</v>
      </c>
      <c r="F78" s="903" t="s">
        <v>1292</v>
      </c>
      <c r="G78" s="1279">
        <f>+K78+AE78</f>
        <v>0</v>
      </c>
      <c r="H78" s="1280">
        <f>+L78+AF78</f>
        <v>0</v>
      </c>
      <c r="I78" s="1280">
        <f>+M78+AG78</f>
        <v>0</v>
      </c>
      <c r="J78" s="1389" t="str">
        <f t="shared" si="1"/>
        <v>-</v>
      </c>
      <c r="K78" s="1279">
        <f>+O78+S78+W78+AA78</f>
        <v>0</v>
      </c>
      <c r="L78" s="1280">
        <f>+P78+T78+X78+AB78</f>
        <v>0</v>
      </c>
      <c r="M78" s="1280">
        <f>+Q78+U78+Y78+AC78</f>
        <v>0</v>
      </c>
      <c r="N78" s="1389" t="str">
        <f t="shared" si="3"/>
        <v>-</v>
      </c>
      <c r="O78" s="953"/>
      <c r="P78" s="954"/>
      <c r="Q78" s="954"/>
      <c r="R78" s="1349" t="str">
        <f t="shared" si="4"/>
        <v>-</v>
      </c>
      <c r="S78" s="953"/>
      <c r="T78" s="954"/>
      <c r="U78" s="954"/>
      <c r="V78" s="1349" t="str">
        <f t="shared" si="5"/>
        <v>-</v>
      </c>
      <c r="W78" s="953"/>
      <c r="X78" s="954"/>
      <c r="Y78" s="954"/>
      <c r="Z78" s="1349" t="str">
        <f t="shared" si="6"/>
        <v>-</v>
      </c>
      <c r="AA78" s="953"/>
      <c r="AB78" s="954"/>
      <c r="AC78" s="954"/>
      <c r="AD78" s="1349" t="str">
        <f t="shared" si="7"/>
        <v>-</v>
      </c>
      <c r="AE78" s="1279">
        <f>+AI78+AM78+AQ78</f>
        <v>0</v>
      </c>
      <c r="AF78" s="1280">
        <f>+AJ78+AN78+AR78</f>
        <v>0</v>
      </c>
      <c r="AG78" s="1280">
        <f>+AK78+AO78+AS78</f>
        <v>0</v>
      </c>
      <c r="AH78" s="1389" t="str">
        <f t="shared" si="8"/>
        <v>-</v>
      </c>
      <c r="AI78" s="953"/>
      <c r="AJ78" s="954"/>
      <c r="AK78" s="954"/>
      <c r="AL78" s="1349" t="str">
        <f t="shared" si="9"/>
        <v>-</v>
      </c>
      <c r="AM78" s="953"/>
      <c r="AN78" s="954"/>
      <c r="AO78" s="954"/>
      <c r="AP78" s="1349" t="str">
        <f t="shared" si="10"/>
        <v>-</v>
      </c>
      <c r="AQ78" s="953"/>
      <c r="AR78" s="954"/>
      <c r="AS78" s="954"/>
      <c r="AT78" s="1349" t="str">
        <f t="shared" si="11"/>
        <v>-</v>
      </c>
      <c r="AU78" s="464"/>
      <c r="AV78" s="464"/>
      <c r="AW78" s="464"/>
      <c r="AX78" s="464"/>
      <c r="AY78" s="464"/>
    </row>
    <row r="79" spans="1:51">
      <c r="A79" s="504">
        <f t="shared" si="13"/>
        <v>72</v>
      </c>
      <c r="B79" s="792">
        <v>7</v>
      </c>
      <c r="C79" s="939" t="s">
        <v>1252</v>
      </c>
      <c r="D79" s="902" t="s">
        <v>1253</v>
      </c>
      <c r="E79" s="940" t="s">
        <v>1218</v>
      </c>
      <c r="F79" s="903" t="s">
        <v>1294</v>
      </c>
      <c r="G79" s="1279">
        <f t="shared" si="23"/>
        <v>0</v>
      </c>
      <c r="H79" s="1280">
        <f t="shared" si="23"/>
        <v>0</v>
      </c>
      <c r="I79" s="1280">
        <f t="shared" si="23"/>
        <v>0</v>
      </c>
      <c r="J79" s="1389" t="str">
        <f t="shared" si="1"/>
        <v>-</v>
      </c>
      <c r="K79" s="1279">
        <f t="shared" si="24"/>
        <v>0</v>
      </c>
      <c r="L79" s="1280">
        <f t="shared" si="24"/>
        <v>0</v>
      </c>
      <c r="M79" s="1280">
        <f t="shared" si="24"/>
        <v>0</v>
      </c>
      <c r="N79" s="1389" t="str">
        <f t="shared" si="3"/>
        <v>-</v>
      </c>
      <c r="O79" s="953"/>
      <c r="P79" s="954"/>
      <c r="Q79" s="954"/>
      <c r="R79" s="1349" t="str">
        <f t="shared" si="4"/>
        <v>-</v>
      </c>
      <c r="S79" s="953"/>
      <c r="T79" s="954"/>
      <c r="U79" s="954"/>
      <c r="V79" s="1349" t="str">
        <f t="shared" si="5"/>
        <v>-</v>
      </c>
      <c r="W79" s="953"/>
      <c r="X79" s="954"/>
      <c r="Y79" s="954"/>
      <c r="Z79" s="1349" t="str">
        <f t="shared" si="6"/>
        <v>-</v>
      </c>
      <c r="AA79" s="953"/>
      <c r="AB79" s="954"/>
      <c r="AC79" s="954"/>
      <c r="AD79" s="1349" t="str">
        <f t="shared" si="7"/>
        <v>-</v>
      </c>
      <c r="AE79" s="1279">
        <f t="shared" si="25"/>
        <v>0</v>
      </c>
      <c r="AF79" s="1280">
        <f t="shared" si="25"/>
        <v>0</v>
      </c>
      <c r="AG79" s="1280">
        <f t="shared" si="25"/>
        <v>0</v>
      </c>
      <c r="AH79" s="1389" t="str">
        <f t="shared" si="8"/>
        <v>-</v>
      </c>
      <c r="AI79" s="953"/>
      <c r="AJ79" s="954"/>
      <c r="AK79" s="954"/>
      <c r="AL79" s="1349" t="str">
        <f t="shared" si="9"/>
        <v>-</v>
      </c>
      <c r="AM79" s="953"/>
      <c r="AN79" s="954"/>
      <c r="AO79" s="954"/>
      <c r="AP79" s="1349" t="str">
        <f t="shared" si="10"/>
        <v>-</v>
      </c>
      <c r="AQ79" s="953"/>
      <c r="AR79" s="954"/>
      <c r="AS79" s="954"/>
      <c r="AT79" s="1349" t="str">
        <f t="shared" si="11"/>
        <v>-</v>
      </c>
      <c r="AU79" s="464"/>
      <c r="AV79" s="464"/>
      <c r="AW79" s="464"/>
      <c r="AX79" s="464"/>
      <c r="AY79" s="464"/>
    </row>
    <row r="80" spans="1:51">
      <c r="A80" s="504">
        <f t="shared" si="13"/>
        <v>73</v>
      </c>
      <c r="B80" s="792">
        <v>7</v>
      </c>
      <c r="C80" s="939" t="s">
        <v>1281</v>
      </c>
      <c r="D80" s="902" t="s">
        <v>1295</v>
      </c>
      <c r="E80" s="940" t="s">
        <v>1218</v>
      </c>
      <c r="F80" s="903" t="s">
        <v>1296</v>
      </c>
      <c r="G80" s="1279">
        <f t="shared" si="23"/>
        <v>0</v>
      </c>
      <c r="H80" s="1280">
        <f t="shared" si="23"/>
        <v>0</v>
      </c>
      <c r="I80" s="1280">
        <f t="shared" si="23"/>
        <v>0</v>
      </c>
      <c r="J80" s="1389" t="str">
        <f>IF(ISERROR(I80/H80),"-",I80/H80)</f>
        <v>-</v>
      </c>
      <c r="K80" s="1279">
        <f t="shared" si="24"/>
        <v>0</v>
      </c>
      <c r="L80" s="1280">
        <f t="shared" si="24"/>
        <v>0</v>
      </c>
      <c r="M80" s="1280">
        <f t="shared" si="24"/>
        <v>0</v>
      </c>
      <c r="N80" s="1389" t="str">
        <f>IF(ISERROR(M80/L80),"-",M80/L80)</f>
        <v>-</v>
      </c>
      <c r="O80" s="953"/>
      <c r="P80" s="954"/>
      <c r="Q80" s="954"/>
      <c r="R80" s="1349" t="str">
        <f>IF(ISERROR(Q80/P80),"-",Q80/P80)</f>
        <v>-</v>
      </c>
      <c r="S80" s="953"/>
      <c r="T80" s="954"/>
      <c r="U80" s="954"/>
      <c r="V80" s="1349" t="str">
        <f>IF(ISERROR(U80/T80),"-",U80/T80)</f>
        <v>-</v>
      </c>
      <c r="W80" s="953"/>
      <c r="X80" s="954"/>
      <c r="Y80" s="954"/>
      <c r="Z80" s="1349" t="str">
        <f>IF(ISERROR(Y80/X80),"-",Y80/X80)</f>
        <v>-</v>
      </c>
      <c r="AA80" s="953"/>
      <c r="AB80" s="954"/>
      <c r="AC80" s="954"/>
      <c r="AD80" s="1349" t="str">
        <f>IF(ISERROR(AC80/AB80),"-",AC80/AB80)</f>
        <v>-</v>
      </c>
      <c r="AE80" s="1279">
        <f t="shared" si="25"/>
        <v>0</v>
      </c>
      <c r="AF80" s="1280">
        <f t="shared" si="25"/>
        <v>0</v>
      </c>
      <c r="AG80" s="1280">
        <f t="shared" si="25"/>
        <v>0</v>
      </c>
      <c r="AH80" s="1389" t="str">
        <f>IF(ISERROR(AG80/AF80),"-",AG80/AF80)</f>
        <v>-</v>
      </c>
      <c r="AI80" s="953"/>
      <c r="AJ80" s="954"/>
      <c r="AK80" s="954"/>
      <c r="AL80" s="1349" t="str">
        <f>IF(ISERROR(AK80/AJ80),"-",AK80/AJ80)</f>
        <v>-</v>
      </c>
      <c r="AM80" s="953"/>
      <c r="AN80" s="954"/>
      <c r="AO80" s="954"/>
      <c r="AP80" s="1349" t="str">
        <f>IF(ISERROR(AO80/AN80),"-",AO80/AN80)</f>
        <v>-</v>
      </c>
      <c r="AQ80" s="953"/>
      <c r="AR80" s="954"/>
      <c r="AS80" s="954"/>
      <c r="AT80" s="1349" t="str">
        <f>IF(ISERROR(AS80/AR80),"-",AS80/AR80)</f>
        <v>-</v>
      </c>
      <c r="AU80" s="464"/>
      <c r="AV80" s="464"/>
      <c r="AW80" s="464"/>
      <c r="AX80" s="464"/>
      <c r="AY80" s="464"/>
    </row>
    <row r="81" spans="1:51">
      <c r="A81" s="504">
        <f t="shared" si="13"/>
        <v>74</v>
      </c>
      <c r="B81" s="792">
        <v>7</v>
      </c>
      <c r="C81" s="344" t="s">
        <v>1089</v>
      </c>
      <c r="D81" s="902" t="s">
        <v>2785</v>
      </c>
      <c r="E81" s="940" t="s">
        <v>1218</v>
      </c>
      <c r="F81" s="903" t="s">
        <v>2787</v>
      </c>
      <c r="G81" s="1279">
        <f>+K81+AE81</f>
        <v>0</v>
      </c>
      <c r="H81" s="1280">
        <f>+L81+AF81</f>
        <v>69258</v>
      </c>
      <c r="I81" s="1280">
        <f>+M81+AG81</f>
        <v>69258</v>
      </c>
      <c r="J81" s="1389">
        <f t="shared" si="1"/>
        <v>1</v>
      </c>
      <c r="K81" s="1279">
        <f>+O81+S81+W81+AA81</f>
        <v>0</v>
      </c>
      <c r="L81" s="1280">
        <f>+P81+T81+X81+AB81</f>
        <v>4877</v>
      </c>
      <c r="M81" s="1280">
        <f>+Q81+U81+Y81+AC81</f>
        <v>4877</v>
      </c>
      <c r="N81" s="1389">
        <f t="shared" si="3"/>
        <v>1</v>
      </c>
      <c r="O81" s="953"/>
      <c r="P81" s="954">
        <v>4877</v>
      </c>
      <c r="Q81" s="954">
        <v>4877</v>
      </c>
      <c r="R81" s="1349">
        <f t="shared" si="4"/>
        <v>1</v>
      </c>
      <c r="S81" s="953"/>
      <c r="T81" s="954"/>
      <c r="U81" s="954"/>
      <c r="V81" s="1349" t="str">
        <f t="shared" si="5"/>
        <v>-</v>
      </c>
      <c r="W81" s="953"/>
      <c r="X81" s="954"/>
      <c r="Y81" s="954"/>
      <c r="Z81" s="1349" t="str">
        <f t="shared" si="6"/>
        <v>-</v>
      </c>
      <c r="AA81" s="953"/>
      <c r="AB81" s="954"/>
      <c r="AC81" s="954"/>
      <c r="AD81" s="1349" t="str">
        <f t="shared" si="7"/>
        <v>-</v>
      </c>
      <c r="AE81" s="1279">
        <f>+AI81+AM81+AQ81</f>
        <v>0</v>
      </c>
      <c r="AF81" s="1280">
        <f>+AJ81+AN81+AR81</f>
        <v>64381</v>
      </c>
      <c r="AG81" s="1280">
        <f>+AK81+AO81+AS81</f>
        <v>64381</v>
      </c>
      <c r="AH81" s="1389">
        <f t="shared" si="8"/>
        <v>1</v>
      </c>
      <c r="AI81" s="953"/>
      <c r="AJ81" s="954">
        <v>64381</v>
      </c>
      <c r="AK81" s="954">
        <v>64381</v>
      </c>
      <c r="AL81" s="1349">
        <f t="shared" si="9"/>
        <v>1</v>
      </c>
      <c r="AM81" s="953"/>
      <c r="AN81" s="954"/>
      <c r="AO81" s="954"/>
      <c r="AP81" s="1349" t="str">
        <f t="shared" si="10"/>
        <v>-</v>
      </c>
      <c r="AQ81" s="953"/>
      <c r="AR81" s="954"/>
      <c r="AS81" s="954"/>
      <c r="AT81" s="1349" t="str">
        <f t="shared" si="11"/>
        <v>-</v>
      </c>
      <c r="AU81" s="464"/>
      <c r="AV81" s="464"/>
      <c r="AW81" s="464"/>
      <c r="AX81" s="464"/>
      <c r="AY81" s="464"/>
    </row>
    <row r="82" spans="1:51" ht="12.75" thickBot="1">
      <c r="A82" s="504">
        <f t="shared" si="13"/>
        <v>75</v>
      </c>
      <c r="B82" s="792">
        <v>8</v>
      </c>
      <c r="C82" s="939" t="s">
        <v>671</v>
      </c>
      <c r="D82" s="902" t="s">
        <v>670</v>
      </c>
      <c r="E82" s="940" t="s">
        <v>1218</v>
      </c>
      <c r="F82" s="903" t="s">
        <v>635</v>
      </c>
      <c r="G82" s="1279">
        <f t="shared" si="0"/>
        <v>0</v>
      </c>
      <c r="H82" s="1280">
        <f t="shared" si="0"/>
        <v>0</v>
      </c>
      <c r="I82" s="1280">
        <f t="shared" si="0"/>
        <v>0</v>
      </c>
      <c r="J82" s="1391" t="str">
        <f t="shared" si="1"/>
        <v>-</v>
      </c>
      <c r="K82" s="1279">
        <f t="shared" si="2"/>
        <v>0</v>
      </c>
      <c r="L82" s="1280">
        <f t="shared" si="2"/>
        <v>0</v>
      </c>
      <c r="M82" s="1280">
        <f t="shared" si="2"/>
        <v>0</v>
      </c>
      <c r="N82" s="1391" t="str">
        <f t="shared" si="3"/>
        <v>-</v>
      </c>
      <c r="O82" s="953"/>
      <c r="P82" s="954"/>
      <c r="Q82" s="954"/>
      <c r="R82" s="1385" t="str">
        <f t="shared" si="4"/>
        <v>-</v>
      </c>
      <c r="S82" s="953"/>
      <c r="T82" s="954"/>
      <c r="U82" s="954"/>
      <c r="V82" s="1385" t="str">
        <f t="shared" si="5"/>
        <v>-</v>
      </c>
      <c r="W82" s="953"/>
      <c r="X82" s="954"/>
      <c r="Y82" s="954"/>
      <c r="Z82" s="1385" t="str">
        <f t="shared" si="6"/>
        <v>-</v>
      </c>
      <c r="AA82" s="953"/>
      <c r="AB82" s="954"/>
      <c r="AC82" s="954"/>
      <c r="AD82" s="1385" t="str">
        <f t="shared" si="7"/>
        <v>-</v>
      </c>
      <c r="AE82" s="1279">
        <f t="shared" si="12"/>
        <v>0</v>
      </c>
      <c r="AF82" s="1280">
        <f t="shared" si="12"/>
        <v>0</v>
      </c>
      <c r="AG82" s="1280">
        <f t="shared" si="12"/>
        <v>0</v>
      </c>
      <c r="AH82" s="1391" t="str">
        <f t="shared" si="8"/>
        <v>-</v>
      </c>
      <c r="AI82" s="953"/>
      <c r="AJ82" s="954"/>
      <c r="AK82" s="954"/>
      <c r="AL82" s="1385" t="str">
        <f t="shared" si="9"/>
        <v>-</v>
      </c>
      <c r="AM82" s="953"/>
      <c r="AN82" s="954"/>
      <c r="AO82" s="954"/>
      <c r="AP82" s="1385" t="str">
        <f t="shared" si="10"/>
        <v>-</v>
      </c>
      <c r="AQ82" s="953"/>
      <c r="AR82" s="954"/>
      <c r="AS82" s="954"/>
      <c r="AT82" s="1385" t="str">
        <f t="shared" si="11"/>
        <v>-</v>
      </c>
      <c r="AU82" s="464"/>
      <c r="AV82" s="464"/>
      <c r="AW82" s="464"/>
      <c r="AX82" s="464"/>
      <c r="AY82" s="464"/>
    </row>
    <row r="83" spans="1:51" s="462" customFormat="1" ht="12.75" thickBot="1">
      <c r="A83" s="500" t="s">
        <v>587</v>
      </c>
      <c r="B83" s="793"/>
      <c r="C83" s="1862" t="s">
        <v>410</v>
      </c>
      <c r="D83" s="1863"/>
      <c r="E83" s="1863"/>
      <c r="F83" s="1864"/>
      <c r="G83" s="490">
        <f>SUM(G8:G82)</f>
        <v>1581402</v>
      </c>
      <c r="H83" s="491">
        <f>SUM(H8:H82)</f>
        <v>2234031</v>
      </c>
      <c r="I83" s="491">
        <f>SUM(I8:I82)</f>
        <v>2035957</v>
      </c>
      <c r="J83" s="1350">
        <f t="shared" si="1"/>
        <v>0.91133784625190961</v>
      </c>
      <c r="K83" s="490">
        <f>SUM(K8:K82)</f>
        <v>1508776</v>
      </c>
      <c r="L83" s="491">
        <f>SUM(L8:L82)</f>
        <v>1972553</v>
      </c>
      <c r="M83" s="491">
        <f>SUM(M8:M82)</f>
        <v>1774982</v>
      </c>
      <c r="N83" s="1350">
        <f t="shared" si="3"/>
        <v>0.89983995360327451</v>
      </c>
      <c r="O83" s="472">
        <f>SUM(O8:O82)</f>
        <v>988986</v>
      </c>
      <c r="P83" s="355">
        <f>SUM(P8:P82)</f>
        <v>1305921</v>
      </c>
      <c r="Q83" s="355">
        <f>SUM(Q8:Q82)</f>
        <v>1305921</v>
      </c>
      <c r="R83" s="1350">
        <f t="shared" si="4"/>
        <v>1</v>
      </c>
      <c r="S83" s="472">
        <f>SUM(S8:S82)</f>
        <v>396552</v>
      </c>
      <c r="T83" s="355">
        <f>SUM(T8:T82)</f>
        <v>538381</v>
      </c>
      <c r="U83" s="355">
        <f>SUM(U8:U82)</f>
        <v>370135</v>
      </c>
      <c r="V83" s="1350">
        <f t="shared" si="5"/>
        <v>0.68749640124744371</v>
      </c>
      <c r="W83" s="472">
        <f>SUM(W8:W82)</f>
        <v>123238</v>
      </c>
      <c r="X83" s="355">
        <f>SUM(X8:X82)</f>
        <v>108311</v>
      </c>
      <c r="Y83" s="355">
        <f>SUM(Y8:Y82)</f>
        <v>94193</v>
      </c>
      <c r="Z83" s="1350">
        <f t="shared" si="6"/>
        <v>0.86965312849110432</v>
      </c>
      <c r="AA83" s="472">
        <f>SUM(AA8:AA82)</f>
        <v>0</v>
      </c>
      <c r="AB83" s="355">
        <f>SUM(AB8:AB82)</f>
        <v>19940</v>
      </c>
      <c r="AC83" s="355">
        <f>SUM(AC8:AC82)</f>
        <v>4733</v>
      </c>
      <c r="AD83" s="1350">
        <f t="shared" si="7"/>
        <v>0.23736208625877633</v>
      </c>
      <c r="AE83" s="490">
        <f>SUM(AE8:AE82)</f>
        <v>72626</v>
      </c>
      <c r="AF83" s="491">
        <f>SUM(AF8:AF82)</f>
        <v>261478</v>
      </c>
      <c r="AG83" s="491">
        <f>SUM(AG8:AG82)</f>
        <v>260975</v>
      </c>
      <c r="AH83" s="1350">
        <f t="shared" si="8"/>
        <v>0.99807631999632851</v>
      </c>
      <c r="AI83" s="472">
        <f>SUM(AI8:AI82)</f>
        <v>32276</v>
      </c>
      <c r="AJ83" s="355">
        <f>SUM(AJ8:AJ82)</f>
        <v>219051</v>
      </c>
      <c r="AK83" s="355">
        <f>SUM(AK8:AK82)</f>
        <v>219051</v>
      </c>
      <c r="AL83" s="1350">
        <f t="shared" si="9"/>
        <v>1</v>
      </c>
      <c r="AM83" s="472">
        <f>SUM(AM8:AM82)</f>
        <v>40350</v>
      </c>
      <c r="AN83" s="355">
        <f>SUM(AN8:AN82)</f>
        <v>42427</v>
      </c>
      <c r="AO83" s="355">
        <f>SUM(AO8:AO82)</f>
        <v>41924</v>
      </c>
      <c r="AP83" s="1350">
        <f t="shared" si="10"/>
        <v>0.98814434204633839</v>
      </c>
      <c r="AQ83" s="472">
        <f>SUM(AQ8:AQ82)</f>
        <v>0</v>
      </c>
      <c r="AR83" s="355">
        <f>SUM(AR8:AR82)</f>
        <v>0</v>
      </c>
      <c r="AS83" s="355">
        <f>SUM(AS8:AS82)</f>
        <v>0</v>
      </c>
      <c r="AT83" s="1350" t="str">
        <f t="shared" si="11"/>
        <v>-</v>
      </c>
      <c r="AU83" s="464"/>
      <c r="AV83" s="464"/>
      <c r="AW83" s="464"/>
      <c r="AX83" s="464"/>
      <c r="AY83" s="464"/>
    </row>
    <row r="84" spans="1:51">
      <c r="A84" s="504">
        <f>A82+1</f>
        <v>76</v>
      </c>
      <c r="B84" s="790">
        <v>9</v>
      </c>
      <c r="C84" s="935" t="s">
        <v>1026</v>
      </c>
      <c r="D84" s="900" t="s">
        <v>1025</v>
      </c>
      <c r="E84" s="936" t="s">
        <v>1228</v>
      </c>
      <c r="F84" s="942" t="s">
        <v>1093</v>
      </c>
      <c r="G84" s="1273">
        <f t="shared" ref="G84:I89" si="26">+K84+AE84</f>
        <v>0</v>
      </c>
      <c r="H84" s="1274">
        <f t="shared" si="26"/>
        <v>0</v>
      </c>
      <c r="I84" s="1274">
        <f t="shared" si="26"/>
        <v>0</v>
      </c>
      <c r="J84" s="1389" t="str">
        <f t="shared" si="1"/>
        <v>-</v>
      </c>
      <c r="K84" s="1273">
        <f t="shared" ref="K84:M89" si="27">+O84+S84+W84+AA84</f>
        <v>0</v>
      </c>
      <c r="L84" s="1274">
        <f t="shared" si="27"/>
        <v>0</v>
      </c>
      <c r="M84" s="1274">
        <f t="shared" si="27"/>
        <v>0</v>
      </c>
      <c r="N84" s="1389" t="str">
        <f t="shared" si="3"/>
        <v>-</v>
      </c>
      <c r="O84" s="953"/>
      <c r="P84" s="954"/>
      <c r="Q84" s="954"/>
      <c r="R84" s="1349" t="str">
        <f t="shared" si="4"/>
        <v>-</v>
      </c>
      <c r="S84" s="953"/>
      <c r="T84" s="954"/>
      <c r="U84" s="954"/>
      <c r="V84" s="1349" t="str">
        <f t="shared" si="5"/>
        <v>-</v>
      </c>
      <c r="W84" s="953"/>
      <c r="X84" s="954"/>
      <c r="Y84" s="954"/>
      <c r="Z84" s="1349" t="str">
        <f t="shared" si="6"/>
        <v>-</v>
      </c>
      <c r="AA84" s="953"/>
      <c r="AB84" s="954"/>
      <c r="AC84" s="954"/>
      <c r="AD84" s="1349" t="str">
        <f t="shared" si="7"/>
        <v>-</v>
      </c>
      <c r="AE84" s="1273">
        <f t="shared" ref="AE84:AG89" si="28">+AI84+AM84+AQ84</f>
        <v>0</v>
      </c>
      <c r="AF84" s="1274">
        <f t="shared" si="28"/>
        <v>0</v>
      </c>
      <c r="AG84" s="1274">
        <f t="shared" si="28"/>
        <v>0</v>
      </c>
      <c r="AH84" s="1389" t="str">
        <f t="shared" si="8"/>
        <v>-</v>
      </c>
      <c r="AI84" s="953"/>
      <c r="AJ84" s="954"/>
      <c r="AK84" s="954"/>
      <c r="AL84" s="1349" t="str">
        <f t="shared" si="9"/>
        <v>-</v>
      </c>
      <c r="AM84" s="953"/>
      <c r="AN84" s="954"/>
      <c r="AO84" s="954"/>
      <c r="AP84" s="1349" t="str">
        <f t="shared" si="10"/>
        <v>-</v>
      </c>
      <c r="AQ84" s="953"/>
      <c r="AR84" s="954"/>
      <c r="AS84" s="954"/>
      <c r="AT84" s="1349" t="str">
        <f t="shared" si="11"/>
        <v>-</v>
      </c>
      <c r="AU84" s="464"/>
      <c r="AV84" s="464"/>
      <c r="AW84" s="464"/>
      <c r="AX84" s="464"/>
      <c r="AY84" s="464"/>
    </row>
    <row r="85" spans="1:51">
      <c r="A85" s="504">
        <f>+A84+1</f>
        <v>77</v>
      </c>
      <c r="B85" s="791">
        <v>10</v>
      </c>
      <c r="C85" s="938" t="s">
        <v>734</v>
      </c>
      <c r="D85" s="896" t="s">
        <v>735</v>
      </c>
      <c r="E85" s="937" t="s">
        <v>1218</v>
      </c>
      <c r="F85" s="943" t="s">
        <v>656</v>
      </c>
      <c r="G85" s="1277">
        <f t="shared" si="26"/>
        <v>1100</v>
      </c>
      <c r="H85" s="1278">
        <f t="shared" si="26"/>
        <v>5714</v>
      </c>
      <c r="I85" s="1278">
        <f t="shared" si="26"/>
        <v>664</v>
      </c>
      <c r="J85" s="1389">
        <f t="shared" ref="J85:J93" si="29">IF(ISERROR(I85/H85),"-",I85/H85)</f>
        <v>0.11620581029051452</v>
      </c>
      <c r="K85" s="1277">
        <f t="shared" si="27"/>
        <v>0</v>
      </c>
      <c r="L85" s="1278">
        <f t="shared" si="27"/>
        <v>0</v>
      </c>
      <c r="M85" s="1278">
        <f t="shared" si="27"/>
        <v>0</v>
      </c>
      <c r="N85" s="1389" t="str">
        <f t="shared" ref="N85:N93" si="30">IF(ISERROR(M85/L85),"-",M85/L85)</f>
        <v>-</v>
      </c>
      <c r="O85" s="953"/>
      <c r="P85" s="954"/>
      <c r="Q85" s="954"/>
      <c r="R85" s="1349" t="str">
        <f t="shared" ref="R85:R93" si="31">IF(ISERROR(Q85/P85),"-",Q85/P85)</f>
        <v>-</v>
      </c>
      <c r="S85" s="955"/>
      <c r="T85" s="956"/>
      <c r="U85" s="954"/>
      <c r="V85" s="1349" t="str">
        <f t="shared" ref="V85:V93" si="32">IF(ISERROR(U85/T85),"-",U85/T85)</f>
        <v>-</v>
      </c>
      <c r="W85" s="955"/>
      <c r="X85" s="956"/>
      <c r="Y85" s="954"/>
      <c r="Z85" s="1349" t="str">
        <f t="shared" ref="Z85:Z93" si="33">IF(ISERROR(Y85/X85),"-",Y85/X85)</f>
        <v>-</v>
      </c>
      <c r="AA85" s="955"/>
      <c r="AB85" s="956"/>
      <c r="AC85" s="954"/>
      <c r="AD85" s="1349" t="str">
        <f t="shared" ref="AD85:AD93" si="34">IF(ISERROR(AC85/AB85),"-",AC85/AB85)</f>
        <v>-</v>
      </c>
      <c r="AE85" s="1277">
        <f t="shared" si="28"/>
        <v>1100</v>
      </c>
      <c r="AF85" s="1278">
        <f t="shared" si="28"/>
        <v>5714</v>
      </c>
      <c r="AG85" s="1278">
        <f t="shared" si="28"/>
        <v>664</v>
      </c>
      <c r="AH85" s="1389">
        <f t="shared" ref="AH85:AH93" si="35">IF(ISERROR(AG85/AF85),"-",AG85/AF85)</f>
        <v>0.11620581029051452</v>
      </c>
      <c r="AI85" s="955"/>
      <c r="AJ85" s="956"/>
      <c r="AK85" s="954"/>
      <c r="AL85" s="1349" t="str">
        <f t="shared" ref="AL85:AL93" si="36">IF(ISERROR(AK85/AJ85),"-",AK85/AJ85)</f>
        <v>-</v>
      </c>
      <c r="AM85" s="955"/>
      <c r="AN85" s="956"/>
      <c r="AO85" s="954"/>
      <c r="AP85" s="1349" t="str">
        <f t="shared" ref="AP85:AP93" si="37">IF(ISERROR(AO85/AN85),"-",AO85/AN85)</f>
        <v>-</v>
      </c>
      <c r="AQ85" s="955">
        <v>1100</v>
      </c>
      <c r="AR85" s="956">
        <f>664+5050</f>
        <v>5714</v>
      </c>
      <c r="AS85" s="954">
        <v>664</v>
      </c>
      <c r="AT85" s="1349">
        <f t="shared" ref="AT85:AT93" si="38">IF(ISERROR(AS85/AR85),"-",AS85/AR85)</f>
        <v>0.11620581029051452</v>
      </c>
      <c r="AU85" s="464"/>
      <c r="AV85" s="464"/>
      <c r="AW85" s="464"/>
      <c r="AX85" s="464"/>
      <c r="AY85" s="464"/>
    </row>
    <row r="86" spans="1:51">
      <c r="A86" s="504">
        <f t="shared" si="13"/>
        <v>78</v>
      </c>
      <c r="B86" s="790">
        <v>10</v>
      </c>
      <c r="C86" s="935" t="s">
        <v>733</v>
      </c>
      <c r="D86" s="900" t="s">
        <v>1018</v>
      </c>
      <c r="E86" s="937" t="s">
        <v>1230</v>
      </c>
      <c r="F86" s="944" t="s">
        <v>655</v>
      </c>
      <c r="G86" s="1277">
        <f t="shared" si="26"/>
        <v>0</v>
      </c>
      <c r="H86" s="1278">
        <f t="shared" si="26"/>
        <v>0</v>
      </c>
      <c r="I86" s="1278">
        <f t="shared" si="26"/>
        <v>0</v>
      </c>
      <c r="J86" s="1389" t="str">
        <f t="shared" si="29"/>
        <v>-</v>
      </c>
      <c r="K86" s="1277">
        <f t="shared" si="27"/>
        <v>0</v>
      </c>
      <c r="L86" s="1278">
        <f t="shared" si="27"/>
        <v>0</v>
      </c>
      <c r="M86" s="1278">
        <f t="shared" si="27"/>
        <v>0</v>
      </c>
      <c r="N86" s="1389" t="str">
        <f t="shared" si="30"/>
        <v>-</v>
      </c>
      <c r="O86" s="953"/>
      <c r="P86" s="954"/>
      <c r="Q86" s="954"/>
      <c r="R86" s="1349" t="str">
        <f t="shared" si="31"/>
        <v>-</v>
      </c>
      <c r="S86" s="955"/>
      <c r="T86" s="956"/>
      <c r="U86" s="954"/>
      <c r="V86" s="1349" t="str">
        <f t="shared" si="32"/>
        <v>-</v>
      </c>
      <c r="W86" s="955"/>
      <c r="X86" s="956"/>
      <c r="Y86" s="954"/>
      <c r="Z86" s="1349" t="str">
        <f t="shared" si="33"/>
        <v>-</v>
      </c>
      <c r="AA86" s="955"/>
      <c r="AB86" s="956"/>
      <c r="AC86" s="954"/>
      <c r="AD86" s="1349" t="str">
        <f t="shared" si="34"/>
        <v>-</v>
      </c>
      <c r="AE86" s="1277">
        <f t="shared" si="28"/>
        <v>0</v>
      </c>
      <c r="AF86" s="1278">
        <f t="shared" si="28"/>
        <v>0</v>
      </c>
      <c r="AG86" s="1278">
        <f t="shared" si="28"/>
        <v>0</v>
      </c>
      <c r="AH86" s="1389" t="str">
        <f t="shared" si="35"/>
        <v>-</v>
      </c>
      <c r="AI86" s="955"/>
      <c r="AJ86" s="956"/>
      <c r="AK86" s="954"/>
      <c r="AL86" s="1349" t="str">
        <f t="shared" si="36"/>
        <v>-</v>
      </c>
      <c r="AM86" s="955"/>
      <c r="AN86" s="956"/>
      <c r="AO86" s="954"/>
      <c r="AP86" s="1349" t="str">
        <f t="shared" si="37"/>
        <v>-</v>
      </c>
      <c r="AQ86" s="955"/>
      <c r="AR86" s="956"/>
      <c r="AS86" s="954"/>
      <c r="AT86" s="1349" t="str">
        <f t="shared" si="38"/>
        <v>-</v>
      </c>
      <c r="AU86" s="464"/>
      <c r="AV86" s="464"/>
      <c r="AW86" s="464"/>
      <c r="AX86" s="464"/>
      <c r="AY86" s="464"/>
    </row>
    <row r="87" spans="1:51">
      <c r="A87" s="504">
        <f t="shared" si="13"/>
        <v>79</v>
      </c>
      <c r="B87" s="791">
        <v>10</v>
      </c>
      <c r="C87" s="938" t="s">
        <v>737</v>
      </c>
      <c r="D87" s="896" t="s">
        <v>736</v>
      </c>
      <c r="E87" s="937" t="s">
        <v>1218</v>
      </c>
      <c r="F87" s="944" t="s">
        <v>664</v>
      </c>
      <c r="G87" s="1277">
        <f t="shared" si="26"/>
        <v>0</v>
      </c>
      <c r="H87" s="1278">
        <f t="shared" si="26"/>
        <v>0</v>
      </c>
      <c r="I87" s="1278">
        <f t="shared" si="26"/>
        <v>0</v>
      </c>
      <c r="J87" s="1389" t="str">
        <f t="shared" si="29"/>
        <v>-</v>
      </c>
      <c r="K87" s="1277">
        <f t="shared" si="27"/>
        <v>0</v>
      </c>
      <c r="L87" s="1278">
        <f t="shared" si="27"/>
        <v>0</v>
      </c>
      <c r="M87" s="1278">
        <f t="shared" si="27"/>
        <v>0</v>
      </c>
      <c r="N87" s="1389" t="str">
        <f t="shared" si="30"/>
        <v>-</v>
      </c>
      <c r="O87" s="953"/>
      <c r="P87" s="954"/>
      <c r="Q87" s="954"/>
      <c r="R87" s="1349" t="str">
        <f t="shared" si="31"/>
        <v>-</v>
      </c>
      <c r="S87" s="955"/>
      <c r="T87" s="956"/>
      <c r="U87" s="954"/>
      <c r="V87" s="1349" t="str">
        <f t="shared" si="32"/>
        <v>-</v>
      </c>
      <c r="W87" s="955"/>
      <c r="X87" s="956"/>
      <c r="Y87" s="954"/>
      <c r="Z87" s="1349" t="str">
        <f t="shared" si="33"/>
        <v>-</v>
      </c>
      <c r="AA87" s="955"/>
      <c r="AB87" s="956"/>
      <c r="AC87" s="954"/>
      <c r="AD87" s="1349" t="str">
        <f t="shared" si="34"/>
        <v>-</v>
      </c>
      <c r="AE87" s="1277">
        <f t="shared" si="28"/>
        <v>0</v>
      </c>
      <c r="AF87" s="1278">
        <f t="shared" si="28"/>
        <v>0</v>
      </c>
      <c r="AG87" s="1278">
        <f t="shared" si="28"/>
        <v>0</v>
      </c>
      <c r="AH87" s="1389" t="str">
        <f t="shared" si="35"/>
        <v>-</v>
      </c>
      <c r="AI87" s="955"/>
      <c r="AJ87" s="956"/>
      <c r="AK87" s="954"/>
      <c r="AL87" s="1349" t="str">
        <f t="shared" si="36"/>
        <v>-</v>
      </c>
      <c r="AM87" s="955"/>
      <c r="AN87" s="956"/>
      <c r="AO87" s="954"/>
      <c r="AP87" s="1349" t="str">
        <f t="shared" si="37"/>
        <v>-</v>
      </c>
      <c r="AQ87" s="955"/>
      <c r="AR87" s="956"/>
      <c r="AS87" s="954"/>
      <c r="AT87" s="1349" t="str">
        <f t="shared" si="38"/>
        <v>-</v>
      </c>
      <c r="AU87" s="464"/>
      <c r="AV87" s="464"/>
      <c r="AW87" s="464"/>
      <c r="AX87" s="464"/>
      <c r="AY87" s="464"/>
    </row>
    <row r="88" spans="1:51">
      <c r="A88" s="504">
        <f t="shared" si="13"/>
        <v>80</v>
      </c>
      <c r="B88" s="790">
        <v>10</v>
      </c>
      <c r="C88" s="935" t="s">
        <v>1031</v>
      </c>
      <c r="D88" s="900" t="s">
        <v>1032</v>
      </c>
      <c r="E88" s="937" t="s">
        <v>1218</v>
      </c>
      <c r="F88" s="944" t="s">
        <v>654</v>
      </c>
      <c r="G88" s="1277">
        <f t="shared" si="26"/>
        <v>0</v>
      </c>
      <c r="H88" s="1278">
        <f t="shared" si="26"/>
        <v>0</v>
      </c>
      <c r="I88" s="1278">
        <f t="shared" si="26"/>
        <v>0</v>
      </c>
      <c r="J88" s="1389" t="str">
        <f t="shared" si="29"/>
        <v>-</v>
      </c>
      <c r="K88" s="1277">
        <f t="shared" si="27"/>
        <v>0</v>
      </c>
      <c r="L88" s="1278">
        <f t="shared" si="27"/>
        <v>0</v>
      </c>
      <c r="M88" s="1278">
        <f t="shared" si="27"/>
        <v>0</v>
      </c>
      <c r="N88" s="1389" t="str">
        <f t="shared" si="30"/>
        <v>-</v>
      </c>
      <c r="O88" s="953"/>
      <c r="P88" s="954"/>
      <c r="Q88" s="954"/>
      <c r="R88" s="1349" t="str">
        <f t="shared" si="31"/>
        <v>-</v>
      </c>
      <c r="S88" s="955"/>
      <c r="T88" s="956"/>
      <c r="U88" s="954"/>
      <c r="V88" s="1349" t="str">
        <f t="shared" si="32"/>
        <v>-</v>
      </c>
      <c r="W88" s="953"/>
      <c r="X88" s="954"/>
      <c r="Y88" s="954"/>
      <c r="Z88" s="1349" t="str">
        <f t="shared" si="33"/>
        <v>-</v>
      </c>
      <c r="AA88" s="955"/>
      <c r="AB88" s="956"/>
      <c r="AC88" s="954"/>
      <c r="AD88" s="1349" t="str">
        <f t="shared" si="34"/>
        <v>-</v>
      </c>
      <c r="AE88" s="1277">
        <f t="shared" si="28"/>
        <v>0</v>
      </c>
      <c r="AF88" s="1278">
        <f t="shared" si="28"/>
        <v>0</v>
      </c>
      <c r="AG88" s="1278">
        <f t="shared" si="28"/>
        <v>0</v>
      </c>
      <c r="AH88" s="1389" t="str">
        <f t="shared" si="35"/>
        <v>-</v>
      </c>
      <c r="AI88" s="955"/>
      <c r="AJ88" s="956"/>
      <c r="AK88" s="954"/>
      <c r="AL88" s="1349" t="str">
        <f t="shared" si="36"/>
        <v>-</v>
      </c>
      <c r="AM88" s="953"/>
      <c r="AN88" s="954"/>
      <c r="AO88" s="954"/>
      <c r="AP88" s="1349" t="str">
        <f t="shared" si="37"/>
        <v>-</v>
      </c>
      <c r="AQ88" s="955"/>
      <c r="AR88" s="956"/>
      <c r="AS88" s="954"/>
      <c r="AT88" s="1349" t="str">
        <f t="shared" si="38"/>
        <v>-</v>
      </c>
      <c r="AU88" s="464"/>
      <c r="AV88" s="464"/>
      <c r="AW88" s="464"/>
      <c r="AX88" s="464"/>
      <c r="AY88" s="464"/>
    </row>
    <row r="89" spans="1:51" ht="12.75" thickBot="1">
      <c r="A89" s="504">
        <f t="shared" si="13"/>
        <v>81</v>
      </c>
      <c r="B89" s="791">
        <v>9</v>
      </c>
      <c r="C89" s="938" t="s">
        <v>687</v>
      </c>
      <c r="D89" s="896" t="s">
        <v>688</v>
      </c>
      <c r="E89" s="937" t="s">
        <v>1218</v>
      </c>
      <c r="F89" s="944" t="s">
        <v>686</v>
      </c>
      <c r="G89" s="1277">
        <f t="shared" si="26"/>
        <v>0</v>
      </c>
      <c r="H89" s="1278">
        <f t="shared" si="26"/>
        <v>125</v>
      </c>
      <c r="I89" s="1278">
        <f t="shared" si="26"/>
        <v>125</v>
      </c>
      <c r="J89" s="1389">
        <f t="shared" si="29"/>
        <v>1</v>
      </c>
      <c r="K89" s="1277">
        <f t="shared" si="27"/>
        <v>0</v>
      </c>
      <c r="L89" s="1278">
        <f t="shared" si="27"/>
        <v>125</v>
      </c>
      <c r="M89" s="1278">
        <f t="shared" si="27"/>
        <v>125</v>
      </c>
      <c r="N89" s="1389">
        <f t="shared" si="30"/>
        <v>1</v>
      </c>
      <c r="O89" s="953"/>
      <c r="P89" s="954">
        <v>125</v>
      </c>
      <c r="Q89" s="954">
        <v>125</v>
      </c>
      <c r="R89" s="1349">
        <f t="shared" si="31"/>
        <v>1</v>
      </c>
      <c r="S89" s="955"/>
      <c r="T89" s="956"/>
      <c r="U89" s="954"/>
      <c r="V89" s="1349" t="str">
        <f t="shared" si="32"/>
        <v>-</v>
      </c>
      <c r="W89" s="955"/>
      <c r="X89" s="956"/>
      <c r="Y89" s="954"/>
      <c r="Z89" s="1349" t="str">
        <f t="shared" si="33"/>
        <v>-</v>
      </c>
      <c r="AA89" s="955"/>
      <c r="AB89" s="956"/>
      <c r="AC89" s="954"/>
      <c r="AD89" s="1349" t="str">
        <f t="shared" si="34"/>
        <v>-</v>
      </c>
      <c r="AE89" s="1277">
        <f t="shared" si="28"/>
        <v>0</v>
      </c>
      <c r="AF89" s="1278">
        <f t="shared" si="28"/>
        <v>0</v>
      </c>
      <c r="AG89" s="1278">
        <f t="shared" si="28"/>
        <v>0</v>
      </c>
      <c r="AH89" s="1389" t="str">
        <f t="shared" si="35"/>
        <v>-</v>
      </c>
      <c r="AI89" s="955"/>
      <c r="AJ89" s="956"/>
      <c r="AK89" s="954"/>
      <c r="AL89" s="1349" t="str">
        <f t="shared" si="36"/>
        <v>-</v>
      </c>
      <c r="AM89" s="955"/>
      <c r="AN89" s="956"/>
      <c r="AO89" s="954"/>
      <c r="AP89" s="1349" t="str">
        <f t="shared" si="37"/>
        <v>-</v>
      </c>
      <c r="AQ89" s="955"/>
      <c r="AR89" s="956"/>
      <c r="AS89" s="954"/>
      <c r="AT89" s="1349" t="str">
        <f t="shared" si="38"/>
        <v>-</v>
      </c>
      <c r="AU89" s="464"/>
      <c r="AV89" s="464"/>
      <c r="AW89" s="464"/>
      <c r="AX89" s="464"/>
      <c r="AY89" s="464"/>
    </row>
    <row r="90" spans="1:51" s="462" customFormat="1" ht="12.75" thickBot="1">
      <c r="A90" s="500" t="s">
        <v>588</v>
      </c>
      <c r="B90" s="793"/>
      <c r="C90" s="1862" t="s">
        <v>411</v>
      </c>
      <c r="D90" s="1863"/>
      <c r="E90" s="1863"/>
      <c r="F90" s="1864"/>
      <c r="G90" s="490">
        <f>SUM(G84:G89)</f>
        <v>1100</v>
      </c>
      <c r="H90" s="491">
        <f>SUM(H84:H89)</f>
        <v>5839</v>
      </c>
      <c r="I90" s="491">
        <f>SUM(I84:I89)</f>
        <v>789</v>
      </c>
      <c r="J90" s="1350">
        <f t="shared" si="29"/>
        <v>0.13512587771878745</v>
      </c>
      <c r="K90" s="490">
        <f>SUM(K84:K89)</f>
        <v>0</v>
      </c>
      <c r="L90" s="491">
        <f>SUM(L84:L89)</f>
        <v>125</v>
      </c>
      <c r="M90" s="491">
        <f>SUM(M84:M89)</f>
        <v>125</v>
      </c>
      <c r="N90" s="1350">
        <f t="shared" si="30"/>
        <v>1</v>
      </c>
      <c r="O90" s="472">
        <f>SUM(O84:O89)</f>
        <v>0</v>
      </c>
      <c r="P90" s="355">
        <f>SUM(P84:P89)</f>
        <v>125</v>
      </c>
      <c r="Q90" s="355">
        <f>SUM(Q84:Q89)</f>
        <v>125</v>
      </c>
      <c r="R90" s="1350">
        <f t="shared" si="31"/>
        <v>1</v>
      </c>
      <c r="S90" s="472">
        <f>SUM(S84:S89)</f>
        <v>0</v>
      </c>
      <c r="T90" s="355">
        <f>SUM(T84:T89)</f>
        <v>0</v>
      </c>
      <c r="U90" s="355">
        <f>SUM(U84:U89)</f>
        <v>0</v>
      </c>
      <c r="V90" s="1350" t="str">
        <f t="shared" si="32"/>
        <v>-</v>
      </c>
      <c r="W90" s="472">
        <f>SUM(W84:W89)</f>
        <v>0</v>
      </c>
      <c r="X90" s="355">
        <f>SUM(X84:X89)</f>
        <v>0</v>
      </c>
      <c r="Y90" s="355">
        <f>SUM(Y84:Y89)</f>
        <v>0</v>
      </c>
      <c r="Z90" s="1350" t="str">
        <f t="shared" si="33"/>
        <v>-</v>
      </c>
      <c r="AA90" s="472">
        <f>SUM(AA84:AA89)</f>
        <v>0</v>
      </c>
      <c r="AB90" s="355">
        <f>SUM(AB84:AB89)</f>
        <v>0</v>
      </c>
      <c r="AC90" s="355">
        <f>SUM(AC84:AC89)</f>
        <v>0</v>
      </c>
      <c r="AD90" s="1350" t="str">
        <f t="shared" si="34"/>
        <v>-</v>
      </c>
      <c r="AE90" s="490">
        <f>SUM(AE84:AE89)</f>
        <v>1100</v>
      </c>
      <c r="AF90" s="491">
        <f>SUM(AF84:AF89)</f>
        <v>5714</v>
      </c>
      <c r="AG90" s="491">
        <f>SUM(AG84:AG89)</f>
        <v>664</v>
      </c>
      <c r="AH90" s="1350">
        <f t="shared" si="35"/>
        <v>0.11620581029051452</v>
      </c>
      <c r="AI90" s="472">
        <f>SUM(AI84:AI89)</f>
        <v>0</v>
      </c>
      <c r="AJ90" s="355">
        <f>SUM(AJ84:AJ89)</f>
        <v>0</v>
      </c>
      <c r="AK90" s="355">
        <f>SUM(AK84:AK89)</f>
        <v>0</v>
      </c>
      <c r="AL90" s="1350" t="str">
        <f t="shared" si="36"/>
        <v>-</v>
      </c>
      <c r="AM90" s="472">
        <f>SUM(AM84:AM89)</f>
        <v>0</v>
      </c>
      <c r="AN90" s="355">
        <f>SUM(AN84:AN89)</f>
        <v>0</v>
      </c>
      <c r="AO90" s="355">
        <f>SUM(AO84:AO89)</f>
        <v>0</v>
      </c>
      <c r="AP90" s="1350" t="str">
        <f t="shared" si="37"/>
        <v>-</v>
      </c>
      <c r="AQ90" s="472">
        <f>SUM(AQ84:AQ89)</f>
        <v>1100</v>
      </c>
      <c r="AR90" s="355">
        <f>SUM(AR84:AR89)</f>
        <v>5714</v>
      </c>
      <c r="AS90" s="355">
        <f>SUM(AS84:AS89)</f>
        <v>664</v>
      </c>
      <c r="AT90" s="1350">
        <f t="shared" si="38"/>
        <v>0.11620581029051452</v>
      </c>
      <c r="AU90" s="464"/>
      <c r="AV90" s="464"/>
      <c r="AW90" s="464"/>
      <c r="AX90" s="464"/>
      <c r="AY90" s="464"/>
    </row>
    <row r="91" spans="1:51" s="466" customFormat="1" ht="12.75" customHeight="1" thickBot="1">
      <c r="A91" s="504">
        <f>+A89+1</f>
        <v>82</v>
      </c>
      <c r="B91" s="791">
        <v>11</v>
      </c>
      <c r="C91" s="938" t="s">
        <v>19</v>
      </c>
      <c r="D91" s="945" t="s">
        <v>19</v>
      </c>
      <c r="E91" s="936" t="s">
        <v>19</v>
      </c>
      <c r="F91" s="945" t="s">
        <v>19</v>
      </c>
      <c r="G91" s="1273">
        <f>+K91+AE91</f>
        <v>0</v>
      </c>
      <c r="H91" s="1274">
        <f>+L91+AF91</f>
        <v>0</v>
      </c>
      <c r="I91" s="1274">
        <f>+M91+AG91</f>
        <v>0</v>
      </c>
      <c r="J91" s="1389" t="str">
        <f t="shared" si="29"/>
        <v>-</v>
      </c>
      <c r="K91" s="1273">
        <f>+O91+S91+W91+AA91</f>
        <v>0</v>
      </c>
      <c r="L91" s="1274">
        <f>+P91+T91+X91+AB91</f>
        <v>0</v>
      </c>
      <c r="M91" s="1274">
        <f>+Q91+U91+Y91+AC91</f>
        <v>0</v>
      </c>
      <c r="N91" s="1389" t="str">
        <f t="shared" si="30"/>
        <v>-</v>
      </c>
      <c r="O91" s="953"/>
      <c r="P91" s="954"/>
      <c r="Q91" s="954"/>
      <c r="R91" s="1349" t="str">
        <f t="shared" si="31"/>
        <v>-</v>
      </c>
      <c r="S91" s="955"/>
      <c r="T91" s="956"/>
      <c r="U91" s="954"/>
      <c r="V91" s="1349" t="str">
        <f t="shared" si="32"/>
        <v>-</v>
      </c>
      <c r="W91" s="955"/>
      <c r="X91" s="956"/>
      <c r="Y91" s="954"/>
      <c r="Z91" s="1349" t="str">
        <f t="shared" si="33"/>
        <v>-</v>
      </c>
      <c r="AA91" s="955"/>
      <c r="AB91" s="956"/>
      <c r="AC91" s="954"/>
      <c r="AD91" s="1349" t="str">
        <f t="shared" si="34"/>
        <v>-</v>
      </c>
      <c r="AE91" s="1273">
        <f>+AI91+AM91+AQ91</f>
        <v>0</v>
      </c>
      <c r="AF91" s="1274">
        <f>+AJ91+AN91+AR91</f>
        <v>0</v>
      </c>
      <c r="AG91" s="1274">
        <f>+AK91+AO91+AS91</f>
        <v>0</v>
      </c>
      <c r="AH91" s="1389" t="str">
        <f t="shared" si="35"/>
        <v>-</v>
      </c>
      <c r="AI91" s="955"/>
      <c r="AJ91" s="956"/>
      <c r="AK91" s="954"/>
      <c r="AL91" s="1349" t="str">
        <f t="shared" si="36"/>
        <v>-</v>
      </c>
      <c r="AM91" s="955"/>
      <c r="AN91" s="956"/>
      <c r="AO91" s="954"/>
      <c r="AP91" s="1349" t="str">
        <f t="shared" si="37"/>
        <v>-</v>
      </c>
      <c r="AQ91" s="955"/>
      <c r="AR91" s="956"/>
      <c r="AS91" s="954"/>
      <c r="AT91" s="1349" t="str">
        <f t="shared" si="38"/>
        <v>-</v>
      </c>
      <c r="AU91" s="464"/>
      <c r="AV91" s="464"/>
      <c r="AW91" s="464"/>
      <c r="AX91" s="464"/>
      <c r="AY91" s="464"/>
    </row>
    <row r="92" spans="1:51" s="462" customFormat="1" ht="12.75" thickBot="1">
      <c r="A92" s="500" t="s">
        <v>589</v>
      </c>
      <c r="B92" s="793"/>
      <c r="C92" s="1862" t="s">
        <v>412</v>
      </c>
      <c r="D92" s="1863"/>
      <c r="E92" s="1863"/>
      <c r="F92" s="1864"/>
      <c r="G92" s="490">
        <f>SUM(G91:G91)</f>
        <v>0</v>
      </c>
      <c r="H92" s="491">
        <f>SUM(H91:H91)</f>
        <v>0</v>
      </c>
      <c r="I92" s="491">
        <f>SUM(I91:I91)</f>
        <v>0</v>
      </c>
      <c r="J92" s="1350" t="str">
        <f t="shared" si="29"/>
        <v>-</v>
      </c>
      <c r="K92" s="490">
        <f>SUM(K91:K91)</f>
        <v>0</v>
      </c>
      <c r="L92" s="491">
        <f>SUM(L91:L91)</f>
        <v>0</v>
      </c>
      <c r="M92" s="491">
        <f>SUM(M91:M91)</f>
        <v>0</v>
      </c>
      <c r="N92" s="1350" t="str">
        <f t="shared" si="30"/>
        <v>-</v>
      </c>
      <c r="O92" s="472">
        <f>SUM(O91:O91)</f>
        <v>0</v>
      </c>
      <c r="P92" s="355">
        <f>SUM(P91:P91)</f>
        <v>0</v>
      </c>
      <c r="Q92" s="355">
        <f>SUM(Q91:Q91)</f>
        <v>0</v>
      </c>
      <c r="R92" s="1350" t="str">
        <f t="shared" si="31"/>
        <v>-</v>
      </c>
      <c r="S92" s="472">
        <f>SUM(S91:S91)</f>
        <v>0</v>
      </c>
      <c r="T92" s="355">
        <f>SUM(T91:T91)</f>
        <v>0</v>
      </c>
      <c r="U92" s="355">
        <f>SUM(U91:U91)</f>
        <v>0</v>
      </c>
      <c r="V92" s="1350" t="str">
        <f t="shared" si="32"/>
        <v>-</v>
      </c>
      <c r="W92" s="472">
        <f>SUM(W91:W91)</f>
        <v>0</v>
      </c>
      <c r="X92" s="355">
        <f>SUM(X91:X91)</f>
        <v>0</v>
      </c>
      <c r="Y92" s="355">
        <f>SUM(Y91:Y91)</f>
        <v>0</v>
      </c>
      <c r="Z92" s="1350" t="str">
        <f t="shared" si="33"/>
        <v>-</v>
      </c>
      <c r="AA92" s="472">
        <f>SUM(AA91:AA91)</f>
        <v>0</v>
      </c>
      <c r="AB92" s="355">
        <f>SUM(AB91:AB91)</f>
        <v>0</v>
      </c>
      <c r="AC92" s="355">
        <f>SUM(AC91:AC91)</f>
        <v>0</v>
      </c>
      <c r="AD92" s="1350" t="str">
        <f t="shared" si="34"/>
        <v>-</v>
      </c>
      <c r="AE92" s="490">
        <f>SUM(AE91:AE91)</f>
        <v>0</v>
      </c>
      <c r="AF92" s="491">
        <f>SUM(AF91:AF91)</f>
        <v>0</v>
      </c>
      <c r="AG92" s="491">
        <f>SUM(AG91:AG91)</f>
        <v>0</v>
      </c>
      <c r="AH92" s="1350" t="str">
        <f t="shared" si="35"/>
        <v>-</v>
      </c>
      <c r="AI92" s="472">
        <f>SUM(AI91:AI91)</f>
        <v>0</v>
      </c>
      <c r="AJ92" s="355">
        <f>SUM(AJ91:AJ91)</f>
        <v>0</v>
      </c>
      <c r="AK92" s="355">
        <f>SUM(AK91:AK91)</f>
        <v>0</v>
      </c>
      <c r="AL92" s="1350" t="str">
        <f t="shared" si="36"/>
        <v>-</v>
      </c>
      <c r="AM92" s="472">
        <f>SUM(AM91:AM91)</f>
        <v>0</v>
      </c>
      <c r="AN92" s="355">
        <f>SUM(AN91:AN91)</f>
        <v>0</v>
      </c>
      <c r="AO92" s="355">
        <f>SUM(AO91:AO91)</f>
        <v>0</v>
      </c>
      <c r="AP92" s="1350" t="str">
        <f t="shared" si="37"/>
        <v>-</v>
      </c>
      <c r="AQ92" s="472">
        <f>SUM(AQ91:AQ91)</f>
        <v>0</v>
      </c>
      <c r="AR92" s="355">
        <f>SUM(AR91:AR91)</f>
        <v>0</v>
      </c>
      <c r="AS92" s="355">
        <f>SUM(AS91:AS91)</f>
        <v>0</v>
      </c>
      <c r="AT92" s="1350" t="str">
        <f t="shared" si="38"/>
        <v>-</v>
      </c>
      <c r="AU92" s="464"/>
      <c r="AV92" s="464"/>
      <c r="AW92" s="464"/>
      <c r="AX92" s="464"/>
      <c r="AY92" s="464"/>
    </row>
    <row r="93" spans="1:51" s="462" customFormat="1" ht="12.75" thickBot="1">
      <c r="A93" s="501" t="s">
        <v>23</v>
      </c>
      <c r="B93" s="794"/>
      <c r="C93" s="1877" t="s">
        <v>413</v>
      </c>
      <c r="D93" s="1878"/>
      <c r="E93" s="1878"/>
      <c r="F93" s="1879"/>
      <c r="G93" s="474">
        <f>+G83+G90+G92</f>
        <v>1582502</v>
      </c>
      <c r="H93" s="475">
        <f>+H83+H90+H92</f>
        <v>2239870</v>
      </c>
      <c r="I93" s="475">
        <f>+I83+I90+I92</f>
        <v>2036746</v>
      </c>
      <c r="J93" s="1386">
        <f t="shared" si="29"/>
        <v>0.90931437985240215</v>
      </c>
      <c r="K93" s="474">
        <f>+K83+K90+K92</f>
        <v>1508776</v>
      </c>
      <c r="L93" s="475">
        <f>+L83+L90+L92</f>
        <v>1972678</v>
      </c>
      <c r="M93" s="475">
        <f>+M83+M90+M92</f>
        <v>1775107</v>
      </c>
      <c r="N93" s="1386">
        <f t="shared" si="30"/>
        <v>0.89984630030851465</v>
      </c>
      <c r="O93" s="474">
        <f>+O83+O90+O92</f>
        <v>988986</v>
      </c>
      <c r="P93" s="475">
        <f>+P83+P90+P92</f>
        <v>1306046</v>
      </c>
      <c r="Q93" s="475">
        <f>+Q83+Q90+Q92</f>
        <v>1306046</v>
      </c>
      <c r="R93" s="1386">
        <f t="shared" si="31"/>
        <v>1</v>
      </c>
      <c r="S93" s="474">
        <f>+S83+S90+S92</f>
        <v>396552</v>
      </c>
      <c r="T93" s="475">
        <f>+T83+T90+T92</f>
        <v>538381</v>
      </c>
      <c r="U93" s="475">
        <f>+U83+U90+U92</f>
        <v>370135</v>
      </c>
      <c r="V93" s="1386">
        <f t="shared" si="32"/>
        <v>0.68749640124744371</v>
      </c>
      <c r="W93" s="474">
        <f>+W83+W90+W92</f>
        <v>123238</v>
      </c>
      <c r="X93" s="475">
        <f>+X83+X90+X92</f>
        <v>108311</v>
      </c>
      <c r="Y93" s="475">
        <f>+Y83+Y90+Y92</f>
        <v>94193</v>
      </c>
      <c r="Z93" s="1386">
        <f t="shared" si="33"/>
        <v>0.86965312849110432</v>
      </c>
      <c r="AA93" s="474">
        <f>+AA83+AA90+AA92</f>
        <v>0</v>
      </c>
      <c r="AB93" s="475">
        <f>+AB83+AB90+AB92</f>
        <v>19940</v>
      </c>
      <c r="AC93" s="475">
        <f>+AC83+AC90+AC92</f>
        <v>4733</v>
      </c>
      <c r="AD93" s="1386">
        <f t="shared" si="34"/>
        <v>0.23736208625877633</v>
      </c>
      <c r="AE93" s="474">
        <f>+AE83+AE90+AE92</f>
        <v>73726</v>
      </c>
      <c r="AF93" s="475">
        <f>+AF83+AF90+AF92</f>
        <v>267192</v>
      </c>
      <c r="AG93" s="475">
        <f>+AG83+AG90+AG92</f>
        <v>261639</v>
      </c>
      <c r="AH93" s="1386">
        <f t="shared" si="35"/>
        <v>0.97921719213150094</v>
      </c>
      <c r="AI93" s="474">
        <f>+AI83+AI90+AI92</f>
        <v>32276</v>
      </c>
      <c r="AJ93" s="475">
        <f>+AJ83+AJ90+AJ92</f>
        <v>219051</v>
      </c>
      <c r="AK93" s="475">
        <f>+AK83+AK90+AK92</f>
        <v>219051</v>
      </c>
      <c r="AL93" s="1386">
        <f t="shared" si="36"/>
        <v>1</v>
      </c>
      <c r="AM93" s="474">
        <f>+AM83+AM90+AM92</f>
        <v>40350</v>
      </c>
      <c r="AN93" s="475">
        <f>+AN83+AN90+AN92</f>
        <v>42427</v>
      </c>
      <c r="AO93" s="475">
        <f>+AO83+AO90+AO92</f>
        <v>41924</v>
      </c>
      <c r="AP93" s="1386">
        <f t="shared" si="37"/>
        <v>0.98814434204633839</v>
      </c>
      <c r="AQ93" s="474">
        <f>+AQ83+AQ90+AQ92</f>
        <v>1100</v>
      </c>
      <c r="AR93" s="475">
        <f>+AR83+AR90+AR92</f>
        <v>5714</v>
      </c>
      <c r="AS93" s="475">
        <f>+AS83+AS90+AS92</f>
        <v>664</v>
      </c>
      <c r="AT93" s="1386">
        <f t="shared" si="38"/>
        <v>0.11620581029051452</v>
      </c>
      <c r="AU93" s="464"/>
      <c r="AV93" s="464"/>
      <c r="AW93" s="464"/>
      <c r="AX93" s="464"/>
      <c r="AY93" s="464"/>
    </row>
    <row r="94" spans="1:51" ht="12.75" thickBot="1">
      <c r="A94" s="785"/>
      <c r="B94" s="795"/>
      <c r="C94" s="880"/>
      <c r="D94" s="498"/>
      <c r="E94" s="875"/>
      <c r="F94" s="476"/>
      <c r="G94" s="477"/>
      <c r="H94" s="478"/>
      <c r="I94" s="478"/>
      <c r="J94" s="917"/>
      <c r="K94" s="477"/>
      <c r="L94" s="478"/>
      <c r="M94" s="478"/>
      <c r="N94" s="917"/>
      <c r="O94" s="477"/>
      <c r="P94" s="478"/>
      <c r="Q94" s="478"/>
      <c r="R94" s="917"/>
      <c r="S94" s="477"/>
      <c r="T94" s="478"/>
      <c r="U94" s="478"/>
      <c r="V94" s="917"/>
      <c r="W94" s="477"/>
      <c r="X94" s="478"/>
      <c r="Y94" s="478"/>
      <c r="Z94" s="917"/>
      <c r="AA94" s="477"/>
      <c r="AB94" s="478"/>
      <c r="AC94" s="478"/>
      <c r="AD94" s="917"/>
      <c r="AE94" s="477"/>
      <c r="AF94" s="478"/>
      <c r="AG94" s="478"/>
      <c r="AH94" s="917"/>
      <c r="AI94" s="477"/>
      <c r="AJ94" s="478"/>
      <c r="AK94" s="478"/>
      <c r="AL94" s="917"/>
      <c r="AM94" s="477"/>
      <c r="AN94" s="478"/>
      <c r="AO94" s="478"/>
      <c r="AP94" s="917"/>
      <c r="AQ94" s="477"/>
      <c r="AR94" s="478"/>
      <c r="AS94" s="478"/>
      <c r="AT94" s="917"/>
      <c r="AU94" s="464"/>
      <c r="AV94" s="464"/>
      <c r="AW94" s="464"/>
      <c r="AX94" s="464"/>
      <c r="AY94" s="464"/>
    </row>
    <row r="95" spans="1:51" s="470" customFormat="1">
      <c r="A95" s="505">
        <f>A91+1</f>
        <v>83</v>
      </c>
      <c r="B95" s="796">
        <v>12</v>
      </c>
      <c r="C95" s="946" t="s">
        <v>667</v>
      </c>
      <c r="D95" s="904" t="s">
        <v>666</v>
      </c>
      <c r="E95" s="947" t="s">
        <v>1218</v>
      </c>
      <c r="F95" s="948" t="s">
        <v>991</v>
      </c>
      <c r="G95" s="1281">
        <f t="shared" ref="G95:I99" si="39">+K95+AE95</f>
        <v>0</v>
      </c>
      <c r="H95" s="1282">
        <f t="shared" si="39"/>
        <v>14912</v>
      </c>
      <c r="I95" s="1282">
        <f t="shared" si="39"/>
        <v>14907</v>
      </c>
      <c r="J95" s="1389">
        <f t="shared" ref="J95:J113" si="40">IF(ISERROR(I95/H95),"-",I95/H95)</f>
        <v>0.9996646995708155</v>
      </c>
      <c r="K95" s="1281">
        <f t="shared" ref="K95:M99" si="41">+O95+S95+W95+AA95</f>
        <v>0</v>
      </c>
      <c r="L95" s="1282">
        <f t="shared" si="41"/>
        <v>14912</v>
      </c>
      <c r="M95" s="1282">
        <f t="shared" si="41"/>
        <v>14907</v>
      </c>
      <c r="N95" s="1389">
        <f t="shared" ref="N95:N113" si="42">IF(ISERROR(M95/L95),"-",M95/L95)</f>
        <v>0.9996646995708155</v>
      </c>
      <c r="O95" s="957"/>
      <c r="P95" s="958">
        <v>3033</v>
      </c>
      <c r="Q95" s="958">
        <v>3033</v>
      </c>
      <c r="R95" s="1349">
        <f t="shared" ref="R95:R113" si="43">IF(ISERROR(Q95/P95),"-",Q95/P95)</f>
        <v>1</v>
      </c>
      <c r="S95" s="957"/>
      <c r="T95" s="958">
        <f>5+5</f>
        <v>10</v>
      </c>
      <c r="U95" s="958">
        <v>5</v>
      </c>
      <c r="V95" s="1349">
        <f t="shared" ref="V95:V113" si="44">IF(ISERROR(U95/T95),"-",U95/T95)</f>
        <v>0.5</v>
      </c>
      <c r="W95" s="957"/>
      <c r="X95" s="958">
        <v>11869</v>
      </c>
      <c r="Y95" s="958">
        <v>11869</v>
      </c>
      <c r="Z95" s="1349">
        <f t="shared" ref="Z95:Z113" si="45">IF(ISERROR(Y95/X95),"-",Y95/X95)</f>
        <v>1</v>
      </c>
      <c r="AA95" s="957"/>
      <c r="AB95" s="958"/>
      <c r="AC95" s="958"/>
      <c r="AD95" s="1349" t="str">
        <f t="shared" ref="AD95:AD113" si="46">IF(ISERROR(AC95/AB95),"-",AC95/AB95)</f>
        <v>-</v>
      </c>
      <c r="AE95" s="1281">
        <f t="shared" ref="AE95:AG99" si="47">+AI95+AM95+AQ95</f>
        <v>0</v>
      </c>
      <c r="AF95" s="1282">
        <f t="shared" si="47"/>
        <v>0</v>
      </c>
      <c r="AG95" s="1282">
        <f t="shared" si="47"/>
        <v>0</v>
      </c>
      <c r="AH95" s="1389" t="str">
        <f t="shared" ref="AH95:AH113" si="48">IF(ISERROR(AG95/AF95),"-",AG95/AF95)</f>
        <v>-</v>
      </c>
      <c r="AI95" s="957"/>
      <c r="AJ95" s="958"/>
      <c r="AK95" s="958"/>
      <c r="AL95" s="1349" t="str">
        <f t="shared" ref="AL95:AL113" si="49">IF(ISERROR(AK95/AJ95),"-",AK95/AJ95)</f>
        <v>-</v>
      </c>
      <c r="AM95" s="957"/>
      <c r="AN95" s="958"/>
      <c r="AO95" s="958"/>
      <c r="AP95" s="1349" t="str">
        <f t="shared" ref="AP95:AP113" si="50">IF(ISERROR(AO95/AN95),"-",AO95/AN95)</f>
        <v>-</v>
      </c>
      <c r="AQ95" s="957"/>
      <c r="AR95" s="958"/>
      <c r="AS95" s="958"/>
      <c r="AT95" s="1349" t="str">
        <f t="shared" ref="AT95:AT113" si="51">IF(ISERROR(AS95/AR95),"-",AS95/AR95)</f>
        <v>-</v>
      </c>
      <c r="AU95" s="464"/>
      <c r="AV95" s="464"/>
      <c r="AW95" s="464"/>
      <c r="AX95" s="464"/>
      <c r="AY95" s="464"/>
    </row>
    <row r="96" spans="1:51" s="466" customFormat="1" ht="24">
      <c r="A96" s="504">
        <f>+A95+1</f>
        <v>84</v>
      </c>
      <c r="B96" s="791">
        <v>13</v>
      </c>
      <c r="C96" s="938" t="s">
        <v>1033</v>
      </c>
      <c r="D96" s="896" t="s">
        <v>1248</v>
      </c>
      <c r="E96" s="936" t="s">
        <v>1218</v>
      </c>
      <c r="F96" s="945" t="s">
        <v>1241</v>
      </c>
      <c r="G96" s="1273">
        <f t="shared" si="39"/>
        <v>0</v>
      </c>
      <c r="H96" s="1274">
        <f t="shared" si="39"/>
        <v>34897</v>
      </c>
      <c r="I96" s="1274">
        <f t="shared" si="39"/>
        <v>34897</v>
      </c>
      <c r="J96" s="1389">
        <f t="shared" si="40"/>
        <v>1</v>
      </c>
      <c r="K96" s="1273">
        <f t="shared" si="41"/>
        <v>0</v>
      </c>
      <c r="L96" s="1274">
        <f t="shared" si="41"/>
        <v>34897</v>
      </c>
      <c r="M96" s="1274">
        <f t="shared" si="41"/>
        <v>34897</v>
      </c>
      <c r="N96" s="1389">
        <f t="shared" si="42"/>
        <v>1</v>
      </c>
      <c r="O96" s="955"/>
      <c r="P96" s="956">
        <v>34897</v>
      </c>
      <c r="Q96" s="956">
        <v>34897</v>
      </c>
      <c r="R96" s="1349">
        <f t="shared" si="43"/>
        <v>1</v>
      </c>
      <c r="S96" s="955"/>
      <c r="T96" s="956"/>
      <c r="U96" s="956"/>
      <c r="V96" s="1349" t="str">
        <f t="shared" si="44"/>
        <v>-</v>
      </c>
      <c r="W96" s="955"/>
      <c r="X96" s="956"/>
      <c r="Y96" s="956"/>
      <c r="Z96" s="1349" t="str">
        <f t="shared" si="45"/>
        <v>-</v>
      </c>
      <c r="AA96" s="955"/>
      <c r="AB96" s="956"/>
      <c r="AC96" s="956"/>
      <c r="AD96" s="1349" t="str">
        <f t="shared" si="46"/>
        <v>-</v>
      </c>
      <c r="AE96" s="1273">
        <f t="shared" si="47"/>
        <v>0</v>
      </c>
      <c r="AF96" s="1274">
        <f t="shared" si="47"/>
        <v>0</v>
      </c>
      <c r="AG96" s="1274">
        <f t="shared" si="47"/>
        <v>0</v>
      </c>
      <c r="AH96" s="1389" t="str">
        <f t="shared" si="48"/>
        <v>-</v>
      </c>
      <c r="AI96" s="955"/>
      <c r="AJ96" s="956"/>
      <c r="AK96" s="956"/>
      <c r="AL96" s="1349" t="str">
        <f t="shared" si="49"/>
        <v>-</v>
      </c>
      <c r="AM96" s="955"/>
      <c r="AN96" s="956"/>
      <c r="AO96" s="956"/>
      <c r="AP96" s="1349" t="str">
        <f t="shared" si="50"/>
        <v>-</v>
      </c>
      <c r="AQ96" s="955"/>
      <c r="AR96" s="956"/>
      <c r="AS96" s="956"/>
      <c r="AT96" s="1349" t="str">
        <f t="shared" si="51"/>
        <v>-</v>
      </c>
      <c r="AU96" s="464"/>
      <c r="AV96" s="464"/>
      <c r="AW96" s="464"/>
      <c r="AX96" s="464"/>
      <c r="AY96" s="464"/>
    </row>
    <row r="97" spans="1:51">
      <c r="A97" s="504">
        <f>+A96+1</f>
        <v>85</v>
      </c>
      <c r="B97" s="791">
        <v>14</v>
      </c>
      <c r="C97" s="938" t="s">
        <v>701</v>
      </c>
      <c r="D97" s="896" t="s">
        <v>700</v>
      </c>
      <c r="E97" s="937" t="s">
        <v>1222</v>
      </c>
      <c r="F97" s="943" t="s">
        <v>776</v>
      </c>
      <c r="G97" s="1277">
        <f t="shared" si="39"/>
        <v>8308</v>
      </c>
      <c r="H97" s="1278">
        <f t="shared" si="39"/>
        <v>7621</v>
      </c>
      <c r="I97" s="1278">
        <f t="shared" si="39"/>
        <v>7621</v>
      </c>
      <c r="J97" s="1389">
        <f t="shared" si="40"/>
        <v>1</v>
      </c>
      <c r="K97" s="1277">
        <f t="shared" si="41"/>
        <v>8308</v>
      </c>
      <c r="L97" s="1278">
        <f t="shared" si="41"/>
        <v>7621</v>
      </c>
      <c r="M97" s="1278">
        <f t="shared" si="41"/>
        <v>7621</v>
      </c>
      <c r="N97" s="1389">
        <f t="shared" si="42"/>
        <v>1</v>
      </c>
      <c r="O97" s="955"/>
      <c r="P97" s="956"/>
      <c r="Q97" s="956"/>
      <c r="R97" s="1349" t="str">
        <f t="shared" si="43"/>
        <v>-</v>
      </c>
      <c r="S97" s="955"/>
      <c r="T97" s="956"/>
      <c r="U97" s="956"/>
      <c r="V97" s="1349" t="str">
        <f t="shared" si="44"/>
        <v>-</v>
      </c>
      <c r="W97" s="955">
        <v>8308</v>
      </c>
      <c r="X97" s="956">
        <v>7621</v>
      </c>
      <c r="Y97" s="956">
        <v>7621</v>
      </c>
      <c r="Z97" s="1349">
        <f t="shared" si="45"/>
        <v>1</v>
      </c>
      <c r="AA97" s="955"/>
      <c r="AB97" s="956"/>
      <c r="AC97" s="956"/>
      <c r="AD97" s="1349" t="str">
        <f t="shared" si="46"/>
        <v>-</v>
      </c>
      <c r="AE97" s="1277">
        <f t="shared" si="47"/>
        <v>0</v>
      </c>
      <c r="AF97" s="1278">
        <f t="shared" si="47"/>
        <v>0</v>
      </c>
      <c r="AG97" s="1278">
        <f t="shared" si="47"/>
        <v>0</v>
      </c>
      <c r="AH97" s="1389" t="str">
        <f t="shared" si="48"/>
        <v>-</v>
      </c>
      <c r="AI97" s="955"/>
      <c r="AJ97" s="956"/>
      <c r="AK97" s="956"/>
      <c r="AL97" s="1349" t="str">
        <f t="shared" si="49"/>
        <v>-</v>
      </c>
      <c r="AM97" s="955"/>
      <c r="AN97" s="956"/>
      <c r="AO97" s="956"/>
      <c r="AP97" s="1349" t="str">
        <f t="shared" si="50"/>
        <v>-</v>
      </c>
      <c r="AQ97" s="955"/>
      <c r="AR97" s="956"/>
      <c r="AS97" s="956"/>
      <c r="AT97" s="1349" t="str">
        <f t="shared" si="51"/>
        <v>-</v>
      </c>
      <c r="AU97" s="464"/>
      <c r="AV97" s="464"/>
      <c r="AW97" s="464"/>
      <c r="AX97" s="464"/>
      <c r="AY97" s="464"/>
    </row>
    <row r="98" spans="1:51">
      <c r="A98" s="504">
        <f>+A97+1</f>
        <v>86</v>
      </c>
      <c r="B98" s="791">
        <v>14</v>
      </c>
      <c r="C98" s="938" t="s">
        <v>701</v>
      </c>
      <c r="D98" s="896" t="s">
        <v>700</v>
      </c>
      <c r="E98" s="937" t="s">
        <v>1222</v>
      </c>
      <c r="F98" s="943" t="s">
        <v>1036</v>
      </c>
      <c r="G98" s="1277">
        <f t="shared" si="39"/>
        <v>1000</v>
      </c>
      <c r="H98" s="1278">
        <f t="shared" si="39"/>
        <v>0</v>
      </c>
      <c r="I98" s="1278">
        <f t="shared" si="39"/>
        <v>0</v>
      </c>
      <c r="J98" s="1389" t="str">
        <f t="shared" si="40"/>
        <v>-</v>
      </c>
      <c r="K98" s="1277">
        <f t="shared" si="41"/>
        <v>1000</v>
      </c>
      <c r="L98" s="1278">
        <f t="shared" si="41"/>
        <v>0</v>
      </c>
      <c r="M98" s="1278">
        <f t="shared" si="41"/>
        <v>0</v>
      </c>
      <c r="N98" s="1389" t="str">
        <f t="shared" si="42"/>
        <v>-</v>
      </c>
      <c r="O98" s="955"/>
      <c r="P98" s="956"/>
      <c r="Q98" s="956"/>
      <c r="R98" s="1349" t="str">
        <f t="shared" si="43"/>
        <v>-</v>
      </c>
      <c r="S98" s="955"/>
      <c r="T98" s="956"/>
      <c r="U98" s="956"/>
      <c r="V98" s="1349" t="str">
        <f t="shared" si="44"/>
        <v>-</v>
      </c>
      <c r="W98" s="955">
        <v>1000</v>
      </c>
      <c r="X98" s="956">
        <v>0</v>
      </c>
      <c r="Y98" s="956"/>
      <c r="Z98" s="1349" t="str">
        <f t="shared" si="45"/>
        <v>-</v>
      </c>
      <c r="AA98" s="955"/>
      <c r="AB98" s="956"/>
      <c r="AC98" s="956"/>
      <c r="AD98" s="1349" t="str">
        <f t="shared" si="46"/>
        <v>-</v>
      </c>
      <c r="AE98" s="1277">
        <f t="shared" si="47"/>
        <v>0</v>
      </c>
      <c r="AF98" s="1278">
        <f t="shared" si="47"/>
        <v>0</v>
      </c>
      <c r="AG98" s="1278">
        <f t="shared" si="47"/>
        <v>0</v>
      </c>
      <c r="AH98" s="1389" t="str">
        <f t="shared" si="48"/>
        <v>-</v>
      </c>
      <c r="AI98" s="955"/>
      <c r="AJ98" s="956"/>
      <c r="AK98" s="956"/>
      <c r="AL98" s="1349" t="str">
        <f t="shared" si="49"/>
        <v>-</v>
      </c>
      <c r="AM98" s="955"/>
      <c r="AN98" s="956"/>
      <c r="AO98" s="956"/>
      <c r="AP98" s="1349" t="str">
        <f t="shared" si="50"/>
        <v>-</v>
      </c>
      <c r="AQ98" s="955"/>
      <c r="AR98" s="956"/>
      <c r="AS98" s="956"/>
      <c r="AT98" s="1349" t="str">
        <f t="shared" si="51"/>
        <v>-</v>
      </c>
      <c r="AU98" s="464"/>
      <c r="AV98" s="464"/>
      <c r="AW98" s="464"/>
      <c r="AX98" s="464"/>
      <c r="AY98" s="464"/>
    </row>
    <row r="99" spans="1:51" ht="12.75" thickBot="1">
      <c r="A99" s="504">
        <f>+A98+1</f>
        <v>87</v>
      </c>
      <c r="B99" s="791">
        <v>14</v>
      </c>
      <c r="C99" s="938" t="s">
        <v>998</v>
      </c>
      <c r="D99" s="896" t="s">
        <v>999</v>
      </c>
      <c r="E99" s="937" t="s">
        <v>1218</v>
      </c>
      <c r="F99" s="943" t="s">
        <v>991</v>
      </c>
      <c r="G99" s="1277">
        <f t="shared" si="39"/>
        <v>0</v>
      </c>
      <c r="H99" s="1278">
        <f t="shared" si="39"/>
        <v>0</v>
      </c>
      <c r="I99" s="1278">
        <f t="shared" si="39"/>
        <v>0</v>
      </c>
      <c r="J99" s="1389" t="str">
        <f t="shared" si="40"/>
        <v>-</v>
      </c>
      <c r="K99" s="1277">
        <f t="shared" si="41"/>
        <v>0</v>
      </c>
      <c r="L99" s="1278">
        <f t="shared" si="41"/>
        <v>0</v>
      </c>
      <c r="M99" s="1278">
        <f t="shared" si="41"/>
        <v>0</v>
      </c>
      <c r="N99" s="1389" t="str">
        <f t="shared" si="42"/>
        <v>-</v>
      </c>
      <c r="O99" s="955"/>
      <c r="P99" s="956"/>
      <c r="Q99" s="956"/>
      <c r="R99" s="1349" t="str">
        <f t="shared" si="43"/>
        <v>-</v>
      </c>
      <c r="S99" s="955"/>
      <c r="T99" s="956"/>
      <c r="U99" s="956"/>
      <c r="V99" s="1349" t="str">
        <f t="shared" si="44"/>
        <v>-</v>
      </c>
      <c r="W99" s="955"/>
      <c r="X99" s="956"/>
      <c r="Y99" s="956"/>
      <c r="Z99" s="1349" t="str">
        <f t="shared" si="45"/>
        <v>-</v>
      </c>
      <c r="AA99" s="955"/>
      <c r="AB99" s="956"/>
      <c r="AC99" s="956"/>
      <c r="AD99" s="1349" t="str">
        <f t="shared" si="46"/>
        <v>-</v>
      </c>
      <c r="AE99" s="1277">
        <f t="shared" si="47"/>
        <v>0</v>
      </c>
      <c r="AF99" s="1278">
        <f t="shared" si="47"/>
        <v>0</v>
      </c>
      <c r="AG99" s="1278">
        <f t="shared" si="47"/>
        <v>0</v>
      </c>
      <c r="AH99" s="1389" t="str">
        <f t="shared" si="48"/>
        <v>-</v>
      </c>
      <c r="AI99" s="955"/>
      <c r="AJ99" s="956"/>
      <c r="AK99" s="956"/>
      <c r="AL99" s="1349" t="str">
        <f t="shared" si="49"/>
        <v>-</v>
      </c>
      <c r="AM99" s="955"/>
      <c r="AN99" s="956"/>
      <c r="AO99" s="956"/>
      <c r="AP99" s="1349" t="str">
        <f t="shared" si="50"/>
        <v>-</v>
      </c>
      <c r="AQ99" s="955"/>
      <c r="AR99" s="956"/>
      <c r="AS99" s="956"/>
      <c r="AT99" s="1349" t="str">
        <f t="shared" si="51"/>
        <v>-</v>
      </c>
      <c r="AU99" s="464"/>
      <c r="AV99" s="464"/>
      <c r="AW99" s="464"/>
      <c r="AX99" s="464"/>
      <c r="AY99" s="464"/>
    </row>
    <row r="100" spans="1:51" s="462" customFormat="1" ht="12.75" thickBot="1">
      <c r="A100" s="500" t="s">
        <v>590</v>
      </c>
      <c r="B100" s="793"/>
      <c r="C100" s="1862" t="s">
        <v>865</v>
      </c>
      <c r="D100" s="1863"/>
      <c r="E100" s="1863"/>
      <c r="F100" s="1864"/>
      <c r="G100" s="490">
        <f>SUM(G95:G99)</f>
        <v>9308</v>
      </c>
      <c r="H100" s="491">
        <f>SUM(H95:H99)</f>
        <v>57430</v>
      </c>
      <c r="I100" s="491">
        <f>SUM(I95:I99)</f>
        <v>57425</v>
      </c>
      <c r="J100" s="1350">
        <f t="shared" si="40"/>
        <v>0.99991293748911714</v>
      </c>
      <c r="K100" s="490">
        <f>SUM(K95:K99)</f>
        <v>9308</v>
      </c>
      <c r="L100" s="491">
        <f>SUM(L95:L99)</f>
        <v>57430</v>
      </c>
      <c r="M100" s="491">
        <f>SUM(M95:M99)</f>
        <v>57425</v>
      </c>
      <c r="N100" s="1350">
        <f t="shared" si="42"/>
        <v>0.99991293748911714</v>
      </c>
      <c r="O100" s="472">
        <f>SUM(O95:O99)</f>
        <v>0</v>
      </c>
      <c r="P100" s="355">
        <f>SUM(P95:P99)</f>
        <v>37930</v>
      </c>
      <c r="Q100" s="355">
        <f>SUM(Q95:Q99)</f>
        <v>37930</v>
      </c>
      <c r="R100" s="1350">
        <f t="shared" si="43"/>
        <v>1</v>
      </c>
      <c r="S100" s="472">
        <f>SUM(S95:S99)</f>
        <v>0</v>
      </c>
      <c r="T100" s="355">
        <f>SUM(T95:T99)</f>
        <v>10</v>
      </c>
      <c r="U100" s="355">
        <f>SUM(U95:U99)</f>
        <v>5</v>
      </c>
      <c r="V100" s="1350">
        <f t="shared" si="44"/>
        <v>0.5</v>
      </c>
      <c r="W100" s="472">
        <f>SUM(W95:W99)</f>
        <v>9308</v>
      </c>
      <c r="X100" s="355">
        <f>SUM(X95:X99)</f>
        <v>19490</v>
      </c>
      <c r="Y100" s="355">
        <f>SUM(Y95:Y99)</f>
        <v>19490</v>
      </c>
      <c r="Z100" s="1350">
        <f t="shared" si="45"/>
        <v>1</v>
      </c>
      <c r="AA100" s="472">
        <f>SUM(AA95:AA99)</f>
        <v>0</v>
      </c>
      <c r="AB100" s="355">
        <f>SUM(AB95:AB99)</f>
        <v>0</v>
      </c>
      <c r="AC100" s="355">
        <f>SUM(AC95:AC99)</f>
        <v>0</v>
      </c>
      <c r="AD100" s="1350" t="str">
        <f t="shared" si="46"/>
        <v>-</v>
      </c>
      <c r="AE100" s="490">
        <f>SUM(AE95:AE99)</f>
        <v>0</v>
      </c>
      <c r="AF100" s="491">
        <f>SUM(AF95:AF99)</f>
        <v>0</v>
      </c>
      <c r="AG100" s="491">
        <f>SUM(AG95:AG99)</f>
        <v>0</v>
      </c>
      <c r="AH100" s="1350" t="str">
        <f t="shared" si="48"/>
        <v>-</v>
      </c>
      <c r="AI100" s="472">
        <f>SUM(AI95:AI99)</f>
        <v>0</v>
      </c>
      <c r="AJ100" s="355">
        <f>SUM(AJ95:AJ99)</f>
        <v>0</v>
      </c>
      <c r="AK100" s="355">
        <f>SUM(AK95:AK99)</f>
        <v>0</v>
      </c>
      <c r="AL100" s="1350" t="str">
        <f t="shared" si="49"/>
        <v>-</v>
      </c>
      <c r="AM100" s="472">
        <f>SUM(AM95:AM99)</f>
        <v>0</v>
      </c>
      <c r="AN100" s="355">
        <f>SUM(AN95:AN99)</f>
        <v>0</v>
      </c>
      <c r="AO100" s="355">
        <f>SUM(AO95:AO99)</f>
        <v>0</v>
      </c>
      <c r="AP100" s="1350" t="str">
        <f t="shared" si="50"/>
        <v>-</v>
      </c>
      <c r="AQ100" s="472">
        <f>SUM(AQ95:AQ99)</f>
        <v>0</v>
      </c>
      <c r="AR100" s="355">
        <f>SUM(AR95:AR99)</f>
        <v>0</v>
      </c>
      <c r="AS100" s="355">
        <f>SUM(AS95:AS99)</f>
        <v>0</v>
      </c>
      <c r="AT100" s="1350" t="str">
        <f t="shared" si="51"/>
        <v>-</v>
      </c>
      <c r="AU100" s="464"/>
      <c r="AV100" s="464"/>
      <c r="AW100" s="464"/>
      <c r="AX100" s="464"/>
      <c r="AY100" s="464"/>
    </row>
    <row r="101" spans="1:51" s="470" customFormat="1">
      <c r="A101" s="504">
        <f>+A99+1</f>
        <v>88</v>
      </c>
      <c r="B101" s="791">
        <v>15</v>
      </c>
      <c r="C101" s="938" t="s">
        <v>667</v>
      </c>
      <c r="D101" s="896" t="s">
        <v>666</v>
      </c>
      <c r="E101" s="937" t="s">
        <v>1231</v>
      </c>
      <c r="F101" s="943" t="s">
        <v>416</v>
      </c>
      <c r="G101" s="1277">
        <f t="shared" ref="G101:I103" si="52">+K101+AE101</f>
        <v>32151</v>
      </c>
      <c r="H101" s="1278">
        <f t="shared" si="52"/>
        <v>28607</v>
      </c>
      <c r="I101" s="1278">
        <f t="shared" si="52"/>
        <v>28114</v>
      </c>
      <c r="J101" s="1389">
        <f t="shared" si="40"/>
        <v>0.9827664557625756</v>
      </c>
      <c r="K101" s="1277">
        <f t="shared" ref="K101:M103" si="53">+O101+S101+W101+AA101</f>
        <v>32151</v>
      </c>
      <c r="L101" s="1278">
        <f t="shared" si="53"/>
        <v>28607</v>
      </c>
      <c r="M101" s="1278">
        <f t="shared" si="53"/>
        <v>28114</v>
      </c>
      <c r="N101" s="1389">
        <f t="shared" si="42"/>
        <v>0.9827664557625756</v>
      </c>
      <c r="O101" s="955"/>
      <c r="P101" s="956"/>
      <c r="Q101" s="956"/>
      <c r="R101" s="1349" t="str">
        <f t="shared" si="43"/>
        <v>-</v>
      </c>
      <c r="S101" s="955"/>
      <c r="T101" s="956"/>
      <c r="U101" s="956"/>
      <c r="V101" s="1349" t="str">
        <f t="shared" si="44"/>
        <v>-</v>
      </c>
      <c r="W101" s="955">
        <v>32151</v>
      </c>
      <c r="X101" s="956">
        <f>28114+493</f>
        <v>28607</v>
      </c>
      <c r="Y101" s="956">
        <v>28114</v>
      </c>
      <c r="Z101" s="1349">
        <f t="shared" si="45"/>
        <v>0.9827664557625756</v>
      </c>
      <c r="AA101" s="955"/>
      <c r="AB101" s="956"/>
      <c r="AC101" s="956"/>
      <c r="AD101" s="1349" t="str">
        <f t="shared" si="46"/>
        <v>-</v>
      </c>
      <c r="AE101" s="1277">
        <f t="shared" ref="AE101:AG103" si="54">+AI101+AM101+AQ101</f>
        <v>0</v>
      </c>
      <c r="AF101" s="1278">
        <f t="shared" si="54"/>
        <v>0</v>
      </c>
      <c r="AG101" s="1278">
        <f t="shared" si="54"/>
        <v>0</v>
      </c>
      <c r="AH101" s="1389" t="str">
        <f t="shared" si="48"/>
        <v>-</v>
      </c>
      <c r="AI101" s="955"/>
      <c r="AJ101" s="956"/>
      <c r="AK101" s="956"/>
      <c r="AL101" s="1349" t="str">
        <f t="shared" si="49"/>
        <v>-</v>
      </c>
      <c r="AM101" s="955"/>
      <c r="AN101" s="956"/>
      <c r="AO101" s="956"/>
      <c r="AP101" s="1349" t="str">
        <f t="shared" si="50"/>
        <v>-</v>
      </c>
      <c r="AQ101" s="955"/>
      <c r="AR101" s="956"/>
      <c r="AS101" s="956"/>
      <c r="AT101" s="1349" t="str">
        <f t="shared" si="51"/>
        <v>-</v>
      </c>
      <c r="AU101" s="464"/>
      <c r="AV101" s="464"/>
      <c r="AW101" s="464"/>
      <c r="AX101" s="464"/>
      <c r="AY101" s="464"/>
    </row>
    <row r="102" spans="1:51" s="470" customFormat="1">
      <c r="A102" s="504">
        <f>+A101+1</f>
        <v>89</v>
      </c>
      <c r="B102" s="791">
        <v>16</v>
      </c>
      <c r="C102" s="938" t="s">
        <v>1069</v>
      </c>
      <c r="D102" s="896" t="s">
        <v>732</v>
      </c>
      <c r="E102" s="937" t="s">
        <v>1218</v>
      </c>
      <c r="F102" s="943" t="s">
        <v>647</v>
      </c>
      <c r="G102" s="1277">
        <f t="shared" si="52"/>
        <v>0</v>
      </c>
      <c r="H102" s="1278">
        <f t="shared" si="52"/>
        <v>0</v>
      </c>
      <c r="I102" s="1278">
        <f t="shared" si="52"/>
        <v>0</v>
      </c>
      <c r="J102" s="1389" t="str">
        <f t="shared" si="40"/>
        <v>-</v>
      </c>
      <c r="K102" s="1277">
        <f t="shared" si="53"/>
        <v>0</v>
      </c>
      <c r="L102" s="1278">
        <f t="shared" si="53"/>
        <v>0</v>
      </c>
      <c r="M102" s="1278">
        <f t="shared" si="53"/>
        <v>0</v>
      </c>
      <c r="N102" s="1389" t="str">
        <f t="shared" si="42"/>
        <v>-</v>
      </c>
      <c r="O102" s="955"/>
      <c r="P102" s="956"/>
      <c r="Q102" s="956"/>
      <c r="R102" s="1349" t="str">
        <f t="shared" si="43"/>
        <v>-</v>
      </c>
      <c r="S102" s="955"/>
      <c r="T102" s="956"/>
      <c r="U102" s="956"/>
      <c r="V102" s="1349" t="str">
        <f t="shared" si="44"/>
        <v>-</v>
      </c>
      <c r="W102" s="955"/>
      <c r="X102" s="956"/>
      <c r="Y102" s="956"/>
      <c r="Z102" s="1349" t="str">
        <f t="shared" si="45"/>
        <v>-</v>
      </c>
      <c r="AA102" s="955"/>
      <c r="AB102" s="956"/>
      <c r="AC102" s="956"/>
      <c r="AD102" s="1349" t="str">
        <f t="shared" si="46"/>
        <v>-</v>
      </c>
      <c r="AE102" s="1277">
        <f t="shared" si="54"/>
        <v>0</v>
      </c>
      <c r="AF102" s="1278">
        <f t="shared" si="54"/>
        <v>0</v>
      </c>
      <c r="AG102" s="1278">
        <f t="shared" si="54"/>
        <v>0</v>
      </c>
      <c r="AH102" s="1389" t="str">
        <f t="shared" si="48"/>
        <v>-</v>
      </c>
      <c r="AI102" s="955"/>
      <c r="AJ102" s="956"/>
      <c r="AK102" s="956"/>
      <c r="AL102" s="1349" t="str">
        <f t="shared" si="49"/>
        <v>-</v>
      </c>
      <c r="AM102" s="955"/>
      <c r="AN102" s="956"/>
      <c r="AO102" s="956"/>
      <c r="AP102" s="1349" t="str">
        <f t="shared" si="50"/>
        <v>-</v>
      </c>
      <c r="AQ102" s="955"/>
      <c r="AR102" s="956"/>
      <c r="AS102" s="956"/>
      <c r="AT102" s="1349" t="str">
        <f t="shared" si="51"/>
        <v>-</v>
      </c>
      <c r="AU102" s="464"/>
      <c r="AV102" s="464"/>
      <c r="AW102" s="464"/>
      <c r="AX102" s="464"/>
      <c r="AY102" s="464"/>
    </row>
    <row r="103" spans="1:51" s="470" customFormat="1" ht="12.75" thickBot="1">
      <c r="A103" s="504">
        <f>+A102+1</f>
        <v>90</v>
      </c>
      <c r="B103" s="791">
        <v>17</v>
      </c>
      <c r="C103" s="938" t="s">
        <v>734</v>
      </c>
      <c r="D103" s="896" t="s">
        <v>735</v>
      </c>
      <c r="E103" s="937" t="s">
        <v>1218</v>
      </c>
      <c r="F103" s="943" t="s">
        <v>660</v>
      </c>
      <c r="G103" s="1277">
        <f t="shared" si="52"/>
        <v>0</v>
      </c>
      <c r="H103" s="1278">
        <f t="shared" si="52"/>
        <v>0</v>
      </c>
      <c r="I103" s="1278">
        <f t="shared" si="52"/>
        <v>0</v>
      </c>
      <c r="J103" s="1389" t="str">
        <f t="shared" si="40"/>
        <v>-</v>
      </c>
      <c r="K103" s="1277">
        <f t="shared" si="53"/>
        <v>0</v>
      </c>
      <c r="L103" s="1278">
        <f t="shared" si="53"/>
        <v>0</v>
      </c>
      <c r="M103" s="1278">
        <f t="shared" si="53"/>
        <v>0</v>
      </c>
      <c r="N103" s="1389" t="str">
        <f t="shared" si="42"/>
        <v>-</v>
      </c>
      <c r="O103" s="955"/>
      <c r="P103" s="956"/>
      <c r="Q103" s="956"/>
      <c r="R103" s="1349" t="str">
        <f t="shared" si="43"/>
        <v>-</v>
      </c>
      <c r="S103" s="955"/>
      <c r="T103" s="956"/>
      <c r="U103" s="956"/>
      <c r="V103" s="1349" t="str">
        <f t="shared" si="44"/>
        <v>-</v>
      </c>
      <c r="W103" s="955"/>
      <c r="X103" s="956"/>
      <c r="Y103" s="956"/>
      <c r="Z103" s="1349" t="str">
        <f t="shared" si="45"/>
        <v>-</v>
      </c>
      <c r="AA103" s="955"/>
      <c r="AB103" s="956"/>
      <c r="AC103" s="956"/>
      <c r="AD103" s="1349" t="str">
        <f t="shared" si="46"/>
        <v>-</v>
      </c>
      <c r="AE103" s="1277">
        <f t="shared" si="54"/>
        <v>0</v>
      </c>
      <c r="AF103" s="1278">
        <f t="shared" si="54"/>
        <v>0</v>
      </c>
      <c r="AG103" s="1278">
        <f t="shared" si="54"/>
        <v>0</v>
      </c>
      <c r="AH103" s="1389" t="str">
        <f t="shared" si="48"/>
        <v>-</v>
      </c>
      <c r="AI103" s="955"/>
      <c r="AJ103" s="956"/>
      <c r="AK103" s="956"/>
      <c r="AL103" s="1349" t="str">
        <f t="shared" si="49"/>
        <v>-</v>
      </c>
      <c r="AM103" s="955"/>
      <c r="AN103" s="956"/>
      <c r="AO103" s="956"/>
      <c r="AP103" s="1349" t="str">
        <f t="shared" si="50"/>
        <v>-</v>
      </c>
      <c r="AQ103" s="955"/>
      <c r="AR103" s="956"/>
      <c r="AS103" s="956"/>
      <c r="AT103" s="1349" t="str">
        <f t="shared" si="51"/>
        <v>-</v>
      </c>
      <c r="AU103" s="464"/>
      <c r="AV103" s="464"/>
      <c r="AW103" s="464"/>
      <c r="AX103" s="464"/>
      <c r="AY103" s="464"/>
    </row>
    <row r="104" spans="1:51" s="462" customFormat="1" ht="12.75" thickBot="1">
      <c r="A104" s="500" t="s">
        <v>632</v>
      </c>
      <c r="B104" s="793"/>
      <c r="C104" s="1862" t="s">
        <v>866</v>
      </c>
      <c r="D104" s="1863"/>
      <c r="E104" s="1863"/>
      <c r="F104" s="1864"/>
      <c r="G104" s="490">
        <f>SUM(G101:G103)</f>
        <v>32151</v>
      </c>
      <c r="H104" s="491">
        <f>SUM(H101:H103)</f>
        <v>28607</v>
      </c>
      <c r="I104" s="491">
        <f>SUM(I101:I103)</f>
        <v>28114</v>
      </c>
      <c r="J104" s="1350">
        <f t="shared" si="40"/>
        <v>0.9827664557625756</v>
      </c>
      <c r="K104" s="490">
        <f>SUM(K101:K103)</f>
        <v>32151</v>
      </c>
      <c r="L104" s="491">
        <f>SUM(L101:L103)</f>
        <v>28607</v>
      </c>
      <c r="M104" s="491">
        <f>SUM(M101:M103)</f>
        <v>28114</v>
      </c>
      <c r="N104" s="1350">
        <f t="shared" si="42"/>
        <v>0.9827664557625756</v>
      </c>
      <c r="O104" s="472">
        <f>SUM(O101:O103)</f>
        <v>0</v>
      </c>
      <c r="P104" s="355">
        <f>SUM(P101:P103)</f>
        <v>0</v>
      </c>
      <c r="Q104" s="355">
        <f>SUM(Q101:Q103)</f>
        <v>0</v>
      </c>
      <c r="R104" s="1350" t="str">
        <f t="shared" si="43"/>
        <v>-</v>
      </c>
      <c r="S104" s="472">
        <f>SUM(S101:S103)</f>
        <v>0</v>
      </c>
      <c r="T104" s="355">
        <f>SUM(T101:T103)</f>
        <v>0</v>
      </c>
      <c r="U104" s="355">
        <f>SUM(U101:U103)</f>
        <v>0</v>
      </c>
      <c r="V104" s="1350" t="str">
        <f t="shared" si="44"/>
        <v>-</v>
      </c>
      <c r="W104" s="472">
        <f>SUM(W101:W103)</f>
        <v>32151</v>
      </c>
      <c r="X104" s="355">
        <f>SUM(X101:X103)</f>
        <v>28607</v>
      </c>
      <c r="Y104" s="355">
        <f>SUM(Y101:Y103)</f>
        <v>28114</v>
      </c>
      <c r="Z104" s="1350">
        <f t="shared" si="45"/>
        <v>0.9827664557625756</v>
      </c>
      <c r="AA104" s="472">
        <f>SUM(AA101:AA103)</f>
        <v>0</v>
      </c>
      <c r="AB104" s="355">
        <f>SUM(AB101:AB103)</f>
        <v>0</v>
      </c>
      <c r="AC104" s="355">
        <f>SUM(AC101:AC103)</f>
        <v>0</v>
      </c>
      <c r="AD104" s="1350" t="str">
        <f t="shared" si="46"/>
        <v>-</v>
      </c>
      <c r="AE104" s="490">
        <f>SUM(AE101:AE103)</f>
        <v>0</v>
      </c>
      <c r="AF104" s="491">
        <f>SUM(AF101:AF103)</f>
        <v>0</v>
      </c>
      <c r="AG104" s="491">
        <f>SUM(AG101:AG103)</f>
        <v>0</v>
      </c>
      <c r="AH104" s="1350" t="str">
        <f t="shared" si="48"/>
        <v>-</v>
      </c>
      <c r="AI104" s="472">
        <f>SUM(AI101:AI103)</f>
        <v>0</v>
      </c>
      <c r="AJ104" s="355">
        <f>SUM(AJ101:AJ103)</f>
        <v>0</v>
      </c>
      <c r="AK104" s="355">
        <f>SUM(AK101:AK103)</f>
        <v>0</v>
      </c>
      <c r="AL104" s="1350" t="str">
        <f t="shared" si="49"/>
        <v>-</v>
      </c>
      <c r="AM104" s="472">
        <f>SUM(AM101:AM103)</f>
        <v>0</v>
      </c>
      <c r="AN104" s="355">
        <f>SUM(AN101:AN103)</f>
        <v>0</v>
      </c>
      <c r="AO104" s="355">
        <f>SUM(AO101:AO103)</f>
        <v>0</v>
      </c>
      <c r="AP104" s="1350" t="str">
        <f t="shared" si="50"/>
        <v>-</v>
      </c>
      <c r="AQ104" s="472">
        <f>SUM(AQ101:AQ103)</f>
        <v>0</v>
      </c>
      <c r="AR104" s="355">
        <f>SUM(AR101:AR103)</f>
        <v>0</v>
      </c>
      <c r="AS104" s="355">
        <f>SUM(AS101:AS103)</f>
        <v>0</v>
      </c>
      <c r="AT104" s="1350" t="str">
        <f t="shared" si="51"/>
        <v>-</v>
      </c>
      <c r="AU104" s="464"/>
      <c r="AV104" s="464"/>
      <c r="AW104" s="464"/>
      <c r="AX104" s="464"/>
      <c r="AY104" s="464"/>
    </row>
    <row r="105" spans="1:51">
      <c r="A105" s="504">
        <f>+A103+1</f>
        <v>91</v>
      </c>
      <c r="B105" s="790">
        <v>18</v>
      </c>
      <c r="C105" s="935" t="s">
        <v>741</v>
      </c>
      <c r="D105" s="900" t="s">
        <v>740</v>
      </c>
      <c r="E105" s="936" t="s">
        <v>1218</v>
      </c>
      <c r="F105" s="949" t="s">
        <v>658</v>
      </c>
      <c r="G105" s="1273">
        <f t="shared" ref="G105:I111" si="55">+K105+AE105</f>
        <v>0</v>
      </c>
      <c r="H105" s="1274">
        <f t="shared" si="55"/>
        <v>0</v>
      </c>
      <c r="I105" s="1274">
        <f t="shared" si="55"/>
        <v>0</v>
      </c>
      <c r="J105" s="1389" t="str">
        <f t="shared" si="40"/>
        <v>-</v>
      </c>
      <c r="K105" s="1273">
        <f t="shared" ref="K105:M111" si="56">+O105+S105+W105+AA105</f>
        <v>0</v>
      </c>
      <c r="L105" s="1274">
        <f t="shared" si="56"/>
        <v>0</v>
      </c>
      <c r="M105" s="1274">
        <f t="shared" si="56"/>
        <v>0</v>
      </c>
      <c r="N105" s="1389" t="str">
        <f t="shared" si="42"/>
        <v>-</v>
      </c>
      <c r="O105" s="953"/>
      <c r="P105" s="954"/>
      <c r="Q105" s="954"/>
      <c r="R105" s="1349" t="str">
        <f t="shared" si="43"/>
        <v>-</v>
      </c>
      <c r="S105" s="953"/>
      <c r="T105" s="954"/>
      <c r="U105" s="954"/>
      <c r="V105" s="1349" t="str">
        <f t="shared" si="44"/>
        <v>-</v>
      </c>
      <c r="W105" s="953"/>
      <c r="X105" s="954"/>
      <c r="Y105" s="954"/>
      <c r="Z105" s="1349" t="str">
        <f t="shared" si="45"/>
        <v>-</v>
      </c>
      <c r="AA105" s="953"/>
      <c r="AB105" s="954"/>
      <c r="AC105" s="954"/>
      <c r="AD105" s="1349" t="str">
        <f t="shared" si="46"/>
        <v>-</v>
      </c>
      <c r="AE105" s="1273">
        <f t="shared" ref="AE105:AG111" si="57">+AI105+AM105+AQ105</f>
        <v>0</v>
      </c>
      <c r="AF105" s="1274">
        <f t="shared" si="57"/>
        <v>0</v>
      </c>
      <c r="AG105" s="1274">
        <f t="shared" si="57"/>
        <v>0</v>
      </c>
      <c r="AH105" s="1389" t="str">
        <f t="shared" si="48"/>
        <v>-</v>
      </c>
      <c r="AI105" s="953"/>
      <c r="AJ105" s="954"/>
      <c r="AK105" s="954"/>
      <c r="AL105" s="1349" t="str">
        <f t="shared" si="49"/>
        <v>-</v>
      </c>
      <c r="AM105" s="953"/>
      <c r="AN105" s="954"/>
      <c r="AO105" s="954"/>
      <c r="AP105" s="1349" t="str">
        <f t="shared" si="50"/>
        <v>-</v>
      </c>
      <c r="AQ105" s="953"/>
      <c r="AR105" s="954"/>
      <c r="AS105" s="954"/>
      <c r="AT105" s="1349" t="str">
        <f t="shared" si="51"/>
        <v>-</v>
      </c>
      <c r="AU105" s="464"/>
      <c r="AV105" s="464"/>
      <c r="AW105" s="464"/>
      <c r="AX105" s="464"/>
      <c r="AY105" s="464"/>
    </row>
    <row r="106" spans="1:51">
      <c r="A106" s="504">
        <f t="shared" ref="A106:A111" si="58">+A105+1</f>
        <v>92</v>
      </c>
      <c r="B106" s="790">
        <v>18</v>
      </c>
      <c r="C106" s="935" t="s">
        <v>741</v>
      </c>
      <c r="D106" s="900" t="s">
        <v>740</v>
      </c>
      <c r="E106" s="936" t="s">
        <v>1218</v>
      </c>
      <c r="F106" s="949" t="s">
        <v>659</v>
      </c>
      <c r="G106" s="1273">
        <f t="shared" si="55"/>
        <v>0</v>
      </c>
      <c r="H106" s="1274">
        <f t="shared" si="55"/>
        <v>0</v>
      </c>
      <c r="I106" s="1274">
        <f t="shared" si="55"/>
        <v>0</v>
      </c>
      <c r="J106" s="1389" t="str">
        <f t="shared" si="40"/>
        <v>-</v>
      </c>
      <c r="K106" s="1273">
        <f t="shared" si="56"/>
        <v>0</v>
      </c>
      <c r="L106" s="1274">
        <f t="shared" si="56"/>
        <v>0</v>
      </c>
      <c r="M106" s="1274">
        <f t="shared" si="56"/>
        <v>0</v>
      </c>
      <c r="N106" s="1389" t="str">
        <f t="shared" si="42"/>
        <v>-</v>
      </c>
      <c r="O106" s="953"/>
      <c r="P106" s="954"/>
      <c r="Q106" s="954"/>
      <c r="R106" s="1349" t="str">
        <f t="shared" si="43"/>
        <v>-</v>
      </c>
      <c r="S106" s="953"/>
      <c r="T106" s="954"/>
      <c r="U106" s="954"/>
      <c r="V106" s="1349" t="str">
        <f t="shared" si="44"/>
        <v>-</v>
      </c>
      <c r="W106" s="953"/>
      <c r="X106" s="954"/>
      <c r="Y106" s="954"/>
      <c r="Z106" s="1349" t="str">
        <f t="shared" si="45"/>
        <v>-</v>
      </c>
      <c r="AA106" s="953"/>
      <c r="AB106" s="954"/>
      <c r="AC106" s="954"/>
      <c r="AD106" s="1349" t="str">
        <f t="shared" si="46"/>
        <v>-</v>
      </c>
      <c r="AE106" s="1273">
        <f t="shared" si="57"/>
        <v>0</v>
      </c>
      <c r="AF106" s="1274">
        <f t="shared" si="57"/>
        <v>0</v>
      </c>
      <c r="AG106" s="1274">
        <f t="shared" si="57"/>
        <v>0</v>
      </c>
      <c r="AH106" s="1389" t="str">
        <f t="shared" si="48"/>
        <v>-</v>
      </c>
      <c r="AI106" s="953"/>
      <c r="AJ106" s="954"/>
      <c r="AK106" s="954"/>
      <c r="AL106" s="1349" t="str">
        <f t="shared" si="49"/>
        <v>-</v>
      </c>
      <c r="AM106" s="953"/>
      <c r="AN106" s="954"/>
      <c r="AO106" s="954"/>
      <c r="AP106" s="1349" t="str">
        <f t="shared" si="50"/>
        <v>-</v>
      </c>
      <c r="AQ106" s="953"/>
      <c r="AR106" s="954"/>
      <c r="AS106" s="954"/>
      <c r="AT106" s="1349" t="str">
        <f t="shared" si="51"/>
        <v>-</v>
      </c>
      <c r="AU106" s="464"/>
      <c r="AV106" s="464"/>
      <c r="AW106" s="464"/>
      <c r="AX106" s="464"/>
      <c r="AY106" s="464"/>
    </row>
    <row r="107" spans="1:51">
      <c r="A107" s="504">
        <f t="shared" si="58"/>
        <v>93</v>
      </c>
      <c r="B107" s="790">
        <v>18</v>
      </c>
      <c r="C107" s="935" t="s">
        <v>741</v>
      </c>
      <c r="D107" s="900" t="s">
        <v>740</v>
      </c>
      <c r="E107" s="936" t="s">
        <v>1218</v>
      </c>
      <c r="F107" s="949" t="s">
        <v>738</v>
      </c>
      <c r="G107" s="1273">
        <f t="shared" si="55"/>
        <v>0</v>
      </c>
      <c r="H107" s="1274">
        <f t="shared" si="55"/>
        <v>0</v>
      </c>
      <c r="I107" s="1274">
        <f t="shared" si="55"/>
        <v>0</v>
      </c>
      <c r="J107" s="1389" t="str">
        <f t="shared" si="40"/>
        <v>-</v>
      </c>
      <c r="K107" s="1273">
        <f t="shared" si="56"/>
        <v>0</v>
      </c>
      <c r="L107" s="1274">
        <f t="shared" si="56"/>
        <v>0</v>
      </c>
      <c r="M107" s="1274">
        <f t="shared" si="56"/>
        <v>0</v>
      </c>
      <c r="N107" s="1389" t="str">
        <f t="shared" si="42"/>
        <v>-</v>
      </c>
      <c r="O107" s="953"/>
      <c r="P107" s="954"/>
      <c r="Q107" s="954"/>
      <c r="R107" s="1349" t="str">
        <f t="shared" si="43"/>
        <v>-</v>
      </c>
      <c r="S107" s="953"/>
      <c r="T107" s="954"/>
      <c r="U107" s="954"/>
      <c r="V107" s="1349" t="str">
        <f t="shared" si="44"/>
        <v>-</v>
      </c>
      <c r="W107" s="953"/>
      <c r="X107" s="954"/>
      <c r="Y107" s="954"/>
      <c r="Z107" s="1349" t="str">
        <f t="shared" si="45"/>
        <v>-</v>
      </c>
      <c r="AA107" s="953"/>
      <c r="AB107" s="954"/>
      <c r="AC107" s="954"/>
      <c r="AD107" s="1349" t="str">
        <f t="shared" si="46"/>
        <v>-</v>
      </c>
      <c r="AE107" s="1273">
        <f t="shared" si="57"/>
        <v>0</v>
      </c>
      <c r="AF107" s="1274">
        <f t="shared" si="57"/>
        <v>0</v>
      </c>
      <c r="AG107" s="1274">
        <f t="shared" si="57"/>
        <v>0</v>
      </c>
      <c r="AH107" s="1389" t="str">
        <f t="shared" si="48"/>
        <v>-</v>
      </c>
      <c r="AI107" s="953"/>
      <c r="AJ107" s="954"/>
      <c r="AK107" s="954"/>
      <c r="AL107" s="1349" t="str">
        <f t="shared" si="49"/>
        <v>-</v>
      </c>
      <c r="AM107" s="953"/>
      <c r="AN107" s="954"/>
      <c r="AO107" s="954"/>
      <c r="AP107" s="1349" t="str">
        <f t="shared" si="50"/>
        <v>-</v>
      </c>
      <c r="AQ107" s="953"/>
      <c r="AR107" s="954"/>
      <c r="AS107" s="954"/>
      <c r="AT107" s="1349" t="str">
        <f t="shared" si="51"/>
        <v>-</v>
      </c>
      <c r="AU107" s="464"/>
      <c r="AV107" s="464"/>
      <c r="AW107" s="464"/>
      <c r="AX107" s="464"/>
      <c r="AY107" s="464"/>
    </row>
    <row r="108" spans="1:51">
      <c r="A108" s="504">
        <f t="shared" si="58"/>
        <v>94</v>
      </c>
      <c r="B108" s="790">
        <v>18</v>
      </c>
      <c r="C108" s="935" t="s">
        <v>741</v>
      </c>
      <c r="D108" s="900" t="s">
        <v>740</v>
      </c>
      <c r="E108" s="936" t="s">
        <v>1218</v>
      </c>
      <c r="F108" s="949" t="s">
        <v>739</v>
      </c>
      <c r="G108" s="1273">
        <f t="shared" si="55"/>
        <v>0</v>
      </c>
      <c r="H108" s="1274">
        <f t="shared" si="55"/>
        <v>0</v>
      </c>
      <c r="I108" s="1274">
        <f t="shared" si="55"/>
        <v>0</v>
      </c>
      <c r="J108" s="1389" t="str">
        <f t="shared" si="40"/>
        <v>-</v>
      </c>
      <c r="K108" s="1273">
        <f t="shared" si="56"/>
        <v>0</v>
      </c>
      <c r="L108" s="1274">
        <f t="shared" si="56"/>
        <v>0</v>
      </c>
      <c r="M108" s="1274">
        <f t="shared" si="56"/>
        <v>0</v>
      </c>
      <c r="N108" s="1389" t="str">
        <f t="shared" si="42"/>
        <v>-</v>
      </c>
      <c r="O108" s="953"/>
      <c r="P108" s="954"/>
      <c r="Q108" s="954"/>
      <c r="R108" s="1349" t="str">
        <f t="shared" si="43"/>
        <v>-</v>
      </c>
      <c r="S108" s="953"/>
      <c r="T108" s="954"/>
      <c r="U108" s="954"/>
      <c r="V108" s="1349" t="str">
        <f t="shared" si="44"/>
        <v>-</v>
      </c>
      <c r="W108" s="953"/>
      <c r="X108" s="954"/>
      <c r="Y108" s="954"/>
      <c r="Z108" s="1349" t="str">
        <f t="shared" si="45"/>
        <v>-</v>
      </c>
      <c r="AA108" s="953"/>
      <c r="AB108" s="954"/>
      <c r="AC108" s="954"/>
      <c r="AD108" s="1349" t="str">
        <f t="shared" si="46"/>
        <v>-</v>
      </c>
      <c r="AE108" s="1273">
        <f t="shared" si="57"/>
        <v>0</v>
      </c>
      <c r="AF108" s="1274">
        <f t="shared" si="57"/>
        <v>0</v>
      </c>
      <c r="AG108" s="1274">
        <f t="shared" si="57"/>
        <v>0</v>
      </c>
      <c r="AH108" s="1389" t="str">
        <f t="shared" si="48"/>
        <v>-</v>
      </c>
      <c r="AI108" s="953"/>
      <c r="AJ108" s="954"/>
      <c r="AK108" s="954"/>
      <c r="AL108" s="1349" t="str">
        <f t="shared" si="49"/>
        <v>-</v>
      </c>
      <c r="AM108" s="953"/>
      <c r="AN108" s="954"/>
      <c r="AO108" s="954"/>
      <c r="AP108" s="1349" t="str">
        <f t="shared" si="50"/>
        <v>-</v>
      </c>
      <c r="AQ108" s="953"/>
      <c r="AR108" s="954"/>
      <c r="AS108" s="954"/>
      <c r="AT108" s="1349" t="str">
        <f t="shared" si="51"/>
        <v>-</v>
      </c>
      <c r="AU108" s="464"/>
      <c r="AV108" s="464"/>
      <c r="AW108" s="464"/>
      <c r="AX108" s="464"/>
      <c r="AY108" s="464"/>
    </row>
    <row r="109" spans="1:51">
      <c r="A109" s="504">
        <f t="shared" si="58"/>
        <v>95</v>
      </c>
      <c r="B109" s="790">
        <v>18</v>
      </c>
      <c r="C109" s="935" t="s">
        <v>673</v>
      </c>
      <c r="D109" s="900" t="s">
        <v>672</v>
      </c>
      <c r="E109" s="936" t="s">
        <v>1218</v>
      </c>
      <c r="F109" s="949" t="s">
        <v>636</v>
      </c>
      <c r="G109" s="1273">
        <f t="shared" si="55"/>
        <v>0</v>
      </c>
      <c r="H109" s="1274">
        <f t="shared" si="55"/>
        <v>0</v>
      </c>
      <c r="I109" s="1274">
        <f t="shared" si="55"/>
        <v>0</v>
      </c>
      <c r="J109" s="1389" t="str">
        <f t="shared" si="40"/>
        <v>-</v>
      </c>
      <c r="K109" s="1273">
        <f t="shared" si="56"/>
        <v>0</v>
      </c>
      <c r="L109" s="1274">
        <f t="shared" si="56"/>
        <v>0</v>
      </c>
      <c r="M109" s="1274">
        <f t="shared" si="56"/>
        <v>0</v>
      </c>
      <c r="N109" s="1389" t="str">
        <f t="shared" si="42"/>
        <v>-</v>
      </c>
      <c r="O109" s="953"/>
      <c r="P109" s="954"/>
      <c r="Q109" s="954"/>
      <c r="R109" s="1349" t="str">
        <f t="shared" si="43"/>
        <v>-</v>
      </c>
      <c r="S109" s="953"/>
      <c r="T109" s="954"/>
      <c r="U109" s="954"/>
      <c r="V109" s="1349" t="str">
        <f t="shared" si="44"/>
        <v>-</v>
      </c>
      <c r="W109" s="953"/>
      <c r="X109" s="954"/>
      <c r="Y109" s="954"/>
      <c r="Z109" s="1349" t="str">
        <f t="shared" si="45"/>
        <v>-</v>
      </c>
      <c r="AA109" s="953"/>
      <c r="AB109" s="954"/>
      <c r="AC109" s="954"/>
      <c r="AD109" s="1349" t="str">
        <f t="shared" si="46"/>
        <v>-</v>
      </c>
      <c r="AE109" s="1273">
        <f t="shared" si="57"/>
        <v>0</v>
      </c>
      <c r="AF109" s="1274">
        <f t="shared" si="57"/>
        <v>0</v>
      </c>
      <c r="AG109" s="1274">
        <f t="shared" si="57"/>
        <v>0</v>
      </c>
      <c r="AH109" s="1389" t="str">
        <f t="shared" si="48"/>
        <v>-</v>
      </c>
      <c r="AI109" s="953"/>
      <c r="AJ109" s="954"/>
      <c r="AK109" s="954"/>
      <c r="AL109" s="1349" t="str">
        <f t="shared" si="49"/>
        <v>-</v>
      </c>
      <c r="AM109" s="953"/>
      <c r="AN109" s="954"/>
      <c r="AO109" s="954"/>
      <c r="AP109" s="1349" t="str">
        <f t="shared" si="50"/>
        <v>-</v>
      </c>
      <c r="AQ109" s="953"/>
      <c r="AR109" s="954"/>
      <c r="AS109" s="954"/>
      <c r="AT109" s="1349" t="str">
        <f t="shared" si="51"/>
        <v>-</v>
      </c>
      <c r="AU109" s="464"/>
      <c r="AV109" s="464"/>
      <c r="AW109" s="464"/>
      <c r="AX109" s="464"/>
      <c r="AY109" s="464"/>
    </row>
    <row r="110" spans="1:51">
      <c r="A110" s="504">
        <f t="shared" si="58"/>
        <v>96</v>
      </c>
      <c r="B110" s="790">
        <v>18</v>
      </c>
      <c r="C110" s="935" t="s">
        <v>992</v>
      </c>
      <c r="D110" s="900" t="s">
        <v>993</v>
      </c>
      <c r="E110" s="936" t="s">
        <v>1218</v>
      </c>
      <c r="F110" s="949" t="s">
        <v>994</v>
      </c>
      <c r="G110" s="1273">
        <f t="shared" si="55"/>
        <v>0</v>
      </c>
      <c r="H110" s="1274">
        <f t="shared" si="55"/>
        <v>0</v>
      </c>
      <c r="I110" s="1274">
        <f t="shared" si="55"/>
        <v>0</v>
      </c>
      <c r="J110" s="1389" t="str">
        <f t="shared" si="40"/>
        <v>-</v>
      </c>
      <c r="K110" s="1273">
        <f t="shared" si="56"/>
        <v>0</v>
      </c>
      <c r="L110" s="1274">
        <f t="shared" si="56"/>
        <v>0</v>
      </c>
      <c r="M110" s="1274">
        <f t="shared" si="56"/>
        <v>0</v>
      </c>
      <c r="N110" s="1389" t="str">
        <f t="shared" si="42"/>
        <v>-</v>
      </c>
      <c r="O110" s="953"/>
      <c r="P110" s="954"/>
      <c r="Q110" s="954"/>
      <c r="R110" s="1349" t="str">
        <f t="shared" si="43"/>
        <v>-</v>
      </c>
      <c r="S110" s="953"/>
      <c r="T110" s="954"/>
      <c r="U110" s="954"/>
      <c r="V110" s="1349" t="str">
        <f t="shared" si="44"/>
        <v>-</v>
      </c>
      <c r="W110" s="953"/>
      <c r="X110" s="954"/>
      <c r="Y110" s="954"/>
      <c r="Z110" s="1349" t="str">
        <f t="shared" si="45"/>
        <v>-</v>
      </c>
      <c r="AA110" s="953"/>
      <c r="AB110" s="954"/>
      <c r="AC110" s="954"/>
      <c r="AD110" s="1349" t="str">
        <f t="shared" si="46"/>
        <v>-</v>
      </c>
      <c r="AE110" s="1273">
        <f t="shared" si="57"/>
        <v>0</v>
      </c>
      <c r="AF110" s="1274">
        <f t="shared" si="57"/>
        <v>0</v>
      </c>
      <c r="AG110" s="1274">
        <f t="shared" si="57"/>
        <v>0</v>
      </c>
      <c r="AH110" s="1389" t="str">
        <f t="shared" si="48"/>
        <v>-</v>
      </c>
      <c r="AI110" s="953"/>
      <c r="AJ110" s="954"/>
      <c r="AK110" s="954"/>
      <c r="AL110" s="1349" t="str">
        <f t="shared" si="49"/>
        <v>-</v>
      </c>
      <c r="AM110" s="953"/>
      <c r="AN110" s="954"/>
      <c r="AO110" s="954"/>
      <c r="AP110" s="1349" t="str">
        <f t="shared" si="50"/>
        <v>-</v>
      </c>
      <c r="AQ110" s="953"/>
      <c r="AR110" s="954"/>
      <c r="AS110" s="954"/>
      <c r="AT110" s="1349" t="str">
        <f t="shared" si="51"/>
        <v>-</v>
      </c>
      <c r="AU110" s="464"/>
      <c r="AV110" s="464"/>
      <c r="AW110" s="464"/>
      <c r="AX110" s="464"/>
      <c r="AY110" s="464"/>
    </row>
    <row r="111" spans="1:51" ht="12.75" thickBot="1">
      <c r="A111" s="504">
        <f t="shared" si="58"/>
        <v>97</v>
      </c>
      <c r="B111" s="790">
        <v>18</v>
      </c>
      <c r="C111" s="935" t="s">
        <v>1002</v>
      </c>
      <c r="D111" s="900" t="s">
        <v>1001</v>
      </c>
      <c r="E111" s="936" t="s">
        <v>1218</v>
      </c>
      <c r="F111" s="949" t="s">
        <v>994</v>
      </c>
      <c r="G111" s="1273">
        <f t="shared" si="55"/>
        <v>0</v>
      </c>
      <c r="H111" s="1274">
        <f t="shared" si="55"/>
        <v>0</v>
      </c>
      <c r="I111" s="1274">
        <f t="shared" si="55"/>
        <v>0</v>
      </c>
      <c r="J111" s="1389" t="str">
        <f t="shared" si="40"/>
        <v>-</v>
      </c>
      <c r="K111" s="1273">
        <f t="shared" si="56"/>
        <v>0</v>
      </c>
      <c r="L111" s="1274">
        <f t="shared" si="56"/>
        <v>0</v>
      </c>
      <c r="M111" s="1274">
        <f t="shared" si="56"/>
        <v>0</v>
      </c>
      <c r="N111" s="1389" t="str">
        <f t="shared" si="42"/>
        <v>-</v>
      </c>
      <c r="O111" s="953"/>
      <c r="P111" s="954"/>
      <c r="Q111" s="954"/>
      <c r="R111" s="1349" t="str">
        <f t="shared" si="43"/>
        <v>-</v>
      </c>
      <c r="S111" s="953"/>
      <c r="T111" s="954"/>
      <c r="U111" s="954"/>
      <c r="V111" s="1349" t="str">
        <f t="shared" si="44"/>
        <v>-</v>
      </c>
      <c r="W111" s="953"/>
      <c r="X111" s="954"/>
      <c r="Y111" s="954"/>
      <c r="Z111" s="1349" t="str">
        <f t="shared" si="45"/>
        <v>-</v>
      </c>
      <c r="AA111" s="953"/>
      <c r="AB111" s="954"/>
      <c r="AC111" s="954"/>
      <c r="AD111" s="1349" t="str">
        <f t="shared" si="46"/>
        <v>-</v>
      </c>
      <c r="AE111" s="1273">
        <f t="shared" si="57"/>
        <v>0</v>
      </c>
      <c r="AF111" s="1274">
        <f t="shared" si="57"/>
        <v>0</v>
      </c>
      <c r="AG111" s="1274">
        <f t="shared" si="57"/>
        <v>0</v>
      </c>
      <c r="AH111" s="1389" t="str">
        <f t="shared" si="48"/>
        <v>-</v>
      </c>
      <c r="AI111" s="953"/>
      <c r="AJ111" s="954"/>
      <c r="AK111" s="954"/>
      <c r="AL111" s="1349" t="str">
        <f t="shared" si="49"/>
        <v>-</v>
      </c>
      <c r="AM111" s="953"/>
      <c r="AN111" s="954"/>
      <c r="AO111" s="954"/>
      <c r="AP111" s="1349" t="str">
        <f t="shared" si="50"/>
        <v>-</v>
      </c>
      <c r="AQ111" s="953"/>
      <c r="AR111" s="954"/>
      <c r="AS111" s="954"/>
      <c r="AT111" s="1349" t="str">
        <f t="shared" si="51"/>
        <v>-</v>
      </c>
      <c r="AU111" s="464"/>
      <c r="AV111" s="464"/>
      <c r="AW111" s="464"/>
      <c r="AX111" s="464"/>
      <c r="AY111" s="464"/>
    </row>
    <row r="112" spans="1:51" s="462" customFormat="1" ht="12.75" thickBot="1">
      <c r="A112" s="500" t="s">
        <v>746</v>
      </c>
      <c r="B112" s="793"/>
      <c r="C112" s="1862" t="s">
        <v>867</v>
      </c>
      <c r="D112" s="1863"/>
      <c r="E112" s="1863"/>
      <c r="F112" s="1864"/>
      <c r="G112" s="490">
        <f>SUM(G105:G111)</f>
        <v>0</v>
      </c>
      <c r="H112" s="491">
        <f>SUM(H105:H111)</f>
        <v>0</v>
      </c>
      <c r="I112" s="491">
        <f>SUM(I105:I111)</f>
        <v>0</v>
      </c>
      <c r="J112" s="1350" t="str">
        <f t="shared" si="40"/>
        <v>-</v>
      </c>
      <c r="K112" s="490">
        <f>SUM(K105:K111)</f>
        <v>0</v>
      </c>
      <c r="L112" s="491">
        <f>SUM(L105:L111)</f>
        <v>0</v>
      </c>
      <c r="M112" s="491">
        <f>SUM(M105:M111)</f>
        <v>0</v>
      </c>
      <c r="N112" s="1350" t="str">
        <f t="shared" si="42"/>
        <v>-</v>
      </c>
      <c r="O112" s="472">
        <f>SUM(O105:O111)</f>
        <v>0</v>
      </c>
      <c r="P112" s="355">
        <f>SUM(P105:P111)</f>
        <v>0</v>
      </c>
      <c r="Q112" s="355">
        <f>SUM(Q105:Q111)</f>
        <v>0</v>
      </c>
      <c r="R112" s="1350" t="str">
        <f t="shared" si="43"/>
        <v>-</v>
      </c>
      <c r="S112" s="472">
        <f>SUM(S105:S111)</f>
        <v>0</v>
      </c>
      <c r="T112" s="355">
        <f>SUM(T105:T111)</f>
        <v>0</v>
      </c>
      <c r="U112" s="355">
        <f>SUM(U105:U111)</f>
        <v>0</v>
      </c>
      <c r="V112" s="1350" t="str">
        <f t="shared" si="44"/>
        <v>-</v>
      </c>
      <c r="W112" s="472">
        <f>SUM(W105:W111)</f>
        <v>0</v>
      </c>
      <c r="X112" s="355">
        <f>SUM(X105:X111)</f>
        <v>0</v>
      </c>
      <c r="Y112" s="355">
        <f>SUM(Y105:Y111)</f>
        <v>0</v>
      </c>
      <c r="Z112" s="1350" t="str">
        <f t="shared" si="45"/>
        <v>-</v>
      </c>
      <c r="AA112" s="472">
        <f>SUM(AA105:AA111)</f>
        <v>0</v>
      </c>
      <c r="AB112" s="355">
        <f>SUM(AB105:AB111)</f>
        <v>0</v>
      </c>
      <c r="AC112" s="355">
        <f>SUM(AC105:AC111)</f>
        <v>0</v>
      </c>
      <c r="AD112" s="1350" t="str">
        <f t="shared" si="46"/>
        <v>-</v>
      </c>
      <c r="AE112" s="490">
        <f>SUM(AE105:AE111)</f>
        <v>0</v>
      </c>
      <c r="AF112" s="491">
        <f>SUM(AF105:AF111)</f>
        <v>0</v>
      </c>
      <c r="AG112" s="491">
        <f>SUM(AG105:AG111)</f>
        <v>0</v>
      </c>
      <c r="AH112" s="1350" t="str">
        <f t="shared" si="48"/>
        <v>-</v>
      </c>
      <c r="AI112" s="472">
        <f>SUM(AI105:AI111)</f>
        <v>0</v>
      </c>
      <c r="AJ112" s="355">
        <f>SUM(AJ105:AJ111)</f>
        <v>0</v>
      </c>
      <c r="AK112" s="355">
        <f>SUM(AK105:AK111)</f>
        <v>0</v>
      </c>
      <c r="AL112" s="1350" t="str">
        <f t="shared" si="49"/>
        <v>-</v>
      </c>
      <c r="AM112" s="472">
        <f>SUM(AM105:AM111)</f>
        <v>0</v>
      </c>
      <c r="AN112" s="355">
        <f>SUM(AN105:AN111)</f>
        <v>0</v>
      </c>
      <c r="AO112" s="355">
        <f>SUM(AO105:AO111)</f>
        <v>0</v>
      </c>
      <c r="AP112" s="1350" t="str">
        <f t="shared" si="50"/>
        <v>-</v>
      </c>
      <c r="AQ112" s="472">
        <f>SUM(AQ105:AQ111)</f>
        <v>0</v>
      </c>
      <c r="AR112" s="355">
        <f>SUM(AR105:AR111)</f>
        <v>0</v>
      </c>
      <c r="AS112" s="355">
        <f>SUM(AS105:AS111)</f>
        <v>0</v>
      </c>
      <c r="AT112" s="1350" t="str">
        <f t="shared" si="51"/>
        <v>-</v>
      </c>
      <c r="AU112" s="464"/>
      <c r="AV112" s="464"/>
      <c r="AW112" s="464"/>
      <c r="AX112" s="464"/>
      <c r="AY112" s="464"/>
    </row>
    <row r="113" spans="1:51" s="462" customFormat="1" ht="12.75" thickBot="1">
      <c r="A113" s="501" t="s">
        <v>22</v>
      </c>
      <c r="B113" s="794"/>
      <c r="C113" s="1877" t="s">
        <v>868</v>
      </c>
      <c r="D113" s="1878"/>
      <c r="E113" s="1878"/>
      <c r="F113" s="1879"/>
      <c r="G113" s="474">
        <f>+G100+G104+G112</f>
        <v>41459</v>
      </c>
      <c r="H113" s="475">
        <f>+H100+H104+H112</f>
        <v>86037</v>
      </c>
      <c r="I113" s="475">
        <f>+I100+I104+I112</f>
        <v>85539</v>
      </c>
      <c r="J113" s="1386">
        <f t="shared" si="40"/>
        <v>0.99421179260085779</v>
      </c>
      <c r="K113" s="474">
        <f>+K100+K104+K112</f>
        <v>41459</v>
      </c>
      <c r="L113" s="475">
        <f>+L100+L104+L112</f>
        <v>86037</v>
      </c>
      <c r="M113" s="475">
        <f>+M100+M104+M112</f>
        <v>85539</v>
      </c>
      <c r="N113" s="1386">
        <f t="shared" si="42"/>
        <v>0.99421179260085779</v>
      </c>
      <c r="O113" s="474">
        <f>+O100+O104+O112</f>
        <v>0</v>
      </c>
      <c r="P113" s="475">
        <f>+P100+P104+P112</f>
        <v>37930</v>
      </c>
      <c r="Q113" s="475">
        <f>+Q100+Q104+Q112</f>
        <v>37930</v>
      </c>
      <c r="R113" s="1386">
        <f t="shared" si="43"/>
        <v>1</v>
      </c>
      <c r="S113" s="474">
        <f>+S100+S104+S112</f>
        <v>0</v>
      </c>
      <c r="T113" s="475">
        <f>+T100+T104+T112</f>
        <v>10</v>
      </c>
      <c r="U113" s="475">
        <f>+U100+U104+U112</f>
        <v>5</v>
      </c>
      <c r="V113" s="1386">
        <f t="shared" si="44"/>
        <v>0.5</v>
      </c>
      <c r="W113" s="474">
        <f>+W100+W104+W112</f>
        <v>41459</v>
      </c>
      <c r="X113" s="475">
        <f>+X100+X104+X112</f>
        <v>48097</v>
      </c>
      <c r="Y113" s="475">
        <f>+Y100+Y104+Y112</f>
        <v>47604</v>
      </c>
      <c r="Z113" s="1386">
        <f t="shared" si="45"/>
        <v>0.98974988044992407</v>
      </c>
      <c r="AA113" s="474">
        <f>+AA100+AA104+AA112</f>
        <v>0</v>
      </c>
      <c r="AB113" s="475">
        <f>+AB100+AB104+AB112</f>
        <v>0</v>
      </c>
      <c r="AC113" s="475">
        <f>+AC100+AC104+AC112</f>
        <v>0</v>
      </c>
      <c r="AD113" s="1386" t="str">
        <f t="shared" si="46"/>
        <v>-</v>
      </c>
      <c r="AE113" s="474">
        <f>+AE100+AE104+AE112</f>
        <v>0</v>
      </c>
      <c r="AF113" s="475">
        <f>+AF100+AF104+AF112</f>
        <v>0</v>
      </c>
      <c r="AG113" s="475">
        <f>+AG100+AG104+AG112</f>
        <v>0</v>
      </c>
      <c r="AH113" s="1386" t="str">
        <f t="shared" si="48"/>
        <v>-</v>
      </c>
      <c r="AI113" s="474">
        <f>+AI100+AI104+AI112</f>
        <v>0</v>
      </c>
      <c r="AJ113" s="475">
        <f>+AJ100+AJ104+AJ112</f>
        <v>0</v>
      </c>
      <c r="AK113" s="475">
        <f>+AK100+AK104+AK112</f>
        <v>0</v>
      </c>
      <c r="AL113" s="1386" t="str">
        <f t="shared" si="49"/>
        <v>-</v>
      </c>
      <c r="AM113" s="474">
        <f>+AM100+AM104+AM112</f>
        <v>0</v>
      </c>
      <c r="AN113" s="475">
        <f>+AN100+AN104+AN112</f>
        <v>0</v>
      </c>
      <c r="AO113" s="475">
        <f>+AO100+AO104+AO112</f>
        <v>0</v>
      </c>
      <c r="AP113" s="1386" t="str">
        <f t="shared" si="50"/>
        <v>-</v>
      </c>
      <c r="AQ113" s="474">
        <f>+AQ100+AQ104+AQ112</f>
        <v>0</v>
      </c>
      <c r="AR113" s="475">
        <f>+AR100+AR104+AR112</f>
        <v>0</v>
      </c>
      <c r="AS113" s="475">
        <f>+AS100+AS104+AS112</f>
        <v>0</v>
      </c>
      <c r="AT113" s="1386" t="str">
        <f t="shared" si="51"/>
        <v>-</v>
      </c>
      <c r="AU113" s="464"/>
      <c r="AV113" s="464"/>
      <c r="AW113" s="464"/>
      <c r="AX113" s="464"/>
      <c r="AY113" s="464"/>
    </row>
    <row r="114" spans="1:51" s="462" customFormat="1" ht="12.75" thickBot="1">
      <c r="A114" s="500"/>
      <c r="B114" s="797"/>
      <c r="C114" s="881"/>
      <c r="D114" s="499"/>
      <c r="E114" s="876"/>
      <c r="F114" s="471"/>
      <c r="G114" s="490"/>
      <c r="H114" s="491"/>
      <c r="I114" s="491"/>
      <c r="J114" s="917"/>
      <c r="K114" s="490"/>
      <c r="L114" s="491"/>
      <c r="M114" s="491"/>
      <c r="N114" s="917"/>
      <c r="O114" s="472"/>
      <c r="P114" s="355"/>
      <c r="Q114" s="355"/>
      <c r="R114" s="917"/>
      <c r="S114" s="472"/>
      <c r="T114" s="355"/>
      <c r="U114" s="355"/>
      <c r="V114" s="917"/>
      <c r="W114" s="472"/>
      <c r="X114" s="355"/>
      <c r="Y114" s="355"/>
      <c r="Z114" s="917"/>
      <c r="AA114" s="472"/>
      <c r="AB114" s="355"/>
      <c r="AC114" s="355"/>
      <c r="AD114" s="917"/>
      <c r="AE114" s="490"/>
      <c r="AF114" s="491"/>
      <c r="AG114" s="491"/>
      <c r="AH114" s="917"/>
      <c r="AI114" s="472"/>
      <c r="AJ114" s="355"/>
      <c r="AK114" s="355"/>
      <c r="AL114" s="917"/>
      <c r="AM114" s="472"/>
      <c r="AN114" s="355"/>
      <c r="AO114" s="355"/>
      <c r="AP114" s="917"/>
      <c r="AQ114" s="472"/>
      <c r="AR114" s="355"/>
      <c r="AS114" s="355"/>
      <c r="AT114" s="917"/>
      <c r="AU114" s="464"/>
      <c r="AV114" s="464"/>
      <c r="AW114" s="464"/>
      <c r="AX114" s="464"/>
      <c r="AY114" s="464"/>
    </row>
    <row r="115" spans="1:51">
      <c r="A115" s="504">
        <f>+A111+1</f>
        <v>98</v>
      </c>
      <c r="B115" s="790">
        <v>19</v>
      </c>
      <c r="C115" s="935" t="s">
        <v>1072</v>
      </c>
      <c r="D115" s="900" t="s">
        <v>1073</v>
      </c>
      <c r="E115" s="936" t="s">
        <v>1218</v>
      </c>
      <c r="F115" s="949" t="s">
        <v>1074</v>
      </c>
      <c r="G115" s="1273">
        <f t="shared" ref="G115:I120" si="59">+K115+AE115</f>
        <v>0</v>
      </c>
      <c r="H115" s="1274">
        <f t="shared" si="59"/>
        <v>2573</v>
      </c>
      <c r="I115" s="1274">
        <f t="shared" si="59"/>
        <v>2573</v>
      </c>
      <c r="J115" s="1389">
        <f t="shared" ref="J115:J126" si="60">IF(ISERROR(I115/H115),"-",I115/H115)</f>
        <v>1</v>
      </c>
      <c r="K115" s="1273">
        <f t="shared" ref="K115:M120" si="61">+O115+S115+W115+AA115</f>
        <v>0</v>
      </c>
      <c r="L115" s="1274">
        <f t="shared" si="61"/>
        <v>2573</v>
      </c>
      <c r="M115" s="1274">
        <f t="shared" si="61"/>
        <v>2573</v>
      </c>
      <c r="N115" s="1389">
        <f t="shared" ref="N115:N126" si="62">IF(ISERROR(M115/L115),"-",M115/L115)</f>
        <v>1</v>
      </c>
      <c r="O115" s="953"/>
      <c r="P115" s="954"/>
      <c r="Q115" s="954"/>
      <c r="R115" s="1349" t="str">
        <f t="shared" ref="R115:R126" si="63">IF(ISERROR(Q115/P115),"-",Q115/P115)</f>
        <v>-</v>
      </c>
      <c r="S115" s="953"/>
      <c r="T115" s="954"/>
      <c r="U115" s="954"/>
      <c r="V115" s="1349" t="str">
        <f t="shared" ref="V115:V126" si="64">IF(ISERROR(U115/T115),"-",U115/T115)</f>
        <v>-</v>
      </c>
      <c r="W115" s="953"/>
      <c r="X115" s="954">
        <v>2573</v>
      </c>
      <c r="Y115" s="954">
        <v>2573</v>
      </c>
      <c r="Z115" s="1349">
        <f t="shared" ref="Z115:Z126" si="65">IF(ISERROR(Y115/X115),"-",Y115/X115)</f>
        <v>1</v>
      </c>
      <c r="AA115" s="953"/>
      <c r="AB115" s="954"/>
      <c r="AC115" s="954"/>
      <c r="AD115" s="1349" t="str">
        <f t="shared" ref="AD115:AD126" si="66">IF(ISERROR(AC115/AB115),"-",AC115/AB115)</f>
        <v>-</v>
      </c>
      <c r="AE115" s="1273">
        <f t="shared" ref="AE115:AG120" si="67">+AI115+AM115+AQ115</f>
        <v>0</v>
      </c>
      <c r="AF115" s="1274">
        <f t="shared" si="67"/>
        <v>0</v>
      </c>
      <c r="AG115" s="1274">
        <f t="shared" si="67"/>
        <v>0</v>
      </c>
      <c r="AH115" s="1389" t="str">
        <f t="shared" ref="AH115:AH126" si="68">IF(ISERROR(AG115/AF115),"-",AG115/AF115)</f>
        <v>-</v>
      </c>
      <c r="AI115" s="953"/>
      <c r="AJ115" s="954"/>
      <c r="AK115" s="954"/>
      <c r="AL115" s="1349" t="str">
        <f t="shared" ref="AL115:AL126" si="69">IF(ISERROR(AK115/AJ115),"-",AK115/AJ115)</f>
        <v>-</v>
      </c>
      <c r="AM115" s="953"/>
      <c r="AN115" s="954"/>
      <c r="AO115" s="954"/>
      <c r="AP115" s="1349" t="str">
        <f t="shared" ref="AP115:AP126" si="70">IF(ISERROR(AO115/AN115),"-",AO115/AN115)</f>
        <v>-</v>
      </c>
      <c r="AQ115" s="953"/>
      <c r="AR115" s="954"/>
      <c r="AS115" s="954"/>
      <c r="AT115" s="1349" t="str">
        <f t="shared" ref="AT115:AT126" si="71">IF(ISERROR(AS115/AR115),"-",AS115/AR115)</f>
        <v>-</v>
      </c>
      <c r="AU115" s="464"/>
      <c r="AV115" s="464"/>
      <c r="AW115" s="464"/>
      <c r="AX115" s="464"/>
      <c r="AY115" s="464"/>
    </row>
    <row r="116" spans="1:51">
      <c r="A116" s="504">
        <f>+A115+1</f>
        <v>99</v>
      </c>
      <c r="B116" s="790">
        <v>20</v>
      </c>
      <c r="C116" s="935" t="s">
        <v>1075</v>
      </c>
      <c r="D116" s="900" t="s">
        <v>1076</v>
      </c>
      <c r="E116" s="936" t="s">
        <v>1232</v>
      </c>
      <c r="F116" s="949" t="s">
        <v>1081</v>
      </c>
      <c r="G116" s="1273">
        <f t="shared" si="59"/>
        <v>10362</v>
      </c>
      <c r="H116" s="1274">
        <f t="shared" si="59"/>
        <v>609</v>
      </c>
      <c r="I116" s="1274">
        <f t="shared" si="59"/>
        <v>609</v>
      </c>
      <c r="J116" s="1389">
        <f t="shared" si="60"/>
        <v>1</v>
      </c>
      <c r="K116" s="1273">
        <f t="shared" si="61"/>
        <v>10362</v>
      </c>
      <c r="L116" s="1274">
        <f t="shared" si="61"/>
        <v>609</v>
      </c>
      <c r="M116" s="1274">
        <f t="shared" si="61"/>
        <v>609</v>
      </c>
      <c r="N116" s="1389">
        <f t="shared" si="62"/>
        <v>1</v>
      </c>
      <c r="O116" s="953"/>
      <c r="P116" s="954"/>
      <c r="Q116" s="954"/>
      <c r="R116" s="1349" t="str">
        <f t="shared" si="63"/>
        <v>-</v>
      </c>
      <c r="S116" s="953"/>
      <c r="T116" s="954"/>
      <c r="U116" s="954"/>
      <c r="V116" s="1349" t="str">
        <f t="shared" si="64"/>
        <v>-</v>
      </c>
      <c r="W116" s="953">
        <v>10362</v>
      </c>
      <c r="X116" s="954">
        <v>609</v>
      </c>
      <c r="Y116" s="954">
        <v>609</v>
      </c>
      <c r="Z116" s="1349">
        <f t="shared" si="65"/>
        <v>1</v>
      </c>
      <c r="AA116" s="953"/>
      <c r="AB116" s="954"/>
      <c r="AC116" s="954"/>
      <c r="AD116" s="1349" t="str">
        <f t="shared" si="66"/>
        <v>-</v>
      </c>
      <c r="AE116" s="1273">
        <f t="shared" si="67"/>
        <v>0</v>
      </c>
      <c r="AF116" s="1274">
        <f t="shared" si="67"/>
        <v>0</v>
      </c>
      <c r="AG116" s="1274">
        <f t="shared" si="67"/>
        <v>0</v>
      </c>
      <c r="AH116" s="1389" t="str">
        <f t="shared" si="68"/>
        <v>-</v>
      </c>
      <c r="AI116" s="953"/>
      <c r="AJ116" s="954"/>
      <c r="AK116" s="954"/>
      <c r="AL116" s="1349" t="str">
        <f t="shared" si="69"/>
        <v>-</v>
      </c>
      <c r="AM116" s="953"/>
      <c r="AN116" s="954"/>
      <c r="AO116" s="954"/>
      <c r="AP116" s="1349" t="str">
        <f t="shared" si="70"/>
        <v>-</v>
      </c>
      <c r="AQ116" s="953"/>
      <c r="AR116" s="954"/>
      <c r="AS116" s="954"/>
      <c r="AT116" s="1349" t="str">
        <f t="shared" si="71"/>
        <v>-</v>
      </c>
      <c r="AU116" s="464"/>
      <c r="AV116" s="464"/>
      <c r="AW116" s="464"/>
      <c r="AX116" s="464"/>
      <c r="AY116" s="464"/>
    </row>
    <row r="117" spans="1:51">
      <c r="A117" s="504">
        <f>+A116+1</f>
        <v>100</v>
      </c>
      <c r="B117" s="790">
        <v>20</v>
      </c>
      <c r="C117" s="935" t="s">
        <v>1075</v>
      </c>
      <c r="D117" s="900" t="s">
        <v>1076</v>
      </c>
      <c r="E117" s="936" t="s">
        <v>1233</v>
      </c>
      <c r="F117" s="949" t="s">
        <v>1082</v>
      </c>
      <c r="G117" s="1273">
        <f t="shared" si="59"/>
        <v>11035</v>
      </c>
      <c r="H117" s="1274">
        <f t="shared" si="59"/>
        <v>7898</v>
      </c>
      <c r="I117" s="1274">
        <f t="shared" si="59"/>
        <v>6685</v>
      </c>
      <c r="J117" s="1389">
        <f t="shared" si="60"/>
        <v>0.84641681438338823</v>
      </c>
      <c r="K117" s="1273">
        <f t="shared" si="61"/>
        <v>11035</v>
      </c>
      <c r="L117" s="1274">
        <f t="shared" si="61"/>
        <v>7898</v>
      </c>
      <c r="M117" s="1274">
        <f t="shared" si="61"/>
        <v>6685</v>
      </c>
      <c r="N117" s="1389">
        <f t="shared" si="62"/>
        <v>0.84641681438338823</v>
      </c>
      <c r="O117" s="953"/>
      <c r="P117" s="954"/>
      <c r="Q117" s="954"/>
      <c r="R117" s="1349" t="str">
        <f t="shared" si="63"/>
        <v>-</v>
      </c>
      <c r="S117" s="953"/>
      <c r="T117" s="954"/>
      <c r="U117" s="954"/>
      <c r="V117" s="1349" t="str">
        <f t="shared" si="64"/>
        <v>-</v>
      </c>
      <c r="W117" s="953">
        <v>11035</v>
      </c>
      <c r="X117" s="954">
        <f>6685+1213</f>
        <v>7898</v>
      </c>
      <c r="Y117" s="954">
        <f>7294-609</f>
        <v>6685</v>
      </c>
      <c r="Z117" s="1349">
        <f t="shared" si="65"/>
        <v>0.84641681438338823</v>
      </c>
      <c r="AA117" s="953"/>
      <c r="AB117" s="954"/>
      <c r="AC117" s="954"/>
      <c r="AD117" s="1349" t="str">
        <f t="shared" si="66"/>
        <v>-</v>
      </c>
      <c r="AE117" s="1273">
        <f t="shared" si="67"/>
        <v>0</v>
      </c>
      <c r="AF117" s="1274">
        <f t="shared" si="67"/>
        <v>0</v>
      </c>
      <c r="AG117" s="1274">
        <f t="shared" si="67"/>
        <v>0</v>
      </c>
      <c r="AH117" s="1389" t="str">
        <f t="shared" si="68"/>
        <v>-</v>
      </c>
      <c r="AI117" s="953"/>
      <c r="AJ117" s="954"/>
      <c r="AK117" s="954"/>
      <c r="AL117" s="1349" t="str">
        <f t="shared" si="69"/>
        <v>-</v>
      </c>
      <c r="AM117" s="953"/>
      <c r="AN117" s="954"/>
      <c r="AO117" s="954"/>
      <c r="AP117" s="1349" t="str">
        <f t="shared" si="70"/>
        <v>-</v>
      </c>
      <c r="AQ117" s="953"/>
      <c r="AR117" s="954"/>
      <c r="AS117" s="954"/>
      <c r="AT117" s="1349" t="str">
        <f t="shared" si="71"/>
        <v>-</v>
      </c>
      <c r="AU117" s="464"/>
      <c r="AV117" s="464"/>
      <c r="AW117" s="464"/>
      <c r="AX117" s="464"/>
      <c r="AY117" s="464"/>
    </row>
    <row r="118" spans="1:51">
      <c r="A118" s="504">
        <f>+A117+1</f>
        <v>101</v>
      </c>
      <c r="B118" s="790">
        <v>21</v>
      </c>
      <c r="C118" s="935" t="s">
        <v>1077</v>
      </c>
      <c r="D118" s="900" t="s">
        <v>1167</v>
      </c>
      <c r="E118" s="936" t="s">
        <v>1234</v>
      </c>
      <c r="F118" s="949" t="s">
        <v>573</v>
      </c>
      <c r="G118" s="1273">
        <f t="shared" si="59"/>
        <v>0</v>
      </c>
      <c r="H118" s="1274">
        <f t="shared" si="59"/>
        <v>0</v>
      </c>
      <c r="I118" s="1274">
        <f t="shared" si="59"/>
        <v>0</v>
      </c>
      <c r="J118" s="1389" t="str">
        <f t="shared" si="60"/>
        <v>-</v>
      </c>
      <c r="K118" s="1273">
        <f t="shared" si="61"/>
        <v>0</v>
      </c>
      <c r="L118" s="1274">
        <f t="shared" si="61"/>
        <v>0</v>
      </c>
      <c r="M118" s="1274">
        <f t="shared" si="61"/>
        <v>0</v>
      </c>
      <c r="N118" s="1389" t="str">
        <f t="shared" si="62"/>
        <v>-</v>
      </c>
      <c r="O118" s="953"/>
      <c r="P118" s="954"/>
      <c r="Q118" s="954"/>
      <c r="R118" s="1349" t="str">
        <f t="shared" si="63"/>
        <v>-</v>
      </c>
      <c r="S118" s="953"/>
      <c r="T118" s="954"/>
      <c r="U118" s="954"/>
      <c r="V118" s="1349" t="str">
        <f t="shared" si="64"/>
        <v>-</v>
      </c>
      <c r="W118" s="953"/>
      <c r="X118" s="954"/>
      <c r="Y118" s="954"/>
      <c r="Z118" s="1349" t="str">
        <f t="shared" si="65"/>
        <v>-</v>
      </c>
      <c r="AA118" s="953"/>
      <c r="AB118" s="954"/>
      <c r="AC118" s="954"/>
      <c r="AD118" s="1349" t="str">
        <f t="shared" si="66"/>
        <v>-</v>
      </c>
      <c r="AE118" s="1273">
        <f t="shared" si="67"/>
        <v>0</v>
      </c>
      <c r="AF118" s="1274">
        <f t="shared" si="67"/>
        <v>0</v>
      </c>
      <c r="AG118" s="1274">
        <f t="shared" si="67"/>
        <v>0</v>
      </c>
      <c r="AH118" s="1389" t="str">
        <f t="shared" si="68"/>
        <v>-</v>
      </c>
      <c r="AI118" s="953"/>
      <c r="AJ118" s="954"/>
      <c r="AK118" s="954"/>
      <c r="AL118" s="1349" t="str">
        <f t="shared" si="69"/>
        <v>-</v>
      </c>
      <c r="AM118" s="953"/>
      <c r="AN118" s="954"/>
      <c r="AO118" s="954"/>
      <c r="AP118" s="1349" t="str">
        <f t="shared" si="70"/>
        <v>-</v>
      </c>
      <c r="AQ118" s="953"/>
      <c r="AR118" s="954"/>
      <c r="AS118" s="954"/>
      <c r="AT118" s="1349" t="str">
        <f t="shared" si="71"/>
        <v>-</v>
      </c>
      <c r="AU118" s="464"/>
      <c r="AV118" s="464"/>
      <c r="AW118" s="464"/>
      <c r="AX118" s="464"/>
      <c r="AY118" s="464"/>
    </row>
    <row r="119" spans="1:51">
      <c r="A119" s="504">
        <f>+A118+1</f>
        <v>102</v>
      </c>
      <c r="B119" s="790">
        <v>20</v>
      </c>
      <c r="C119" s="935" t="s">
        <v>1078</v>
      </c>
      <c r="D119" s="900" t="s">
        <v>1079</v>
      </c>
      <c r="E119" s="936" t="s">
        <v>1235</v>
      </c>
      <c r="F119" s="949" t="s">
        <v>1080</v>
      </c>
      <c r="G119" s="1273">
        <f t="shared" si="59"/>
        <v>174</v>
      </c>
      <c r="H119" s="1274">
        <f t="shared" si="59"/>
        <v>266</v>
      </c>
      <c r="I119" s="1274">
        <f t="shared" si="59"/>
        <v>266</v>
      </c>
      <c r="J119" s="1389">
        <f t="shared" si="60"/>
        <v>1</v>
      </c>
      <c r="K119" s="1273">
        <f t="shared" si="61"/>
        <v>174</v>
      </c>
      <c r="L119" s="1274">
        <f t="shared" si="61"/>
        <v>266</v>
      </c>
      <c r="M119" s="1274">
        <f t="shared" si="61"/>
        <v>266</v>
      </c>
      <c r="N119" s="1389">
        <f t="shared" si="62"/>
        <v>1</v>
      </c>
      <c r="O119" s="953"/>
      <c r="P119" s="954"/>
      <c r="Q119" s="954"/>
      <c r="R119" s="1349" t="str">
        <f t="shared" si="63"/>
        <v>-</v>
      </c>
      <c r="S119" s="953"/>
      <c r="T119" s="954"/>
      <c r="U119" s="954"/>
      <c r="V119" s="1349" t="str">
        <f t="shared" si="64"/>
        <v>-</v>
      </c>
      <c r="W119" s="953">
        <v>174</v>
      </c>
      <c r="X119" s="954">
        <v>266</v>
      </c>
      <c r="Y119" s="954">
        <v>266</v>
      </c>
      <c r="Z119" s="1349">
        <f t="shared" si="65"/>
        <v>1</v>
      </c>
      <c r="AA119" s="953"/>
      <c r="AB119" s="954"/>
      <c r="AC119" s="954"/>
      <c r="AD119" s="1349" t="str">
        <f t="shared" si="66"/>
        <v>-</v>
      </c>
      <c r="AE119" s="1273">
        <f t="shared" si="67"/>
        <v>0</v>
      </c>
      <c r="AF119" s="1274">
        <f t="shared" si="67"/>
        <v>0</v>
      </c>
      <c r="AG119" s="1274">
        <f t="shared" si="67"/>
        <v>0</v>
      </c>
      <c r="AH119" s="1389" t="str">
        <f t="shared" si="68"/>
        <v>-</v>
      </c>
      <c r="AI119" s="953"/>
      <c r="AJ119" s="954"/>
      <c r="AK119" s="954"/>
      <c r="AL119" s="1349" t="str">
        <f t="shared" si="69"/>
        <v>-</v>
      </c>
      <c r="AM119" s="953"/>
      <c r="AN119" s="954"/>
      <c r="AO119" s="954"/>
      <c r="AP119" s="1349" t="str">
        <f t="shared" si="70"/>
        <v>-</v>
      </c>
      <c r="AQ119" s="953"/>
      <c r="AR119" s="954"/>
      <c r="AS119" s="954"/>
      <c r="AT119" s="1349" t="str">
        <f t="shared" si="71"/>
        <v>-</v>
      </c>
      <c r="AU119" s="464"/>
      <c r="AV119" s="464"/>
      <c r="AW119" s="464"/>
      <c r="AX119" s="464"/>
      <c r="AY119" s="464"/>
    </row>
    <row r="120" spans="1:51" ht="12.75" thickBot="1">
      <c r="A120" s="504">
        <f>+A119+1</f>
        <v>103</v>
      </c>
      <c r="B120" s="790">
        <v>19</v>
      </c>
      <c r="C120" s="935" t="s">
        <v>998</v>
      </c>
      <c r="D120" s="900" t="s">
        <v>999</v>
      </c>
      <c r="E120" s="936" t="s">
        <v>1218</v>
      </c>
      <c r="F120" s="949" t="s">
        <v>1074</v>
      </c>
      <c r="G120" s="1273">
        <f t="shared" si="59"/>
        <v>0</v>
      </c>
      <c r="H120" s="1274">
        <f t="shared" si="59"/>
        <v>0</v>
      </c>
      <c r="I120" s="1274">
        <f t="shared" si="59"/>
        <v>0</v>
      </c>
      <c r="J120" s="1389" t="str">
        <f t="shared" si="60"/>
        <v>-</v>
      </c>
      <c r="K120" s="1273">
        <f t="shared" si="61"/>
        <v>0</v>
      </c>
      <c r="L120" s="1274">
        <f t="shared" si="61"/>
        <v>0</v>
      </c>
      <c r="M120" s="1274">
        <f t="shared" si="61"/>
        <v>0</v>
      </c>
      <c r="N120" s="1389" t="str">
        <f t="shared" si="62"/>
        <v>-</v>
      </c>
      <c r="O120" s="953"/>
      <c r="P120" s="954"/>
      <c r="Q120" s="954"/>
      <c r="R120" s="1349" t="str">
        <f t="shared" si="63"/>
        <v>-</v>
      </c>
      <c r="S120" s="953"/>
      <c r="T120" s="954"/>
      <c r="U120" s="954"/>
      <c r="V120" s="1349" t="str">
        <f t="shared" si="64"/>
        <v>-</v>
      </c>
      <c r="W120" s="953"/>
      <c r="X120" s="954"/>
      <c r="Y120" s="954"/>
      <c r="Z120" s="1349" t="str">
        <f t="shared" si="65"/>
        <v>-</v>
      </c>
      <c r="AA120" s="953"/>
      <c r="AB120" s="954"/>
      <c r="AC120" s="954"/>
      <c r="AD120" s="1349" t="str">
        <f t="shared" si="66"/>
        <v>-</v>
      </c>
      <c r="AE120" s="1273">
        <f t="shared" si="67"/>
        <v>0</v>
      </c>
      <c r="AF120" s="1274">
        <f t="shared" si="67"/>
        <v>0</v>
      </c>
      <c r="AG120" s="1274">
        <f t="shared" si="67"/>
        <v>0</v>
      </c>
      <c r="AH120" s="1389" t="str">
        <f t="shared" si="68"/>
        <v>-</v>
      </c>
      <c r="AI120" s="953"/>
      <c r="AJ120" s="954"/>
      <c r="AK120" s="954"/>
      <c r="AL120" s="1349" t="str">
        <f t="shared" si="69"/>
        <v>-</v>
      </c>
      <c r="AM120" s="953"/>
      <c r="AN120" s="954"/>
      <c r="AO120" s="954"/>
      <c r="AP120" s="1349" t="str">
        <f t="shared" si="70"/>
        <v>-</v>
      </c>
      <c r="AQ120" s="953"/>
      <c r="AR120" s="954"/>
      <c r="AS120" s="954"/>
      <c r="AT120" s="1349" t="str">
        <f t="shared" si="71"/>
        <v>-</v>
      </c>
      <c r="AU120" s="464"/>
      <c r="AV120" s="464"/>
      <c r="AW120" s="464"/>
      <c r="AX120" s="464"/>
      <c r="AY120" s="464"/>
    </row>
    <row r="121" spans="1:51" s="462" customFormat="1" ht="12.75" thickBot="1">
      <c r="A121" s="500" t="s">
        <v>747</v>
      </c>
      <c r="B121" s="793"/>
      <c r="C121" s="1880" t="s">
        <v>417</v>
      </c>
      <c r="D121" s="1881"/>
      <c r="E121" s="1881"/>
      <c r="F121" s="1882"/>
      <c r="G121" s="490">
        <f>SUM(G115:G120)</f>
        <v>21571</v>
      </c>
      <c r="H121" s="491">
        <f>SUM(H115:H120)</f>
        <v>11346</v>
      </c>
      <c r="I121" s="491">
        <f>SUM(I115:I120)</f>
        <v>10133</v>
      </c>
      <c r="J121" s="1350">
        <f t="shared" si="60"/>
        <v>0.89309007579763788</v>
      </c>
      <c r="K121" s="490">
        <f>SUM(K115:K120)</f>
        <v>21571</v>
      </c>
      <c r="L121" s="491">
        <f>SUM(L115:L120)</f>
        <v>11346</v>
      </c>
      <c r="M121" s="491">
        <f>SUM(M115:M120)</f>
        <v>10133</v>
      </c>
      <c r="N121" s="1350">
        <f t="shared" si="62"/>
        <v>0.89309007579763788</v>
      </c>
      <c r="O121" s="472">
        <f>SUM(O115:O120)</f>
        <v>0</v>
      </c>
      <c r="P121" s="355">
        <f>SUM(P115:P120)</f>
        <v>0</v>
      </c>
      <c r="Q121" s="355">
        <f>SUM(Q115:Q120)</f>
        <v>0</v>
      </c>
      <c r="R121" s="1350" t="str">
        <f t="shared" si="63"/>
        <v>-</v>
      </c>
      <c r="S121" s="472">
        <f>SUM(S115:S120)</f>
        <v>0</v>
      </c>
      <c r="T121" s="355">
        <f>SUM(T115:T120)</f>
        <v>0</v>
      </c>
      <c r="U121" s="355">
        <f>SUM(U115:U120)</f>
        <v>0</v>
      </c>
      <c r="V121" s="1350" t="str">
        <f t="shared" si="64"/>
        <v>-</v>
      </c>
      <c r="W121" s="472">
        <f>SUM(W115:W120)</f>
        <v>21571</v>
      </c>
      <c r="X121" s="355">
        <f>SUM(X115:X120)</f>
        <v>11346</v>
      </c>
      <c r="Y121" s="355">
        <f>SUM(Y115:Y120)</f>
        <v>10133</v>
      </c>
      <c r="Z121" s="1350">
        <f t="shared" si="65"/>
        <v>0.89309007579763788</v>
      </c>
      <c r="AA121" s="472">
        <f>SUM(AA115:AA120)</f>
        <v>0</v>
      </c>
      <c r="AB121" s="355">
        <f>SUM(AB115:AB120)</f>
        <v>0</v>
      </c>
      <c r="AC121" s="355">
        <f>SUM(AC115:AC120)</f>
        <v>0</v>
      </c>
      <c r="AD121" s="1350" t="str">
        <f t="shared" si="66"/>
        <v>-</v>
      </c>
      <c r="AE121" s="490">
        <f>SUM(AE115:AE120)</f>
        <v>0</v>
      </c>
      <c r="AF121" s="491">
        <f>SUM(AF115:AF120)</f>
        <v>0</v>
      </c>
      <c r="AG121" s="491">
        <f>SUM(AG115:AG120)</f>
        <v>0</v>
      </c>
      <c r="AH121" s="1350" t="str">
        <f t="shared" si="68"/>
        <v>-</v>
      </c>
      <c r="AI121" s="472">
        <f>SUM(AI115:AI120)</f>
        <v>0</v>
      </c>
      <c r="AJ121" s="355">
        <f>SUM(AJ115:AJ120)</f>
        <v>0</v>
      </c>
      <c r="AK121" s="355">
        <f>SUM(AK115:AK120)</f>
        <v>0</v>
      </c>
      <c r="AL121" s="1350" t="str">
        <f t="shared" si="69"/>
        <v>-</v>
      </c>
      <c r="AM121" s="472">
        <f>SUM(AM115:AM120)</f>
        <v>0</v>
      </c>
      <c r="AN121" s="355">
        <f>SUM(AN115:AN120)</f>
        <v>0</v>
      </c>
      <c r="AO121" s="355">
        <f>SUM(AO115:AO120)</f>
        <v>0</v>
      </c>
      <c r="AP121" s="1350" t="str">
        <f t="shared" si="70"/>
        <v>-</v>
      </c>
      <c r="AQ121" s="472">
        <f>SUM(AQ115:AQ120)</f>
        <v>0</v>
      </c>
      <c r="AR121" s="355">
        <f>SUM(AR115:AR120)</f>
        <v>0</v>
      </c>
      <c r="AS121" s="355">
        <f>SUM(AS115:AS120)</f>
        <v>0</v>
      </c>
      <c r="AT121" s="1350" t="str">
        <f t="shared" si="71"/>
        <v>-</v>
      </c>
      <c r="AU121" s="464"/>
      <c r="AV121" s="464"/>
      <c r="AW121" s="464"/>
      <c r="AX121" s="464"/>
      <c r="AY121" s="464"/>
    </row>
    <row r="122" spans="1:51" s="466" customFormat="1" ht="12.75" customHeight="1" thickBot="1">
      <c r="A122" s="506">
        <f>+A120+1</f>
        <v>104</v>
      </c>
      <c r="B122" s="798">
        <v>22</v>
      </c>
      <c r="C122" s="882" t="s">
        <v>19</v>
      </c>
      <c r="D122" s="950" t="s">
        <v>19</v>
      </c>
      <c r="E122" s="877" t="s">
        <v>19</v>
      </c>
      <c r="F122" s="950" t="s">
        <v>19</v>
      </c>
      <c r="G122" s="1283">
        <f>+K122+AE122</f>
        <v>0</v>
      </c>
      <c r="H122" s="1284">
        <f>+L122+AF122</f>
        <v>0</v>
      </c>
      <c r="I122" s="1284">
        <f>+M122+AG122</f>
        <v>0</v>
      </c>
      <c r="J122" s="1389" t="str">
        <f t="shared" si="60"/>
        <v>-</v>
      </c>
      <c r="K122" s="1283">
        <f>+O122+S122+W122+AA122</f>
        <v>0</v>
      </c>
      <c r="L122" s="1284">
        <f>+P122+T122+X122+AB122</f>
        <v>0</v>
      </c>
      <c r="M122" s="1284">
        <f>+Q122+U122+Y122+AC122</f>
        <v>0</v>
      </c>
      <c r="N122" s="1389" t="str">
        <f t="shared" si="62"/>
        <v>-</v>
      </c>
      <c r="O122" s="469"/>
      <c r="P122" s="468"/>
      <c r="Q122" s="468"/>
      <c r="R122" s="1349" t="str">
        <f t="shared" si="63"/>
        <v>-</v>
      </c>
      <c r="S122" s="469"/>
      <c r="T122" s="468"/>
      <c r="U122" s="468"/>
      <c r="V122" s="1349" t="str">
        <f t="shared" si="64"/>
        <v>-</v>
      </c>
      <c r="W122" s="469"/>
      <c r="X122" s="468"/>
      <c r="Y122" s="468"/>
      <c r="Z122" s="1349" t="str">
        <f t="shared" si="65"/>
        <v>-</v>
      </c>
      <c r="AA122" s="469"/>
      <c r="AB122" s="468"/>
      <c r="AC122" s="468"/>
      <c r="AD122" s="1349" t="str">
        <f t="shared" si="66"/>
        <v>-</v>
      </c>
      <c r="AE122" s="1283">
        <f>+AI122+AM122+AQ122</f>
        <v>0</v>
      </c>
      <c r="AF122" s="1284">
        <f>+AJ122+AN122+AR122</f>
        <v>0</v>
      </c>
      <c r="AG122" s="1284">
        <f>+AK122+AO122+AS122</f>
        <v>0</v>
      </c>
      <c r="AH122" s="1389" t="str">
        <f t="shared" si="68"/>
        <v>-</v>
      </c>
      <c r="AI122" s="469"/>
      <c r="AJ122" s="468"/>
      <c r="AK122" s="468"/>
      <c r="AL122" s="1349" t="str">
        <f t="shared" si="69"/>
        <v>-</v>
      </c>
      <c r="AM122" s="469"/>
      <c r="AN122" s="468"/>
      <c r="AO122" s="468"/>
      <c r="AP122" s="1349" t="str">
        <f t="shared" si="70"/>
        <v>-</v>
      </c>
      <c r="AQ122" s="469"/>
      <c r="AR122" s="468"/>
      <c r="AS122" s="468"/>
      <c r="AT122" s="1349" t="str">
        <f t="shared" si="71"/>
        <v>-</v>
      </c>
      <c r="AU122" s="464"/>
      <c r="AV122" s="464"/>
      <c r="AW122" s="464"/>
      <c r="AX122" s="464"/>
      <c r="AY122" s="464"/>
    </row>
    <row r="123" spans="1:51" s="462" customFormat="1" ht="12.75" thickBot="1">
      <c r="A123" s="820" t="s">
        <v>748</v>
      </c>
      <c r="B123" s="793"/>
      <c r="C123" s="1880" t="s">
        <v>418</v>
      </c>
      <c r="D123" s="1881"/>
      <c r="E123" s="1881"/>
      <c r="F123" s="1882"/>
      <c r="G123" s="490">
        <f>SUM(G122)</f>
        <v>0</v>
      </c>
      <c r="H123" s="491">
        <f>SUM(H122)</f>
        <v>0</v>
      </c>
      <c r="I123" s="491">
        <f>SUM(I122)</f>
        <v>0</v>
      </c>
      <c r="J123" s="1350" t="str">
        <f t="shared" si="60"/>
        <v>-</v>
      </c>
      <c r="K123" s="490">
        <f>SUM(K122)</f>
        <v>0</v>
      </c>
      <c r="L123" s="491">
        <f>SUM(L122)</f>
        <v>0</v>
      </c>
      <c r="M123" s="491">
        <f>SUM(M122)</f>
        <v>0</v>
      </c>
      <c r="N123" s="1350" t="str">
        <f t="shared" si="62"/>
        <v>-</v>
      </c>
      <c r="O123" s="472">
        <f>SUM(O122)</f>
        <v>0</v>
      </c>
      <c r="P123" s="355">
        <f>SUM(P122)</f>
        <v>0</v>
      </c>
      <c r="Q123" s="355">
        <f>SUM(Q122)</f>
        <v>0</v>
      </c>
      <c r="R123" s="1350" t="str">
        <f t="shared" si="63"/>
        <v>-</v>
      </c>
      <c r="S123" s="472">
        <f>SUM(S122)</f>
        <v>0</v>
      </c>
      <c r="T123" s="355">
        <f>SUM(T122)</f>
        <v>0</v>
      </c>
      <c r="U123" s="355">
        <f>SUM(U122)</f>
        <v>0</v>
      </c>
      <c r="V123" s="1350" t="str">
        <f t="shared" si="64"/>
        <v>-</v>
      </c>
      <c r="W123" s="472">
        <f>SUM(W122)</f>
        <v>0</v>
      </c>
      <c r="X123" s="355">
        <f>SUM(X122)</f>
        <v>0</v>
      </c>
      <c r="Y123" s="355">
        <f>SUM(Y122)</f>
        <v>0</v>
      </c>
      <c r="Z123" s="1350" t="str">
        <f t="shared" si="65"/>
        <v>-</v>
      </c>
      <c r="AA123" s="472">
        <f>SUM(AA122)</f>
        <v>0</v>
      </c>
      <c r="AB123" s="355">
        <f>SUM(AB122)</f>
        <v>0</v>
      </c>
      <c r="AC123" s="355">
        <f>SUM(AC122)</f>
        <v>0</v>
      </c>
      <c r="AD123" s="1350" t="str">
        <f t="shared" si="66"/>
        <v>-</v>
      </c>
      <c r="AE123" s="490">
        <f>SUM(AE122)</f>
        <v>0</v>
      </c>
      <c r="AF123" s="491">
        <f>SUM(AF122)</f>
        <v>0</v>
      </c>
      <c r="AG123" s="491">
        <f>SUM(AG122)</f>
        <v>0</v>
      </c>
      <c r="AH123" s="1350" t="str">
        <f t="shared" si="68"/>
        <v>-</v>
      </c>
      <c r="AI123" s="472">
        <f>SUM(AI122)</f>
        <v>0</v>
      </c>
      <c r="AJ123" s="355">
        <f>SUM(AJ122)</f>
        <v>0</v>
      </c>
      <c r="AK123" s="355">
        <f>SUM(AK122)</f>
        <v>0</v>
      </c>
      <c r="AL123" s="1350" t="str">
        <f t="shared" si="69"/>
        <v>-</v>
      </c>
      <c r="AM123" s="472">
        <f>SUM(AM122)</f>
        <v>0</v>
      </c>
      <c r="AN123" s="355">
        <f>SUM(AN122)</f>
        <v>0</v>
      </c>
      <c r="AO123" s="355">
        <f>SUM(AO122)</f>
        <v>0</v>
      </c>
      <c r="AP123" s="1350" t="str">
        <f t="shared" si="70"/>
        <v>-</v>
      </c>
      <c r="AQ123" s="472">
        <f>SUM(AQ122)</f>
        <v>0</v>
      </c>
      <c r="AR123" s="355">
        <f>SUM(AR122)</f>
        <v>0</v>
      </c>
      <c r="AS123" s="355">
        <f>SUM(AS122)</f>
        <v>0</v>
      </c>
      <c r="AT123" s="1350" t="str">
        <f t="shared" si="71"/>
        <v>-</v>
      </c>
      <c r="AU123" s="464"/>
      <c r="AV123" s="464"/>
      <c r="AW123" s="464"/>
      <c r="AX123" s="464"/>
      <c r="AY123" s="464"/>
    </row>
    <row r="124" spans="1:51" s="466" customFormat="1" ht="12.75" customHeight="1" thickBot="1">
      <c r="A124" s="506">
        <f>+A122+1</f>
        <v>105</v>
      </c>
      <c r="B124" s="798">
        <v>23</v>
      </c>
      <c r="C124" s="882" t="s">
        <v>19</v>
      </c>
      <c r="D124" s="950" t="s">
        <v>19</v>
      </c>
      <c r="E124" s="877" t="s">
        <v>19</v>
      </c>
      <c r="F124" s="950" t="s">
        <v>19</v>
      </c>
      <c r="G124" s="1283">
        <f>+K124+AE124</f>
        <v>0</v>
      </c>
      <c r="H124" s="1284">
        <f>+L124+AF124</f>
        <v>0</v>
      </c>
      <c r="I124" s="1284">
        <f>+M124+AG124</f>
        <v>0</v>
      </c>
      <c r="J124" s="1389" t="str">
        <f t="shared" si="60"/>
        <v>-</v>
      </c>
      <c r="K124" s="1283">
        <f>+O124+S124+W124+AA124</f>
        <v>0</v>
      </c>
      <c r="L124" s="1284">
        <f>+P124+T124+X124+AB124</f>
        <v>0</v>
      </c>
      <c r="M124" s="1284">
        <f>+Q124+U124+Y124+AC124</f>
        <v>0</v>
      </c>
      <c r="N124" s="1389" t="str">
        <f t="shared" si="62"/>
        <v>-</v>
      </c>
      <c r="O124" s="469"/>
      <c r="P124" s="468"/>
      <c r="Q124" s="468"/>
      <c r="R124" s="1349" t="str">
        <f t="shared" si="63"/>
        <v>-</v>
      </c>
      <c r="S124" s="469"/>
      <c r="T124" s="468"/>
      <c r="U124" s="468"/>
      <c r="V124" s="1349" t="str">
        <f t="shared" si="64"/>
        <v>-</v>
      </c>
      <c r="W124" s="469"/>
      <c r="X124" s="468"/>
      <c r="Y124" s="468"/>
      <c r="Z124" s="1349" t="str">
        <f t="shared" si="65"/>
        <v>-</v>
      </c>
      <c r="AA124" s="469"/>
      <c r="AB124" s="468"/>
      <c r="AC124" s="468"/>
      <c r="AD124" s="1349" t="str">
        <f t="shared" si="66"/>
        <v>-</v>
      </c>
      <c r="AE124" s="1283">
        <f>+AI124+AM124+AQ124</f>
        <v>0</v>
      </c>
      <c r="AF124" s="1284">
        <f>+AJ124+AN124+AR124</f>
        <v>0</v>
      </c>
      <c r="AG124" s="1284">
        <f>+AK124+AO124+AS124</f>
        <v>0</v>
      </c>
      <c r="AH124" s="1389" t="str">
        <f t="shared" si="68"/>
        <v>-</v>
      </c>
      <c r="AI124" s="469"/>
      <c r="AJ124" s="468"/>
      <c r="AK124" s="468"/>
      <c r="AL124" s="1349" t="str">
        <f t="shared" si="69"/>
        <v>-</v>
      </c>
      <c r="AM124" s="469"/>
      <c r="AN124" s="468"/>
      <c r="AO124" s="468"/>
      <c r="AP124" s="1349" t="str">
        <f t="shared" si="70"/>
        <v>-</v>
      </c>
      <c r="AQ124" s="469"/>
      <c r="AR124" s="468"/>
      <c r="AS124" s="468"/>
      <c r="AT124" s="1349" t="str">
        <f t="shared" si="71"/>
        <v>-</v>
      </c>
      <c r="AU124" s="464"/>
      <c r="AV124" s="464"/>
      <c r="AW124" s="464"/>
      <c r="AX124" s="464"/>
      <c r="AY124" s="464"/>
    </row>
    <row r="125" spans="1:51" s="462" customFormat="1" ht="12.75" thickBot="1">
      <c r="A125" s="500" t="s">
        <v>749</v>
      </c>
      <c r="B125" s="793"/>
      <c r="C125" s="1880" t="s">
        <v>766</v>
      </c>
      <c r="D125" s="1881"/>
      <c r="E125" s="1881"/>
      <c r="F125" s="1882"/>
      <c r="G125" s="490">
        <f>SUM(G124)</f>
        <v>0</v>
      </c>
      <c r="H125" s="491">
        <f>SUM(H124)</f>
        <v>0</v>
      </c>
      <c r="I125" s="491">
        <f>SUM(I124)</f>
        <v>0</v>
      </c>
      <c r="J125" s="1350" t="str">
        <f t="shared" si="60"/>
        <v>-</v>
      </c>
      <c r="K125" s="490">
        <f>SUM(K124)</f>
        <v>0</v>
      </c>
      <c r="L125" s="491">
        <f>SUM(L124)</f>
        <v>0</v>
      </c>
      <c r="M125" s="491">
        <f>SUM(M124)</f>
        <v>0</v>
      </c>
      <c r="N125" s="1350" t="str">
        <f t="shared" si="62"/>
        <v>-</v>
      </c>
      <c r="O125" s="472">
        <f>SUM(O124)</f>
        <v>0</v>
      </c>
      <c r="P125" s="355">
        <f>SUM(P124)</f>
        <v>0</v>
      </c>
      <c r="Q125" s="355">
        <f>SUM(Q124)</f>
        <v>0</v>
      </c>
      <c r="R125" s="1350" t="str">
        <f t="shared" si="63"/>
        <v>-</v>
      </c>
      <c r="S125" s="472">
        <f>SUM(S124)</f>
        <v>0</v>
      </c>
      <c r="T125" s="355">
        <f>SUM(T124)</f>
        <v>0</v>
      </c>
      <c r="U125" s="355">
        <f>SUM(U124)</f>
        <v>0</v>
      </c>
      <c r="V125" s="1350" t="str">
        <f t="shared" si="64"/>
        <v>-</v>
      </c>
      <c r="W125" s="472">
        <f>SUM(W124)</f>
        <v>0</v>
      </c>
      <c r="X125" s="355">
        <f>SUM(X124)</f>
        <v>0</v>
      </c>
      <c r="Y125" s="355">
        <f>SUM(Y124)</f>
        <v>0</v>
      </c>
      <c r="Z125" s="1350" t="str">
        <f t="shared" si="65"/>
        <v>-</v>
      </c>
      <c r="AA125" s="472">
        <f>SUM(AA124)</f>
        <v>0</v>
      </c>
      <c r="AB125" s="355">
        <f>SUM(AB124)</f>
        <v>0</v>
      </c>
      <c r="AC125" s="355">
        <f>SUM(AC124)</f>
        <v>0</v>
      </c>
      <c r="AD125" s="1350" t="str">
        <f t="shared" si="66"/>
        <v>-</v>
      </c>
      <c r="AE125" s="490">
        <f>SUM(AE124)</f>
        <v>0</v>
      </c>
      <c r="AF125" s="491">
        <f>SUM(AF124)</f>
        <v>0</v>
      </c>
      <c r="AG125" s="491">
        <f>SUM(AG124)</f>
        <v>0</v>
      </c>
      <c r="AH125" s="1350" t="str">
        <f t="shared" si="68"/>
        <v>-</v>
      </c>
      <c r="AI125" s="472">
        <f>SUM(AI124)</f>
        <v>0</v>
      </c>
      <c r="AJ125" s="355">
        <f>SUM(AJ124)</f>
        <v>0</v>
      </c>
      <c r="AK125" s="355">
        <f>SUM(AK124)</f>
        <v>0</v>
      </c>
      <c r="AL125" s="1350" t="str">
        <f t="shared" si="69"/>
        <v>-</v>
      </c>
      <c r="AM125" s="472">
        <f>SUM(AM124)</f>
        <v>0</v>
      </c>
      <c r="AN125" s="355">
        <f>SUM(AN124)</f>
        <v>0</v>
      </c>
      <c r="AO125" s="355">
        <f>SUM(AO124)</f>
        <v>0</v>
      </c>
      <c r="AP125" s="1350" t="str">
        <f t="shared" si="70"/>
        <v>-</v>
      </c>
      <c r="AQ125" s="472">
        <f>SUM(AQ124)</f>
        <v>0</v>
      </c>
      <c r="AR125" s="355">
        <f>SUM(AR124)</f>
        <v>0</v>
      </c>
      <c r="AS125" s="355">
        <f>SUM(AS124)</f>
        <v>0</v>
      </c>
      <c r="AT125" s="1350" t="str">
        <f t="shared" si="71"/>
        <v>-</v>
      </c>
      <c r="AU125" s="464"/>
      <c r="AV125" s="464"/>
      <c r="AW125" s="464"/>
      <c r="AX125" s="464"/>
      <c r="AY125" s="464"/>
    </row>
    <row r="126" spans="1:51" s="462" customFormat="1" ht="12.75" thickBot="1">
      <c r="A126" s="501" t="s">
        <v>21</v>
      </c>
      <c r="B126" s="794"/>
      <c r="C126" s="1874" t="s">
        <v>419</v>
      </c>
      <c r="D126" s="1875"/>
      <c r="E126" s="1875"/>
      <c r="F126" s="1876"/>
      <c r="G126" s="474">
        <f>+G121+G123+G125</f>
        <v>21571</v>
      </c>
      <c r="H126" s="475">
        <f>+H121+H123+H125</f>
        <v>11346</v>
      </c>
      <c r="I126" s="475">
        <f>+I121+I123+I125</f>
        <v>10133</v>
      </c>
      <c r="J126" s="1386">
        <f t="shared" si="60"/>
        <v>0.89309007579763788</v>
      </c>
      <c r="K126" s="474">
        <f>+K121+K123+K125</f>
        <v>21571</v>
      </c>
      <c r="L126" s="475">
        <f>+L121+L123+L125</f>
        <v>11346</v>
      </c>
      <c r="M126" s="475">
        <f>+M121+M123+M125</f>
        <v>10133</v>
      </c>
      <c r="N126" s="1386">
        <f t="shared" si="62"/>
        <v>0.89309007579763788</v>
      </c>
      <c r="O126" s="484">
        <f>+O121+O123+O125</f>
        <v>0</v>
      </c>
      <c r="P126" s="485">
        <f>+P121+P123+P125</f>
        <v>0</v>
      </c>
      <c r="Q126" s="485">
        <f>+Q121+Q123+Q125</f>
        <v>0</v>
      </c>
      <c r="R126" s="1386" t="str">
        <f t="shared" si="63"/>
        <v>-</v>
      </c>
      <c r="S126" s="484">
        <f>+S121+S123+S125</f>
        <v>0</v>
      </c>
      <c r="T126" s="485">
        <f>+T121+T123+T125</f>
        <v>0</v>
      </c>
      <c r="U126" s="485">
        <f>+U121+U123+U125</f>
        <v>0</v>
      </c>
      <c r="V126" s="1386" t="str">
        <f t="shared" si="64"/>
        <v>-</v>
      </c>
      <c r="W126" s="484">
        <f>+W121+W123+W125</f>
        <v>21571</v>
      </c>
      <c r="X126" s="485">
        <f>+X121+X123+X125</f>
        <v>11346</v>
      </c>
      <c r="Y126" s="485">
        <f>+Y121+Y123+Y125</f>
        <v>10133</v>
      </c>
      <c r="Z126" s="1386">
        <f t="shared" si="65"/>
        <v>0.89309007579763788</v>
      </c>
      <c r="AA126" s="484">
        <f>+AA121+AA123+AA125</f>
        <v>0</v>
      </c>
      <c r="AB126" s="485">
        <f>+AB121+AB123+AB125</f>
        <v>0</v>
      </c>
      <c r="AC126" s="485">
        <f>+AC121+AC123+AC125</f>
        <v>0</v>
      </c>
      <c r="AD126" s="1386" t="str">
        <f t="shared" si="66"/>
        <v>-</v>
      </c>
      <c r="AE126" s="474">
        <f>+AE121+AE123+AE125</f>
        <v>0</v>
      </c>
      <c r="AF126" s="475">
        <f>+AF121+AF123+AF125</f>
        <v>0</v>
      </c>
      <c r="AG126" s="475">
        <f>+AG121+AG123+AG125</f>
        <v>0</v>
      </c>
      <c r="AH126" s="1386" t="str">
        <f t="shared" si="68"/>
        <v>-</v>
      </c>
      <c r="AI126" s="484">
        <f>+AI121+AI123+AI125</f>
        <v>0</v>
      </c>
      <c r="AJ126" s="485">
        <f>+AJ121+AJ123+AJ125</f>
        <v>0</v>
      </c>
      <c r="AK126" s="485">
        <f>+AK121+AK123+AK125</f>
        <v>0</v>
      </c>
      <c r="AL126" s="1386" t="str">
        <f t="shared" si="69"/>
        <v>-</v>
      </c>
      <c r="AM126" s="484">
        <f>+AM121+AM123+AM125</f>
        <v>0</v>
      </c>
      <c r="AN126" s="485">
        <f>+AN121+AN123+AN125</f>
        <v>0</v>
      </c>
      <c r="AO126" s="485">
        <f>+AO121+AO123+AO125</f>
        <v>0</v>
      </c>
      <c r="AP126" s="1386" t="str">
        <f t="shared" si="70"/>
        <v>-</v>
      </c>
      <c r="AQ126" s="484">
        <f>+AQ121+AQ123+AQ125</f>
        <v>0</v>
      </c>
      <c r="AR126" s="485">
        <f>+AR121+AR123+AR125</f>
        <v>0</v>
      </c>
      <c r="AS126" s="485">
        <f>+AS121+AS123+AS125</f>
        <v>0</v>
      </c>
      <c r="AT126" s="1386" t="str">
        <f t="shared" si="71"/>
        <v>-</v>
      </c>
      <c r="AU126" s="464"/>
      <c r="AV126" s="464"/>
      <c r="AW126" s="464"/>
      <c r="AX126" s="464"/>
      <c r="AY126" s="464"/>
    </row>
    <row r="127" spans="1:51" s="462" customFormat="1" ht="12.75" thickBot="1">
      <c r="A127" s="500"/>
      <c r="B127" s="797"/>
      <c r="C127" s="881"/>
      <c r="D127" s="499"/>
      <c r="E127" s="876"/>
      <c r="F127" s="471"/>
      <c r="G127" s="490"/>
      <c r="H127" s="491"/>
      <c r="I127" s="491"/>
      <c r="J127" s="917"/>
      <c r="K127" s="490"/>
      <c r="L127" s="491"/>
      <c r="M127" s="491"/>
      <c r="N127" s="917"/>
      <c r="O127" s="472"/>
      <c r="P127" s="355"/>
      <c r="Q127" s="355"/>
      <c r="R127" s="917"/>
      <c r="S127" s="472"/>
      <c r="T127" s="355"/>
      <c r="U127" s="355"/>
      <c r="V127" s="917"/>
      <c r="W127" s="472"/>
      <c r="X127" s="355"/>
      <c r="Y127" s="355"/>
      <c r="Z127" s="917"/>
      <c r="AA127" s="472"/>
      <c r="AB127" s="355"/>
      <c r="AC127" s="355"/>
      <c r="AD127" s="917"/>
      <c r="AE127" s="490"/>
      <c r="AF127" s="491"/>
      <c r="AG127" s="491"/>
      <c r="AH127" s="917"/>
      <c r="AI127" s="472"/>
      <c r="AJ127" s="355"/>
      <c r="AK127" s="355"/>
      <c r="AL127" s="917"/>
      <c r="AM127" s="472"/>
      <c r="AN127" s="355"/>
      <c r="AO127" s="355"/>
      <c r="AP127" s="917"/>
      <c r="AQ127" s="472"/>
      <c r="AR127" s="355"/>
      <c r="AS127" s="355"/>
      <c r="AT127" s="917"/>
      <c r="AU127" s="464"/>
      <c r="AV127" s="464"/>
      <c r="AW127" s="464"/>
      <c r="AX127" s="464"/>
      <c r="AY127" s="464"/>
    </row>
    <row r="128" spans="1:51">
      <c r="A128" s="504">
        <f>+A124+1</f>
        <v>106</v>
      </c>
      <c r="B128" s="790">
        <v>24</v>
      </c>
      <c r="C128" s="935" t="s">
        <v>1083</v>
      </c>
      <c r="D128" s="900" t="s">
        <v>1084</v>
      </c>
      <c r="E128" s="936" t="s">
        <v>1218</v>
      </c>
      <c r="F128" s="949" t="s">
        <v>1084</v>
      </c>
      <c r="G128" s="1273">
        <f t="shared" ref="G128:I134" si="72">+K128+AE128</f>
        <v>0</v>
      </c>
      <c r="H128" s="1274">
        <f t="shared" si="72"/>
        <v>0</v>
      </c>
      <c r="I128" s="1274">
        <f t="shared" si="72"/>
        <v>0</v>
      </c>
      <c r="J128" s="1389" t="str">
        <f t="shared" ref="J128:J140" si="73">IF(ISERROR(I128/H128),"-",I128/H128)</f>
        <v>-</v>
      </c>
      <c r="K128" s="1273">
        <f t="shared" ref="K128:M134" si="74">+O128+S128+W128+AA128</f>
        <v>0</v>
      </c>
      <c r="L128" s="1274">
        <f t="shared" si="74"/>
        <v>0</v>
      </c>
      <c r="M128" s="1274">
        <f t="shared" si="74"/>
        <v>0</v>
      </c>
      <c r="N128" s="1389" t="str">
        <f t="shared" ref="N128:N140" si="75">IF(ISERROR(M128/L128),"-",M128/L128)</f>
        <v>-</v>
      </c>
      <c r="O128" s="953"/>
      <c r="P128" s="954"/>
      <c r="Q128" s="954"/>
      <c r="R128" s="1349" t="str">
        <f t="shared" ref="R128:R140" si="76">IF(ISERROR(Q128/P128),"-",Q128/P128)</f>
        <v>-</v>
      </c>
      <c r="S128" s="953"/>
      <c r="T128" s="954"/>
      <c r="U128" s="954"/>
      <c r="V128" s="1349" t="str">
        <f t="shared" ref="V128:V140" si="77">IF(ISERROR(U128/T128),"-",U128/T128)</f>
        <v>-</v>
      </c>
      <c r="W128" s="953"/>
      <c r="X128" s="954"/>
      <c r="Y128" s="954"/>
      <c r="Z128" s="1349" t="str">
        <f t="shared" ref="Z128:Z140" si="78">IF(ISERROR(Y128/X128),"-",Y128/X128)</f>
        <v>-</v>
      </c>
      <c r="AA128" s="953"/>
      <c r="AB128" s="954"/>
      <c r="AC128" s="954"/>
      <c r="AD128" s="1349" t="str">
        <f t="shared" ref="AD128:AD140" si="79">IF(ISERROR(AC128/AB128),"-",AC128/AB128)</f>
        <v>-</v>
      </c>
      <c r="AE128" s="1273">
        <f t="shared" ref="AE128:AG134" si="80">+AI128+AM128+AQ128</f>
        <v>0</v>
      </c>
      <c r="AF128" s="1274">
        <f t="shared" si="80"/>
        <v>0</v>
      </c>
      <c r="AG128" s="1274">
        <f t="shared" si="80"/>
        <v>0</v>
      </c>
      <c r="AH128" s="1389" t="str">
        <f t="shared" ref="AH128:AH140" si="81">IF(ISERROR(AG128/AF128),"-",AG128/AF128)</f>
        <v>-</v>
      </c>
      <c r="AI128" s="953"/>
      <c r="AJ128" s="954"/>
      <c r="AK128" s="954"/>
      <c r="AL128" s="1349" t="str">
        <f t="shared" ref="AL128:AL140" si="82">IF(ISERROR(AK128/AJ128),"-",AK128/AJ128)</f>
        <v>-</v>
      </c>
      <c r="AM128" s="953"/>
      <c r="AN128" s="954"/>
      <c r="AO128" s="954"/>
      <c r="AP128" s="1349" t="str">
        <f t="shared" ref="AP128:AP140" si="83">IF(ISERROR(AO128/AN128),"-",AO128/AN128)</f>
        <v>-</v>
      </c>
      <c r="AQ128" s="953"/>
      <c r="AR128" s="954"/>
      <c r="AS128" s="954"/>
      <c r="AT128" s="1349" t="str">
        <f t="shared" ref="AT128:AT140" si="84">IF(ISERROR(AS128/AR128),"-",AS128/AR128)</f>
        <v>-</v>
      </c>
      <c r="AU128" s="464"/>
      <c r="AV128" s="464"/>
      <c r="AW128" s="464"/>
      <c r="AX128" s="464"/>
      <c r="AY128" s="464"/>
    </row>
    <row r="129" spans="1:51">
      <c r="A129" s="504">
        <f t="shared" ref="A129:A134" si="85">+A128+1</f>
        <v>107</v>
      </c>
      <c r="B129" s="790">
        <v>25</v>
      </c>
      <c r="C129" s="935" t="s">
        <v>1086</v>
      </c>
      <c r="D129" s="900" t="s">
        <v>1085</v>
      </c>
      <c r="E129" s="936" t="s">
        <v>1218</v>
      </c>
      <c r="F129" s="949" t="s">
        <v>1085</v>
      </c>
      <c r="G129" s="1273">
        <f t="shared" si="72"/>
        <v>500</v>
      </c>
      <c r="H129" s="1274">
        <f t="shared" si="72"/>
        <v>584</v>
      </c>
      <c r="I129" s="1274">
        <f t="shared" si="72"/>
        <v>584</v>
      </c>
      <c r="J129" s="1389">
        <f t="shared" si="73"/>
        <v>1</v>
      </c>
      <c r="K129" s="1273">
        <f t="shared" si="74"/>
        <v>500</v>
      </c>
      <c r="L129" s="1274">
        <f t="shared" si="74"/>
        <v>584</v>
      </c>
      <c r="M129" s="1274">
        <f t="shared" si="74"/>
        <v>584</v>
      </c>
      <c r="N129" s="1389">
        <f t="shared" si="75"/>
        <v>1</v>
      </c>
      <c r="O129" s="953"/>
      <c r="P129" s="954">
        <v>250</v>
      </c>
      <c r="Q129" s="954">
        <v>250</v>
      </c>
      <c r="R129" s="1349">
        <f t="shared" si="76"/>
        <v>1</v>
      </c>
      <c r="S129" s="953"/>
      <c r="T129" s="954"/>
      <c r="U129" s="954"/>
      <c r="V129" s="1349" t="str">
        <f t="shared" si="77"/>
        <v>-</v>
      </c>
      <c r="W129" s="953">
        <v>500</v>
      </c>
      <c r="X129" s="954">
        <v>334</v>
      </c>
      <c r="Y129" s="954">
        <v>334</v>
      </c>
      <c r="Z129" s="1349">
        <f t="shared" si="78"/>
        <v>1</v>
      </c>
      <c r="AA129" s="953"/>
      <c r="AB129" s="954"/>
      <c r="AC129" s="954"/>
      <c r="AD129" s="1349" t="str">
        <f t="shared" si="79"/>
        <v>-</v>
      </c>
      <c r="AE129" s="1273">
        <f t="shared" si="80"/>
        <v>0</v>
      </c>
      <c r="AF129" s="1274">
        <f t="shared" si="80"/>
        <v>0</v>
      </c>
      <c r="AG129" s="1274">
        <f t="shared" si="80"/>
        <v>0</v>
      </c>
      <c r="AH129" s="1389" t="str">
        <f t="shared" si="81"/>
        <v>-</v>
      </c>
      <c r="AI129" s="953"/>
      <c r="AJ129" s="954"/>
      <c r="AK129" s="954"/>
      <c r="AL129" s="1349" t="str">
        <f t="shared" si="82"/>
        <v>-</v>
      </c>
      <c r="AM129" s="953"/>
      <c r="AN129" s="954"/>
      <c r="AO129" s="954"/>
      <c r="AP129" s="1349" t="str">
        <f t="shared" si="83"/>
        <v>-</v>
      </c>
      <c r="AQ129" s="953"/>
      <c r="AR129" s="954"/>
      <c r="AS129" s="954"/>
      <c r="AT129" s="1349" t="str">
        <f t="shared" si="84"/>
        <v>-</v>
      </c>
      <c r="AU129" s="464"/>
      <c r="AV129" s="464"/>
      <c r="AW129" s="464"/>
      <c r="AX129" s="464"/>
      <c r="AY129" s="464"/>
    </row>
    <row r="130" spans="1:51">
      <c r="A130" s="504">
        <f t="shared" si="85"/>
        <v>108</v>
      </c>
      <c r="B130" s="790">
        <v>26</v>
      </c>
      <c r="C130" s="935" t="s">
        <v>1088</v>
      </c>
      <c r="D130" s="900" t="s">
        <v>1087</v>
      </c>
      <c r="E130" s="936" t="s">
        <v>1236</v>
      </c>
      <c r="F130" s="949" t="s">
        <v>1091</v>
      </c>
      <c r="G130" s="1273">
        <f t="shared" si="72"/>
        <v>100</v>
      </c>
      <c r="H130" s="1274">
        <f t="shared" si="72"/>
        <v>92</v>
      </c>
      <c r="I130" s="1274">
        <f t="shared" si="72"/>
        <v>92</v>
      </c>
      <c r="J130" s="1389">
        <f t="shared" si="73"/>
        <v>1</v>
      </c>
      <c r="K130" s="1273">
        <f t="shared" si="74"/>
        <v>100</v>
      </c>
      <c r="L130" s="1274">
        <f t="shared" si="74"/>
        <v>92</v>
      </c>
      <c r="M130" s="1274">
        <f t="shared" si="74"/>
        <v>92</v>
      </c>
      <c r="N130" s="1389">
        <f t="shared" si="75"/>
        <v>1</v>
      </c>
      <c r="O130" s="953"/>
      <c r="P130" s="954"/>
      <c r="Q130" s="954"/>
      <c r="R130" s="1349" t="str">
        <f t="shared" si="76"/>
        <v>-</v>
      </c>
      <c r="S130" s="953"/>
      <c r="T130" s="954"/>
      <c r="U130" s="954"/>
      <c r="V130" s="1349" t="str">
        <f t="shared" si="77"/>
        <v>-</v>
      </c>
      <c r="W130" s="953">
        <v>100</v>
      </c>
      <c r="X130" s="954">
        <v>92</v>
      </c>
      <c r="Y130" s="954">
        <v>92</v>
      </c>
      <c r="Z130" s="1349">
        <f t="shared" si="78"/>
        <v>1</v>
      </c>
      <c r="AA130" s="953"/>
      <c r="AB130" s="954"/>
      <c r="AC130" s="954"/>
      <c r="AD130" s="1349" t="str">
        <f t="shared" si="79"/>
        <v>-</v>
      </c>
      <c r="AE130" s="1273">
        <f t="shared" si="80"/>
        <v>0</v>
      </c>
      <c r="AF130" s="1274">
        <f t="shared" si="80"/>
        <v>0</v>
      </c>
      <c r="AG130" s="1274">
        <f t="shared" si="80"/>
        <v>0</v>
      </c>
      <c r="AH130" s="1389" t="str">
        <f t="shared" si="81"/>
        <v>-</v>
      </c>
      <c r="AI130" s="953"/>
      <c r="AJ130" s="954"/>
      <c r="AK130" s="954"/>
      <c r="AL130" s="1349" t="str">
        <f t="shared" si="82"/>
        <v>-</v>
      </c>
      <c r="AM130" s="953"/>
      <c r="AN130" s="954"/>
      <c r="AO130" s="954"/>
      <c r="AP130" s="1349" t="str">
        <f t="shared" si="83"/>
        <v>-</v>
      </c>
      <c r="AQ130" s="953"/>
      <c r="AR130" s="954"/>
      <c r="AS130" s="954"/>
      <c r="AT130" s="1349" t="str">
        <f t="shared" si="84"/>
        <v>-</v>
      </c>
      <c r="AU130" s="464"/>
      <c r="AV130" s="464"/>
      <c r="AW130" s="464"/>
      <c r="AX130" s="464"/>
      <c r="AY130" s="464"/>
    </row>
    <row r="131" spans="1:51">
      <c r="A131" s="504">
        <f t="shared" si="85"/>
        <v>109</v>
      </c>
      <c r="B131" s="790">
        <v>25</v>
      </c>
      <c r="C131" s="935" t="s">
        <v>1089</v>
      </c>
      <c r="D131" s="900" t="s">
        <v>1090</v>
      </c>
      <c r="E131" s="936" t="s">
        <v>1237</v>
      </c>
      <c r="F131" s="949" t="s">
        <v>1092</v>
      </c>
      <c r="G131" s="1273">
        <f t="shared" si="72"/>
        <v>0</v>
      </c>
      <c r="H131" s="1274">
        <f t="shared" si="72"/>
        <v>1543</v>
      </c>
      <c r="I131" s="1274">
        <f t="shared" si="72"/>
        <v>1520</v>
      </c>
      <c r="J131" s="1389">
        <f t="shared" si="73"/>
        <v>0.98509397278029809</v>
      </c>
      <c r="K131" s="1273">
        <f t="shared" si="74"/>
        <v>0</v>
      </c>
      <c r="L131" s="1274">
        <f t="shared" si="74"/>
        <v>1543</v>
      </c>
      <c r="M131" s="1274">
        <f t="shared" si="74"/>
        <v>1520</v>
      </c>
      <c r="N131" s="1389">
        <f t="shared" si="75"/>
        <v>0.98509397278029809</v>
      </c>
      <c r="O131" s="953"/>
      <c r="P131" s="954"/>
      <c r="Q131" s="954"/>
      <c r="R131" s="1349" t="str">
        <f t="shared" si="76"/>
        <v>-</v>
      </c>
      <c r="S131" s="953"/>
      <c r="T131" s="954"/>
      <c r="U131" s="954"/>
      <c r="V131" s="1349" t="str">
        <f t="shared" si="77"/>
        <v>-</v>
      </c>
      <c r="W131" s="953"/>
      <c r="X131" s="954">
        <f>1508+23</f>
        <v>1531</v>
      </c>
      <c r="Y131" s="954">
        <v>1508</v>
      </c>
      <c r="Z131" s="1349">
        <f t="shared" si="78"/>
        <v>0.98497713912475504</v>
      </c>
      <c r="AA131" s="953"/>
      <c r="AB131" s="954">
        <v>12</v>
      </c>
      <c r="AC131" s="954">
        <v>12</v>
      </c>
      <c r="AD131" s="1349">
        <f t="shared" si="79"/>
        <v>1</v>
      </c>
      <c r="AE131" s="1273">
        <f t="shared" si="80"/>
        <v>0</v>
      </c>
      <c r="AF131" s="1274">
        <f t="shared" si="80"/>
        <v>0</v>
      </c>
      <c r="AG131" s="1274">
        <f t="shared" si="80"/>
        <v>0</v>
      </c>
      <c r="AH131" s="1389" t="str">
        <f t="shared" si="81"/>
        <v>-</v>
      </c>
      <c r="AI131" s="953"/>
      <c r="AJ131" s="954"/>
      <c r="AK131" s="954"/>
      <c r="AL131" s="1349" t="str">
        <f t="shared" si="82"/>
        <v>-</v>
      </c>
      <c r="AM131" s="953"/>
      <c r="AN131" s="954"/>
      <c r="AO131" s="954"/>
      <c r="AP131" s="1349" t="str">
        <f t="shared" si="83"/>
        <v>-</v>
      </c>
      <c r="AQ131" s="953"/>
      <c r="AR131" s="954"/>
      <c r="AS131" s="954"/>
      <c r="AT131" s="1349" t="str">
        <f t="shared" si="84"/>
        <v>-</v>
      </c>
      <c r="AU131" s="464"/>
      <c r="AV131" s="464"/>
      <c r="AW131" s="464"/>
      <c r="AX131" s="464"/>
      <c r="AY131" s="464"/>
    </row>
    <row r="132" spans="1:51">
      <c r="A132" s="504">
        <f t="shared" si="85"/>
        <v>110</v>
      </c>
      <c r="B132" s="790">
        <v>25</v>
      </c>
      <c r="C132" s="935" t="s">
        <v>1089</v>
      </c>
      <c r="D132" s="900" t="s">
        <v>2785</v>
      </c>
      <c r="E132" s="936" t="s">
        <v>1237</v>
      </c>
      <c r="F132" s="949" t="s">
        <v>2784</v>
      </c>
      <c r="G132" s="1273">
        <f>+K132+AE132</f>
        <v>0</v>
      </c>
      <c r="H132" s="1274">
        <f>+L132+AF132</f>
        <v>1472</v>
      </c>
      <c r="I132" s="1274">
        <f>+M132+AG132</f>
        <v>1472</v>
      </c>
      <c r="J132" s="1389">
        <f>IF(ISERROR(I132/H132),"-",I132/H132)</f>
        <v>1</v>
      </c>
      <c r="K132" s="1273">
        <f>+O132+S132+W132+AA132</f>
        <v>0</v>
      </c>
      <c r="L132" s="1274">
        <f>+P132+T132+X132+AB132</f>
        <v>1472</v>
      </c>
      <c r="M132" s="1274">
        <f>+Q132+U132+Y132+AC132</f>
        <v>1472</v>
      </c>
      <c r="N132" s="1389">
        <f>IF(ISERROR(M132/L132),"-",M132/L132)</f>
        <v>1</v>
      </c>
      <c r="O132" s="953"/>
      <c r="P132" s="954">
        <v>1472</v>
      </c>
      <c r="Q132" s="954">
        <v>1472</v>
      </c>
      <c r="R132" s="1349">
        <f>IF(ISERROR(Q132/P132),"-",Q132/P132)</f>
        <v>1</v>
      </c>
      <c r="S132" s="953"/>
      <c r="T132" s="954"/>
      <c r="U132" s="954"/>
      <c r="V132" s="1349" t="str">
        <f>IF(ISERROR(U132/T132),"-",U132/T132)</f>
        <v>-</v>
      </c>
      <c r="W132" s="953"/>
      <c r="X132" s="954"/>
      <c r="Y132" s="954"/>
      <c r="Z132" s="1349" t="str">
        <f>IF(ISERROR(Y132/X132),"-",Y132/X132)</f>
        <v>-</v>
      </c>
      <c r="AA132" s="953"/>
      <c r="AB132" s="954"/>
      <c r="AC132" s="954"/>
      <c r="AD132" s="1349" t="str">
        <f>IF(ISERROR(AC132/AB132),"-",AC132/AB132)</f>
        <v>-</v>
      </c>
      <c r="AE132" s="1273">
        <f>+AI132+AM132+AQ132</f>
        <v>0</v>
      </c>
      <c r="AF132" s="1274">
        <f>+AJ132+AN132+AR132</f>
        <v>0</v>
      </c>
      <c r="AG132" s="1274">
        <f>+AK132+AO132+AS132</f>
        <v>0</v>
      </c>
      <c r="AH132" s="1389" t="str">
        <f>IF(ISERROR(AG132/AF132),"-",AG132/AF132)</f>
        <v>-</v>
      </c>
      <c r="AI132" s="953"/>
      <c r="AJ132" s="954"/>
      <c r="AK132" s="954"/>
      <c r="AL132" s="1349" t="str">
        <f>IF(ISERROR(AK132/AJ132),"-",AK132/AJ132)</f>
        <v>-</v>
      </c>
      <c r="AM132" s="953"/>
      <c r="AN132" s="954"/>
      <c r="AO132" s="954"/>
      <c r="AP132" s="1349" t="str">
        <f>IF(ISERROR(AO132/AN132),"-",AO132/AN132)</f>
        <v>-</v>
      </c>
      <c r="AQ132" s="953"/>
      <c r="AR132" s="954"/>
      <c r="AS132" s="954"/>
      <c r="AT132" s="1349" t="str">
        <f>IF(ISERROR(AS132/AR132),"-",AS132/AR132)</f>
        <v>-</v>
      </c>
      <c r="AU132" s="464"/>
      <c r="AV132" s="464"/>
      <c r="AW132" s="464"/>
      <c r="AX132" s="464"/>
      <c r="AY132" s="464"/>
    </row>
    <row r="133" spans="1:51">
      <c r="A133" s="504">
        <f t="shared" si="85"/>
        <v>111</v>
      </c>
      <c r="B133" s="790">
        <v>25</v>
      </c>
      <c r="C133" s="935" t="s">
        <v>1089</v>
      </c>
      <c r="D133" s="900" t="s">
        <v>2785</v>
      </c>
      <c r="E133" s="936" t="s">
        <v>1237</v>
      </c>
      <c r="F133" s="949" t="s">
        <v>2786</v>
      </c>
      <c r="G133" s="1273">
        <f t="shared" si="72"/>
        <v>0</v>
      </c>
      <c r="H133" s="1274">
        <f t="shared" si="72"/>
        <v>1992</v>
      </c>
      <c r="I133" s="1274">
        <f t="shared" si="72"/>
        <v>1992</v>
      </c>
      <c r="J133" s="1389">
        <f t="shared" si="73"/>
        <v>1</v>
      </c>
      <c r="K133" s="1273">
        <f t="shared" si="74"/>
        <v>0</v>
      </c>
      <c r="L133" s="1274">
        <f t="shared" si="74"/>
        <v>1992</v>
      </c>
      <c r="M133" s="1274">
        <f t="shared" si="74"/>
        <v>1992</v>
      </c>
      <c r="N133" s="1389">
        <f t="shared" si="75"/>
        <v>1</v>
      </c>
      <c r="O133" s="953"/>
      <c r="P133" s="954">
        <v>1992</v>
      </c>
      <c r="Q133" s="954">
        <v>1992</v>
      </c>
      <c r="R133" s="1349">
        <f t="shared" si="76"/>
        <v>1</v>
      </c>
      <c r="S133" s="953"/>
      <c r="T133" s="954"/>
      <c r="U133" s="954"/>
      <c r="V133" s="1349" t="str">
        <f t="shared" si="77"/>
        <v>-</v>
      </c>
      <c r="W133" s="953"/>
      <c r="X133" s="954"/>
      <c r="Y133" s="954"/>
      <c r="Z133" s="1349" t="str">
        <f t="shared" si="78"/>
        <v>-</v>
      </c>
      <c r="AA133" s="953"/>
      <c r="AB133" s="954"/>
      <c r="AC133" s="954"/>
      <c r="AD133" s="1349" t="str">
        <f t="shared" si="79"/>
        <v>-</v>
      </c>
      <c r="AE133" s="1273">
        <f t="shared" si="80"/>
        <v>0</v>
      </c>
      <c r="AF133" s="1274">
        <f t="shared" si="80"/>
        <v>0</v>
      </c>
      <c r="AG133" s="1274">
        <f t="shared" si="80"/>
        <v>0</v>
      </c>
      <c r="AH133" s="1389" t="str">
        <f t="shared" si="81"/>
        <v>-</v>
      </c>
      <c r="AI133" s="953"/>
      <c r="AJ133" s="954"/>
      <c r="AK133" s="954"/>
      <c r="AL133" s="1349" t="str">
        <f t="shared" si="82"/>
        <v>-</v>
      </c>
      <c r="AM133" s="953"/>
      <c r="AN133" s="954"/>
      <c r="AO133" s="954"/>
      <c r="AP133" s="1349" t="str">
        <f t="shared" si="83"/>
        <v>-</v>
      </c>
      <c r="AQ133" s="953"/>
      <c r="AR133" s="954"/>
      <c r="AS133" s="954"/>
      <c r="AT133" s="1349" t="str">
        <f t="shared" si="84"/>
        <v>-</v>
      </c>
      <c r="AU133" s="464"/>
      <c r="AV133" s="464"/>
      <c r="AW133" s="464"/>
      <c r="AX133" s="464"/>
      <c r="AY133" s="464"/>
    </row>
    <row r="134" spans="1:51" ht="12.75" thickBot="1">
      <c r="A134" s="504">
        <f t="shared" si="85"/>
        <v>112</v>
      </c>
      <c r="B134" s="790">
        <v>25</v>
      </c>
      <c r="C134" s="935" t="s">
        <v>998</v>
      </c>
      <c r="D134" s="900" t="s">
        <v>999</v>
      </c>
      <c r="E134" s="936" t="s">
        <v>1218</v>
      </c>
      <c r="F134" s="949" t="s">
        <v>1085</v>
      </c>
      <c r="G134" s="1273">
        <f t="shared" si="72"/>
        <v>0</v>
      </c>
      <c r="H134" s="1274">
        <f t="shared" si="72"/>
        <v>0</v>
      </c>
      <c r="I134" s="1274">
        <f t="shared" si="72"/>
        <v>0</v>
      </c>
      <c r="J134" s="1389" t="str">
        <f t="shared" si="73"/>
        <v>-</v>
      </c>
      <c r="K134" s="1273">
        <f t="shared" si="74"/>
        <v>0</v>
      </c>
      <c r="L134" s="1274">
        <f t="shared" si="74"/>
        <v>0</v>
      </c>
      <c r="M134" s="1274">
        <f t="shared" si="74"/>
        <v>0</v>
      </c>
      <c r="N134" s="1389" t="str">
        <f t="shared" si="75"/>
        <v>-</v>
      </c>
      <c r="O134" s="953"/>
      <c r="P134" s="954"/>
      <c r="Q134" s="954"/>
      <c r="R134" s="1349" t="str">
        <f t="shared" si="76"/>
        <v>-</v>
      </c>
      <c r="S134" s="953"/>
      <c r="T134" s="954"/>
      <c r="U134" s="954"/>
      <c r="V134" s="1349" t="str">
        <f t="shared" si="77"/>
        <v>-</v>
      </c>
      <c r="W134" s="953"/>
      <c r="X134" s="954"/>
      <c r="Y134" s="954"/>
      <c r="Z134" s="1349" t="str">
        <f t="shared" si="78"/>
        <v>-</v>
      </c>
      <c r="AA134" s="953"/>
      <c r="AB134" s="954"/>
      <c r="AC134" s="954"/>
      <c r="AD134" s="1349" t="str">
        <f t="shared" si="79"/>
        <v>-</v>
      </c>
      <c r="AE134" s="1273">
        <f t="shared" si="80"/>
        <v>0</v>
      </c>
      <c r="AF134" s="1274">
        <f t="shared" si="80"/>
        <v>0</v>
      </c>
      <c r="AG134" s="1274">
        <f t="shared" si="80"/>
        <v>0</v>
      </c>
      <c r="AH134" s="1389" t="str">
        <f t="shared" si="81"/>
        <v>-</v>
      </c>
      <c r="AI134" s="953"/>
      <c r="AJ134" s="954"/>
      <c r="AK134" s="954"/>
      <c r="AL134" s="1349" t="str">
        <f t="shared" si="82"/>
        <v>-</v>
      </c>
      <c r="AM134" s="953"/>
      <c r="AN134" s="954"/>
      <c r="AO134" s="954"/>
      <c r="AP134" s="1349" t="str">
        <f t="shared" si="83"/>
        <v>-</v>
      </c>
      <c r="AQ134" s="953"/>
      <c r="AR134" s="954"/>
      <c r="AS134" s="954"/>
      <c r="AT134" s="1349" t="str">
        <f t="shared" si="84"/>
        <v>-</v>
      </c>
      <c r="AU134" s="464"/>
      <c r="AV134" s="464"/>
      <c r="AW134" s="464"/>
      <c r="AX134" s="464"/>
      <c r="AY134" s="464"/>
    </row>
    <row r="135" spans="1:51" s="462" customFormat="1" ht="12.75" thickBot="1">
      <c r="A135" s="500" t="s">
        <v>750</v>
      </c>
      <c r="B135" s="793"/>
      <c r="C135" s="1880" t="s">
        <v>420</v>
      </c>
      <c r="D135" s="1881"/>
      <c r="E135" s="1881"/>
      <c r="F135" s="1882"/>
      <c r="G135" s="490">
        <f>SUM(G128:G134)</f>
        <v>600</v>
      </c>
      <c r="H135" s="491">
        <f>SUM(H128:H134)</f>
        <v>5683</v>
      </c>
      <c r="I135" s="491">
        <f>SUM(I128:I134)</f>
        <v>5660</v>
      </c>
      <c r="J135" s="1350">
        <f t="shared" si="73"/>
        <v>0.99595284180890375</v>
      </c>
      <c r="K135" s="490">
        <f>SUM(K128:K134)</f>
        <v>600</v>
      </c>
      <c r="L135" s="491">
        <f>SUM(L128:L134)</f>
        <v>5683</v>
      </c>
      <c r="M135" s="491">
        <f>SUM(M128:M134)</f>
        <v>5660</v>
      </c>
      <c r="N135" s="1350">
        <f t="shared" si="75"/>
        <v>0.99595284180890375</v>
      </c>
      <c r="O135" s="472">
        <f>SUM(O128:O134)</f>
        <v>0</v>
      </c>
      <c r="P135" s="355">
        <f>SUM(P128:P134)</f>
        <v>3714</v>
      </c>
      <c r="Q135" s="355">
        <f>SUM(Q128:Q134)</f>
        <v>3714</v>
      </c>
      <c r="R135" s="1350">
        <f t="shared" si="76"/>
        <v>1</v>
      </c>
      <c r="S135" s="472">
        <f>SUM(S128:S134)</f>
        <v>0</v>
      </c>
      <c r="T135" s="355">
        <f>SUM(T128:T134)</f>
        <v>0</v>
      </c>
      <c r="U135" s="355">
        <f>SUM(U128:U134)</f>
        <v>0</v>
      </c>
      <c r="V135" s="1350" t="str">
        <f t="shared" si="77"/>
        <v>-</v>
      </c>
      <c r="W135" s="472">
        <f>SUM(W128:W134)</f>
        <v>600</v>
      </c>
      <c r="X135" s="355">
        <f>SUM(X128:X134)</f>
        <v>1957</v>
      </c>
      <c r="Y135" s="355">
        <f>SUM(Y128:Y134)</f>
        <v>1934</v>
      </c>
      <c r="Z135" s="1350">
        <f t="shared" si="78"/>
        <v>0.98824731732243232</v>
      </c>
      <c r="AA135" s="472">
        <f>SUM(AA128:AA134)</f>
        <v>0</v>
      </c>
      <c r="AB135" s="355">
        <f>SUM(AB128:AB134)</f>
        <v>12</v>
      </c>
      <c r="AC135" s="355">
        <f>SUM(AC128:AC134)</f>
        <v>12</v>
      </c>
      <c r="AD135" s="1350">
        <f t="shared" si="79"/>
        <v>1</v>
      </c>
      <c r="AE135" s="490">
        <f>SUM(AE128:AE134)</f>
        <v>0</v>
      </c>
      <c r="AF135" s="491">
        <f>SUM(AF128:AF134)</f>
        <v>0</v>
      </c>
      <c r="AG135" s="491">
        <f>SUM(AG128:AG134)</f>
        <v>0</v>
      </c>
      <c r="AH135" s="1350" t="str">
        <f t="shared" si="81"/>
        <v>-</v>
      </c>
      <c r="AI135" s="472">
        <f>SUM(AI128:AI134)</f>
        <v>0</v>
      </c>
      <c r="AJ135" s="355">
        <f>SUM(AJ128:AJ134)</f>
        <v>0</v>
      </c>
      <c r="AK135" s="355">
        <f>SUM(AK128:AK134)</f>
        <v>0</v>
      </c>
      <c r="AL135" s="1350" t="str">
        <f t="shared" si="82"/>
        <v>-</v>
      </c>
      <c r="AM135" s="472">
        <f>SUM(AM128:AM134)</f>
        <v>0</v>
      </c>
      <c r="AN135" s="355">
        <f>SUM(AN128:AN134)</f>
        <v>0</v>
      </c>
      <c r="AO135" s="355">
        <f>SUM(AO128:AO134)</f>
        <v>0</v>
      </c>
      <c r="AP135" s="1350" t="str">
        <f t="shared" si="83"/>
        <v>-</v>
      </c>
      <c r="AQ135" s="472">
        <f>SUM(AQ128:AQ134)</f>
        <v>0</v>
      </c>
      <c r="AR135" s="355">
        <f>SUM(AR128:AR134)</f>
        <v>0</v>
      </c>
      <c r="AS135" s="355">
        <f>SUM(AS128:AS134)</f>
        <v>0</v>
      </c>
      <c r="AT135" s="1350" t="str">
        <f t="shared" si="84"/>
        <v>-</v>
      </c>
      <c r="AU135" s="464"/>
      <c r="AV135" s="464"/>
      <c r="AW135" s="464"/>
      <c r="AX135" s="464"/>
      <c r="AY135" s="464"/>
    </row>
    <row r="136" spans="1:51" s="466" customFormat="1" ht="12.75" customHeight="1" thickBot="1">
      <c r="A136" s="506">
        <f>A134+1</f>
        <v>113</v>
      </c>
      <c r="B136" s="798">
        <v>27</v>
      </c>
      <c r="C136" s="882" t="s">
        <v>19</v>
      </c>
      <c r="D136" s="497" t="s">
        <v>19</v>
      </c>
      <c r="E136" s="877" t="s">
        <v>19</v>
      </c>
      <c r="F136" s="951" t="s">
        <v>19</v>
      </c>
      <c r="G136" s="1283">
        <f>+K136+AE136</f>
        <v>0</v>
      </c>
      <c r="H136" s="1284">
        <f>+L136+AF136</f>
        <v>0</v>
      </c>
      <c r="I136" s="1284">
        <f>+M136+AG136</f>
        <v>0</v>
      </c>
      <c r="J136" s="1389" t="str">
        <f t="shared" si="73"/>
        <v>-</v>
      </c>
      <c r="K136" s="1283">
        <f>+O136+S136+W136+AA136</f>
        <v>0</v>
      </c>
      <c r="L136" s="1284">
        <f>+P136+T136+X136+AB136</f>
        <v>0</v>
      </c>
      <c r="M136" s="1284">
        <f>+Q136+U136+Y136+AC136</f>
        <v>0</v>
      </c>
      <c r="N136" s="1389" t="str">
        <f t="shared" si="75"/>
        <v>-</v>
      </c>
      <c r="O136" s="469"/>
      <c r="P136" s="468"/>
      <c r="Q136" s="468"/>
      <c r="R136" s="1349" t="str">
        <f t="shared" si="76"/>
        <v>-</v>
      </c>
      <c r="S136" s="469"/>
      <c r="T136" s="468"/>
      <c r="U136" s="468"/>
      <c r="V136" s="1349" t="str">
        <f t="shared" si="77"/>
        <v>-</v>
      </c>
      <c r="W136" s="469"/>
      <c r="X136" s="468"/>
      <c r="Y136" s="468"/>
      <c r="Z136" s="1349" t="str">
        <f t="shared" si="78"/>
        <v>-</v>
      </c>
      <c r="AA136" s="469"/>
      <c r="AB136" s="468"/>
      <c r="AC136" s="468"/>
      <c r="AD136" s="1349" t="str">
        <f t="shared" si="79"/>
        <v>-</v>
      </c>
      <c r="AE136" s="1283">
        <f>+AI136+AM136+AQ136</f>
        <v>0</v>
      </c>
      <c r="AF136" s="1284">
        <f>+AJ136+AN136+AR136</f>
        <v>0</v>
      </c>
      <c r="AG136" s="1284">
        <f>+AK136+AO136+AS136</f>
        <v>0</v>
      </c>
      <c r="AH136" s="1389" t="str">
        <f t="shared" si="81"/>
        <v>-</v>
      </c>
      <c r="AI136" s="469"/>
      <c r="AJ136" s="468"/>
      <c r="AK136" s="468"/>
      <c r="AL136" s="1349" t="str">
        <f t="shared" si="82"/>
        <v>-</v>
      </c>
      <c r="AM136" s="469"/>
      <c r="AN136" s="468"/>
      <c r="AO136" s="468"/>
      <c r="AP136" s="1349" t="str">
        <f t="shared" si="83"/>
        <v>-</v>
      </c>
      <c r="AQ136" s="469"/>
      <c r="AR136" s="468"/>
      <c r="AS136" s="468"/>
      <c r="AT136" s="1349" t="str">
        <f t="shared" si="84"/>
        <v>-</v>
      </c>
      <c r="AU136" s="464"/>
      <c r="AV136" s="464"/>
      <c r="AW136" s="464"/>
      <c r="AX136" s="464"/>
      <c r="AY136" s="464"/>
    </row>
    <row r="137" spans="1:51" s="462" customFormat="1" ht="12.75" thickBot="1">
      <c r="A137" s="500" t="s">
        <v>633</v>
      </c>
      <c r="B137" s="793"/>
      <c r="C137" s="1880" t="s">
        <v>752</v>
      </c>
      <c r="D137" s="1881"/>
      <c r="E137" s="1881"/>
      <c r="F137" s="1882"/>
      <c r="G137" s="490">
        <f>SUM(G136)</f>
        <v>0</v>
      </c>
      <c r="H137" s="491">
        <f>SUM(H136)</f>
        <v>0</v>
      </c>
      <c r="I137" s="491">
        <f>SUM(I136)</f>
        <v>0</v>
      </c>
      <c r="J137" s="1350" t="str">
        <f t="shared" si="73"/>
        <v>-</v>
      </c>
      <c r="K137" s="490">
        <f>SUM(K136)</f>
        <v>0</v>
      </c>
      <c r="L137" s="491">
        <f>SUM(L136)</f>
        <v>0</v>
      </c>
      <c r="M137" s="491">
        <f>SUM(M136)</f>
        <v>0</v>
      </c>
      <c r="N137" s="1350" t="str">
        <f t="shared" si="75"/>
        <v>-</v>
      </c>
      <c r="O137" s="472">
        <f>SUM(O136)</f>
        <v>0</v>
      </c>
      <c r="P137" s="355">
        <f>SUM(P136)</f>
        <v>0</v>
      </c>
      <c r="Q137" s="355">
        <f>SUM(Q136)</f>
        <v>0</v>
      </c>
      <c r="R137" s="1350" t="str">
        <f t="shared" si="76"/>
        <v>-</v>
      </c>
      <c r="S137" s="472">
        <f>SUM(S136)</f>
        <v>0</v>
      </c>
      <c r="T137" s="355">
        <f>SUM(T136)</f>
        <v>0</v>
      </c>
      <c r="U137" s="355">
        <f>SUM(U136)</f>
        <v>0</v>
      </c>
      <c r="V137" s="1350" t="str">
        <f t="shared" si="77"/>
        <v>-</v>
      </c>
      <c r="W137" s="472">
        <f>SUM(W136)</f>
        <v>0</v>
      </c>
      <c r="X137" s="355">
        <f>SUM(X136)</f>
        <v>0</v>
      </c>
      <c r="Y137" s="355">
        <f>SUM(Y136)</f>
        <v>0</v>
      </c>
      <c r="Z137" s="1350" t="str">
        <f t="shared" si="78"/>
        <v>-</v>
      </c>
      <c r="AA137" s="472">
        <f>SUM(AA136)</f>
        <v>0</v>
      </c>
      <c r="AB137" s="355">
        <f>SUM(AB136)</f>
        <v>0</v>
      </c>
      <c r="AC137" s="355">
        <f>SUM(AC136)</f>
        <v>0</v>
      </c>
      <c r="AD137" s="1350" t="str">
        <f t="shared" si="79"/>
        <v>-</v>
      </c>
      <c r="AE137" s="490">
        <f>SUM(AE136)</f>
        <v>0</v>
      </c>
      <c r="AF137" s="491">
        <f>SUM(AF136)</f>
        <v>0</v>
      </c>
      <c r="AG137" s="491">
        <f>SUM(AG136)</f>
        <v>0</v>
      </c>
      <c r="AH137" s="1350" t="str">
        <f t="shared" si="81"/>
        <v>-</v>
      </c>
      <c r="AI137" s="472">
        <f>SUM(AI136)</f>
        <v>0</v>
      </c>
      <c r="AJ137" s="355">
        <f>SUM(AJ136)</f>
        <v>0</v>
      </c>
      <c r="AK137" s="355">
        <f>SUM(AK136)</f>
        <v>0</v>
      </c>
      <c r="AL137" s="1350" t="str">
        <f t="shared" si="82"/>
        <v>-</v>
      </c>
      <c r="AM137" s="472">
        <f>SUM(AM136)</f>
        <v>0</v>
      </c>
      <c r="AN137" s="355">
        <f>SUM(AN136)</f>
        <v>0</v>
      </c>
      <c r="AO137" s="355">
        <f>SUM(AO136)</f>
        <v>0</v>
      </c>
      <c r="AP137" s="1350" t="str">
        <f t="shared" si="83"/>
        <v>-</v>
      </c>
      <c r="AQ137" s="472">
        <f>SUM(AQ136)</f>
        <v>0</v>
      </c>
      <c r="AR137" s="355">
        <f>SUM(AR136)</f>
        <v>0</v>
      </c>
      <c r="AS137" s="355">
        <f>SUM(AS136)</f>
        <v>0</v>
      </c>
      <c r="AT137" s="1350" t="str">
        <f t="shared" si="84"/>
        <v>-</v>
      </c>
      <c r="AU137" s="464"/>
      <c r="AV137" s="464"/>
      <c r="AW137" s="464"/>
      <c r="AX137" s="464"/>
      <c r="AY137" s="464"/>
    </row>
    <row r="138" spans="1:51" s="466" customFormat="1" ht="12.75" customHeight="1" thickBot="1">
      <c r="A138" s="506">
        <f>+A136+1</f>
        <v>114</v>
      </c>
      <c r="B138" s="798">
        <v>28</v>
      </c>
      <c r="C138" s="882" t="s">
        <v>19</v>
      </c>
      <c r="D138" s="497" t="s">
        <v>19</v>
      </c>
      <c r="E138" s="877" t="s">
        <v>19</v>
      </c>
      <c r="F138" s="951" t="s">
        <v>19</v>
      </c>
      <c r="G138" s="1283">
        <f>+K138+AE138</f>
        <v>0</v>
      </c>
      <c r="H138" s="1284">
        <f>+L138+AF138</f>
        <v>0</v>
      </c>
      <c r="I138" s="1284">
        <f>+M138+AG138</f>
        <v>0</v>
      </c>
      <c r="J138" s="1389" t="str">
        <f t="shared" si="73"/>
        <v>-</v>
      </c>
      <c r="K138" s="1283">
        <f>+O138+S138+W138+AA138</f>
        <v>0</v>
      </c>
      <c r="L138" s="1284">
        <f>+P138+T138+X138+AB138</f>
        <v>0</v>
      </c>
      <c r="M138" s="1284">
        <f>+Q138+U138+Y138+AC138</f>
        <v>0</v>
      </c>
      <c r="N138" s="1389" t="str">
        <f t="shared" si="75"/>
        <v>-</v>
      </c>
      <c r="O138" s="469"/>
      <c r="P138" s="468"/>
      <c r="Q138" s="468"/>
      <c r="R138" s="1349" t="str">
        <f t="shared" si="76"/>
        <v>-</v>
      </c>
      <c r="S138" s="469"/>
      <c r="T138" s="468"/>
      <c r="U138" s="468"/>
      <c r="V138" s="1349" t="str">
        <f t="shared" si="77"/>
        <v>-</v>
      </c>
      <c r="W138" s="469"/>
      <c r="X138" s="468"/>
      <c r="Y138" s="468"/>
      <c r="Z138" s="1349" t="str">
        <f t="shared" si="78"/>
        <v>-</v>
      </c>
      <c r="AA138" s="469"/>
      <c r="AB138" s="468"/>
      <c r="AC138" s="468"/>
      <c r="AD138" s="1349" t="str">
        <f t="shared" si="79"/>
        <v>-</v>
      </c>
      <c r="AE138" s="1283">
        <f>+AI138+AM138+AQ138</f>
        <v>0</v>
      </c>
      <c r="AF138" s="1284">
        <f>+AJ138+AN138+AR138</f>
        <v>0</v>
      </c>
      <c r="AG138" s="1284">
        <f>+AK138+AO138+AS138</f>
        <v>0</v>
      </c>
      <c r="AH138" s="1389" t="str">
        <f t="shared" si="81"/>
        <v>-</v>
      </c>
      <c r="AI138" s="469"/>
      <c r="AJ138" s="468"/>
      <c r="AK138" s="468"/>
      <c r="AL138" s="1349" t="str">
        <f t="shared" si="82"/>
        <v>-</v>
      </c>
      <c r="AM138" s="469"/>
      <c r="AN138" s="468"/>
      <c r="AO138" s="468"/>
      <c r="AP138" s="1349" t="str">
        <f t="shared" si="83"/>
        <v>-</v>
      </c>
      <c r="AQ138" s="469"/>
      <c r="AR138" s="468"/>
      <c r="AS138" s="468"/>
      <c r="AT138" s="1349" t="str">
        <f t="shared" si="84"/>
        <v>-</v>
      </c>
      <c r="AU138" s="464"/>
      <c r="AV138" s="464"/>
      <c r="AW138" s="464"/>
      <c r="AX138" s="464"/>
      <c r="AY138" s="464"/>
    </row>
    <row r="139" spans="1:51" s="462" customFormat="1" ht="12.75" thickBot="1">
      <c r="A139" s="500" t="s">
        <v>751</v>
      </c>
      <c r="B139" s="793"/>
      <c r="C139" s="1880" t="s">
        <v>767</v>
      </c>
      <c r="D139" s="1881"/>
      <c r="E139" s="1881"/>
      <c r="F139" s="1882"/>
      <c r="G139" s="490">
        <f>SUM(G138)</f>
        <v>0</v>
      </c>
      <c r="H139" s="491">
        <f>SUM(H138)</f>
        <v>0</v>
      </c>
      <c r="I139" s="491">
        <f>SUM(I138)</f>
        <v>0</v>
      </c>
      <c r="J139" s="1350" t="str">
        <f t="shared" si="73"/>
        <v>-</v>
      </c>
      <c r="K139" s="490">
        <f>SUM(K138)</f>
        <v>0</v>
      </c>
      <c r="L139" s="491">
        <f>SUM(L138)</f>
        <v>0</v>
      </c>
      <c r="M139" s="491">
        <f>SUM(M138)</f>
        <v>0</v>
      </c>
      <c r="N139" s="1350" t="str">
        <f t="shared" si="75"/>
        <v>-</v>
      </c>
      <c r="O139" s="472">
        <f>SUM(O138)</f>
        <v>0</v>
      </c>
      <c r="P139" s="355">
        <f>SUM(P138)</f>
        <v>0</v>
      </c>
      <c r="Q139" s="355">
        <f>SUM(Q138)</f>
        <v>0</v>
      </c>
      <c r="R139" s="1350" t="str">
        <f t="shared" si="76"/>
        <v>-</v>
      </c>
      <c r="S139" s="472">
        <f>SUM(S138)</f>
        <v>0</v>
      </c>
      <c r="T139" s="355">
        <f>SUM(T138)</f>
        <v>0</v>
      </c>
      <c r="U139" s="355">
        <f>SUM(U138)</f>
        <v>0</v>
      </c>
      <c r="V139" s="1350" t="str">
        <f t="shared" si="77"/>
        <v>-</v>
      </c>
      <c r="W139" s="472">
        <f>SUM(W138)</f>
        <v>0</v>
      </c>
      <c r="X139" s="355">
        <f>SUM(X138)</f>
        <v>0</v>
      </c>
      <c r="Y139" s="355">
        <f>SUM(Y138)</f>
        <v>0</v>
      </c>
      <c r="Z139" s="1350" t="str">
        <f t="shared" si="78"/>
        <v>-</v>
      </c>
      <c r="AA139" s="472">
        <f>SUM(AA138)</f>
        <v>0</v>
      </c>
      <c r="AB139" s="355">
        <f>SUM(AB138)</f>
        <v>0</v>
      </c>
      <c r="AC139" s="355">
        <f>SUM(AC138)</f>
        <v>0</v>
      </c>
      <c r="AD139" s="1350" t="str">
        <f t="shared" si="79"/>
        <v>-</v>
      </c>
      <c r="AE139" s="490">
        <f>SUM(AE138)</f>
        <v>0</v>
      </c>
      <c r="AF139" s="491">
        <f>SUM(AF138)</f>
        <v>0</v>
      </c>
      <c r="AG139" s="491">
        <f>SUM(AG138)</f>
        <v>0</v>
      </c>
      <c r="AH139" s="1350" t="str">
        <f t="shared" si="81"/>
        <v>-</v>
      </c>
      <c r="AI139" s="472">
        <f>SUM(AI138)</f>
        <v>0</v>
      </c>
      <c r="AJ139" s="355">
        <f>SUM(AJ138)</f>
        <v>0</v>
      </c>
      <c r="AK139" s="355">
        <f>SUM(AK138)</f>
        <v>0</v>
      </c>
      <c r="AL139" s="1350" t="str">
        <f t="shared" si="82"/>
        <v>-</v>
      </c>
      <c r="AM139" s="472">
        <f>SUM(AM138)</f>
        <v>0</v>
      </c>
      <c r="AN139" s="355">
        <f>SUM(AN138)</f>
        <v>0</v>
      </c>
      <c r="AO139" s="355">
        <f>SUM(AO138)</f>
        <v>0</v>
      </c>
      <c r="AP139" s="1350" t="str">
        <f t="shared" si="83"/>
        <v>-</v>
      </c>
      <c r="AQ139" s="472">
        <f>SUM(AQ138)</f>
        <v>0</v>
      </c>
      <c r="AR139" s="355">
        <f>SUM(AR138)</f>
        <v>0</v>
      </c>
      <c r="AS139" s="355">
        <f>SUM(AS138)</f>
        <v>0</v>
      </c>
      <c r="AT139" s="1350" t="str">
        <f t="shared" si="84"/>
        <v>-</v>
      </c>
      <c r="AU139" s="464"/>
      <c r="AV139" s="464"/>
      <c r="AW139" s="464"/>
      <c r="AX139" s="464"/>
      <c r="AY139" s="464"/>
    </row>
    <row r="140" spans="1:51" s="462" customFormat="1" ht="12.75" thickBot="1">
      <c r="A140" s="501" t="s">
        <v>20</v>
      </c>
      <c r="B140" s="794"/>
      <c r="C140" s="1874" t="s">
        <v>422</v>
      </c>
      <c r="D140" s="1875"/>
      <c r="E140" s="1875"/>
      <c r="F140" s="1876"/>
      <c r="G140" s="474">
        <f>+G135+G137+G139</f>
        <v>600</v>
      </c>
      <c r="H140" s="475">
        <f>+H135+H137+H139</f>
        <v>5683</v>
      </c>
      <c r="I140" s="475">
        <f>+I135+I137+I139</f>
        <v>5660</v>
      </c>
      <c r="J140" s="1386">
        <f t="shared" si="73"/>
        <v>0.99595284180890375</v>
      </c>
      <c r="K140" s="474">
        <f>+K135+K137+K139</f>
        <v>600</v>
      </c>
      <c r="L140" s="475">
        <f>+L135+L137+L139</f>
        <v>5683</v>
      </c>
      <c r="M140" s="475">
        <f>+M135+M137+M139</f>
        <v>5660</v>
      </c>
      <c r="N140" s="1386">
        <f t="shared" si="75"/>
        <v>0.99595284180890375</v>
      </c>
      <c r="O140" s="484">
        <f>+O135+O137+O139</f>
        <v>0</v>
      </c>
      <c r="P140" s="485">
        <f>+P135+P137+P139</f>
        <v>3714</v>
      </c>
      <c r="Q140" s="485">
        <f>+Q135+Q137+Q139</f>
        <v>3714</v>
      </c>
      <c r="R140" s="1386">
        <f t="shared" si="76"/>
        <v>1</v>
      </c>
      <c r="S140" s="484">
        <f>+S135+S137+S139</f>
        <v>0</v>
      </c>
      <c r="T140" s="485">
        <f>+T135+T137+T139</f>
        <v>0</v>
      </c>
      <c r="U140" s="485">
        <f>+U135+U137+U139</f>
        <v>0</v>
      </c>
      <c r="V140" s="1386" t="str">
        <f t="shared" si="77"/>
        <v>-</v>
      </c>
      <c r="W140" s="484">
        <f>+W135+W137+W139</f>
        <v>600</v>
      </c>
      <c r="X140" s="485">
        <f>+X135+X137+X139</f>
        <v>1957</v>
      </c>
      <c r="Y140" s="485">
        <f>+Y135+Y137+Y139</f>
        <v>1934</v>
      </c>
      <c r="Z140" s="1386">
        <f t="shared" si="78"/>
        <v>0.98824731732243232</v>
      </c>
      <c r="AA140" s="484">
        <f>+AA135+AA137+AA139</f>
        <v>0</v>
      </c>
      <c r="AB140" s="485">
        <f>+AB135+AB137+AB139</f>
        <v>12</v>
      </c>
      <c r="AC140" s="485">
        <f>+AC135+AC137+AC139</f>
        <v>12</v>
      </c>
      <c r="AD140" s="1386">
        <f t="shared" si="79"/>
        <v>1</v>
      </c>
      <c r="AE140" s="474">
        <f>+AE135+AE137+AE139</f>
        <v>0</v>
      </c>
      <c r="AF140" s="475">
        <f>+AF135+AF137+AF139</f>
        <v>0</v>
      </c>
      <c r="AG140" s="475">
        <f>+AG135+AG137+AG139</f>
        <v>0</v>
      </c>
      <c r="AH140" s="1386" t="str">
        <f t="shared" si="81"/>
        <v>-</v>
      </c>
      <c r="AI140" s="484">
        <f>+AI135+AI137+AI139</f>
        <v>0</v>
      </c>
      <c r="AJ140" s="485">
        <f>+AJ135+AJ137+AJ139</f>
        <v>0</v>
      </c>
      <c r="AK140" s="485">
        <f>+AK135+AK137+AK139</f>
        <v>0</v>
      </c>
      <c r="AL140" s="1386" t="str">
        <f t="shared" si="82"/>
        <v>-</v>
      </c>
      <c r="AM140" s="484">
        <f>+AM135+AM137+AM139</f>
        <v>0</v>
      </c>
      <c r="AN140" s="485">
        <f>+AN135+AN137+AN139</f>
        <v>0</v>
      </c>
      <c r="AO140" s="485">
        <f>+AO135+AO137+AO139</f>
        <v>0</v>
      </c>
      <c r="AP140" s="1386" t="str">
        <f t="shared" si="83"/>
        <v>-</v>
      </c>
      <c r="AQ140" s="484">
        <f>+AQ135+AQ137+AQ139</f>
        <v>0</v>
      </c>
      <c r="AR140" s="485">
        <f>+AR135+AR137+AR139</f>
        <v>0</v>
      </c>
      <c r="AS140" s="485">
        <f>+AS135+AS137+AS139</f>
        <v>0</v>
      </c>
      <c r="AT140" s="1386" t="str">
        <f t="shared" si="84"/>
        <v>-</v>
      </c>
      <c r="AU140" s="464"/>
      <c r="AV140" s="464"/>
      <c r="AW140" s="464"/>
      <c r="AX140" s="464"/>
      <c r="AY140" s="464"/>
    </row>
    <row r="141" spans="1:51" s="462" customFormat="1" ht="12.75" thickBot="1">
      <c r="A141" s="500"/>
      <c r="B141" s="797"/>
      <c r="C141" s="881"/>
      <c r="D141" s="499"/>
      <c r="E141" s="876"/>
      <c r="F141" s="471"/>
      <c r="G141" s="490"/>
      <c r="H141" s="491"/>
      <c r="I141" s="491"/>
      <c r="J141" s="917"/>
      <c r="K141" s="490"/>
      <c r="L141" s="491"/>
      <c r="M141" s="491"/>
      <c r="N141" s="917"/>
      <c r="O141" s="472"/>
      <c r="P141" s="355"/>
      <c r="Q141" s="355"/>
      <c r="R141" s="917"/>
      <c r="S141" s="472"/>
      <c r="T141" s="355"/>
      <c r="U141" s="355"/>
      <c r="V141" s="917"/>
      <c r="W141" s="472"/>
      <c r="X141" s="355"/>
      <c r="Y141" s="355"/>
      <c r="Z141" s="917"/>
      <c r="AA141" s="472"/>
      <c r="AB141" s="355"/>
      <c r="AC141" s="355"/>
      <c r="AD141" s="917"/>
      <c r="AE141" s="490"/>
      <c r="AF141" s="491"/>
      <c r="AG141" s="491"/>
      <c r="AH141" s="917"/>
      <c r="AI141" s="472"/>
      <c r="AJ141" s="355"/>
      <c r="AK141" s="355"/>
      <c r="AL141" s="917"/>
      <c r="AM141" s="472"/>
      <c r="AN141" s="355"/>
      <c r="AO141" s="355"/>
      <c r="AP141" s="917"/>
      <c r="AQ141" s="472"/>
      <c r="AR141" s="355"/>
      <c r="AS141" s="355"/>
      <c r="AT141" s="917"/>
      <c r="AU141" s="464"/>
      <c r="AV141" s="464"/>
      <c r="AW141" s="464"/>
      <c r="AX141" s="464"/>
      <c r="AY141" s="464"/>
    </row>
    <row r="142" spans="1:51" s="466" customFormat="1" ht="12.75" customHeight="1" thickBot="1">
      <c r="A142" s="504">
        <f>A138+1</f>
        <v>115</v>
      </c>
      <c r="B142" s="791">
        <v>29</v>
      </c>
      <c r="C142" s="935" t="s">
        <v>19</v>
      </c>
      <c r="D142" s="900" t="s">
        <v>19</v>
      </c>
      <c r="E142" s="936" t="s">
        <v>19</v>
      </c>
      <c r="F142" s="949" t="s">
        <v>19</v>
      </c>
      <c r="G142" s="1273">
        <f>+K142+AE142</f>
        <v>0</v>
      </c>
      <c r="H142" s="1274">
        <f>+L142+AF142</f>
        <v>0</v>
      </c>
      <c r="I142" s="1274">
        <f>+M142+AG142</f>
        <v>0</v>
      </c>
      <c r="J142" s="1389" t="str">
        <f t="shared" ref="J142:J149" si="86">IF(ISERROR(I142/H142),"-",I142/H142)</f>
        <v>-</v>
      </c>
      <c r="K142" s="1273">
        <f>+O142+S142+W142+AA142</f>
        <v>0</v>
      </c>
      <c r="L142" s="1274">
        <f>+P142+T142+X142+AB142</f>
        <v>0</v>
      </c>
      <c r="M142" s="1274">
        <f>+Q142+U142+Y142+AC142</f>
        <v>0</v>
      </c>
      <c r="N142" s="1389" t="str">
        <f t="shared" ref="N142:N149" si="87">IF(ISERROR(M142/L142),"-",M142/L142)</f>
        <v>-</v>
      </c>
      <c r="O142" s="953"/>
      <c r="P142" s="954"/>
      <c r="Q142" s="954"/>
      <c r="R142" s="1349" t="str">
        <f t="shared" ref="R142:R149" si="88">IF(ISERROR(Q142/P142),"-",Q142/P142)</f>
        <v>-</v>
      </c>
      <c r="S142" s="955"/>
      <c r="T142" s="956"/>
      <c r="U142" s="954"/>
      <c r="V142" s="1349" t="str">
        <f t="shared" ref="V142:V149" si="89">IF(ISERROR(U142/T142),"-",U142/T142)</f>
        <v>-</v>
      </c>
      <c r="W142" s="955"/>
      <c r="X142" s="956"/>
      <c r="Y142" s="954"/>
      <c r="Z142" s="1349" t="str">
        <f t="shared" ref="Z142:Z149" si="90">IF(ISERROR(Y142/X142),"-",Y142/X142)</f>
        <v>-</v>
      </c>
      <c r="AA142" s="955"/>
      <c r="AB142" s="956"/>
      <c r="AC142" s="954"/>
      <c r="AD142" s="1349" t="str">
        <f t="shared" ref="AD142:AD149" si="91">IF(ISERROR(AC142/AB142),"-",AC142/AB142)</f>
        <v>-</v>
      </c>
      <c r="AE142" s="1273">
        <f>+AI142+AM142+AQ142</f>
        <v>0</v>
      </c>
      <c r="AF142" s="1274">
        <f>+AJ142+AN142+AR142</f>
        <v>0</v>
      </c>
      <c r="AG142" s="1274">
        <f>+AK142+AO142+AS142</f>
        <v>0</v>
      </c>
      <c r="AH142" s="1389" t="str">
        <f t="shared" ref="AH142:AH149" si="92">IF(ISERROR(AG142/AF142),"-",AG142/AF142)</f>
        <v>-</v>
      </c>
      <c r="AI142" s="955"/>
      <c r="AJ142" s="956"/>
      <c r="AK142" s="954"/>
      <c r="AL142" s="1349" t="str">
        <f t="shared" ref="AL142:AL149" si="93">IF(ISERROR(AK142/AJ142),"-",AK142/AJ142)</f>
        <v>-</v>
      </c>
      <c r="AM142" s="955"/>
      <c r="AN142" s="956"/>
      <c r="AO142" s="954"/>
      <c r="AP142" s="1349" t="str">
        <f t="shared" ref="AP142:AP149" si="94">IF(ISERROR(AO142/AN142),"-",AO142/AN142)</f>
        <v>-</v>
      </c>
      <c r="AQ142" s="955"/>
      <c r="AR142" s="956"/>
      <c r="AS142" s="954"/>
      <c r="AT142" s="1349" t="str">
        <f t="shared" ref="AT142:AT149" si="95">IF(ISERROR(AS142/AR142),"-",AS142/AR142)</f>
        <v>-</v>
      </c>
      <c r="AU142" s="464"/>
      <c r="AV142" s="464"/>
      <c r="AW142" s="464"/>
      <c r="AX142" s="464"/>
      <c r="AY142" s="464"/>
    </row>
    <row r="143" spans="1:51" s="462" customFormat="1" ht="12.75" thickBot="1">
      <c r="A143" s="500" t="s">
        <v>881</v>
      </c>
      <c r="B143" s="793"/>
      <c r="C143" s="1880" t="s">
        <v>856</v>
      </c>
      <c r="D143" s="1881"/>
      <c r="E143" s="1881"/>
      <c r="F143" s="1882"/>
      <c r="G143" s="490">
        <f>SUM(G142)</f>
        <v>0</v>
      </c>
      <c r="H143" s="491">
        <f>SUM(H142)</f>
        <v>0</v>
      </c>
      <c r="I143" s="491">
        <f>SUM(I142)</f>
        <v>0</v>
      </c>
      <c r="J143" s="1350" t="str">
        <f t="shared" si="86"/>
        <v>-</v>
      </c>
      <c r="K143" s="490">
        <f>SUM(K142)</f>
        <v>0</v>
      </c>
      <c r="L143" s="491">
        <f>SUM(L142)</f>
        <v>0</v>
      </c>
      <c r="M143" s="491">
        <f>SUM(M142)</f>
        <v>0</v>
      </c>
      <c r="N143" s="1350" t="str">
        <f t="shared" si="87"/>
        <v>-</v>
      </c>
      <c r="O143" s="472">
        <f>SUM(O142)</f>
        <v>0</v>
      </c>
      <c r="P143" s="355">
        <f>SUM(P142)</f>
        <v>0</v>
      </c>
      <c r="Q143" s="355">
        <f>SUM(Q142)</f>
        <v>0</v>
      </c>
      <c r="R143" s="1350" t="str">
        <f t="shared" si="88"/>
        <v>-</v>
      </c>
      <c r="S143" s="472">
        <f>SUM(S142)</f>
        <v>0</v>
      </c>
      <c r="T143" s="355">
        <f>SUM(T142)</f>
        <v>0</v>
      </c>
      <c r="U143" s="355">
        <f>SUM(U142)</f>
        <v>0</v>
      </c>
      <c r="V143" s="1350" t="str">
        <f t="shared" si="89"/>
        <v>-</v>
      </c>
      <c r="W143" s="472">
        <f>SUM(W142)</f>
        <v>0</v>
      </c>
      <c r="X143" s="355">
        <f>SUM(X142)</f>
        <v>0</v>
      </c>
      <c r="Y143" s="355">
        <f>SUM(Y142)</f>
        <v>0</v>
      </c>
      <c r="Z143" s="1350" t="str">
        <f t="shared" si="90"/>
        <v>-</v>
      </c>
      <c r="AA143" s="472">
        <f>SUM(AA142)</f>
        <v>0</v>
      </c>
      <c r="AB143" s="355">
        <f>SUM(AB142)</f>
        <v>0</v>
      </c>
      <c r="AC143" s="355">
        <f>SUM(AC142)</f>
        <v>0</v>
      </c>
      <c r="AD143" s="1350" t="str">
        <f t="shared" si="91"/>
        <v>-</v>
      </c>
      <c r="AE143" s="490">
        <f>SUM(AE142)</f>
        <v>0</v>
      </c>
      <c r="AF143" s="491">
        <f>SUM(AF142)</f>
        <v>0</v>
      </c>
      <c r="AG143" s="491">
        <f>SUM(AG142)</f>
        <v>0</v>
      </c>
      <c r="AH143" s="1350" t="str">
        <f t="shared" si="92"/>
        <v>-</v>
      </c>
      <c r="AI143" s="472">
        <f>SUM(AI142)</f>
        <v>0</v>
      </c>
      <c r="AJ143" s="355">
        <f>SUM(AJ142)</f>
        <v>0</v>
      </c>
      <c r="AK143" s="355">
        <f>SUM(AK142)</f>
        <v>0</v>
      </c>
      <c r="AL143" s="1350" t="str">
        <f t="shared" si="93"/>
        <v>-</v>
      </c>
      <c r="AM143" s="472">
        <f>SUM(AM142)</f>
        <v>0</v>
      </c>
      <c r="AN143" s="355">
        <f>SUM(AN142)</f>
        <v>0</v>
      </c>
      <c r="AO143" s="355">
        <f>SUM(AO142)</f>
        <v>0</v>
      </c>
      <c r="AP143" s="1350" t="str">
        <f t="shared" si="94"/>
        <v>-</v>
      </c>
      <c r="AQ143" s="472">
        <f>SUM(AQ142)</f>
        <v>0</v>
      </c>
      <c r="AR143" s="355">
        <f>SUM(AR142)</f>
        <v>0</v>
      </c>
      <c r="AS143" s="355">
        <f>SUM(AS142)</f>
        <v>0</v>
      </c>
      <c r="AT143" s="1350" t="str">
        <f t="shared" si="95"/>
        <v>-</v>
      </c>
      <c r="AU143" s="464"/>
      <c r="AV143" s="464"/>
      <c r="AW143" s="464"/>
      <c r="AX143" s="464"/>
      <c r="AY143" s="464"/>
    </row>
    <row r="144" spans="1:51" s="466" customFormat="1" ht="12.75" customHeight="1">
      <c r="A144" s="843">
        <f>A142+1</f>
        <v>116</v>
      </c>
      <c r="B144" s="796">
        <v>30</v>
      </c>
      <c r="C144" s="946" t="s">
        <v>1069</v>
      </c>
      <c r="D144" s="904" t="s">
        <v>1070</v>
      </c>
      <c r="E144" s="947" t="s">
        <v>1218</v>
      </c>
      <c r="F144" s="952" t="s">
        <v>1070</v>
      </c>
      <c r="G144" s="1281">
        <f t="shared" ref="G144:I145" si="96">+K144+AE144</f>
        <v>20793</v>
      </c>
      <c r="H144" s="1282">
        <f t="shared" si="96"/>
        <v>0</v>
      </c>
      <c r="I144" s="1282">
        <f t="shared" si="96"/>
        <v>0</v>
      </c>
      <c r="J144" s="1389" t="str">
        <f t="shared" si="86"/>
        <v>-</v>
      </c>
      <c r="K144" s="1281">
        <f t="shared" ref="K144:M145" si="97">+O144+S144+W144+AA144</f>
        <v>20793</v>
      </c>
      <c r="L144" s="1282">
        <f t="shared" si="97"/>
        <v>0</v>
      </c>
      <c r="M144" s="1282">
        <f t="shared" si="97"/>
        <v>0</v>
      </c>
      <c r="N144" s="1389" t="str">
        <f t="shared" si="87"/>
        <v>-</v>
      </c>
      <c r="O144" s="957">
        <v>3240</v>
      </c>
      <c r="P144" s="958">
        <v>0</v>
      </c>
      <c r="Q144" s="958"/>
      <c r="R144" s="1349" t="str">
        <f t="shared" si="88"/>
        <v>-</v>
      </c>
      <c r="S144" s="957">
        <v>17553</v>
      </c>
      <c r="T144" s="958">
        <v>0</v>
      </c>
      <c r="U144" s="958"/>
      <c r="V144" s="1349" t="str">
        <f t="shared" si="89"/>
        <v>-</v>
      </c>
      <c r="W144" s="957"/>
      <c r="X144" s="958"/>
      <c r="Y144" s="958"/>
      <c r="Z144" s="1349" t="str">
        <f t="shared" si="90"/>
        <v>-</v>
      </c>
      <c r="AA144" s="957"/>
      <c r="AB144" s="958"/>
      <c r="AC144" s="958"/>
      <c r="AD144" s="1349" t="str">
        <f t="shared" si="91"/>
        <v>-</v>
      </c>
      <c r="AE144" s="1281">
        <f t="shared" ref="AE144:AG145" si="98">+AI144+AM144+AQ144</f>
        <v>0</v>
      </c>
      <c r="AF144" s="1282">
        <f t="shared" si="98"/>
        <v>0</v>
      </c>
      <c r="AG144" s="1282">
        <f t="shared" si="98"/>
        <v>0</v>
      </c>
      <c r="AH144" s="1389" t="str">
        <f t="shared" si="92"/>
        <v>-</v>
      </c>
      <c r="AI144" s="957"/>
      <c r="AJ144" s="958"/>
      <c r="AK144" s="958"/>
      <c r="AL144" s="1349" t="str">
        <f t="shared" si="93"/>
        <v>-</v>
      </c>
      <c r="AM144" s="957"/>
      <c r="AN144" s="958"/>
      <c r="AO144" s="958"/>
      <c r="AP144" s="1349" t="str">
        <f t="shared" si="94"/>
        <v>-</v>
      </c>
      <c r="AQ144" s="957"/>
      <c r="AR144" s="958"/>
      <c r="AS144" s="958"/>
      <c r="AT144" s="1349" t="str">
        <f t="shared" si="95"/>
        <v>-</v>
      </c>
      <c r="AU144" s="464"/>
      <c r="AV144" s="464"/>
      <c r="AW144" s="464"/>
      <c r="AX144" s="464"/>
      <c r="AY144" s="464"/>
    </row>
    <row r="145" spans="1:51" s="466" customFormat="1" ht="12.75" customHeight="1" thickBot="1">
      <c r="A145" s="506">
        <f>A144+1</f>
        <v>117</v>
      </c>
      <c r="B145" s="798">
        <v>30</v>
      </c>
      <c r="C145" s="935" t="s">
        <v>998</v>
      </c>
      <c r="D145" s="497" t="s">
        <v>999</v>
      </c>
      <c r="E145" s="877" t="s">
        <v>1218</v>
      </c>
      <c r="F145" s="951" t="s">
        <v>1070</v>
      </c>
      <c r="G145" s="1283">
        <f t="shared" si="96"/>
        <v>0</v>
      </c>
      <c r="H145" s="1284">
        <f t="shared" si="96"/>
        <v>0</v>
      </c>
      <c r="I145" s="1284">
        <f t="shared" si="96"/>
        <v>0</v>
      </c>
      <c r="J145" s="1389" t="str">
        <f t="shared" si="86"/>
        <v>-</v>
      </c>
      <c r="K145" s="1283">
        <f t="shared" si="97"/>
        <v>0</v>
      </c>
      <c r="L145" s="1284">
        <f t="shared" si="97"/>
        <v>0</v>
      </c>
      <c r="M145" s="1284">
        <f t="shared" si="97"/>
        <v>0</v>
      </c>
      <c r="N145" s="1389" t="str">
        <f t="shared" si="87"/>
        <v>-</v>
      </c>
      <c r="O145" s="469"/>
      <c r="P145" s="468"/>
      <c r="Q145" s="468"/>
      <c r="R145" s="1349" t="str">
        <f t="shared" si="88"/>
        <v>-</v>
      </c>
      <c r="S145" s="469"/>
      <c r="T145" s="468"/>
      <c r="U145" s="468"/>
      <c r="V145" s="1349" t="str">
        <f t="shared" si="89"/>
        <v>-</v>
      </c>
      <c r="W145" s="469"/>
      <c r="X145" s="468"/>
      <c r="Y145" s="468"/>
      <c r="Z145" s="1349" t="str">
        <f t="shared" si="90"/>
        <v>-</v>
      </c>
      <c r="AA145" s="469"/>
      <c r="AB145" s="468"/>
      <c r="AC145" s="468"/>
      <c r="AD145" s="1349" t="str">
        <f t="shared" si="91"/>
        <v>-</v>
      </c>
      <c r="AE145" s="1283">
        <f t="shared" si="98"/>
        <v>0</v>
      </c>
      <c r="AF145" s="1284">
        <f t="shared" si="98"/>
        <v>0</v>
      </c>
      <c r="AG145" s="1284">
        <f t="shared" si="98"/>
        <v>0</v>
      </c>
      <c r="AH145" s="1389" t="str">
        <f t="shared" si="92"/>
        <v>-</v>
      </c>
      <c r="AI145" s="469"/>
      <c r="AJ145" s="468"/>
      <c r="AK145" s="468"/>
      <c r="AL145" s="1349" t="str">
        <f t="shared" si="93"/>
        <v>-</v>
      </c>
      <c r="AM145" s="469"/>
      <c r="AN145" s="468"/>
      <c r="AO145" s="468"/>
      <c r="AP145" s="1349" t="str">
        <f t="shared" si="94"/>
        <v>-</v>
      </c>
      <c r="AQ145" s="469"/>
      <c r="AR145" s="468"/>
      <c r="AS145" s="468"/>
      <c r="AT145" s="1349" t="str">
        <f t="shared" si="95"/>
        <v>-</v>
      </c>
      <c r="AU145" s="464"/>
      <c r="AV145" s="464"/>
      <c r="AW145" s="464"/>
      <c r="AX145" s="464"/>
      <c r="AY145" s="464"/>
    </row>
    <row r="146" spans="1:51" s="462" customFormat="1" ht="12.75" thickBot="1">
      <c r="A146" s="500" t="s">
        <v>882</v>
      </c>
      <c r="B146" s="793"/>
      <c r="C146" s="1880" t="s">
        <v>857</v>
      </c>
      <c r="D146" s="1881"/>
      <c r="E146" s="1881"/>
      <c r="F146" s="1882"/>
      <c r="G146" s="490">
        <f>SUM(G144:G145)</f>
        <v>20793</v>
      </c>
      <c r="H146" s="491">
        <f>SUM(H144:H145)</f>
        <v>0</v>
      </c>
      <c r="I146" s="491">
        <f>SUM(I144:I145)</f>
        <v>0</v>
      </c>
      <c r="J146" s="1350" t="str">
        <f t="shared" si="86"/>
        <v>-</v>
      </c>
      <c r="K146" s="490">
        <f>SUM(K144:K145)</f>
        <v>20793</v>
      </c>
      <c r="L146" s="491">
        <f>SUM(L144:L145)</f>
        <v>0</v>
      </c>
      <c r="M146" s="491">
        <f>SUM(M144:M145)</f>
        <v>0</v>
      </c>
      <c r="N146" s="1350" t="str">
        <f t="shared" si="87"/>
        <v>-</v>
      </c>
      <c r="O146" s="472">
        <f>SUM(O144:O145)</f>
        <v>3240</v>
      </c>
      <c r="P146" s="355">
        <f>SUM(P144:P145)</f>
        <v>0</v>
      </c>
      <c r="Q146" s="355">
        <f>SUM(Q144:Q145)</f>
        <v>0</v>
      </c>
      <c r="R146" s="1350" t="str">
        <f t="shared" si="88"/>
        <v>-</v>
      </c>
      <c r="S146" s="472">
        <f>SUM(S144:S145)</f>
        <v>17553</v>
      </c>
      <c r="T146" s="355">
        <f>SUM(T144:T145)</f>
        <v>0</v>
      </c>
      <c r="U146" s="355">
        <f>SUM(U144:U145)</f>
        <v>0</v>
      </c>
      <c r="V146" s="1350" t="str">
        <f t="shared" si="89"/>
        <v>-</v>
      </c>
      <c r="W146" s="472">
        <f>SUM(W144:W145)</f>
        <v>0</v>
      </c>
      <c r="X146" s="355">
        <f>SUM(X144:X145)</f>
        <v>0</v>
      </c>
      <c r="Y146" s="355">
        <f>SUM(Y144:Y145)</f>
        <v>0</v>
      </c>
      <c r="Z146" s="1350" t="str">
        <f t="shared" si="90"/>
        <v>-</v>
      </c>
      <c r="AA146" s="472">
        <f>SUM(AA144:AA145)</f>
        <v>0</v>
      </c>
      <c r="AB146" s="355">
        <f>SUM(AB144:AB145)</f>
        <v>0</v>
      </c>
      <c r="AC146" s="355">
        <f>SUM(AC144:AC145)</f>
        <v>0</v>
      </c>
      <c r="AD146" s="1350" t="str">
        <f t="shared" si="91"/>
        <v>-</v>
      </c>
      <c r="AE146" s="490">
        <f>SUM(AE144:AE145)</f>
        <v>0</v>
      </c>
      <c r="AF146" s="491">
        <f>SUM(AF144:AF145)</f>
        <v>0</v>
      </c>
      <c r="AG146" s="491">
        <f>SUM(AG144:AG145)</f>
        <v>0</v>
      </c>
      <c r="AH146" s="1350" t="str">
        <f t="shared" si="92"/>
        <v>-</v>
      </c>
      <c r="AI146" s="472">
        <f>SUM(AI144:AI145)</f>
        <v>0</v>
      </c>
      <c r="AJ146" s="355">
        <f>SUM(AJ144:AJ145)</f>
        <v>0</v>
      </c>
      <c r="AK146" s="355">
        <f>SUM(AK144:AK145)</f>
        <v>0</v>
      </c>
      <c r="AL146" s="1350" t="str">
        <f t="shared" si="93"/>
        <v>-</v>
      </c>
      <c r="AM146" s="472">
        <f>SUM(AM144:AM145)</f>
        <v>0</v>
      </c>
      <c r="AN146" s="355">
        <f>SUM(AN144:AN145)</f>
        <v>0</v>
      </c>
      <c r="AO146" s="355">
        <f>SUM(AO144:AO145)</f>
        <v>0</v>
      </c>
      <c r="AP146" s="1350" t="str">
        <f t="shared" si="94"/>
        <v>-</v>
      </c>
      <c r="AQ146" s="472">
        <f>SUM(AQ144:AQ145)</f>
        <v>0</v>
      </c>
      <c r="AR146" s="355">
        <f>SUM(AR144:AR145)</f>
        <v>0</v>
      </c>
      <c r="AS146" s="355">
        <f>SUM(AS144:AS145)</f>
        <v>0</v>
      </c>
      <c r="AT146" s="1350" t="str">
        <f t="shared" si="95"/>
        <v>-</v>
      </c>
      <c r="AU146" s="464"/>
      <c r="AV146" s="464"/>
      <c r="AW146" s="464"/>
      <c r="AX146" s="464"/>
      <c r="AY146" s="464"/>
    </row>
    <row r="147" spans="1:51" s="466" customFormat="1" ht="12.75" customHeight="1" thickBot="1">
      <c r="A147" s="506">
        <f>+A145+1</f>
        <v>118</v>
      </c>
      <c r="B147" s="798">
        <v>31</v>
      </c>
      <c r="C147" s="882" t="s">
        <v>19</v>
      </c>
      <c r="D147" s="497" t="s">
        <v>19</v>
      </c>
      <c r="E147" s="877" t="s">
        <v>19</v>
      </c>
      <c r="F147" s="951" t="s">
        <v>19</v>
      </c>
      <c r="G147" s="1283">
        <f>+K147+AE147</f>
        <v>0</v>
      </c>
      <c r="H147" s="1284">
        <f>+L147+AF147</f>
        <v>0</v>
      </c>
      <c r="I147" s="1284">
        <f>+M147+AG147</f>
        <v>0</v>
      </c>
      <c r="J147" s="1389" t="str">
        <f t="shared" si="86"/>
        <v>-</v>
      </c>
      <c r="K147" s="1283">
        <f>+O147+S147+W147+AA147</f>
        <v>0</v>
      </c>
      <c r="L147" s="1284">
        <f>+P147+T147+X147+AB147</f>
        <v>0</v>
      </c>
      <c r="M147" s="1284">
        <f>+Q147+U147+Y147+AC147</f>
        <v>0</v>
      </c>
      <c r="N147" s="1389" t="str">
        <f t="shared" si="87"/>
        <v>-</v>
      </c>
      <c r="O147" s="469"/>
      <c r="P147" s="468"/>
      <c r="Q147" s="468"/>
      <c r="R147" s="1349" t="str">
        <f t="shared" si="88"/>
        <v>-</v>
      </c>
      <c r="S147" s="469"/>
      <c r="T147" s="468"/>
      <c r="U147" s="468"/>
      <c r="V147" s="1349" t="str">
        <f t="shared" si="89"/>
        <v>-</v>
      </c>
      <c r="W147" s="469"/>
      <c r="X147" s="468"/>
      <c r="Y147" s="468"/>
      <c r="Z147" s="1349" t="str">
        <f t="shared" si="90"/>
        <v>-</v>
      </c>
      <c r="AA147" s="469"/>
      <c r="AB147" s="468"/>
      <c r="AC147" s="468"/>
      <c r="AD147" s="1349" t="str">
        <f t="shared" si="91"/>
        <v>-</v>
      </c>
      <c r="AE147" s="1283">
        <f>+AI147+AM147+AQ147</f>
        <v>0</v>
      </c>
      <c r="AF147" s="1284">
        <f>+AJ147+AN147+AR147</f>
        <v>0</v>
      </c>
      <c r="AG147" s="1284">
        <f>+AK147+AO147+AS147</f>
        <v>0</v>
      </c>
      <c r="AH147" s="1389" t="str">
        <f t="shared" si="92"/>
        <v>-</v>
      </c>
      <c r="AI147" s="469"/>
      <c r="AJ147" s="468"/>
      <c r="AK147" s="468"/>
      <c r="AL147" s="1349" t="str">
        <f t="shared" si="93"/>
        <v>-</v>
      </c>
      <c r="AM147" s="469"/>
      <c r="AN147" s="468"/>
      <c r="AO147" s="468"/>
      <c r="AP147" s="1349" t="str">
        <f t="shared" si="94"/>
        <v>-</v>
      </c>
      <c r="AQ147" s="469"/>
      <c r="AR147" s="468"/>
      <c r="AS147" s="468"/>
      <c r="AT147" s="1349" t="str">
        <f t="shared" si="95"/>
        <v>-</v>
      </c>
      <c r="AU147" s="464"/>
      <c r="AV147" s="464"/>
      <c r="AW147" s="464"/>
      <c r="AX147" s="464"/>
      <c r="AY147" s="464"/>
    </row>
    <row r="148" spans="1:51" s="462" customFormat="1" ht="12.75" thickBot="1">
      <c r="A148" s="500" t="s">
        <v>883</v>
      </c>
      <c r="B148" s="793"/>
      <c r="C148" s="1880" t="s">
        <v>884</v>
      </c>
      <c r="D148" s="1881"/>
      <c r="E148" s="1881"/>
      <c r="F148" s="1882"/>
      <c r="G148" s="490">
        <f>SUM(G147)</f>
        <v>0</v>
      </c>
      <c r="H148" s="491">
        <f>SUM(H147)</f>
        <v>0</v>
      </c>
      <c r="I148" s="491">
        <f>SUM(I147)</f>
        <v>0</v>
      </c>
      <c r="J148" s="1350" t="str">
        <f t="shared" si="86"/>
        <v>-</v>
      </c>
      <c r="K148" s="490">
        <f>SUM(K147)</f>
        <v>0</v>
      </c>
      <c r="L148" s="491">
        <f>SUM(L147)</f>
        <v>0</v>
      </c>
      <c r="M148" s="491">
        <f>SUM(M147)</f>
        <v>0</v>
      </c>
      <c r="N148" s="1350" t="str">
        <f t="shared" si="87"/>
        <v>-</v>
      </c>
      <c r="O148" s="472">
        <f>SUM(O147)</f>
        <v>0</v>
      </c>
      <c r="P148" s="355">
        <f>SUM(P147)</f>
        <v>0</v>
      </c>
      <c r="Q148" s="355">
        <f>SUM(Q147)</f>
        <v>0</v>
      </c>
      <c r="R148" s="1350" t="str">
        <f t="shared" si="88"/>
        <v>-</v>
      </c>
      <c r="S148" s="472">
        <f>SUM(S147)</f>
        <v>0</v>
      </c>
      <c r="T148" s="355">
        <f>SUM(T147)</f>
        <v>0</v>
      </c>
      <c r="U148" s="355">
        <f>SUM(U147)</f>
        <v>0</v>
      </c>
      <c r="V148" s="1350" t="str">
        <f t="shared" si="89"/>
        <v>-</v>
      </c>
      <c r="W148" s="472">
        <f>SUM(W147)</f>
        <v>0</v>
      </c>
      <c r="X148" s="355">
        <f>SUM(X147)</f>
        <v>0</v>
      </c>
      <c r="Y148" s="355">
        <f>SUM(Y147)</f>
        <v>0</v>
      </c>
      <c r="Z148" s="1350" t="str">
        <f t="shared" si="90"/>
        <v>-</v>
      </c>
      <c r="AA148" s="472">
        <f>SUM(AA147)</f>
        <v>0</v>
      </c>
      <c r="AB148" s="355">
        <f>SUM(AB147)</f>
        <v>0</v>
      </c>
      <c r="AC148" s="355">
        <f>SUM(AC147)</f>
        <v>0</v>
      </c>
      <c r="AD148" s="1350" t="str">
        <f t="shared" si="91"/>
        <v>-</v>
      </c>
      <c r="AE148" s="490">
        <f>SUM(AE147)</f>
        <v>0</v>
      </c>
      <c r="AF148" s="491">
        <f>SUM(AF147)</f>
        <v>0</v>
      </c>
      <c r="AG148" s="491">
        <f>SUM(AG147)</f>
        <v>0</v>
      </c>
      <c r="AH148" s="1350" t="str">
        <f t="shared" si="92"/>
        <v>-</v>
      </c>
      <c r="AI148" s="472">
        <f>SUM(AI147)</f>
        <v>0</v>
      </c>
      <c r="AJ148" s="355">
        <f>SUM(AJ147)</f>
        <v>0</v>
      </c>
      <c r="AK148" s="355">
        <f>SUM(AK147)</f>
        <v>0</v>
      </c>
      <c r="AL148" s="1350" t="str">
        <f t="shared" si="93"/>
        <v>-</v>
      </c>
      <c r="AM148" s="472">
        <f>SUM(AM147)</f>
        <v>0</v>
      </c>
      <c r="AN148" s="355">
        <f>SUM(AN147)</f>
        <v>0</v>
      </c>
      <c r="AO148" s="355">
        <f>SUM(AO147)</f>
        <v>0</v>
      </c>
      <c r="AP148" s="1350" t="str">
        <f t="shared" si="94"/>
        <v>-</v>
      </c>
      <c r="AQ148" s="472">
        <f>SUM(AQ147)</f>
        <v>0</v>
      </c>
      <c r="AR148" s="355">
        <f>SUM(AR147)</f>
        <v>0</v>
      </c>
      <c r="AS148" s="355">
        <f>SUM(AS147)</f>
        <v>0</v>
      </c>
      <c r="AT148" s="1350" t="str">
        <f t="shared" si="95"/>
        <v>-</v>
      </c>
      <c r="AU148" s="464"/>
      <c r="AV148" s="464"/>
      <c r="AW148" s="464"/>
      <c r="AX148" s="464"/>
      <c r="AY148" s="464"/>
    </row>
    <row r="149" spans="1:51" s="462" customFormat="1" ht="12.75" thickBot="1">
      <c r="A149" s="501" t="s">
        <v>552</v>
      </c>
      <c r="B149" s="794"/>
      <c r="C149" s="1874" t="s">
        <v>858</v>
      </c>
      <c r="D149" s="1875"/>
      <c r="E149" s="1875"/>
      <c r="F149" s="1876"/>
      <c r="G149" s="474">
        <f>+G143+G146+G148</f>
        <v>20793</v>
      </c>
      <c r="H149" s="475">
        <f>+H143+H146+H148</f>
        <v>0</v>
      </c>
      <c r="I149" s="475">
        <f>+I143+I146+I148</f>
        <v>0</v>
      </c>
      <c r="J149" s="1386" t="str">
        <f t="shared" si="86"/>
        <v>-</v>
      </c>
      <c r="K149" s="474">
        <f>+K143+K146+K148</f>
        <v>20793</v>
      </c>
      <c r="L149" s="475">
        <f>+L143+L146+L148</f>
        <v>0</v>
      </c>
      <c r="M149" s="475">
        <f>+M143+M146+M148</f>
        <v>0</v>
      </c>
      <c r="N149" s="1386" t="str">
        <f t="shared" si="87"/>
        <v>-</v>
      </c>
      <c r="O149" s="484">
        <f>+O143+O146+O148</f>
        <v>3240</v>
      </c>
      <c r="P149" s="485">
        <f>+P143+P146+P148</f>
        <v>0</v>
      </c>
      <c r="Q149" s="485">
        <f>+Q143+Q146+Q148</f>
        <v>0</v>
      </c>
      <c r="R149" s="1386" t="str">
        <f t="shared" si="88"/>
        <v>-</v>
      </c>
      <c r="S149" s="484">
        <f>+S143+S146+S148</f>
        <v>17553</v>
      </c>
      <c r="T149" s="485">
        <f>+T143+T146+T148</f>
        <v>0</v>
      </c>
      <c r="U149" s="485">
        <f>+U143+U146+U148</f>
        <v>0</v>
      </c>
      <c r="V149" s="1386" t="str">
        <f t="shared" si="89"/>
        <v>-</v>
      </c>
      <c r="W149" s="484">
        <f>+W143+W146+W148</f>
        <v>0</v>
      </c>
      <c r="X149" s="485">
        <f>+X143+X146+X148</f>
        <v>0</v>
      </c>
      <c r="Y149" s="485">
        <f>+Y143+Y146+Y148</f>
        <v>0</v>
      </c>
      <c r="Z149" s="1386" t="str">
        <f t="shared" si="90"/>
        <v>-</v>
      </c>
      <c r="AA149" s="484">
        <f>+AA143+AA146+AA148</f>
        <v>0</v>
      </c>
      <c r="AB149" s="485">
        <f>+AB143+AB146+AB148</f>
        <v>0</v>
      </c>
      <c r="AC149" s="485">
        <f>+AC143+AC146+AC148</f>
        <v>0</v>
      </c>
      <c r="AD149" s="1386" t="str">
        <f t="shared" si="91"/>
        <v>-</v>
      </c>
      <c r="AE149" s="474">
        <f>+AE143+AE146+AE148</f>
        <v>0</v>
      </c>
      <c r="AF149" s="475">
        <f>+AF143+AF146+AF148</f>
        <v>0</v>
      </c>
      <c r="AG149" s="475">
        <f>+AG143+AG146+AG148</f>
        <v>0</v>
      </c>
      <c r="AH149" s="1386" t="str">
        <f t="shared" si="92"/>
        <v>-</v>
      </c>
      <c r="AI149" s="484">
        <f>+AI143+AI146+AI148</f>
        <v>0</v>
      </c>
      <c r="AJ149" s="485">
        <f>+AJ143+AJ146+AJ148</f>
        <v>0</v>
      </c>
      <c r="AK149" s="485">
        <f>+AK143+AK146+AK148</f>
        <v>0</v>
      </c>
      <c r="AL149" s="1386" t="str">
        <f t="shared" si="93"/>
        <v>-</v>
      </c>
      <c r="AM149" s="484">
        <f>+AM143+AM146+AM148</f>
        <v>0</v>
      </c>
      <c r="AN149" s="485">
        <f>+AN143+AN146+AN148</f>
        <v>0</v>
      </c>
      <c r="AO149" s="485">
        <f>+AO143+AO146+AO148</f>
        <v>0</v>
      </c>
      <c r="AP149" s="1386" t="str">
        <f t="shared" si="94"/>
        <v>-</v>
      </c>
      <c r="AQ149" s="484">
        <f>+AQ143+AQ146+AQ148</f>
        <v>0</v>
      </c>
      <c r="AR149" s="485">
        <f>+AR143+AR146+AR148</f>
        <v>0</v>
      </c>
      <c r="AS149" s="485">
        <f>+AS143+AS146+AS148</f>
        <v>0</v>
      </c>
      <c r="AT149" s="1386" t="str">
        <f t="shared" si="95"/>
        <v>-</v>
      </c>
      <c r="AU149" s="464"/>
      <c r="AV149" s="464"/>
      <c r="AW149" s="464"/>
      <c r="AX149" s="464"/>
      <c r="AY149" s="464"/>
    </row>
    <row r="150" spans="1:51" s="462" customFormat="1" ht="12.75" thickBot="1">
      <c r="A150" s="500"/>
      <c r="B150" s="797"/>
      <c r="C150" s="881"/>
      <c r="D150" s="499"/>
      <c r="E150" s="876"/>
      <c r="F150" s="471"/>
      <c r="G150" s="490"/>
      <c r="H150" s="491"/>
      <c r="I150" s="491"/>
      <c r="J150" s="917"/>
      <c r="K150" s="490"/>
      <c r="L150" s="491"/>
      <c r="M150" s="491"/>
      <c r="N150" s="917"/>
      <c r="O150" s="472"/>
      <c r="P150" s="355"/>
      <c r="Q150" s="355"/>
      <c r="R150" s="917"/>
      <c r="S150" s="472"/>
      <c r="T150" s="355"/>
      <c r="U150" s="355"/>
      <c r="V150" s="917"/>
      <c r="W150" s="472"/>
      <c r="X150" s="355"/>
      <c r="Y150" s="355"/>
      <c r="Z150" s="917"/>
      <c r="AA150" s="472"/>
      <c r="AB150" s="355"/>
      <c r="AC150" s="355"/>
      <c r="AD150" s="917"/>
      <c r="AE150" s="490"/>
      <c r="AF150" s="491"/>
      <c r="AG150" s="491"/>
      <c r="AH150" s="917"/>
      <c r="AI150" s="472"/>
      <c r="AJ150" s="355"/>
      <c r="AK150" s="355"/>
      <c r="AL150" s="917"/>
      <c r="AM150" s="472"/>
      <c r="AN150" s="355"/>
      <c r="AO150" s="355"/>
      <c r="AP150" s="917"/>
      <c r="AQ150" s="472"/>
      <c r="AR150" s="355"/>
      <c r="AS150" s="355"/>
      <c r="AT150" s="917"/>
      <c r="AU150" s="464"/>
      <c r="AV150" s="464"/>
      <c r="AW150" s="464"/>
      <c r="AX150" s="464"/>
      <c r="AY150" s="464"/>
    </row>
    <row r="151" spans="1:51">
      <c r="A151" s="504">
        <f>+A147+1</f>
        <v>119</v>
      </c>
      <c r="B151" s="790">
        <v>32</v>
      </c>
      <c r="C151" s="935" t="s">
        <v>1019</v>
      </c>
      <c r="D151" s="900" t="s">
        <v>1020</v>
      </c>
      <c r="E151" s="936" t="s">
        <v>1238</v>
      </c>
      <c r="F151" s="949" t="s">
        <v>1021</v>
      </c>
      <c r="G151" s="1273">
        <f t="shared" ref="G151:I155" si="99">+K151+AE151</f>
        <v>0</v>
      </c>
      <c r="H151" s="1274">
        <f t="shared" si="99"/>
        <v>0</v>
      </c>
      <c r="I151" s="1274">
        <f t="shared" si="99"/>
        <v>0</v>
      </c>
      <c r="J151" s="1389" t="str">
        <f t="shared" ref="J151:J161" si="100">IF(ISERROR(I151/H151),"-",I151/H151)</f>
        <v>-</v>
      </c>
      <c r="K151" s="1273">
        <f t="shared" ref="K151:M155" si="101">+O151+S151+W151+AA151</f>
        <v>0</v>
      </c>
      <c r="L151" s="1274">
        <f t="shared" si="101"/>
        <v>0</v>
      </c>
      <c r="M151" s="1274">
        <f t="shared" si="101"/>
        <v>0</v>
      </c>
      <c r="N151" s="1389" t="str">
        <f t="shared" ref="N151:N161" si="102">IF(ISERROR(M151/L151),"-",M151/L151)</f>
        <v>-</v>
      </c>
      <c r="O151" s="953"/>
      <c r="P151" s="954"/>
      <c r="Q151" s="954"/>
      <c r="R151" s="1349" t="str">
        <f t="shared" ref="R151:R161" si="103">IF(ISERROR(Q151/P151),"-",Q151/P151)</f>
        <v>-</v>
      </c>
      <c r="S151" s="953"/>
      <c r="T151" s="954"/>
      <c r="U151" s="954"/>
      <c r="V151" s="1349" t="str">
        <f t="shared" ref="V151:V161" si="104">IF(ISERROR(U151/T151),"-",U151/T151)</f>
        <v>-</v>
      </c>
      <c r="W151" s="953"/>
      <c r="X151" s="954"/>
      <c r="Y151" s="954"/>
      <c r="Z151" s="1349" t="str">
        <f t="shared" ref="Z151:Z161" si="105">IF(ISERROR(Y151/X151),"-",Y151/X151)</f>
        <v>-</v>
      </c>
      <c r="AA151" s="953"/>
      <c r="AB151" s="954"/>
      <c r="AC151" s="954"/>
      <c r="AD151" s="1349" t="str">
        <f t="shared" ref="AD151:AD161" si="106">IF(ISERROR(AC151/AB151),"-",AC151/AB151)</f>
        <v>-</v>
      </c>
      <c r="AE151" s="1273">
        <f t="shared" ref="AE151:AG155" si="107">+AI151+AM151+AQ151</f>
        <v>0</v>
      </c>
      <c r="AF151" s="1274">
        <f t="shared" si="107"/>
        <v>0</v>
      </c>
      <c r="AG151" s="1274">
        <f t="shared" si="107"/>
        <v>0</v>
      </c>
      <c r="AH151" s="1389" t="str">
        <f t="shared" ref="AH151:AH161" si="108">IF(ISERROR(AG151/AF151),"-",AG151/AF151)</f>
        <v>-</v>
      </c>
      <c r="AI151" s="953"/>
      <c r="AJ151" s="954"/>
      <c r="AK151" s="954"/>
      <c r="AL151" s="1349" t="str">
        <f t="shared" ref="AL151:AL161" si="109">IF(ISERROR(AK151/AJ151),"-",AK151/AJ151)</f>
        <v>-</v>
      </c>
      <c r="AM151" s="953"/>
      <c r="AN151" s="954"/>
      <c r="AO151" s="954"/>
      <c r="AP151" s="1349" t="str">
        <f t="shared" ref="AP151:AP161" si="110">IF(ISERROR(AO151/AN151),"-",AO151/AN151)</f>
        <v>-</v>
      </c>
      <c r="AQ151" s="953"/>
      <c r="AR151" s="954"/>
      <c r="AS151" s="954"/>
      <c r="AT151" s="1349" t="str">
        <f t="shared" ref="AT151:AT161" si="111">IF(ISERROR(AS151/AR151),"-",AS151/AR151)</f>
        <v>-</v>
      </c>
      <c r="AU151" s="464"/>
      <c r="AV151" s="464"/>
      <c r="AW151" s="464"/>
      <c r="AX151" s="464"/>
      <c r="AY151" s="464"/>
    </row>
    <row r="152" spans="1:51">
      <c r="A152" s="504">
        <f>+A151+1</f>
        <v>120</v>
      </c>
      <c r="B152" s="790">
        <v>32</v>
      </c>
      <c r="C152" s="935" t="s">
        <v>1019</v>
      </c>
      <c r="D152" s="900" t="s">
        <v>1020</v>
      </c>
      <c r="E152" s="936" t="s">
        <v>1239</v>
      </c>
      <c r="F152" s="949" t="s">
        <v>1022</v>
      </c>
      <c r="G152" s="1273">
        <f t="shared" si="99"/>
        <v>0</v>
      </c>
      <c r="H152" s="1274">
        <f t="shared" si="99"/>
        <v>0</v>
      </c>
      <c r="I152" s="1274">
        <f t="shared" si="99"/>
        <v>0</v>
      </c>
      <c r="J152" s="1389" t="str">
        <f t="shared" si="100"/>
        <v>-</v>
      </c>
      <c r="K152" s="1273">
        <f t="shared" si="101"/>
        <v>0</v>
      </c>
      <c r="L152" s="1274">
        <f t="shared" si="101"/>
        <v>0</v>
      </c>
      <c r="M152" s="1274">
        <f t="shared" si="101"/>
        <v>0</v>
      </c>
      <c r="N152" s="1389" t="str">
        <f t="shared" si="102"/>
        <v>-</v>
      </c>
      <c r="O152" s="953"/>
      <c r="P152" s="954"/>
      <c r="Q152" s="954"/>
      <c r="R152" s="1349" t="str">
        <f t="shared" si="103"/>
        <v>-</v>
      </c>
      <c r="S152" s="953"/>
      <c r="T152" s="954"/>
      <c r="U152" s="954"/>
      <c r="V152" s="1349" t="str">
        <f t="shared" si="104"/>
        <v>-</v>
      </c>
      <c r="W152" s="953"/>
      <c r="X152" s="954"/>
      <c r="Y152" s="954"/>
      <c r="Z152" s="1349" t="str">
        <f t="shared" si="105"/>
        <v>-</v>
      </c>
      <c r="AA152" s="953"/>
      <c r="AB152" s="954"/>
      <c r="AC152" s="954"/>
      <c r="AD152" s="1349" t="str">
        <f t="shared" si="106"/>
        <v>-</v>
      </c>
      <c r="AE152" s="1273">
        <f t="shared" si="107"/>
        <v>0</v>
      </c>
      <c r="AF152" s="1274">
        <f t="shared" si="107"/>
        <v>0</v>
      </c>
      <c r="AG152" s="1274">
        <f t="shared" si="107"/>
        <v>0</v>
      </c>
      <c r="AH152" s="1389" t="str">
        <f t="shared" si="108"/>
        <v>-</v>
      </c>
      <c r="AI152" s="953"/>
      <c r="AJ152" s="954"/>
      <c r="AK152" s="954"/>
      <c r="AL152" s="1349" t="str">
        <f t="shared" si="109"/>
        <v>-</v>
      </c>
      <c r="AM152" s="953"/>
      <c r="AN152" s="954"/>
      <c r="AO152" s="954"/>
      <c r="AP152" s="1349" t="str">
        <f t="shared" si="110"/>
        <v>-</v>
      </c>
      <c r="AQ152" s="953"/>
      <c r="AR152" s="954"/>
      <c r="AS152" s="954"/>
      <c r="AT152" s="1349" t="str">
        <f t="shared" si="111"/>
        <v>-</v>
      </c>
      <c r="AU152" s="464"/>
      <c r="AV152" s="464"/>
      <c r="AW152" s="464"/>
      <c r="AX152" s="464"/>
      <c r="AY152" s="464"/>
    </row>
    <row r="153" spans="1:51">
      <c r="A153" s="504">
        <f>+A152+1</f>
        <v>121</v>
      </c>
      <c r="B153" s="790">
        <v>32</v>
      </c>
      <c r="C153" s="935" t="s">
        <v>1024</v>
      </c>
      <c r="D153" s="900" t="s">
        <v>1023</v>
      </c>
      <c r="E153" s="936" t="s">
        <v>1238</v>
      </c>
      <c r="F153" s="949" t="s">
        <v>1021</v>
      </c>
      <c r="G153" s="1273">
        <f t="shared" si="99"/>
        <v>0</v>
      </c>
      <c r="H153" s="1274">
        <f t="shared" si="99"/>
        <v>2</v>
      </c>
      <c r="I153" s="1274">
        <f t="shared" si="99"/>
        <v>2</v>
      </c>
      <c r="J153" s="1389">
        <f t="shared" si="100"/>
        <v>1</v>
      </c>
      <c r="K153" s="1273">
        <f t="shared" si="101"/>
        <v>0</v>
      </c>
      <c r="L153" s="1274">
        <f t="shared" si="101"/>
        <v>2</v>
      </c>
      <c r="M153" s="1274">
        <f t="shared" si="101"/>
        <v>2</v>
      </c>
      <c r="N153" s="1389">
        <f t="shared" si="102"/>
        <v>1</v>
      </c>
      <c r="O153" s="953"/>
      <c r="P153" s="954"/>
      <c r="Q153" s="954"/>
      <c r="R153" s="1349" t="str">
        <f t="shared" si="103"/>
        <v>-</v>
      </c>
      <c r="S153" s="953"/>
      <c r="T153" s="954"/>
      <c r="U153" s="954"/>
      <c r="V153" s="1349" t="str">
        <f t="shared" si="104"/>
        <v>-</v>
      </c>
      <c r="W153" s="953"/>
      <c r="X153" s="954">
        <v>2</v>
      </c>
      <c r="Y153" s="954">
        <v>2</v>
      </c>
      <c r="Z153" s="1349">
        <f t="shared" si="105"/>
        <v>1</v>
      </c>
      <c r="AA153" s="953"/>
      <c r="AB153" s="954"/>
      <c r="AC153" s="954"/>
      <c r="AD153" s="1349" t="str">
        <f t="shared" si="106"/>
        <v>-</v>
      </c>
      <c r="AE153" s="1273">
        <f t="shared" si="107"/>
        <v>0</v>
      </c>
      <c r="AF153" s="1274">
        <f t="shared" si="107"/>
        <v>0</v>
      </c>
      <c r="AG153" s="1274">
        <f t="shared" si="107"/>
        <v>0</v>
      </c>
      <c r="AH153" s="1389" t="str">
        <f t="shared" si="108"/>
        <v>-</v>
      </c>
      <c r="AI153" s="953"/>
      <c r="AJ153" s="954"/>
      <c r="AK153" s="954"/>
      <c r="AL153" s="1349" t="str">
        <f t="shared" si="109"/>
        <v>-</v>
      </c>
      <c r="AM153" s="953"/>
      <c r="AN153" s="954"/>
      <c r="AO153" s="954"/>
      <c r="AP153" s="1349" t="str">
        <f t="shared" si="110"/>
        <v>-</v>
      </c>
      <c r="AQ153" s="953"/>
      <c r="AR153" s="954"/>
      <c r="AS153" s="954"/>
      <c r="AT153" s="1349" t="str">
        <f t="shared" si="111"/>
        <v>-</v>
      </c>
      <c r="AU153" s="464"/>
      <c r="AV153" s="464"/>
      <c r="AW153" s="464"/>
      <c r="AX153" s="464"/>
      <c r="AY153" s="464"/>
    </row>
    <row r="154" spans="1:51">
      <c r="A154" s="504">
        <f>+A153+1</f>
        <v>122</v>
      </c>
      <c r="B154" s="790">
        <v>32</v>
      </c>
      <c r="C154" s="935" t="s">
        <v>1024</v>
      </c>
      <c r="D154" s="900" t="s">
        <v>1023</v>
      </c>
      <c r="E154" s="936" t="s">
        <v>1239</v>
      </c>
      <c r="F154" s="949" t="s">
        <v>1022</v>
      </c>
      <c r="G154" s="1273">
        <f t="shared" si="99"/>
        <v>0</v>
      </c>
      <c r="H154" s="1274">
        <f t="shared" si="99"/>
        <v>0</v>
      </c>
      <c r="I154" s="1274">
        <f t="shared" si="99"/>
        <v>0</v>
      </c>
      <c r="J154" s="1389" t="str">
        <f t="shared" si="100"/>
        <v>-</v>
      </c>
      <c r="K154" s="1273">
        <f t="shared" si="101"/>
        <v>0</v>
      </c>
      <c r="L154" s="1274">
        <f t="shared" si="101"/>
        <v>0</v>
      </c>
      <c r="M154" s="1274">
        <f t="shared" si="101"/>
        <v>0</v>
      </c>
      <c r="N154" s="1389" t="str">
        <f t="shared" si="102"/>
        <v>-</v>
      </c>
      <c r="O154" s="953"/>
      <c r="P154" s="954"/>
      <c r="Q154" s="954"/>
      <c r="R154" s="1349" t="str">
        <f t="shared" si="103"/>
        <v>-</v>
      </c>
      <c r="S154" s="953"/>
      <c r="T154" s="954"/>
      <c r="U154" s="954"/>
      <c r="V154" s="1349" t="str">
        <f t="shared" si="104"/>
        <v>-</v>
      </c>
      <c r="W154" s="953"/>
      <c r="X154" s="954"/>
      <c r="Y154" s="954"/>
      <c r="Z154" s="1349" t="str">
        <f t="shared" si="105"/>
        <v>-</v>
      </c>
      <c r="AA154" s="953"/>
      <c r="AB154" s="954"/>
      <c r="AC154" s="954"/>
      <c r="AD154" s="1349" t="str">
        <f t="shared" si="106"/>
        <v>-</v>
      </c>
      <c r="AE154" s="1273">
        <f t="shared" si="107"/>
        <v>0</v>
      </c>
      <c r="AF154" s="1274">
        <f t="shared" si="107"/>
        <v>0</v>
      </c>
      <c r="AG154" s="1274">
        <f t="shared" si="107"/>
        <v>0</v>
      </c>
      <c r="AH154" s="1389" t="str">
        <f t="shared" si="108"/>
        <v>-</v>
      </c>
      <c r="AI154" s="953"/>
      <c r="AJ154" s="954"/>
      <c r="AK154" s="954"/>
      <c r="AL154" s="1349" t="str">
        <f t="shared" si="109"/>
        <v>-</v>
      </c>
      <c r="AM154" s="953"/>
      <c r="AN154" s="954"/>
      <c r="AO154" s="954"/>
      <c r="AP154" s="1349" t="str">
        <f t="shared" si="110"/>
        <v>-</v>
      </c>
      <c r="AQ154" s="953"/>
      <c r="AR154" s="954"/>
      <c r="AS154" s="954"/>
      <c r="AT154" s="1349" t="str">
        <f t="shared" si="111"/>
        <v>-</v>
      </c>
      <c r="AU154" s="464"/>
      <c r="AV154" s="464"/>
      <c r="AW154" s="464"/>
      <c r="AX154" s="464"/>
      <c r="AY154" s="464"/>
    </row>
    <row r="155" spans="1:51" ht="12.75" thickBot="1">
      <c r="A155" s="504">
        <f>+A154+1</f>
        <v>123</v>
      </c>
      <c r="B155" s="790">
        <v>32</v>
      </c>
      <c r="C155" s="935" t="s">
        <v>998</v>
      </c>
      <c r="D155" s="900" t="s">
        <v>999</v>
      </c>
      <c r="E155" s="936" t="s">
        <v>1238</v>
      </c>
      <c r="F155" s="949" t="s">
        <v>1021</v>
      </c>
      <c r="G155" s="1273">
        <f t="shared" si="99"/>
        <v>0</v>
      </c>
      <c r="H155" s="1274">
        <f t="shared" si="99"/>
        <v>0</v>
      </c>
      <c r="I155" s="1274">
        <f t="shared" si="99"/>
        <v>0</v>
      </c>
      <c r="J155" s="1389" t="str">
        <f t="shared" si="100"/>
        <v>-</v>
      </c>
      <c r="K155" s="1273">
        <f t="shared" si="101"/>
        <v>0</v>
      </c>
      <c r="L155" s="1274">
        <f t="shared" si="101"/>
        <v>0</v>
      </c>
      <c r="M155" s="1274">
        <f t="shared" si="101"/>
        <v>0</v>
      </c>
      <c r="N155" s="1389" t="str">
        <f t="shared" si="102"/>
        <v>-</v>
      </c>
      <c r="O155" s="953"/>
      <c r="P155" s="954"/>
      <c r="Q155" s="954"/>
      <c r="R155" s="1349" t="str">
        <f t="shared" si="103"/>
        <v>-</v>
      </c>
      <c r="S155" s="953"/>
      <c r="T155" s="954"/>
      <c r="U155" s="954"/>
      <c r="V155" s="1349" t="str">
        <f t="shared" si="104"/>
        <v>-</v>
      </c>
      <c r="W155" s="953"/>
      <c r="X155" s="954"/>
      <c r="Y155" s="954"/>
      <c r="Z155" s="1349" t="str">
        <f t="shared" si="105"/>
        <v>-</v>
      </c>
      <c r="AA155" s="953"/>
      <c r="AB155" s="954"/>
      <c r="AC155" s="954"/>
      <c r="AD155" s="1349" t="str">
        <f t="shared" si="106"/>
        <v>-</v>
      </c>
      <c r="AE155" s="1273">
        <f t="shared" si="107"/>
        <v>0</v>
      </c>
      <c r="AF155" s="1274">
        <f t="shared" si="107"/>
        <v>0</v>
      </c>
      <c r="AG155" s="1274">
        <f t="shared" si="107"/>
        <v>0</v>
      </c>
      <c r="AH155" s="1389" t="str">
        <f t="shared" si="108"/>
        <v>-</v>
      </c>
      <c r="AI155" s="953"/>
      <c r="AJ155" s="954"/>
      <c r="AK155" s="954"/>
      <c r="AL155" s="1349" t="str">
        <f t="shared" si="109"/>
        <v>-</v>
      </c>
      <c r="AM155" s="953"/>
      <c r="AN155" s="954"/>
      <c r="AO155" s="954"/>
      <c r="AP155" s="1349" t="str">
        <f t="shared" si="110"/>
        <v>-</v>
      </c>
      <c r="AQ155" s="953"/>
      <c r="AR155" s="954"/>
      <c r="AS155" s="954"/>
      <c r="AT155" s="1349" t="str">
        <f t="shared" si="111"/>
        <v>-</v>
      </c>
      <c r="AU155" s="464"/>
      <c r="AV155" s="464"/>
      <c r="AW155" s="464"/>
      <c r="AX155" s="464"/>
      <c r="AY155" s="464"/>
    </row>
    <row r="156" spans="1:51" s="462" customFormat="1" ht="12.75" thickBot="1">
      <c r="A156" s="500" t="s">
        <v>1137</v>
      </c>
      <c r="B156" s="793"/>
      <c r="C156" s="1880" t="s">
        <v>1094</v>
      </c>
      <c r="D156" s="1881"/>
      <c r="E156" s="1881"/>
      <c r="F156" s="1882"/>
      <c r="G156" s="490">
        <f>SUM(G151:G155)</f>
        <v>0</v>
      </c>
      <c r="H156" s="491">
        <f>SUM(H151:H155)</f>
        <v>2</v>
      </c>
      <c r="I156" s="491">
        <f>SUM(I151:I155)</f>
        <v>2</v>
      </c>
      <c r="J156" s="1350">
        <f t="shared" si="100"/>
        <v>1</v>
      </c>
      <c r="K156" s="490">
        <f>SUM(K151:K155)</f>
        <v>0</v>
      </c>
      <c r="L156" s="491">
        <f>SUM(L151:L155)</f>
        <v>2</v>
      </c>
      <c r="M156" s="491">
        <f>SUM(M151:M155)</f>
        <v>2</v>
      </c>
      <c r="N156" s="1350">
        <f t="shared" si="102"/>
        <v>1</v>
      </c>
      <c r="O156" s="472">
        <f>SUM(O151:O155)</f>
        <v>0</v>
      </c>
      <c r="P156" s="355">
        <f>SUM(P151:P155)</f>
        <v>0</v>
      </c>
      <c r="Q156" s="355">
        <f>SUM(Q151:Q155)</f>
        <v>0</v>
      </c>
      <c r="R156" s="1350" t="str">
        <f t="shared" si="103"/>
        <v>-</v>
      </c>
      <c r="S156" s="472">
        <f>SUM(S151:S155)</f>
        <v>0</v>
      </c>
      <c r="T156" s="355">
        <f>SUM(T151:T155)</f>
        <v>0</v>
      </c>
      <c r="U156" s="355">
        <f>SUM(U151:U155)</f>
        <v>0</v>
      </c>
      <c r="V156" s="1350" t="str">
        <f t="shared" si="104"/>
        <v>-</v>
      </c>
      <c r="W156" s="472">
        <f>SUM(W151:W155)</f>
        <v>0</v>
      </c>
      <c r="X156" s="355">
        <f>SUM(X151:X155)</f>
        <v>2</v>
      </c>
      <c r="Y156" s="355">
        <f>SUM(Y151:Y155)</f>
        <v>2</v>
      </c>
      <c r="Z156" s="1350">
        <f t="shared" si="105"/>
        <v>1</v>
      </c>
      <c r="AA156" s="472">
        <f>SUM(AA151:AA155)</f>
        <v>0</v>
      </c>
      <c r="AB156" s="355">
        <f>SUM(AB151:AB155)</f>
        <v>0</v>
      </c>
      <c r="AC156" s="355">
        <f>SUM(AC151:AC155)</f>
        <v>0</v>
      </c>
      <c r="AD156" s="1350" t="str">
        <f t="shared" si="106"/>
        <v>-</v>
      </c>
      <c r="AE156" s="490">
        <f>SUM(AE151:AE155)</f>
        <v>0</v>
      </c>
      <c r="AF156" s="491">
        <f>SUM(AF151:AF155)</f>
        <v>0</v>
      </c>
      <c r="AG156" s="491">
        <f>SUM(AG151:AG155)</f>
        <v>0</v>
      </c>
      <c r="AH156" s="1350" t="str">
        <f t="shared" si="108"/>
        <v>-</v>
      </c>
      <c r="AI156" s="472">
        <f>SUM(AI151:AI155)</f>
        <v>0</v>
      </c>
      <c r="AJ156" s="355">
        <f>SUM(AJ151:AJ155)</f>
        <v>0</v>
      </c>
      <c r="AK156" s="355">
        <f>SUM(AK151:AK155)</f>
        <v>0</v>
      </c>
      <c r="AL156" s="1350" t="str">
        <f t="shared" si="109"/>
        <v>-</v>
      </c>
      <c r="AM156" s="472">
        <f>SUM(AM151:AM155)</f>
        <v>0</v>
      </c>
      <c r="AN156" s="355">
        <f>SUM(AN151:AN155)</f>
        <v>0</v>
      </c>
      <c r="AO156" s="355">
        <f>SUM(AO151:AO155)</f>
        <v>0</v>
      </c>
      <c r="AP156" s="1350" t="str">
        <f t="shared" si="110"/>
        <v>-</v>
      </c>
      <c r="AQ156" s="472">
        <f>SUM(AQ151:AQ155)</f>
        <v>0</v>
      </c>
      <c r="AR156" s="355">
        <f>SUM(AR151:AR155)</f>
        <v>0</v>
      </c>
      <c r="AS156" s="355">
        <f>SUM(AS151:AS155)</f>
        <v>0</v>
      </c>
      <c r="AT156" s="1350" t="str">
        <f t="shared" si="111"/>
        <v>-</v>
      </c>
      <c r="AU156" s="464"/>
      <c r="AV156" s="464"/>
      <c r="AW156" s="464"/>
      <c r="AX156" s="464"/>
      <c r="AY156" s="464"/>
    </row>
    <row r="157" spans="1:51" s="466" customFormat="1" ht="12.75" customHeight="1" thickBot="1">
      <c r="A157" s="506">
        <f>A155+1</f>
        <v>124</v>
      </c>
      <c r="B157" s="798">
        <v>33</v>
      </c>
      <c r="C157" s="882" t="s">
        <v>19</v>
      </c>
      <c r="D157" s="497" t="s">
        <v>19</v>
      </c>
      <c r="E157" s="877" t="s">
        <v>19</v>
      </c>
      <c r="F157" s="951" t="s">
        <v>19</v>
      </c>
      <c r="G157" s="1283">
        <f>+K157+AE157</f>
        <v>0</v>
      </c>
      <c r="H157" s="1284">
        <f>+L157+AF157</f>
        <v>0</v>
      </c>
      <c r="I157" s="1284">
        <f>+M157+AG157</f>
        <v>0</v>
      </c>
      <c r="J157" s="1389" t="str">
        <f t="shared" si="100"/>
        <v>-</v>
      </c>
      <c r="K157" s="1283">
        <f>+O157+S157+W157+AA157</f>
        <v>0</v>
      </c>
      <c r="L157" s="1284">
        <f>+P157+T157+X157+AB157</f>
        <v>0</v>
      </c>
      <c r="M157" s="1284">
        <f>+Q157+U157+Y157+AC157</f>
        <v>0</v>
      </c>
      <c r="N157" s="1389" t="str">
        <f t="shared" si="102"/>
        <v>-</v>
      </c>
      <c r="O157" s="469"/>
      <c r="P157" s="468"/>
      <c r="Q157" s="468"/>
      <c r="R157" s="1349" t="str">
        <f t="shared" si="103"/>
        <v>-</v>
      </c>
      <c r="S157" s="469"/>
      <c r="T157" s="468"/>
      <c r="U157" s="468"/>
      <c r="V157" s="1349" t="str">
        <f t="shared" si="104"/>
        <v>-</v>
      </c>
      <c r="W157" s="469"/>
      <c r="X157" s="468"/>
      <c r="Y157" s="468"/>
      <c r="Z157" s="1349" t="str">
        <f t="shared" si="105"/>
        <v>-</v>
      </c>
      <c r="AA157" s="469"/>
      <c r="AB157" s="468"/>
      <c r="AC157" s="468"/>
      <c r="AD157" s="1349" t="str">
        <f t="shared" si="106"/>
        <v>-</v>
      </c>
      <c r="AE157" s="1283">
        <f>+AI157+AM157+AQ157</f>
        <v>0</v>
      </c>
      <c r="AF157" s="1284">
        <f>+AJ157+AN157+AR157</f>
        <v>0</v>
      </c>
      <c r="AG157" s="1284">
        <f>+AK157+AO157+AS157</f>
        <v>0</v>
      </c>
      <c r="AH157" s="1389" t="str">
        <f t="shared" si="108"/>
        <v>-</v>
      </c>
      <c r="AI157" s="469"/>
      <c r="AJ157" s="468"/>
      <c r="AK157" s="468"/>
      <c r="AL157" s="1349" t="str">
        <f t="shared" si="109"/>
        <v>-</v>
      </c>
      <c r="AM157" s="469"/>
      <c r="AN157" s="468"/>
      <c r="AO157" s="468"/>
      <c r="AP157" s="1349" t="str">
        <f t="shared" si="110"/>
        <v>-</v>
      </c>
      <c r="AQ157" s="469"/>
      <c r="AR157" s="468"/>
      <c r="AS157" s="468"/>
      <c r="AT157" s="1349" t="str">
        <f t="shared" si="111"/>
        <v>-</v>
      </c>
      <c r="AU157" s="464"/>
      <c r="AV157" s="464"/>
      <c r="AW157" s="464"/>
      <c r="AX157" s="464"/>
      <c r="AY157" s="464"/>
    </row>
    <row r="158" spans="1:51" s="462" customFormat="1" ht="12.75" thickBot="1">
      <c r="A158" s="500" t="s">
        <v>1138</v>
      </c>
      <c r="B158" s="793"/>
      <c r="C158" s="1880" t="s">
        <v>1095</v>
      </c>
      <c r="D158" s="1881"/>
      <c r="E158" s="1881"/>
      <c r="F158" s="1882"/>
      <c r="G158" s="490">
        <f>SUM(G157)</f>
        <v>0</v>
      </c>
      <c r="H158" s="491">
        <f>SUM(H157)</f>
        <v>0</v>
      </c>
      <c r="I158" s="491">
        <f>SUM(I157)</f>
        <v>0</v>
      </c>
      <c r="J158" s="1350" t="str">
        <f t="shared" si="100"/>
        <v>-</v>
      </c>
      <c r="K158" s="490">
        <f>SUM(K157)</f>
        <v>0</v>
      </c>
      <c r="L158" s="491">
        <f>SUM(L157)</f>
        <v>0</v>
      </c>
      <c r="M158" s="491">
        <f>SUM(M157)</f>
        <v>0</v>
      </c>
      <c r="N158" s="1350" t="str">
        <f t="shared" si="102"/>
        <v>-</v>
      </c>
      <c r="O158" s="472">
        <f>SUM(O157)</f>
        <v>0</v>
      </c>
      <c r="P158" s="355">
        <f>SUM(P157)</f>
        <v>0</v>
      </c>
      <c r="Q158" s="355">
        <f>SUM(Q157)</f>
        <v>0</v>
      </c>
      <c r="R158" s="1350" t="str">
        <f t="shared" si="103"/>
        <v>-</v>
      </c>
      <c r="S158" s="472">
        <f>SUM(S157)</f>
        <v>0</v>
      </c>
      <c r="T158" s="355">
        <f>SUM(T157)</f>
        <v>0</v>
      </c>
      <c r="U158" s="355">
        <f>SUM(U157)</f>
        <v>0</v>
      </c>
      <c r="V158" s="1350" t="str">
        <f t="shared" si="104"/>
        <v>-</v>
      </c>
      <c r="W158" s="472">
        <f>SUM(W157)</f>
        <v>0</v>
      </c>
      <c r="X158" s="355">
        <f>SUM(X157)</f>
        <v>0</v>
      </c>
      <c r="Y158" s="355">
        <f>SUM(Y157)</f>
        <v>0</v>
      </c>
      <c r="Z158" s="1350" t="str">
        <f t="shared" si="105"/>
        <v>-</v>
      </c>
      <c r="AA158" s="472">
        <f>SUM(AA157)</f>
        <v>0</v>
      </c>
      <c r="AB158" s="355">
        <f>SUM(AB157)</f>
        <v>0</v>
      </c>
      <c r="AC158" s="355">
        <f>SUM(AC157)</f>
        <v>0</v>
      </c>
      <c r="AD158" s="1350" t="str">
        <f t="shared" si="106"/>
        <v>-</v>
      </c>
      <c r="AE158" s="490">
        <f>SUM(AE157)</f>
        <v>0</v>
      </c>
      <c r="AF158" s="491">
        <f>SUM(AF157)</f>
        <v>0</v>
      </c>
      <c r="AG158" s="491">
        <f>SUM(AG157)</f>
        <v>0</v>
      </c>
      <c r="AH158" s="1350" t="str">
        <f t="shared" si="108"/>
        <v>-</v>
      </c>
      <c r="AI158" s="472">
        <f>SUM(AI157)</f>
        <v>0</v>
      </c>
      <c r="AJ158" s="355">
        <f>SUM(AJ157)</f>
        <v>0</v>
      </c>
      <c r="AK158" s="355">
        <f>SUM(AK157)</f>
        <v>0</v>
      </c>
      <c r="AL158" s="1350" t="str">
        <f t="shared" si="109"/>
        <v>-</v>
      </c>
      <c r="AM158" s="472">
        <f>SUM(AM157)</f>
        <v>0</v>
      </c>
      <c r="AN158" s="355">
        <f>SUM(AN157)</f>
        <v>0</v>
      </c>
      <c r="AO158" s="355">
        <f>SUM(AO157)</f>
        <v>0</v>
      </c>
      <c r="AP158" s="1350" t="str">
        <f t="shared" si="110"/>
        <v>-</v>
      </c>
      <c r="AQ158" s="472">
        <f>SUM(AQ157)</f>
        <v>0</v>
      </c>
      <c r="AR158" s="355">
        <f>SUM(AR157)</f>
        <v>0</v>
      </c>
      <c r="AS158" s="355">
        <f>SUM(AS157)</f>
        <v>0</v>
      </c>
      <c r="AT158" s="1350" t="str">
        <f t="shared" si="111"/>
        <v>-</v>
      </c>
      <c r="AU158" s="464"/>
      <c r="AV158" s="464"/>
      <c r="AW158" s="464"/>
      <c r="AX158" s="464"/>
      <c r="AY158" s="464"/>
    </row>
    <row r="159" spans="1:51" s="466" customFormat="1" ht="12.75" customHeight="1" thickBot="1">
      <c r="A159" s="506">
        <f>+A157+1</f>
        <v>125</v>
      </c>
      <c r="B159" s="798">
        <v>34</v>
      </c>
      <c r="C159" s="882" t="s">
        <v>19</v>
      </c>
      <c r="D159" s="497" t="s">
        <v>19</v>
      </c>
      <c r="E159" s="877" t="s">
        <v>19</v>
      </c>
      <c r="F159" s="951" t="s">
        <v>19</v>
      </c>
      <c r="G159" s="1283">
        <f>+K159+AE159</f>
        <v>0</v>
      </c>
      <c r="H159" s="1284">
        <f>+L159+AF159</f>
        <v>0</v>
      </c>
      <c r="I159" s="1284">
        <f>+M159+AG159</f>
        <v>0</v>
      </c>
      <c r="J159" s="1389" t="str">
        <f t="shared" si="100"/>
        <v>-</v>
      </c>
      <c r="K159" s="1283">
        <f>+O159+S159+W159+AA159</f>
        <v>0</v>
      </c>
      <c r="L159" s="1284">
        <f>+P159+T159+X159+AB159</f>
        <v>0</v>
      </c>
      <c r="M159" s="1284">
        <f>+Q159+U159+Y159+AC159</f>
        <v>0</v>
      </c>
      <c r="N159" s="1389" t="str">
        <f t="shared" si="102"/>
        <v>-</v>
      </c>
      <c r="O159" s="469"/>
      <c r="P159" s="468"/>
      <c r="Q159" s="468"/>
      <c r="R159" s="1349" t="str">
        <f t="shared" si="103"/>
        <v>-</v>
      </c>
      <c r="S159" s="469"/>
      <c r="T159" s="468"/>
      <c r="U159" s="468"/>
      <c r="V159" s="1349" t="str">
        <f t="shared" si="104"/>
        <v>-</v>
      </c>
      <c r="W159" s="469"/>
      <c r="X159" s="468"/>
      <c r="Y159" s="468"/>
      <c r="Z159" s="1349" t="str">
        <f t="shared" si="105"/>
        <v>-</v>
      </c>
      <c r="AA159" s="469"/>
      <c r="AB159" s="468"/>
      <c r="AC159" s="468"/>
      <c r="AD159" s="1349" t="str">
        <f t="shared" si="106"/>
        <v>-</v>
      </c>
      <c r="AE159" s="1283">
        <f>+AI159+AM159+AQ159</f>
        <v>0</v>
      </c>
      <c r="AF159" s="1284">
        <f>+AJ159+AN159+AR159</f>
        <v>0</v>
      </c>
      <c r="AG159" s="1284">
        <f>+AK159+AO159+AS159</f>
        <v>0</v>
      </c>
      <c r="AH159" s="1389" t="str">
        <f t="shared" si="108"/>
        <v>-</v>
      </c>
      <c r="AI159" s="469"/>
      <c r="AJ159" s="468"/>
      <c r="AK159" s="468"/>
      <c r="AL159" s="1349" t="str">
        <f t="shared" si="109"/>
        <v>-</v>
      </c>
      <c r="AM159" s="469"/>
      <c r="AN159" s="468"/>
      <c r="AO159" s="468"/>
      <c r="AP159" s="1349" t="str">
        <f t="shared" si="110"/>
        <v>-</v>
      </c>
      <c r="AQ159" s="469"/>
      <c r="AR159" s="468"/>
      <c r="AS159" s="468"/>
      <c r="AT159" s="1349" t="str">
        <f t="shared" si="111"/>
        <v>-</v>
      </c>
      <c r="AU159" s="464"/>
      <c r="AV159" s="464"/>
      <c r="AW159" s="464"/>
      <c r="AX159" s="464"/>
      <c r="AY159" s="464"/>
    </row>
    <row r="160" spans="1:51" s="462" customFormat="1" ht="12.75" thickBot="1">
      <c r="A160" s="500" t="s">
        <v>1139</v>
      </c>
      <c r="B160" s="793"/>
      <c r="C160" s="1880" t="s">
        <v>1096</v>
      </c>
      <c r="D160" s="1881"/>
      <c r="E160" s="1881"/>
      <c r="F160" s="1882"/>
      <c r="G160" s="490">
        <f>SUM(G159)</f>
        <v>0</v>
      </c>
      <c r="H160" s="491">
        <f>SUM(H159)</f>
        <v>0</v>
      </c>
      <c r="I160" s="491">
        <f>SUM(I159)</f>
        <v>0</v>
      </c>
      <c r="J160" s="1350" t="str">
        <f t="shared" si="100"/>
        <v>-</v>
      </c>
      <c r="K160" s="490">
        <f>SUM(K159)</f>
        <v>0</v>
      </c>
      <c r="L160" s="491">
        <f>SUM(L159)</f>
        <v>0</v>
      </c>
      <c r="M160" s="491">
        <f>SUM(M159)</f>
        <v>0</v>
      </c>
      <c r="N160" s="1350" t="str">
        <f t="shared" si="102"/>
        <v>-</v>
      </c>
      <c r="O160" s="472">
        <f>SUM(O159)</f>
        <v>0</v>
      </c>
      <c r="P160" s="355">
        <f>SUM(P159)</f>
        <v>0</v>
      </c>
      <c r="Q160" s="355">
        <f>SUM(Q159)</f>
        <v>0</v>
      </c>
      <c r="R160" s="1350" t="str">
        <f t="shared" si="103"/>
        <v>-</v>
      </c>
      <c r="S160" s="472">
        <f>SUM(S159)</f>
        <v>0</v>
      </c>
      <c r="T160" s="355">
        <f>SUM(T159)</f>
        <v>0</v>
      </c>
      <c r="U160" s="355">
        <f>SUM(U159)</f>
        <v>0</v>
      </c>
      <c r="V160" s="1350" t="str">
        <f t="shared" si="104"/>
        <v>-</v>
      </c>
      <c r="W160" s="472">
        <f>SUM(W159)</f>
        <v>0</v>
      </c>
      <c r="X160" s="355">
        <f>SUM(X159)</f>
        <v>0</v>
      </c>
      <c r="Y160" s="355">
        <f>SUM(Y159)</f>
        <v>0</v>
      </c>
      <c r="Z160" s="1350" t="str">
        <f t="shared" si="105"/>
        <v>-</v>
      </c>
      <c r="AA160" s="472">
        <f>SUM(AA159)</f>
        <v>0</v>
      </c>
      <c r="AB160" s="355">
        <f>SUM(AB159)</f>
        <v>0</v>
      </c>
      <c r="AC160" s="355">
        <f>SUM(AC159)</f>
        <v>0</v>
      </c>
      <c r="AD160" s="1350" t="str">
        <f t="shared" si="106"/>
        <v>-</v>
      </c>
      <c r="AE160" s="490">
        <f>SUM(AE159)</f>
        <v>0</v>
      </c>
      <c r="AF160" s="491">
        <f>SUM(AF159)</f>
        <v>0</v>
      </c>
      <c r="AG160" s="491">
        <f>SUM(AG159)</f>
        <v>0</v>
      </c>
      <c r="AH160" s="1350" t="str">
        <f t="shared" si="108"/>
        <v>-</v>
      </c>
      <c r="AI160" s="472">
        <f>SUM(AI159)</f>
        <v>0</v>
      </c>
      <c r="AJ160" s="355">
        <f>SUM(AJ159)</f>
        <v>0</v>
      </c>
      <c r="AK160" s="355">
        <f>SUM(AK159)</f>
        <v>0</v>
      </c>
      <c r="AL160" s="1350" t="str">
        <f t="shared" si="109"/>
        <v>-</v>
      </c>
      <c r="AM160" s="472">
        <f>SUM(AM159)</f>
        <v>0</v>
      </c>
      <c r="AN160" s="355">
        <f>SUM(AN159)</f>
        <v>0</v>
      </c>
      <c r="AO160" s="355">
        <f>SUM(AO159)</f>
        <v>0</v>
      </c>
      <c r="AP160" s="1350" t="str">
        <f t="shared" si="110"/>
        <v>-</v>
      </c>
      <c r="AQ160" s="472">
        <f>SUM(AQ159)</f>
        <v>0</v>
      </c>
      <c r="AR160" s="355">
        <f>SUM(AR159)</f>
        <v>0</v>
      </c>
      <c r="AS160" s="355">
        <f>SUM(AS159)</f>
        <v>0</v>
      </c>
      <c r="AT160" s="1350" t="str">
        <f t="shared" si="111"/>
        <v>-</v>
      </c>
      <c r="AU160" s="464"/>
      <c r="AV160" s="464"/>
      <c r="AW160" s="464"/>
      <c r="AX160" s="464"/>
      <c r="AY160" s="464"/>
    </row>
    <row r="161" spans="1:58" s="462" customFormat="1" ht="12.75" thickBot="1">
      <c r="A161" s="501" t="s">
        <v>42</v>
      </c>
      <c r="B161" s="794"/>
      <c r="C161" s="1874" t="s">
        <v>1097</v>
      </c>
      <c r="D161" s="1875"/>
      <c r="E161" s="1875"/>
      <c r="F161" s="1876"/>
      <c r="G161" s="474">
        <f>+G156+G158+G160</f>
        <v>0</v>
      </c>
      <c r="H161" s="475">
        <f>+H156+H158+H160</f>
        <v>2</v>
      </c>
      <c r="I161" s="475">
        <f>+I156+I158+I160</f>
        <v>2</v>
      </c>
      <c r="J161" s="1386">
        <f t="shared" si="100"/>
        <v>1</v>
      </c>
      <c r="K161" s="474">
        <f>+K156+K158+K160</f>
        <v>0</v>
      </c>
      <c r="L161" s="475">
        <f>+L156+L158+L160</f>
        <v>2</v>
      </c>
      <c r="M161" s="475">
        <f>+M156+M158+M160</f>
        <v>2</v>
      </c>
      <c r="N161" s="1386">
        <f t="shared" si="102"/>
        <v>1</v>
      </c>
      <c r="O161" s="484">
        <f>+O156+O158+O160</f>
        <v>0</v>
      </c>
      <c r="P161" s="485">
        <f>+P156+P158+P160</f>
        <v>0</v>
      </c>
      <c r="Q161" s="485">
        <f>+Q156+Q158+Q160</f>
        <v>0</v>
      </c>
      <c r="R161" s="1386" t="str">
        <f t="shared" si="103"/>
        <v>-</v>
      </c>
      <c r="S161" s="484">
        <f>+S156+S158+S160</f>
        <v>0</v>
      </c>
      <c r="T161" s="485">
        <f>+T156+T158+T160</f>
        <v>0</v>
      </c>
      <c r="U161" s="485">
        <f>+U156+U158+U160</f>
        <v>0</v>
      </c>
      <c r="V161" s="1386" t="str">
        <f t="shared" si="104"/>
        <v>-</v>
      </c>
      <c r="W161" s="484">
        <f>+W156+W158+W160</f>
        <v>0</v>
      </c>
      <c r="X161" s="485">
        <f>+X156+X158+X160</f>
        <v>2</v>
      </c>
      <c r="Y161" s="485">
        <f>+Y156+Y158+Y160</f>
        <v>2</v>
      </c>
      <c r="Z161" s="1386">
        <f t="shared" si="105"/>
        <v>1</v>
      </c>
      <c r="AA161" s="484">
        <f>+AA156+AA158+AA160</f>
        <v>0</v>
      </c>
      <c r="AB161" s="485">
        <f>+AB156+AB158+AB160</f>
        <v>0</v>
      </c>
      <c r="AC161" s="485">
        <f>+AC156+AC158+AC160</f>
        <v>0</v>
      </c>
      <c r="AD161" s="1386" t="str">
        <f t="shared" si="106"/>
        <v>-</v>
      </c>
      <c r="AE161" s="474">
        <f>+AE156+AE158+AE160</f>
        <v>0</v>
      </c>
      <c r="AF161" s="475">
        <f>+AF156+AF158+AF160</f>
        <v>0</v>
      </c>
      <c r="AG161" s="475">
        <f>+AG156+AG158+AG160</f>
        <v>0</v>
      </c>
      <c r="AH161" s="1386" t="str">
        <f t="shared" si="108"/>
        <v>-</v>
      </c>
      <c r="AI161" s="484">
        <f>+AI156+AI158+AI160</f>
        <v>0</v>
      </c>
      <c r="AJ161" s="485">
        <f>+AJ156+AJ158+AJ160</f>
        <v>0</v>
      </c>
      <c r="AK161" s="485">
        <f>+AK156+AK158+AK160</f>
        <v>0</v>
      </c>
      <c r="AL161" s="1386" t="str">
        <f t="shared" si="109"/>
        <v>-</v>
      </c>
      <c r="AM161" s="484">
        <f>+AM156+AM158+AM160</f>
        <v>0</v>
      </c>
      <c r="AN161" s="485">
        <f>+AN156+AN158+AN160</f>
        <v>0</v>
      </c>
      <c r="AO161" s="485">
        <f>+AO156+AO158+AO160</f>
        <v>0</v>
      </c>
      <c r="AP161" s="1386" t="str">
        <f t="shared" si="110"/>
        <v>-</v>
      </c>
      <c r="AQ161" s="484">
        <f>+AQ156+AQ158+AQ160</f>
        <v>0</v>
      </c>
      <c r="AR161" s="485">
        <f>+AR156+AR158+AR160</f>
        <v>0</v>
      </c>
      <c r="AS161" s="485">
        <f>+AS156+AS158+AS160</f>
        <v>0</v>
      </c>
      <c r="AT161" s="1386" t="str">
        <f t="shared" si="111"/>
        <v>-</v>
      </c>
      <c r="AU161" s="464"/>
      <c r="AV161" s="464"/>
      <c r="AW161" s="464"/>
      <c r="AX161" s="464"/>
      <c r="AY161" s="464"/>
    </row>
    <row r="162" spans="1:58" ht="12.75" thickBot="1">
      <c r="A162" s="506"/>
      <c r="B162" s="798"/>
      <c r="C162" s="882"/>
      <c r="D162" s="497"/>
      <c r="E162" s="877"/>
      <c r="F162" s="486"/>
      <c r="G162" s="1283"/>
      <c r="H162" s="1284"/>
      <c r="I162" s="1284"/>
      <c r="J162" s="1387"/>
      <c r="K162" s="1283"/>
      <c r="L162" s="1284"/>
      <c r="M162" s="1284"/>
      <c r="N162" s="1387"/>
      <c r="O162" s="469"/>
      <c r="P162" s="468"/>
      <c r="Q162" s="468"/>
      <c r="R162" s="1387"/>
      <c r="S162" s="469"/>
      <c r="T162" s="468"/>
      <c r="U162" s="468"/>
      <c r="V162" s="1387"/>
      <c r="W162" s="469"/>
      <c r="X162" s="468"/>
      <c r="Y162" s="468"/>
      <c r="Z162" s="1387"/>
      <c r="AA162" s="469"/>
      <c r="AB162" s="468"/>
      <c r="AC162" s="468"/>
      <c r="AD162" s="1387"/>
      <c r="AE162" s="1283"/>
      <c r="AF162" s="1284"/>
      <c r="AG162" s="1284"/>
      <c r="AH162" s="1387"/>
      <c r="AI162" s="469"/>
      <c r="AJ162" s="468"/>
      <c r="AK162" s="468"/>
      <c r="AL162" s="1387"/>
      <c r="AM162" s="469"/>
      <c r="AN162" s="468"/>
      <c r="AO162" s="468"/>
      <c r="AP162" s="1387"/>
      <c r="AQ162" s="469"/>
      <c r="AR162" s="468"/>
      <c r="AS162" s="468"/>
      <c r="AT162" s="1387"/>
      <c r="AU162" s="464"/>
      <c r="AV162" s="464"/>
      <c r="AW162" s="464"/>
      <c r="AX162" s="464"/>
      <c r="AY162" s="464"/>
    </row>
    <row r="163" spans="1:58" ht="12.75" thickBot="1">
      <c r="A163" s="501" t="s">
        <v>41</v>
      </c>
      <c r="B163" s="794"/>
      <c r="C163" s="1874" t="s">
        <v>753</v>
      </c>
      <c r="D163" s="1875"/>
      <c r="E163" s="1875"/>
      <c r="F163" s="1876"/>
      <c r="G163" s="487">
        <f>+G93+G113+G126+G140+G149+G161</f>
        <v>1666925</v>
      </c>
      <c r="H163" s="488">
        <f>+H93+H113+H126+H140+H149+H161</f>
        <v>2342938</v>
      </c>
      <c r="I163" s="488">
        <f>+I93+I113+I126+I140+I149+I161</f>
        <v>2138080</v>
      </c>
      <c r="J163" s="1386">
        <f>IF(ISERROR(I163/H163),"-",I163/H163)</f>
        <v>0.91256362737725027</v>
      </c>
      <c r="K163" s="487">
        <f>+K93+K113+K126+K140+K149+K161</f>
        <v>1593199</v>
      </c>
      <c r="L163" s="488">
        <f>+L93+L113+L126+L140+L149+L161</f>
        <v>2075746</v>
      </c>
      <c r="M163" s="488">
        <f>+M93+M113+M126+M140+M149+M161</f>
        <v>1876441</v>
      </c>
      <c r="N163" s="1386">
        <f>IF(ISERROR(M163/L163),"-",M163/L163)</f>
        <v>0.90398391710739179</v>
      </c>
      <c r="O163" s="487">
        <f>+O93+O113+O126+O140+O149+O161</f>
        <v>992226</v>
      </c>
      <c r="P163" s="488">
        <f>+P93+P113+P126+P140+P149+P161</f>
        <v>1347690</v>
      </c>
      <c r="Q163" s="488">
        <f>+Q93+Q113+Q126+Q140+Q149+Q161</f>
        <v>1347690</v>
      </c>
      <c r="R163" s="1386">
        <f>IF(ISERROR(Q163/P163),"-",Q163/P163)</f>
        <v>1</v>
      </c>
      <c r="S163" s="487">
        <f>+S93+S113+S126+S140+S149+S161</f>
        <v>414105</v>
      </c>
      <c r="T163" s="488">
        <f>+T93+T113+T126+T140+T149+T161</f>
        <v>538391</v>
      </c>
      <c r="U163" s="488">
        <f>+U93+U113+U126+U140+U149+U161</f>
        <v>370140</v>
      </c>
      <c r="V163" s="1386">
        <f>IF(ISERROR(U163/T163),"-",U163/T163)</f>
        <v>0.68749291871520879</v>
      </c>
      <c r="W163" s="487">
        <f>+W93+W113+W126+W140+W149+W161</f>
        <v>186868</v>
      </c>
      <c r="X163" s="488">
        <f>+X93+X113+X126+X140+X149+X161</f>
        <v>169713</v>
      </c>
      <c r="Y163" s="488">
        <f>+Y93+Y113+Y126+Y140+Y149+Y161</f>
        <v>153866</v>
      </c>
      <c r="Z163" s="1386">
        <f>IF(ISERROR(Y163/X163),"-",Y163/X163)</f>
        <v>0.90662471348688667</v>
      </c>
      <c r="AA163" s="487">
        <f>+AA93+AA113+AA126+AA140+AA149+AA161</f>
        <v>0</v>
      </c>
      <c r="AB163" s="488">
        <f>+AB93+AB113+AB126+AB140+AB149+AB161</f>
        <v>19952</v>
      </c>
      <c r="AC163" s="488">
        <f>+AC93+AC113+AC126+AC140+AC149+AC161</f>
        <v>4745</v>
      </c>
      <c r="AD163" s="1386">
        <f>IF(ISERROR(AC163/AB163),"-",AC163/AB163)</f>
        <v>0.23782076984763431</v>
      </c>
      <c r="AE163" s="487">
        <f>+AE93+AE113+AE126+AE140+AE149+AE161</f>
        <v>73726</v>
      </c>
      <c r="AF163" s="488">
        <f>+AF93+AF113+AF126+AF140+AF149+AF161</f>
        <v>267192</v>
      </c>
      <c r="AG163" s="488">
        <f>+AG93+AG113+AG126+AG140+AG149+AG161</f>
        <v>261639</v>
      </c>
      <c r="AH163" s="1386">
        <f>IF(ISERROR(AG163/AF163),"-",AG163/AF163)</f>
        <v>0.97921719213150094</v>
      </c>
      <c r="AI163" s="487">
        <f>+AI93+AI113+AI126+AI140+AI149+AI161</f>
        <v>32276</v>
      </c>
      <c r="AJ163" s="488">
        <f>+AJ93+AJ113+AJ126+AJ140+AJ149+AJ161</f>
        <v>219051</v>
      </c>
      <c r="AK163" s="488">
        <f>+AK93+AK113+AK126+AK140+AK149+AK161</f>
        <v>219051</v>
      </c>
      <c r="AL163" s="1386">
        <f>IF(ISERROR(AK163/AJ163),"-",AK163/AJ163)</f>
        <v>1</v>
      </c>
      <c r="AM163" s="487">
        <f>+AM93+AM113+AM126+AM140+AM149+AM161</f>
        <v>40350</v>
      </c>
      <c r="AN163" s="488">
        <f>+AN93+AN113+AN126+AN140+AN149+AN161</f>
        <v>42427</v>
      </c>
      <c r="AO163" s="488">
        <f>+AO93+AO113+AO126+AO140+AO149+AO161</f>
        <v>41924</v>
      </c>
      <c r="AP163" s="1386">
        <f>IF(ISERROR(AO163/AN163),"-",AO163/AN163)</f>
        <v>0.98814434204633839</v>
      </c>
      <c r="AQ163" s="487">
        <f>+AQ93+AQ113+AQ126+AQ140+AQ149+AQ161</f>
        <v>1100</v>
      </c>
      <c r="AR163" s="488">
        <f>+AR93+AR113+AR126+AR140+AR149+AR161</f>
        <v>5714</v>
      </c>
      <c r="AS163" s="488">
        <f>+AS93+AS113+AS126+AS140+AS149+AS161</f>
        <v>664</v>
      </c>
      <c r="AT163" s="1386">
        <f>IF(ISERROR(AS163/AR163),"-",AS163/AR163)</f>
        <v>0.11620581029051452</v>
      </c>
      <c r="AU163" s="464"/>
      <c r="AV163" s="464"/>
      <c r="AW163" s="464"/>
      <c r="AX163" s="464"/>
      <c r="AY163" s="464"/>
    </row>
    <row r="164" spans="1:58">
      <c r="AU164" s="464"/>
      <c r="AV164" s="464"/>
      <c r="AW164" s="464"/>
      <c r="AX164" s="464"/>
      <c r="AY164" s="464"/>
    </row>
    <row r="165" spans="1:58">
      <c r="AU165" s="464"/>
      <c r="AV165" s="464"/>
      <c r="AW165" s="464"/>
      <c r="AX165" s="464"/>
      <c r="AY165" s="464"/>
    </row>
    <row r="166" spans="1:58">
      <c r="AU166" s="464"/>
      <c r="AV166" s="464"/>
      <c r="AW166" s="464"/>
      <c r="AX166" s="464"/>
      <c r="AY166" s="464"/>
    </row>
    <row r="167" spans="1:58">
      <c r="AU167" s="464"/>
      <c r="AV167" s="464"/>
      <c r="AW167" s="464"/>
      <c r="AX167" s="464"/>
      <c r="AY167" s="464"/>
    </row>
    <row r="169" spans="1:58" ht="15.75" customHeight="1">
      <c r="A169" s="1796" t="s">
        <v>768</v>
      </c>
      <c r="B169" s="1796"/>
      <c r="C169" s="1796"/>
      <c r="D169" s="1796"/>
      <c r="E169" s="1796"/>
      <c r="F169" s="1796"/>
      <c r="G169" s="1796"/>
      <c r="H169" s="1796"/>
      <c r="I169" s="1796"/>
      <c r="J169" s="1796"/>
      <c r="K169" s="1796"/>
      <c r="L169" s="1796"/>
      <c r="M169" s="1796"/>
      <c r="N169" s="1796"/>
      <c r="O169" s="1796"/>
      <c r="P169" s="1796"/>
      <c r="Q169" s="1796"/>
      <c r="R169" s="1796"/>
      <c r="S169" s="1796"/>
      <c r="T169" s="1796"/>
      <c r="U169" s="1796"/>
      <c r="V169" s="1796"/>
      <c r="W169" s="1796"/>
      <c r="X169" s="1796"/>
      <c r="Y169" s="1796"/>
      <c r="Z169" s="1796"/>
      <c r="AA169" s="1796"/>
      <c r="AB169" s="1796"/>
      <c r="AC169" s="1796"/>
      <c r="AD169" s="1796"/>
      <c r="AE169" s="1796"/>
      <c r="AF169" s="1796"/>
      <c r="AG169" s="1796"/>
      <c r="AH169" s="1796"/>
      <c r="AI169" s="1796"/>
      <c r="AJ169" s="1796"/>
      <c r="AK169" s="1796"/>
      <c r="AL169" s="1796"/>
      <c r="AM169" s="1796"/>
      <c r="AN169" s="1796"/>
      <c r="AO169" s="1796"/>
      <c r="AP169" s="1796"/>
      <c r="AQ169" s="1796"/>
      <c r="AR169" s="1796"/>
      <c r="AS169" s="1796"/>
      <c r="AT169" s="1796"/>
      <c r="AU169" s="1796"/>
      <c r="AV169" s="1796"/>
      <c r="AW169" s="1796"/>
      <c r="AX169" s="1796"/>
      <c r="AY169" s="1738"/>
    </row>
    <row r="170" spans="1:58" ht="12.75" thickBot="1">
      <c r="AA170" s="238"/>
      <c r="AB170" s="238"/>
      <c r="AC170" s="238"/>
      <c r="AD170" s="238"/>
      <c r="AQ170" s="489"/>
      <c r="AR170" s="489"/>
      <c r="AS170" s="489"/>
      <c r="AT170" s="489"/>
      <c r="AU170" s="238"/>
      <c r="AV170" s="238"/>
      <c r="AW170" s="238"/>
      <c r="AX170" s="238" t="s">
        <v>457</v>
      </c>
      <c r="AY170" s="238"/>
    </row>
    <row r="171" spans="1:58" s="466" customFormat="1" ht="12.75" customHeight="1" thickBot="1">
      <c r="A171" s="1865" t="s">
        <v>17</v>
      </c>
      <c r="B171" s="1892" t="s">
        <v>1037</v>
      </c>
      <c r="C171" s="1883" t="s">
        <v>761</v>
      </c>
      <c r="D171" s="1886" t="s">
        <v>760</v>
      </c>
      <c r="E171" s="1868" t="s">
        <v>744</v>
      </c>
      <c r="F171" s="1889" t="s">
        <v>754</v>
      </c>
      <c r="G171" s="1895" t="s">
        <v>1415</v>
      </c>
      <c r="H171" s="1896"/>
      <c r="I171" s="1896"/>
      <c r="J171" s="1897"/>
      <c r="K171" s="1895" t="s">
        <v>1479</v>
      </c>
      <c r="L171" s="1896"/>
      <c r="M171" s="1896"/>
      <c r="N171" s="1897"/>
      <c r="O171" s="1838" t="s">
        <v>745</v>
      </c>
      <c r="P171" s="1839"/>
      <c r="Q171" s="1839"/>
      <c r="R171" s="1839"/>
      <c r="S171" s="1839"/>
      <c r="T171" s="1839"/>
      <c r="U171" s="1839"/>
      <c r="V171" s="1839"/>
      <c r="W171" s="1839"/>
      <c r="X171" s="1839"/>
      <c r="Y171" s="1839"/>
      <c r="Z171" s="1839"/>
      <c r="AA171" s="1839"/>
      <c r="AB171" s="1839"/>
      <c r="AC171" s="1839"/>
      <c r="AD171" s="1839"/>
      <c r="AE171" s="1839"/>
      <c r="AF171" s="1839"/>
      <c r="AG171" s="1839"/>
      <c r="AH171" s="1840"/>
      <c r="AI171" s="1895" t="s">
        <v>1480</v>
      </c>
      <c r="AJ171" s="1896"/>
      <c r="AK171" s="1896"/>
      <c r="AL171" s="1897"/>
      <c r="AM171" s="1871" t="s">
        <v>745</v>
      </c>
      <c r="AN171" s="1872"/>
      <c r="AO171" s="1872"/>
      <c r="AP171" s="1872"/>
      <c r="AQ171" s="1872"/>
      <c r="AR171" s="1872"/>
      <c r="AS171" s="1872"/>
      <c r="AT171" s="1872"/>
      <c r="AU171" s="1872"/>
      <c r="AV171" s="1872"/>
      <c r="AW171" s="1872"/>
      <c r="AX171" s="1873"/>
      <c r="AY171" s="779"/>
    </row>
    <row r="172" spans="1:58" s="466" customFormat="1" ht="12.75" customHeight="1" thickBot="1">
      <c r="A172" s="1866"/>
      <c r="B172" s="1893"/>
      <c r="C172" s="1884"/>
      <c r="D172" s="1887"/>
      <c r="E172" s="1869"/>
      <c r="F172" s="1890"/>
      <c r="G172" s="1898"/>
      <c r="H172" s="1899"/>
      <c r="I172" s="1899"/>
      <c r="J172" s="1900"/>
      <c r="K172" s="1898"/>
      <c r="L172" s="1899"/>
      <c r="M172" s="1899"/>
      <c r="N172" s="1900"/>
      <c r="O172" s="1838" t="s">
        <v>46</v>
      </c>
      <c r="P172" s="1839"/>
      <c r="Q172" s="1839"/>
      <c r="R172" s="1840"/>
      <c r="S172" s="1838" t="s">
        <v>446</v>
      </c>
      <c r="T172" s="1839"/>
      <c r="U172" s="1839"/>
      <c r="V172" s="1840"/>
      <c r="W172" s="1838" t="s">
        <v>447</v>
      </c>
      <c r="X172" s="1839"/>
      <c r="Y172" s="1839"/>
      <c r="Z172" s="1840"/>
      <c r="AA172" s="1838" t="s">
        <v>765</v>
      </c>
      <c r="AB172" s="1839"/>
      <c r="AC172" s="1839"/>
      <c r="AD172" s="1840"/>
      <c r="AE172" s="1838" t="s">
        <v>449</v>
      </c>
      <c r="AF172" s="1839"/>
      <c r="AG172" s="1839"/>
      <c r="AH172" s="1840"/>
      <c r="AI172" s="1898"/>
      <c r="AJ172" s="1899"/>
      <c r="AK172" s="1899"/>
      <c r="AL172" s="1900"/>
      <c r="AM172" s="1838" t="s">
        <v>450</v>
      </c>
      <c r="AN172" s="1839"/>
      <c r="AO172" s="1839"/>
      <c r="AP172" s="1840"/>
      <c r="AQ172" s="1838" t="s">
        <v>451</v>
      </c>
      <c r="AR172" s="1839"/>
      <c r="AS172" s="1839"/>
      <c r="AT172" s="1840"/>
      <c r="AU172" s="1838" t="s">
        <v>452</v>
      </c>
      <c r="AV172" s="1839"/>
      <c r="AW172" s="1839"/>
      <c r="AX172" s="1840"/>
      <c r="AY172" s="779"/>
    </row>
    <row r="173" spans="1:58" s="466" customFormat="1" ht="37.5" customHeight="1" thickBot="1">
      <c r="A173" s="1867"/>
      <c r="B173" s="1894"/>
      <c r="C173" s="1885"/>
      <c r="D173" s="1888"/>
      <c r="E173" s="1870"/>
      <c r="F173" s="1891"/>
      <c r="G173" s="1271" t="s">
        <v>1540</v>
      </c>
      <c r="H173" s="1272" t="s">
        <v>1541</v>
      </c>
      <c r="I173" s="6" t="s">
        <v>2654</v>
      </c>
      <c r="J173" s="1291" t="s">
        <v>1558</v>
      </c>
      <c r="K173" s="1271" t="s">
        <v>1540</v>
      </c>
      <c r="L173" s="1272" t="s">
        <v>1541</v>
      </c>
      <c r="M173" s="6" t="s">
        <v>2654</v>
      </c>
      <c r="N173" s="1291" t="s">
        <v>1558</v>
      </c>
      <c r="O173" s="1271" t="s">
        <v>1540</v>
      </c>
      <c r="P173" s="1272" t="s">
        <v>1541</v>
      </c>
      <c r="Q173" s="6" t="s">
        <v>2654</v>
      </c>
      <c r="R173" s="1291" t="s">
        <v>1558</v>
      </c>
      <c r="S173" s="1271" t="s">
        <v>1540</v>
      </c>
      <c r="T173" s="1272" t="s">
        <v>1541</v>
      </c>
      <c r="U173" s="6" t="s">
        <v>2654</v>
      </c>
      <c r="V173" s="1291" t="s">
        <v>1558</v>
      </c>
      <c r="W173" s="1271" t="s">
        <v>1540</v>
      </c>
      <c r="X173" s="1272" t="s">
        <v>1541</v>
      </c>
      <c r="Y173" s="6" t="s">
        <v>2654</v>
      </c>
      <c r="Z173" s="1291" t="s">
        <v>1558</v>
      </c>
      <c r="AA173" s="1271" t="s">
        <v>1540</v>
      </c>
      <c r="AB173" s="1272" t="s">
        <v>1541</v>
      </c>
      <c r="AC173" s="6" t="s">
        <v>2654</v>
      </c>
      <c r="AD173" s="1291" t="s">
        <v>1558</v>
      </c>
      <c r="AE173" s="1271" t="s">
        <v>1540</v>
      </c>
      <c r="AF173" s="1272" t="s">
        <v>1541</v>
      </c>
      <c r="AG173" s="6" t="s">
        <v>2654</v>
      </c>
      <c r="AH173" s="1291" t="s">
        <v>1558</v>
      </c>
      <c r="AI173" s="1271" t="s">
        <v>1540</v>
      </c>
      <c r="AJ173" s="1272" t="s">
        <v>1541</v>
      </c>
      <c r="AK173" s="6" t="s">
        <v>2654</v>
      </c>
      <c r="AL173" s="1291" t="s">
        <v>1558</v>
      </c>
      <c r="AM173" s="1271" t="s">
        <v>1540</v>
      </c>
      <c r="AN173" s="1272" t="s">
        <v>1541</v>
      </c>
      <c r="AO173" s="6" t="s">
        <v>2654</v>
      </c>
      <c r="AP173" s="1291" t="s">
        <v>1558</v>
      </c>
      <c r="AQ173" s="1271" t="s">
        <v>1540</v>
      </c>
      <c r="AR173" s="1272" t="s">
        <v>1541</v>
      </c>
      <c r="AS173" s="6" t="s">
        <v>2654</v>
      </c>
      <c r="AT173" s="1291" t="s">
        <v>1558</v>
      </c>
      <c r="AU173" s="1271" t="s">
        <v>1540</v>
      </c>
      <c r="AV173" s="1272" t="s">
        <v>1541</v>
      </c>
      <c r="AW173" s="6" t="s">
        <v>2654</v>
      </c>
      <c r="AX173" s="1291" t="s">
        <v>1558</v>
      </c>
      <c r="AY173" s="1751"/>
    </row>
    <row r="174" spans="1:58" s="466" customFormat="1">
      <c r="A174" s="504">
        <v>1</v>
      </c>
      <c r="B174" s="789">
        <v>1</v>
      </c>
      <c r="C174" s="933" t="s">
        <v>667</v>
      </c>
      <c r="D174" s="894" t="s">
        <v>666</v>
      </c>
      <c r="E174" s="934">
        <v>999000</v>
      </c>
      <c r="F174" s="895" t="s">
        <v>414</v>
      </c>
      <c r="G174" s="1273">
        <f t="shared" ref="G174:I246" si="112">+K174+AI174</f>
        <v>50428.999999999993</v>
      </c>
      <c r="H174" s="1274">
        <f t="shared" si="112"/>
        <v>43474</v>
      </c>
      <c r="I174" s="1274">
        <f t="shared" si="112"/>
        <v>43474</v>
      </c>
      <c r="J174" s="1388">
        <f t="shared" ref="J174:J250" si="113">IF(ISERROR(I174/H174),"-",I174/H174)</f>
        <v>1</v>
      </c>
      <c r="K174" s="1273">
        <f>+O174+S174+W174+AA174+AE174</f>
        <v>50428.999999999993</v>
      </c>
      <c r="L174" s="1274">
        <f>+P174+T174+X174+AB174+AF174</f>
        <v>43474</v>
      </c>
      <c r="M174" s="1274">
        <f>+Q174+U174+Y174+AC174+AG174</f>
        <v>43474</v>
      </c>
      <c r="N174" s="1388">
        <f t="shared" ref="N174:N250" si="114">IF(ISERROR(M174/L174),"-",M174/L174)</f>
        <v>1</v>
      </c>
      <c r="O174" s="953">
        <v>43051.999999999993</v>
      </c>
      <c r="P174" s="954">
        <v>37775</v>
      </c>
      <c r="Q174" s="954">
        <v>37775</v>
      </c>
      <c r="R174" s="1355">
        <f t="shared" ref="R174:R250" si="115">IF(ISERROR(Q174/P174),"-",Q174/P174)</f>
        <v>1</v>
      </c>
      <c r="S174" s="957">
        <v>6719</v>
      </c>
      <c r="T174" s="958">
        <v>5699</v>
      </c>
      <c r="U174" s="954">
        <v>5699</v>
      </c>
      <c r="V174" s="1355">
        <f t="shared" ref="V174:V250" si="116">IF(ISERROR(U174/T174),"-",U174/T174)</f>
        <v>1</v>
      </c>
      <c r="W174" s="953">
        <v>658</v>
      </c>
      <c r="X174" s="954">
        <v>0</v>
      </c>
      <c r="Y174" s="954"/>
      <c r="Z174" s="1355" t="str">
        <f t="shared" ref="Z174:Z250" si="117">IF(ISERROR(Y174/X174),"-",Y174/X174)</f>
        <v>-</v>
      </c>
      <c r="AA174" s="953"/>
      <c r="AB174" s="954"/>
      <c r="AC174" s="954"/>
      <c r="AD174" s="1355" t="str">
        <f t="shared" ref="AD174:AD250" si="118">IF(ISERROR(AC174/AB174),"-",AC174/AB174)</f>
        <v>-</v>
      </c>
      <c r="AE174" s="953"/>
      <c r="AF174" s="954"/>
      <c r="AG174" s="954"/>
      <c r="AH174" s="1355" t="str">
        <f t="shared" ref="AH174:AH250" si="119">IF(ISERROR(AG174/AF174),"-",AG174/AF174)</f>
        <v>-</v>
      </c>
      <c r="AI174" s="1273">
        <f>+AM174+AQ174+AU174</f>
        <v>0</v>
      </c>
      <c r="AJ174" s="1274">
        <f>+AN174+AR174+AV174</f>
        <v>0</v>
      </c>
      <c r="AK174" s="1274">
        <f>+AO174+AS174+AW174</f>
        <v>0</v>
      </c>
      <c r="AL174" s="1388" t="str">
        <f t="shared" ref="AL174:AL250" si="120">IF(ISERROR(AK174/AJ174),"-",AK174/AJ174)</f>
        <v>-</v>
      </c>
      <c r="AM174" s="953"/>
      <c r="AN174" s="954"/>
      <c r="AO174" s="954"/>
      <c r="AP174" s="1355" t="str">
        <f t="shared" ref="AP174:AP250" si="121">IF(ISERROR(AO174/AN174),"-",AO174/AN174)</f>
        <v>-</v>
      </c>
      <c r="AQ174" s="953"/>
      <c r="AR174" s="954"/>
      <c r="AS174" s="954"/>
      <c r="AT174" s="1355" t="str">
        <f t="shared" ref="AT174:AT250" si="122">IF(ISERROR(AS174/AR174),"-",AS174/AR174)</f>
        <v>-</v>
      </c>
      <c r="AU174" s="953"/>
      <c r="AV174" s="954"/>
      <c r="AW174" s="954"/>
      <c r="AX174" s="1355" t="str">
        <f t="shared" ref="AX174:AX250" si="123">IF(ISERROR(AW174/AV174),"-",AW174/AV174)</f>
        <v>-</v>
      </c>
      <c r="AY174" s="464"/>
      <c r="AZ174" s="464"/>
      <c r="BA174" s="464"/>
      <c r="BB174" s="464"/>
      <c r="BC174" s="464"/>
      <c r="BE174" s="464"/>
      <c r="BF174" s="464"/>
    </row>
    <row r="175" spans="1:58" s="466" customFormat="1">
      <c r="A175" s="504">
        <f>+A174+1</f>
        <v>2</v>
      </c>
      <c r="B175" s="790">
        <v>8</v>
      </c>
      <c r="C175" s="935" t="s">
        <v>667</v>
      </c>
      <c r="D175" s="896" t="s">
        <v>666</v>
      </c>
      <c r="E175" s="936" t="s">
        <v>1218</v>
      </c>
      <c r="F175" s="897" t="s">
        <v>991</v>
      </c>
      <c r="G175" s="1273">
        <f t="shared" si="112"/>
        <v>2722620</v>
      </c>
      <c r="H175" s="1274">
        <f t="shared" si="112"/>
        <v>2689160</v>
      </c>
      <c r="I175" s="1274">
        <f t="shared" si="112"/>
        <v>160069</v>
      </c>
      <c r="J175" s="1389">
        <f t="shared" si="113"/>
        <v>5.9523791816031769E-2</v>
      </c>
      <c r="K175" s="1273">
        <f t="shared" ref="K175:M246" si="124">+O175+S175+W175+AA175+AE175</f>
        <v>2716620</v>
      </c>
      <c r="L175" s="1274">
        <f t="shared" si="124"/>
        <v>2572746</v>
      </c>
      <c r="M175" s="1274">
        <f t="shared" si="124"/>
        <v>144306</v>
      </c>
      <c r="N175" s="1389">
        <f t="shared" si="114"/>
        <v>5.6090263088544305E-2</v>
      </c>
      <c r="O175" s="953"/>
      <c r="P175" s="954">
        <f>49651-37775+7-1+23</f>
        <v>11905</v>
      </c>
      <c r="Q175" s="954">
        <f>49651-37775+7-1</f>
        <v>11882</v>
      </c>
      <c r="R175" s="1349">
        <f t="shared" si="115"/>
        <v>0.99806803863922722</v>
      </c>
      <c r="S175" s="955">
        <v>435</v>
      </c>
      <c r="T175" s="954">
        <f>8461-5699</f>
        <v>2762</v>
      </c>
      <c r="U175" s="954">
        <f>8461-5699</f>
        <v>2762</v>
      </c>
      <c r="V175" s="1349">
        <f t="shared" si="116"/>
        <v>1</v>
      </c>
      <c r="W175" s="955">
        <v>60260</v>
      </c>
      <c r="X175" s="956">
        <f>(60142+10905)+2+4161+1+104334</f>
        <v>179545</v>
      </c>
      <c r="Y175" s="954">
        <f>(60142+10905)+2+4161+1</f>
        <v>75211</v>
      </c>
      <c r="Z175" s="1349">
        <f t="shared" si="117"/>
        <v>0.41889776936144141</v>
      </c>
      <c r="AA175" s="955"/>
      <c r="AB175" s="956"/>
      <c r="AC175" s="954"/>
      <c r="AD175" s="1349" t="str">
        <f t="shared" si="118"/>
        <v>-</v>
      </c>
      <c r="AE175" s="955">
        <v>2655925</v>
      </c>
      <c r="AF175" s="956">
        <f>54451+2324083</f>
        <v>2378534</v>
      </c>
      <c r="AG175" s="954">
        <f>53450+1000+1</f>
        <v>54451</v>
      </c>
      <c r="AH175" s="1349">
        <f t="shared" si="119"/>
        <v>2.2892672545357772E-2</v>
      </c>
      <c r="AI175" s="1273">
        <f t="shared" ref="AI175:AK246" si="125">+AM175+AQ175+AU175</f>
        <v>6000</v>
      </c>
      <c r="AJ175" s="1274">
        <f t="shared" si="125"/>
        <v>116414</v>
      </c>
      <c r="AK175" s="1274">
        <f t="shared" si="125"/>
        <v>15763</v>
      </c>
      <c r="AL175" s="1389">
        <f t="shared" si="120"/>
        <v>0.1354046764134898</v>
      </c>
      <c r="AM175" s="955"/>
      <c r="AN175" s="956">
        <f>15763+100651</f>
        <v>116414</v>
      </c>
      <c r="AO175" s="954">
        <v>15763</v>
      </c>
      <c r="AP175" s="1349">
        <f t="shared" si="121"/>
        <v>0.1354046764134898</v>
      </c>
      <c r="AQ175" s="955">
        <v>6000</v>
      </c>
      <c r="AR175" s="956">
        <v>0</v>
      </c>
      <c r="AS175" s="954"/>
      <c r="AT175" s="1349" t="str">
        <f t="shared" si="122"/>
        <v>-</v>
      </c>
      <c r="AU175" s="955"/>
      <c r="AV175" s="956"/>
      <c r="AW175" s="954"/>
      <c r="AX175" s="1349" t="str">
        <f t="shared" si="123"/>
        <v>-</v>
      </c>
      <c r="AY175" s="464"/>
    </row>
    <row r="176" spans="1:58" s="466" customFormat="1">
      <c r="A176" s="504">
        <f t="shared" ref="A176:A252" si="126">+A175+1</f>
        <v>3</v>
      </c>
      <c r="B176" s="790">
        <v>7</v>
      </c>
      <c r="C176" s="935" t="s">
        <v>667</v>
      </c>
      <c r="D176" s="896" t="s">
        <v>1488</v>
      </c>
      <c r="E176" s="936" t="s">
        <v>1218</v>
      </c>
      <c r="F176" s="897" t="s">
        <v>1489</v>
      </c>
      <c r="G176" s="1273">
        <f t="shared" si="112"/>
        <v>0</v>
      </c>
      <c r="H176" s="1274">
        <f t="shared" si="112"/>
        <v>1567</v>
      </c>
      <c r="I176" s="1274">
        <f t="shared" si="112"/>
        <v>1567</v>
      </c>
      <c r="J176" s="1389">
        <f t="shared" si="113"/>
        <v>1</v>
      </c>
      <c r="K176" s="1273">
        <f t="shared" si="124"/>
        <v>0</v>
      </c>
      <c r="L176" s="1274">
        <f t="shared" si="124"/>
        <v>1567</v>
      </c>
      <c r="M176" s="1274">
        <f t="shared" si="124"/>
        <v>1567</v>
      </c>
      <c r="N176" s="1389">
        <f t="shared" si="114"/>
        <v>1</v>
      </c>
      <c r="O176" s="953"/>
      <c r="P176" s="954">
        <v>343</v>
      </c>
      <c r="Q176" s="954">
        <f>350-7</f>
        <v>343</v>
      </c>
      <c r="R176" s="1349">
        <f t="shared" si="115"/>
        <v>1</v>
      </c>
      <c r="S176" s="955"/>
      <c r="T176" s="956">
        <v>17</v>
      </c>
      <c r="U176" s="954">
        <v>17</v>
      </c>
      <c r="V176" s="1349">
        <f t="shared" si="116"/>
        <v>1</v>
      </c>
      <c r="W176" s="955"/>
      <c r="X176" s="956">
        <v>1207</v>
      </c>
      <c r="Y176" s="954">
        <v>1207</v>
      </c>
      <c r="Z176" s="1349">
        <f t="shared" si="117"/>
        <v>1</v>
      </c>
      <c r="AA176" s="955"/>
      <c r="AB176" s="956"/>
      <c r="AC176" s="954"/>
      <c r="AD176" s="1349" t="str">
        <f t="shared" si="118"/>
        <v>-</v>
      </c>
      <c r="AE176" s="955"/>
      <c r="AF176" s="956"/>
      <c r="AG176" s="954"/>
      <c r="AH176" s="1349" t="str">
        <f t="shared" si="119"/>
        <v>-</v>
      </c>
      <c r="AI176" s="1273">
        <f t="shared" si="125"/>
        <v>0</v>
      </c>
      <c r="AJ176" s="1274">
        <f t="shared" si="125"/>
        <v>0</v>
      </c>
      <c r="AK176" s="1274">
        <f t="shared" si="125"/>
        <v>0</v>
      </c>
      <c r="AL176" s="1389" t="str">
        <f t="shared" si="120"/>
        <v>-</v>
      </c>
      <c r="AM176" s="955"/>
      <c r="AN176" s="956"/>
      <c r="AO176" s="954"/>
      <c r="AP176" s="1349" t="str">
        <f t="shared" si="121"/>
        <v>-</v>
      </c>
      <c r="AQ176" s="955"/>
      <c r="AR176" s="956"/>
      <c r="AS176" s="954"/>
      <c r="AT176" s="1349" t="str">
        <f t="shared" si="122"/>
        <v>-</v>
      </c>
      <c r="AU176" s="955"/>
      <c r="AV176" s="956"/>
      <c r="AW176" s="954"/>
      <c r="AX176" s="1349" t="str">
        <f t="shared" si="123"/>
        <v>-</v>
      </c>
      <c r="AY176" s="464"/>
    </row>
    <row r="177" spans="1:51" s="467" customFormat="1">
      <c r="A177" s="504">
        <f t="shared" si="126"/>
        <v>4</v>
      </c>
      <c r="B177" s="790">
        <v>8</v>
      </c>
      <c r="C177" s="935" t="s">
        <v>675</v>
      </c>
      <c r="D177" s="896" t="s">
        <v>854</v>
      </c>
      <c r="E177" s="936" t="s">
        <v>1218</v>
      </c>
      <c r="F177" s="897" t="s">
        <v>674</v>
      </c>
      <c r="G177" s="1275">
        <f t="shared" si="112"/>
        <v>500</v>
      </c>
      <c r="H177" s="1276">
        <f t="shared" si="112"/>
        <v>0</v>
      </c>
      <c r="I177" s="1276">
        <f t="shared" si="112"/>
        <v>0</v>
      </c>
      <c r="J177" s="1389" t="str">
        <f t="shared" si="113"/>
        <v>-</v>
      </c>
      <c r="K177" s="1275">
        <f t="shared" si="124"/>
        <v>500</v>
      </c>
      <c r="L177" s="1276">
        <f t="shared" si="124"/>
        <v>0</v>
      </c>
      <c r="M177" s="1276">
        <f t="shared" si="124"/>
        <v>0</v>
      </c>
      <c r="N177" s="1389" t="str">
        <f t="shared" si="114"/>
        <v>-</v>
      </c>
      <c r="O177" s="953"/>
      <c r="P177" s="954"/>
      <c r="Q177" s="954"/>
      <c r="R177" s="1349" t="str">
        <f t="shared" si="115"/>
        <v>-</v>
      </c>
      <c r="S177" s="961"/>
      <c r="T177" s="959"/>
      <c r="U177" s="954"/>
      <c r="V177" s="1349" t="str">
        <f t="shared" si="116"/>
        <v>-</v>
      </c>
      <c r="W177" s="961"/>
      <c r="X177" s="959"/>
      <c r="Y177" s="954"/>
      <c r="Z177" s="1349" t="str">
        <f t="shared" si="117"/>
        <v>-</v>
      </c>
      <c r="AA177" s="961"/>
      <c r="AB177" s="959"/>
      <c r="AC177" s="954"/>
      <c r="AD177" s="1349" t="str">
        <f t="shared" si="118"/>
        <v>-</v>
      </c>
      <c r="AE177" s="961">
        <v>500</v>
      </c>
      <c r="AF177" s="959">
        <v>0</v>
      </c>
      <c r="AG177" s="954"/>
      <c r="AH177" s="1349" t="str">
        <f t="shared" si="119"/>
        <v>-</v>
      </c>
      <c r="AI177" s="1275">
        <f t="shared" si="125"/>
        <v>0</v>
      </c>
      <c r="AJ177" s="1276">
        <f t="shared" si="125"/>
        <v>0</v>
      </c>
      <c r="AK177" s="1276">
        <f t="shared" si="125"/>
        <v>0</v>
      </c>
      <c r="AL177" s="1389" t="str">
        <f t="shared" si="120"/>
        <v>-</v>
      </c>
      <c r="AM177" s="961"/>
      <c r="AN177" s="959"/>
      <c r="AO177" s="954"/>
      <c r="AP177" s="1349" t="str">
        <f t="shared" si="121"/>
        <v>-</v>
      </c>
      <c r="AQ177" s="961"/>
      <c r="AR177" s="959"/>
      <c r="AS177" s="954"/>
      <c r="AT177" s="1349" t="str">
        <f t="shared" si="122"/>
        <v>-</v>
      </c>
      <c r="AU177" s="961"/>
      <c r="AV177" s="959"/>
      <c r="AW177" s="954"/>
      <c r="AX177" s="1349" t="str">
        <f t="shared" si="123"/>
        <v>-</v>
      </c>
      <c r="AY177" s="1765"/>
    </row>
    <row r="178" spans="1:51" s="466" customFormat="1">
      <c r="A178" s="504">
        <f t="shared" si="126"/>
        <v>5</v>
      </c>
      <c r="B178" s="790">
        <v>8</v>
      </c>
      <c r="C178" s="935" t="s">
        <v>669</v>
      </c>
      <c r="D178" s="896" t="s">
        <v>668</v>
      </c>
      <c r="E178" s="937" t="s">
        <v>1218</v>
      </c>
      <c r="F178" s="897" t="s">
        <v>634</v>
      </c>
      <c r="G178" s="1277">
        <f t="shared" si="112"/>
        <v>0</v>
      </c>
      <c r="H178" s="1278">
        <f t="shared" si="112"/>
        <v>0</v>
      </c>
      <c r="I178" s="1278">
        <f t="shared" si="112"/>
        <v>0</v>
      </c>
      <c r="J178" s="1389" t="str">
        <f t="shared" si="113"/>
        <v>-</v>
      </c>
      <c r="K178" s="1277">
        <f t="shared" si="124"/>
        <v>0</v>
      </c>
      <c r="L178" s="1278">
        <f t="shared" si="124"/>
        <v>0</v>
      </c>
      <c r="M178" s="1278">
        <f t="shared" si="124"/>
        <v>0</v>
      </c>
      <c r="N178" s="1389" t="str">
        <f t="shared" si="114"/>
        <v>-</v>
      </c>
      <c r="O178" s="953"/>
      <c r="P178" s="954"/>
      <c r="Q178" s="954"/>
      <c r="R178" s="1349" t="str">
        <f t="shared" si="115"/>
        <v>-</v>
      </c>
      <c r="S178" s="955"/>
      <c r="T178" s="956"/>
      <c r="U178" s="954"/>
      <c r="V178" s="1349" t="str">
        <f t="shared" si="116"/>
        <v>-</v>
      </c>
      <c r="W178" s="955"/>
      <c r="X178" s="956"/>
      <c r="Y178" s="954"/>
      <c r="Z178" s="1349" t="str">
        <f t="shared" si="117"/>
        <v>-</v>
      </c>
      <c r="AA178" s="955"/>
      <c r="AB178" s="956"/>
      <c r="AC178" s="954"/>
      <c r="AD178" s="1349" t="str">
        <f t="shared" si="118"/>
        <v>-</v>
      </c>
      <c r="AE178" s="955"/>
      <c r="AF178" s="956"/>
      <c r="AG178" s="954"/>
      <c r="AH178" s="1349" t="str">
        <f t="shared" si="119"/>
        <v>-</v>
      </c>
      <c r="AI178" s="1277">
        <f t="shared" si="125"/>
        <v>0</v>
      </c>
      <c r="AJ178" s="1278">
        <f t="shared" si="125"/>
        <v>0</v>
      </c>
      <c r="AK178" s="1278">
        <f t="shared" si="125"/>
        <v>0</v>
      </c>
      <c r="AL178" s="1389" t="str">
        <f t="shared" si="120"/>
        <v>-</v>
      </c>
      <c r="AM178" s="955"/>
      <c r="AN178" s="956"/>
      <c r="AO178" s="954"/>
      <c r="AP178" s="1349" t="str">
        <f t="shared" si="121"/>
        <v>-</v>
      </c>
      <c r="AQ178" s="955"/>
      <c r="AR178" s="956"/>
      <c r="AS178" s="954"/>
      <c r="AT178" s="1349" t="str">
        <f t="shared" si="122"/>
        <v>-</v>
      </c>
      <c r="AU178" s="955"/>
      <c r="AV178" s="956"/>
      <c r="AW178" s="954"/>
      <c r="AX178" s="1349" t="str">
        <f t="shared" si="123"/>
        <v>-</v>
      </c>
      <c r="AY178" s="464"/>
    </row>
    <row r="179" spans="1:51">
      <c r="A179" s="504">
        <f t="shared" si="126"/>
        <v>6</v>
      </c>
      <c r="B179" s="790">
        <v>2</v>
      </c>
      <c r="C179" s="935" t="s">
        <v>720</v>
      </c>
      <c r="D179" s="497" t="s">
        <v>719</v>
      </c>
      <c r="E179" s="936" t="s">
        <v>1219</v>
      </c>
      <c r="F179" s="898" t="s">
        <v>719</v>
      </c>
      <c r="G179" s="1273">
        <f t="shared" si="112"/>
        <v>2319</v>
      </c>
      <c r="H179" s="1274">
        <f t="shared" si="112"/>
        <v>14858</v>
      </c>
      <c r="I179" s="1274">
        <f t="shared" si="112"/>
        <v>14858</v>
      </c>
      <c r="J179" s="1389">
        <f t="shared" si="113"/>
        <v>1</v>
      </c>
      <c r="K179" s="1273">
        <f t="shared" si="124"/>
        <v>2319</v>
      </c>
      <c r="L179" s="1274">
        <f t="shared" si="124"/>
        <v>2111</v>
      </c>
      <c r="M179" s="1274">
        <f t="shared" si="124"/>
        <v>2111</v>
      </c>
      <c r="N179" s="1389">
        <f t="shared" si="114"/>
        <v>1</v>
      </c>
      <c r="O179" s="953"/>
      <c r="P179" s="954"/>
      <c r="Q179" s="954"/>
      <c r="R179" s="1349" t="str">
        <f t="shared" si="115"/>
        <v>-</v>
      </c>
      <c r="S179" s="469"/>
      <c r="T179" s="468"/>
      <c r="U179" s="954"/>
      <c r="V179" s="1349" t="str">
        <f t="shared" si="116"/>
        <v>-</v>
      </c>
      <c r="W179" s="469">
        <v>2319</v>
      </c>
      <c r="X179" s="468">
        <v>2111</v>
      </c>
      <c r="Y179" s="954">
        <v>2111</v>
      </c>
      <c r="Z179" s="1349">
        <f t="shared" si="117"/>
        <v>1</v>
      </c>
      <c r="AA179" s="469"/>
      <c r="AB179" s="468"/>
      <c r="AC179" s="954"/>
      <c r="AD179" s="1349" t="str">
        <f t="shared" si="118"/>
        <v>-</v>
      </c>
      <c r="AE179" s="469"/>
      <c r="AF179" s="468"/>
      <c r="AG179" s="954"/>
      <c r="AH179" s="1349" t="str">
        <f t="shared" si="119"/>
        <v>-</v>
      </c>
      <c r="AI179" s="1273">
        <f t="shared" si="125"/>
        <v>0</v>
      </c>
      <c r="AJ179" s="1274">
        <f t="shared" si="125"/>
        <v>12747</v>
      </c>
      <c r="AK179" s="1274">
        <f t="shared" si="125"/>
        <v>12747</v>
      </c>
      <c r="AL179" s="1389">
        <f t="shared" si="120"/>
        <v>1</v>
      </c>
      <c r="AM179" s="469"/>
      <c r="AN179" s="468">
        <v>12747</v>
      </c>
      <c r="AO179" s="954">
        <v>12747</v>
      </c>
      <c r="AP179" s="1349">
        <f t="shared" si="121"/>
        <v>1</v>
      </c>
      <c r="AQ179" s="469"/>
      <c r="AR179" s="468"/>
      <c r="AS179" s="954"/>
      <c r="AT179" s="1349" t="str">
        <f t="shared" si="122"/>
        <v>-</v>
      </c>
      <c r="AU179" s="469"/>
      <c r="AV179" s="468"/>
      <c r="AW179" s="954"/>
      <c r="AX179" s="1349" t="str">
        <f t="shared" si="123"/>
        <v>-</v>
      </c>
      <c r="AY179" s="464"/>
    </row>
    <row r="180" spans="1:51" ht="12.75" customHeight="1">
      <c r="A180" s="504">
        <f t="shared" si="126"/>
        <v>7</v>
      </c>
      <c r="B180" s="790">
        <v>8</v>
      </c>
      <c r="C180" s="935" t="s">
        <v>704</v>
      </c>
      <c r="D180" s="896" t="s">
        <v>1052</v>
      </c>
      <c r="E180" s="937" t="s">
        <v>1220</v>
      </c>
      <c r="F180" s="899" t="s">
        <v>1054</v>
      </c>
      <c r="G180" s="1277">
        <f t="shared" si="112"/>
        <v>0</v>
      </c>
      <c r="H180" s="1278">
        <f t="shared" si="112"/>
        <v>15512</v>
      </c>
      <c r="I180" s="1278">
        <f t="shared" si="112"/>
        <v>15512</v>
      </c>
      <c r="J180" s="1389">
        <f t="shared" si="113"/>
        <v>1</v>
      </c>
      <c r="K180" s="1277">
        <f t="shared" si="124"/>
        <v>0</v>
      </c>
      <c r="L180" s="1278">
        <f t="shared" si="124"/>
        <v>0</v>
      </c>
      <c r="M180" s="1278">
        <f t="shared" si="124"/>
        <v>0</v>
      </c>
      <c r="N180" s="1389" t="str">
        <f t="shared" si="114"/>
        <v>-</v>
      </c>
      <c r="O180" s="953"/>
      <c r="P180" s="954"/>
      <c r="Q180" s="954"/>
      <c r="R180" s="1349" t="str">
        <f t="shared" si="115"/>
        <v>-</v>
      </c>
      <c r="S180" s="955"/>
      <c r="T180" s="956"/>
      <c r="U180" s="954"/>
      <c r="V180" s="1349" t="str">
        <f t="shared" si="116"/>
        <v>-</v>
      </c>
      <c r="W180" s="955"/>
      <c r="X180" s="956"/>
      <c r="Y180" s="954"/>
      <c r="Z180" s="1349" t="str">
        <f t="shared" si="117"/>
        <v>-</v>
      </c>
      <c r="AA180" s="955"/>
      <c r="AB180" s="956"/>
      <c r="AC180" s="954"/>
      <c r="AD180" s="1349" t="str">
        <f t="shared" si="118"/>
        <v>-</v>
      </c>
      <c r="AE180" s="955"/>
      <c r="AF180" s="956"/>
      <c r="AG180" s="954"/>
      <c r="AH180" s="1349" t="str">
        <f t="shared" si="119"/>
        <v>-</v>
      </c>
      <c r="AI180" s="1277">
        <f t="shared" si="125"/>
        <v>0</v>
      </c>
      <c r="AJ180" s="1278">
        <f t="shared" si="125"/>
        <v>15512</v>
      </c>
      <c r="AK180" s="1278">
        <f t="shared" si="125"/>
        <v>15512</v>
      </c>
      <c r="AL180" s="1389">
        <f t="shared" si="120"/>
        <v>1</v>
      </c>
      <c r="AM180" s="955"/>
      <c r="AN180" s="956">
        <v>13862</v>
      </c>
      <c r="AO180" s="954">
        <v>13862</v>
      </c>
      <c r="AP180" s="1349">
        <f t="shared" si="121"/>
        <v>1</v>
      </c>
      <c r="AQ180" s="955"/>
      <c r="AR180" s="956">
        <v>1650</v>
      </c>
      <c r="AS180" s="954">
        <v>1650</v>
      </c>
      <c r="AT180" s="1349">
        <f t="shared" si="122"/>
        <v>1</v>
      </c>
      <c r="AU180" s="955"/>
      <c r="AV180" s="956"/>
      <c r="AW180" s="954"/>
      <c r="AX180" s="1349" t="str">
        <f t="shared" si="123"/>
        <v>-</v>
      </c>
      <c r="AY180" s="464"/>
    </row>
    <row r="181" spans="1:51" s="470" customFormat="1">
      <c r="A181" s="504">
        <f t="shared" si="126"/>
        <v>8</v>
      </c>
      <c r="B181" s="790">
        <v>8</v>
      </c>
      <c r="C181" s="935" t="s">
        <v>704</v>
      </c>
      <c r="D181" s="900" t="s">
        <v>1052</v>
      </c>
      <c r="E181" s="937" t="s">
        <v>1221</v>
      </c>
      <c r="F181" s="901" t="s">
        <v>650</v>
      </c>
      <c r="G181" s="1277">
        <f t="shared" si="112"/>
        <v>4376</v>
      </c>
      <c r="H181" s="1278">
        <f t="shared" si="112"/>
        <v>109</v>
      </c>
      <c r="I181" s="1278">
        <f t="shared" si="112"/>
        <v>109</v>
      </c>
      <c r="J181" s="1389">
        <f t="shared" si="113"/>
        <v>1</v>
      </c>
      <c r="K181" s="1277">
        <f t="shared" si="124"/>
        <v>4376</v>
      </c>
      <c r="L181" s="1278">
        <f t="shared" si="124"/>
        <v>109</v>
      </c>
      <c r="M181" s="1278">
        <f t="shared" si="124"/>
        <v>109</v>
      </c>
      <c r="N181" s="1389">
        <f t="shared" si="114"/>
        <v>1</v>
      </c>
      <c r="O181" s="953"/>
      <c r="P181" s="954"/>
      <c r="Q181" s="954"/>
      <c r="R181" s="1349" t="str">
        <f t="shared" si="115"/>
        <v>-</v>
      </c>
      <c r="S181" s="955"/>
      <c r="T181" s="956"/>
      <c r="U181" s="954"/>
      <c r="V181" s="1349" t="str">
        <f t="shared" si="116"/>
        <v>-</v>
      </c>
      <c r="W181" s="955">
        <v>4376</v>
      </c>
      <c r="X181" s="956">
        <v>109</v>
      </c>
      <c r="Y181" s="954">
        <v>109</v>
      </c>
      <c r="Z181" s="1349">
        <f t="shared" si="117"/>
        <v>1</v>
      </c>
      <c r="AA181" s="955"/>
      <c r="AB181" s="956"/>
      <c r="AC181" s="954"/>
      <c r="AD181" s="1349" t="str">
        <f t="shared" si="118"/>
        <v>-</v>
      </c>
      <c r="AE181" s="955"/>
      <c r="AF181" s="956"/>
      <c r="AG181" s="954"/>
      <c r="AH181" s="1349" t="str">
        <f t="shared" si="119"/>
        <v>-</v>
      </c>
      <c r="AI181" s="1277">
        <f t="shared" si="125"/>
        <v>0</v>
      </c>
      <c r="AJ181" s="1278">
        <f t="shared" si="125"/>
        <v>0</v>
      </c>
      <c r="AK181" s="1278">
        <f t="shared" si="125"/>
        <v>0</v>
      </c>
      <c r="AL181" s="1389" t="str">
        <f t="shared" si="120"/>
        <v>-</v>
      </c>
      <c r="AM181" s="955"/>
      <c r="AN181" s="956"/>
      <c r="AO181" s="954"/>
      <c r="AP181" s="1349" t="str">
        <f t="shared" si="121"/>
        <v>-</v>
      </c>
      <c r="AQ181" s="955"/>
      <c r="AR181" s="956"/>
      <c r="AS181" s="954"/>
      <c r="AT181" s="1349" t="str">
        <f t="shared" si="122"/>
        <v>-</v>
      </c>
      <c r="AU181" s="955"/>
      <c r="AV181" s="956"/>
      <c r="AW181" s="954"/>
      <c r="AX181" s="1349" t="str">
        <f t="shared" si="123"/>
        <v>-</v>
      </c>
      <c r="AY181" s="464"/>
    </row>
    <row r="182" spans="1:51">
      <c r="A182" s="504">
        <f t="shared" si="126"/>
        <v>9</v>
      </c>
      <c r="B182" s="790">
        <v>8</v>
      </c>
      <c r="C182" s="935" t="s">
        <v>701</v>
      </c>
      <c r="D182" s="896" t="s">
        <v>700</v>
      </c>
      <c r="E182" s="937" t="s">
        <v>1222</v>
      </c>
      <c r="F182" s="899" t="s">
        <v>776</v>
      </c>
      <c r="G182" s="1277">
        <f t="shared" si="112"/>
        <v>11303</v>
      </c>
      <c r="H182" s="1278">
        <f t="shared" si="112"/>
        <v>7564</v>
      </c>
      <c r="I182" s="1278">
        <f t="shared" si="112"/>
        <v>7564</v>
      </c>
      <c r="J182" s="1389">
        <f t="shared" si="113"/>
        <v>1</v>
      </c>
      <c r="K182" s="1277">
        <f t="shared" si="124"/>
        <v>11303</v>
      </c>
      <c r="L182" s="1278">
        <f t="shared" si="124"/>
        <v>7564</v>
      </c>
      <c r="M182" s="1278">
        <f t="shared" si="124"/>
        <v>7564</v>
      </c>
      <c r="N182" s="1389">
        <f t="shared" si="114"/>
        <v>1</v>
      </c>
      <c r="O182" s="953"/>
      <c r="P182" s="954"/>
      <c r="Q182" s="954"/>
      <c r="R182" s="1349" t="str">
        <f t="shared" si="115"/>
        <v>-</v>
      </c>
      <c r="S182" s="955"/>
      <c r="T182" s="956"/>
      <c r="U182" s="954"/>
      <c r="V182" s="1349" t="str">
        <f t="shared" si="116"/>
        <v>-</v>
      </c>
      <c r="W182" s="955">
        <v>11303</v>
      </c>
      <c r="X182" s="956">
        <v>7564</v>
      </c>
      <c r="Y182" s="954">
        <v>7564</v>
      </c>
      <c r="Z182" s="1349">
        <f t="shared" si="117"/>
        <v>1</v>
      </c>
      <c r="AA182" s="955"/>
      <c r="AB182" s="956"/>
      <c r="AC182" s="954"/>
      <c r="AD182" s="1349" t="str">
        <f t="shared" si="118"/>
        <v>-</v>
      </c>
      <c r="AE182" s="955"/>
      <c r="AF182" s="956"/>
      <c r="AG182" s="954"/>
      <c r="AH182" s="1349" t="str">
        <f t="shared" si="119"/>
        <v>-</v>
      </c>
      <c r="AI182" s="1277">
        <f t="shared" si="125"/>
        <v>0</v>
      </c>
      <c r="AJ182" s="1278">
        <f t="shared" si="125"/>
        <v>0</v>
      </c>
      <c r="AK182" s="1278">
        <f t="shared" si="125"/>
        <v>0</v>
      </c>
      <c r="AL182" s="1389" t="str">
        <f t="shared" si="120"/>
        <v>-</v>
      </c>
      <c r="AM182" s="955"/>
      <c r="AN182" s="956"/>
      <c r="AO182" s="954"/>
      <c r="AP182" s="1349" t="str">
        <f t="shared" si="121"/>
        <v>-</v>
      </c>
      <c r="AQ182" s="955"/>
      <c r="AR182" s="956"/>
      <c r="AS182" s="954"/>
      <c r="AT182" s="1349" t="str">
        <f t="shared" si="122"/>
        <v>-</v>
      </c>
      <c r="AU182" s="955"/>
      <c r="AV182" s="956"/>
      <c r="AW182" s="954"/>
      <c r="AX182" s="1349" t="str">
        <f t="shared" si="123"/>
        <v>-</v>
      </c>
      <c r="AY182" s="464"/>
    </row>
    <row r="183" spans="1:51">
      <c r="A183" s="504">
        <f t="shared" si="126"/>
        <v>10</v>
      </c>
      <c r="B183" s="790">
        <v>8</v>
      </c>
      <c r="C183" s="935" t="s">
        <v>995</v>
      </c>
      <c r="D183" s="896" t="s">
        <v>996</v>
      </c>
      <c r="E183" s="937" t="s">
        <v>1218</v>
      </c>
      <c r="F183" s="899" t="s">
        <v>997</v>
      </c>
      <c r="G183" s="1277">
        <f t="shared" si="112"/>
        <v>10000</v>
      </c>
      <c r="H183" s="1278">
        <f t="shared" si="112"/>
        <v>0</v>
      </c>
      <c r="I183" s="1278">
        <f t="shared" si="112"/>
        <v>0</v>
      </c>
      <c r="J183" s="1389" t="str">
        <f t="shared" si="113"/>
        <v>-</v>
      </c>
      <c r="K183" s="1277">
        <f t="shared" si="124"/>
        <v>10000</v>
      </c>
      <c r="L183" s="1278">
        <f t="shared" si="124"/>
        <v>0</v>
      </c>
      <c r="M183" s="1278">
        <f t="shared" si="124"/>
        <v>0</v>
      </c>
      <c r="N183" s="1389" t="str">
        <f t="shared" si="114"/>
        <v>-</v>
      </c>
      <c r="O183" s="953"/>
      <c r="P183" s="954"/>
      <c r="Q183" s="954"/>
      <c r="R183" s="1349" t="str">
        <f t="shared" si="115"/>
        <v>-</v>
      </c>
      <c r="S183" s="955"/>
      <c r="T183" s="956"/>
      <c r="U183" s="954"/>
      <c r="V183" s="1349" t="str">
        <f t="shared" si="116"/>
        <v>-</v>
      </c>
      <c r="W183" s="955">
        <v>10000</v>
      </c>
      <c r="X183" s="956">
        <v>0</v>
      </c>
      <c r="Y183" s="954"/>
      <c r="Z183" s="1349" t="str">
        <f t="shared" si="117"/>
        <v>-</v>
      </c>
      <c r="AA183" s="955"/>
      <c r="AB183" s="956"/>
      <c r="AC183" s="954"/>
      <c r="AD183" s="1349" t="str">
        <f t="shared" si="118"/>
        <v>-</v>
      </c>
      <c r="AE183" s="955"/>
      <c r="AF183" s="956"/>
      <c r="AG183" s="954"/>
      <c r="AH183" s="1349" t="str">
        <f t="shared" si="119"/>
        <v>-</v>
      </c>
      <c r="AI183" s="1277">
        <f t="shared" si="125"/>
        <v>0</v>
      </c>
      <c r="AJ183" s="1278">
        <f t="shared" si="125"/>
        <v>0</v>
      </c>
      <c r="AK183" s="1278">
        <f t="shared" si="125"/>
        <v>0</v>
      </c>
      <c r="AL183" s="1389" t="str">
        <f t="shared" si="120"/>
        <v>-</v>
      </c>
      <c r="AM183" s="955"/>
      <c r="AN183" s="956"/>
      <c r="AO183" s="954"/>
      <c r="AP183" s="1349" t="str">
        <f t="shared" si="121"/>
        <v>-</v>
      </c>
      <c r="AQ183" s="955"/>
      <c r="AR183" s="956"/>
      <c r="AS183" s="954"/>
      <c r="AT183" s="1349" t="str">
        <f t="shared" si="122"/>
        <v>-</v>
      </c>
      <c r="AU183" s="955"/>
      <c r="AV183" s="956"/>
      <c r="AW183" s="954"/>
      <c r="AX183" s="1349" t="str">
        <f t="shared" si="123"/>
        <v>-</v>
      </c>
      <c r="AY183" s="464"/>
    </row>
    <row r="184" spans="1:51">
      <c r="A184" s="504">
        <f t="shared" si="126"/>
        <v>11</v>
      </c>
      <c r="B184" s="790">
        <v>8</v>
      </c>
      <c r="C184" s="935" t="s">
        <v>725</v>
      </c>
      <c r="D184" s="896" t="s">
        <v>723</v>
      </c>
      <c r="E184" s="937" t="s">
        <v>1218</v>
      </c>
      <c r="F184" s="899" t="s">
        <v>721</v>
      </c>
      <c r="G184" s="1277">
        <f t="shared" si="112"/>
        <v>0</v>
      </c>
      <c r="H184" s="1278">
        <f t="shared" si="112"/>
        <v>6511</v>
      </c>
      <c r="I184" s="1278">
        <f t="shared" si="112"/>
        <v>6511</v>
      </c>
      <c r="J184" s="1389">
        <f t="shared" si="113"/>
        <v>1</v>
      </c>
      <c r="K184" s="1277">
        <f t="shared" si="124"/>
        <v>0</v>
      </c>
      <c r="L184" s="1278">
        <f t="shared" si="124"/>
        <v>6511</v>
      </c>
      <c r="M184" s="1278">
        <f t="shared" si="124"/>
        <v>6511</v>
      </c>
      <c r="N184" s="1389">
        <f t="shared" si="114"/>
        <v>1</v>
      </c>
      <c r="O184" s="953"/>
      <c r="P184" s="954"/>
      <c r="Q184" s="954"/>
      <c r="R184" s="1349" t="str">
        <f t="shared" si="115"/>
        <v>-</v>
      </c>
      <c r="S184" s="955"/>
      <c r="T184" s="956"/>
      <c r="U184" s="954"/>
      <c r="V184" s="1349" t="str">
        <f t="shared" si="116"/>
        <v>-</v>
      </c>
      <c r="W184" s="955"/>
      <c r="X184" s="956"/>
      <c r="Y184" s="954"/>
      <c r="Z184" s="1349" t="str">
        <f t="shared" si="117"/>
        <v>-</v>
      </c>
      <c r="AA184" s="955"/>
      <c r="AB184" s="956"/>
      <c r="AC184" s="954"/>
      <c r="AD184" s="1349" t="str">
        <f t="shared" si="118"/>
        <v>-</v>
      </c>
      <c r="AE184" s="955"/>
      <c r="AF184" s="956">
        <v>6511</v>
      </c>
      <c r="AG184" s="954">
        <v>6511</v>
      </c>
      <c r="AH184" s="1349">
        <f t="shared" si="119"/>
        <v>1</v>
      </c>
      <c r="AI184" s="1277">
        <f t="shared" si="125"/>
        <v>0</v>
      </c>
      <c r="AJ184" s="1278">
        <f t="shared" si="125"/>
        <v>0</v>
      </c>
      <c r="AK184" s="1278">
        <f t="shared" si="125"/>
        <v>0</v>
      </c>
      <c r="AL184" s="1389" t="str">
        <f t="shared" si="120"/>
        <v>-</v>
      </c>
      <c r="AM184" s="955"/>
      <c r="AN184" s="956"/>
      <c r="AO184" s="954"/>
      <c r="AP184" s="1349" t="str">
        <f t="shared" si="121"/>
        <v>-</v>
      </c>
      <c r="AQ184" s="955"/>
      <c r="AR184" s="956"/>
      <c r="AS184" s="954"/>
      <c r="AT184" s="1349" t="str">
        <f t="shared" si="122"/>
        <v>-</v>
      </c>
      <c r="AU184" s="955"/>
      <c r="AV184" s="956"/>
      <c r="AW184" s="954"/>
      <c r="AX184" s="1349" t="str">
        <f t="shared" si="123"/>
        <v>-</v>
      </c>
      <c r="AY184" s="464"/>
    </row>
    <row r="185" spans="1:51">
      <c r="A185" s="504">
        <f t="shared" si="126"/>
        <v>12</v>
      </c>
      <c r="B185" s="790">
        <v>8</v>
      </c>
      <c r="C185" s="935" t="s">
        <v>722</v>
      </c>
      <c r="D185" s="896" t="s">
        <v>724</v>
      </c>
      <c r="E185" s="937" t="s">
        <v>1218</v>
      </c>
      <c r="F185" s="899" t="s">
        <v>651</v>
      </c>
      <c r="G185" s="1277">
        <f t="shared" si="112"/>
        <v>1000</v>
      </c>
      <c r="H185" s="1278">
        <f t="shared" si="112"/>
        <v>0</v>
      </c>
      <c r="I185" s="1278">
        <f t="shared" si="112"/>
        <v>0</v>
      </c>
      <c r="J185" s="1389" t="str">
        <f t="shared" si="113"/>
        <v>-</v>
      </c>
      <c r="K185" s="1277">
        <f t="shared" si="124"/>
        <v>1000</v>
      </c>
      <c r="L185" s="1278">
        <f t="shared" si="124"/>
        <v>0</v>
      </c>
      <c r="M185" s="1278">
        <f t="shared" si="124"/>
        <v>0</v>
      </c>
      <c r="N185" s="1389" t="str">
        <f t="shared" si="114"/>
        <v>-</v>
      </c>
      <c r="O185" s="953"/>
      <c r="P185" s="954"/>
      <c r="Q185" s="954"/>
      <c r="R185" s="1349" t="str">
        <f t="shared" si="115"/>
        <v>-</v>
      </c>
      <c r="S185" s="955"/>
      <c r="T185" s="956"/>
      <c r="U185" s="954"/>
      <c r="V185" s="1349" t="str">
        <f t="shared" si="116"/>
        <v>-</v>
      </c>
      <c r="W185" s="955"/>
      <c r="X185" s="956"/>
      <c r="Y185" s="954"/>
      <c r="Z185" s="1349" t="str">
        <f t="shared" si="117"/>
        <v>-</v>
      </c>
      <c r="AA185" s="955"/>
      <c r="AB185" s="956"/>
      <c r="AC185" s="954"/>
      <c r="AD185" s="1349" t="str">
        <f t="shared" si="118"/>
        <v>-</v>
      </c>
      <c r="AE185" s="955">
        <v>1000</v>
      </c>
      <c r="AF185" s="956">
        <v>0</v>
      </c>
      <c r="AG185" s="954"/>
      <c r="AH185" s="1349" t="str">
        <f t="shared" si="119"/>
        <v>-</v>
      </c>
      <c r="AI185" s="1277">
        <f t="shared" si="125"/>
        <v>0</v>
      </c>
      <c r="AJ185" s="1278">
        <f t="shared" si="125"/>
        <v>0</v>
      </c>
      <c r="AK185" s="1278">
        <f t="shared" si="125"/>
        <v>0</v>
      </c>
      <c r="AL185" s="1389" t="str">
        <f t="shared" si="120"/>
        <v>-</v>
      </c>
      <c r="AM185" s="955"/>
      <c r="AN185" s="956"/>
      <c r="AO185" s="954"/>
      <c r="AP185" s="1349" t="str">
        <f t="shared" si="121"/>
        <v>-</v>
      </c>
      <c r="AQ185" s="955"/>
      <c r="AR185" s="956"/>
      <c r="AS185" s="954"/>
      <c r="AT185" s="1349" t="str">
        <f t="shared" si="122"/>
        <v>-</v>
      </c>
      <c r="AU185" s="955"/>
      <c r="AV185" s="956"/>
      <c r="AW185" s="954"/>
      <c r="AX185" s="1349" t="str">
        <f t="shared" si="123"/>
        <v>-</v>
      </c>
      <c r="AY185" s="464"/>
    </row>
    <row r="186" spans="1:51">
      <c r="A186" s="504">
        <f t="shared" si="126"/>
        <v>13</v>
      </c>
      <c r="B186" s="790">
        <v>8</v>
      </c>
      <c r="C186" s="935" t="s">
        <v>998</v>
      </c>
      <c r="D186" s="896" t="s">
        <v>999</v>
      </c>
      <c r="E186" s="937" t="s">
        <v>1218</v>
      </c>
      <c r="F186" s="899" t="s">
        <v>991</v>
      </c>
      <c r="G186" s="1277">
        <f t="shared" si="112"/>
        <v>0</v>
      </c>
      <c r="H186" s="1278">
        <f t="shared" si="112"/>
        <v>10721</v>
      </c>
      <c r="I186" s="1278">
        <f t="shared" si="112"/>
        <v>9275</v>
      </c>
      <c r="J186" s="1389">
        <f t="shared" si="113"/>
        <v>0.86512452196623446</v>
      </c>
      <c r="K186" s="1277">
        <f t="shared" si="124"/>
        <v>0</v>
      </c>
      <c r="L186" s="1278">
        <f t="shared" si="124"/>
        <v>10721</v>
      </c>
      <c r="M186" s="1278">
        <f t="shared" si="124"/>
        <v>9275</v>
      </c>
      <c r="N186" s="1389">
        <f t="shared" si="114"/>
        <v>0.86512452196623446</v>
      </c>
      <c r="O186" s="953"/>
      <c r="P186" s="954"/>
      <c r="Q186" s="954"/>
      <c r="R186" s="1349" t="str">
        <f t="shared" si="115"/>
        <v>-</v>
      </c>
      <c r="S186" s="955"/>
      <c r="T186" s="956"/>
      <c r="U186" s="954"/>
      <c r="V186" s="1349" t="str">
        <f t="shared" si="116"/>
        <v>-</v>
      </c>
      <c r="W186" s="955"/>
      <c r="X186" s="956"/>
      <c r="Y186" s="954"/>
      <c r="Z186" s="1349" t="str">
        <f t="shared" si="117"/>
        <v>-</v>
      </c>
      <c r="AA186" s="955"/>
      <c r="AB186" s="956"/>
      <c r="AC186" s="954"/>
      <c r="AD186" s="1349" t="str">
        <f t="shared" si="118"/>
        <v>-</v>
      </c>
      <c r="AE186" s="955"/>
      <c r="AF186" s="956">
        <f>9275+1446</f>
        <v>10721</v>
      </c>
      <c r="AG186" s="954">
        <v>9275</v>
      </c>
      <c r="AH186" s="1349">
        <f t="shared" si="119"/>
        <v>0.86512452196623446</v>
      </c>
      <c r="AI186" s="1277">
        <f t="shared" si="125"/>
        <v>0</v>
      </c>
      <c r="AJ186" s="1278">
        <f t="shared" si="125"/>
        <v>0</v>
      </c>
      <c r="AK186" s="1278">
        <f t="shared" si="125"/>
        <v>0</v>
      </c>
      <c r="AL186" s="1389" t="str">
        <f t="shared" si="120"/>
        <v>-</v>
      </c>
      <c r="AM186" s="955"/>
      <c r="AN186" s="956"/>
      <c r="AO186" s="954"/>
      <c r="AP186" s="1349" t="str">
        <f t="shared" si="121"/>
        <v>-</v>
      </c>
      <c r="AQ186" s="955"/>
      <c r="AR186" s="956"/>
      <c r="AS186" s="954"/>
      <c r="AT186" s="1349" t="str">
        <f t="shared" si="122"/>
        <v>-</v>
      </c>
      <c r="AU186" s="955"/>
      <c r="AV186" s="956"/>
      <c r="AW186" s="954"/>
      <c r="AX186" s="1349" t="str">
        <f t="shared" si="123"/>
        <v>-</v>
      </c>
      <c r="AY186" s="464"/>
    </row>
    <row r="187" spans="1:51">
      <c r="A187" s="504">
        <f t="shared" si="126"/>
        <v>14</v>
      </c>
      <c r="B187" s="790">
        <v>8</v>
      </c>
      <c r="C187" s="935" t="s">
        <v>727</v>
      </c>
      <c r="D187" s="896" t="s">
        <v>726</v>
      </c>
      <c r="E187" s="937" t="s">
        <v>1218</v>
      </c>
      <c r="F187" s="899" t="s">
        <v>652</v>
      </c>
      <c r="G187" s="1277">
        <f t="shared" si="112"/>
        <v>500</v>
      </c>
      <c r="H187" s="1278">
        <f t="shared" si="112"/>
        <v>0</v>
      </c>
      <c r="I187" s="1278">
        <f t="shared" si="112"/>
        <v>0</v>
      </c>
      <c r="J187" s="1389" t="str">
        <f t="shared" si="113"/>
        <v>-</v>
      </c>
      <c r="K187" s="1277">
        <f t="shared" si="124"/>
        <v>500</v>
      </c>
      <c r="L187" s="1278">
        <f t="shared" si="124"/>
        <v>0</v>
      </c>
      <c r="M187" s="1278">
        <f t="shared" si="124"/>
        <v>0</v>
      </c>
      <c r="N187" s="1389" t="str">
        <f t="shared" si="114"/>
        <v>-</v>
      </c>
      <c r="O187" s="953"/>
      <c r="P187" s="954"/>
      <c r="Q187" s="954"/>
      <c r="R187" s="1349" t="str">
        <f t="shared" si="115"/>
        <v>-</v>
      </c>
      <c r="S187" s="955"/>
      <c r="T187" s="956"/>
      <c r="U187" s="954"/>
      <c r="V187" s="1349" t="str">
        <f t="shared" si="116"/>
        <v>-</v>
      </c>
      <c r="W187" s="955"/>
      <c r="X187" s="956"/>
      <c r="Y187" s="954"/>
      <c r="Z187" s="1349" t="str">
        <f t="shared" si="117"/>
        <v>-</v>
      </c>
      <c r="AA187" s="955"/>
      <c r="AB187" s="956"/>
      <c r="AC187" s="954"/>
      <c r="AD187" s="1349" t="str">
        <f t="shared" si="118"/>
        <v>-</v>
      </c>
      <c r="AE187" s="955">
        <v>500</v>
      </c>
      <c r="AF187" s="956">
        <v>0</v>
      </c>
      <c r="AG187" s="954"/>
      <c r="AH187" s="1349" t="str">
        <f t="shared" si="119"/>
        <v>-</v>
      </c>
      <c r="AI187" s="1277">
        <f t="shared" si="125"/>
        <v>0</v>
      </c>
      <c r="AJ187" s="1278">
        <f t="shared" si="125"/>
        <v>0</v>
      </c>
      <c r="AK187" s="1278">
        <f t="shared" si="125"/>
        <v>0</v>
      </c>
      <c r="AL187" s="1389" t="str">
        <f t="shared" si="120"/>
        <v>-</v>
      </c>
      <c r="AM187" s="955"/>
      <c r="AN187" s="956"/>
      <c r="AO187" s="954"/>
      <c r="AP187" s="1349" t="str">
        <f t="shared" si="121"/>
        <v>-</v>
      </c>
      <c r="AQ187" s="955"/>
      <c r="AR187" s="956"/>
      <c r="AS187" s="954"/>
      <c r="AT187" s="1349" t="str">
        <f t="shared" si="122"/>
        <v>-</v>
      </c>
      <c r="AU187" s="955"/>
      <c r="AV187" s="956"/>
      <c r="AW187" s="954"/>
      <c r="AX187" s="1349" t="str">
        <f t="shared" si="123"/>
        <v>-</v>
      </c>
      <c r="AY187" s="464"/>
    </row>
    <row r="188" spans="1:51">
      <c r="A188" s="504">
        <f t="shared" si="126"/>
        <v>15</v>
      </c>
      <c r="B188" s="790">
        <v>8</v>
      </c>
      <c r="C188" s="935" t="s">
        <v>709</v>
      </c>
      <c r="D188" s="896" t="s">
        <v>661</v>
      </c>
      <c r="E188" s="937" t="s">
        <v>1218</v>
      </c>
      <c r="F188" s="899" t="s">
        <v>708</v>
      </c>
      <c r="G188" s="1277">
        <f t="shared" si="112"/>
        <v>0</v>
      </c>
      <c r="H188" s="1278">
        <f t="shared" si="112"/>
        <v>0</v>
      </c>
      <c r="I188" s="1278">
        <f t="shared" si="112"/>
        <v>0</v>
      </c>
      <c r="J188" s="1389" t="str">
        <f t="shared" si="113"/>
        <v>-</v>
      </c>
      <c r="K188" s="1277">
        <f t="shared" si="124"/>
        <v>0</v>
      </c>
      <c r="L188" s="1278">
        <f t="shared" si="124"/>
        <v>0</v>
      </c>
      <c r="M188" s="1278">
        <f t="shared" si="124"/>
        <v>0</v>
      </c>
      <c r="N188" s="1389" t="str">
        <f t="shared" si="114"/>
        <v>-</v>
      </c>
      <c r="O188" s="953"/>
      <c r="P188" s="954"/>
      <c r="Q188" s="954"/>
      <c r="R188" s="1349" t="str">
        <f t="shared" si="115"/>
        <v>-</v>
      </c>
      <c r="S188" s="955"/>
      <c r="T188" s="956"/>
      <c r="U188" s="954"/>
      <c r="V188" s="1349" t="str">
        <f t="shared" si="116"/>
        <v>-</v>
      </c>
      <c r="W188" s="955"/>
      <c r="X188" s="956"/>
      <c r="Y188" s="954"/>
      <c r="Z188" s="1349" t="str">
        <f t="shared" si="117"/>
        <v>-</v>
      </c>
      <c r="AA188" s="955"/>
      <c r="AB188" s="956"/>
      <c r="AC188" s="954"/>
      <c r="AD188" s="1349" t="str">
        <f t="shared" si="118"/>
        <v>-</v>
      </c>
      <c r="AE188" s="955"/>
      <c r="AF188" s="956"/>
      <c r="AG188" s="954"/>
      <c r="AH188" s="1349" t="str">
        <f t="shared" si="119"/>
        <v>-</v>
      </c>
      <c r="AI188" s="1277">
        <f t="shared" si="125"/>
        <v>0</v>
      </c>
      <c r="AJ188" s="1278">
        <f t="shared" si="125"/>
        <v>0</v>
      </c>
      <c r="AK188" s="1278">
        <f t="shared" si="125"/>
        <v>0</v>
      </c>
      <c r="AL188" s="1389" t="str">
        <f t="shared" si="120"/>
        <v>-</v>
      </c>
      <c r="AM188" s="955"/>
      <c r="AN188" s="956"/>
      <c r="AO188" s="954"/>
      <c r="AP188" s="1349" t="str">
        <f t="shared" si="121"/>
        <v>-</v>
      </c>
      <c r="AQ188" s="955"/>
      <c r="AR188" s="956"/>
      <c r="AS188" s="954"/>
      <c r="AT188" s="1349" t="str">
        <f t="shared" si="122"/>
        <v>-</v>
      </c>
      <c r="AU188" s="955"/>
      <c r="AV188" s="956"/>
      <c r="AW188" s="954"/>
      <c r="AX188" s="1349" t="str">
        <f t="shared" si="123"/>
        <v>-</v>
      </c>
      <c r="AY188" s="464"/>
    </row>
    <row r="189" spans="1:51">
      <c r="A189" s="504">
        <f t="shared" si="126"/>
        <v>16</v>
      </c>
      <c r="B189" s="790">
        <v>8</v>
      </c>
      <c r="C189" s="935" t="s">
        <v>710</v>
      </c>
      <c r="D189" s="896" t="s">
        <v>662</v>
      </c>
      <c r="E189" s="937" t="s">
        <v>1218</v>
      </c>
      <c r="F189" s="899" t="s">
        <v>708</v>
      </c>
      <c r="G189" s="1277">
        <f t="shared" si="112"/>
        <v>0</v>
      </c>
      <c r="H189" s="1278">
        <f t="shared" si="112"/>
        <v>0</v>
      </c>
      <c r="I189" s="1278">
        <f t="shared" si="112"/>
        <v>0</v>
      </c>
      <c r="J189" s="1389" t="str">
        <f t="shared" si="113"/>
        <v>-</v>
      </c>
      <c r="K189" s="1277">
        <f t="shared" si="124"/>
        <v>0</v>
      </c>
      <c r="L189" s="1278">
        <f t="shared" si="124"/>
        <v>0</v>
      </c>
      <c r="M189" s="1278">
        <f t="shared" si="124"/>
        <v>0</v>
      </c>
      <c r="N189" s="1389" t="str">
        <f t="shared" si="114"/>
        <v>-</v>
      </c>
      <c r="O189" s="953"/>
      <c r="P189" s="954"/>
      <c r="Q189" s="954"/>
      <c r="R189" s="1349" t="str">
        <f t="shared" si="115"/>
        <v>-</v>
      </c>
      <c r="S189" s="955"/>
      <c r="T189" s="956"/>
      <c r="U189" s="954"/>
      <c r="V189" s="1349" t="str">
        <f t="shared" si="116"/>
        <v>-</v>
      </c>
      <c r="W189" s="955"/>
      <c r="X189" s="956"/>
      <c r="Y189" s="954"/>
      <c r="Z189" s="1349" t="str">
        <f t="shared" si="117"/>
        <v>-</v>
      </c>
      <c r="AA189" s="955"/>
      <c r="AB189" s="956"/>
      <c r="AC189" s="954"/>
      <c r="AD189" s="1349" t="str">
        <f t="shared" si="118"/>
        <v>-</v>
      </c>
      <c r="AE189" s="955"/>
      <c r="AF189" s="956"/>
      <c r="AG189" s="954"/>
      <c r="AH189" s="1349" t="str">
        <f t="shared" si="119"/>
        <v>-</v>
      </c>
      <c r="AI189" s="1277">
        <f t="shared" si="125"/>
        <v>0</v>
      </c>
      <c r="AJ189" s="1278">
        <f t="shared" si="125"/>
        <v>0</v>
      </c>
      <c r="AK189" s="1278">
        <f t="shared" si="125"/>
        <v>0</v>
      </c>
      <c r="AL189" s="1389" t="str">
        <f t="shared" si="120"/>
        <v>-</v>
      </c>
      <c r="AM189" s="955"/>
      <c r="AN189" s="956"/>
      <c r="AO189" s="954"/>
      <c r="AP189" s="1349" t="str">
        <f t="shared" si="121"/>
        <v>-</v>
      </c>
      <c r="AQ189" s="955"/>
      <c r="AR189" s="956"/>
      <c r="AS189" s="954"/>
      <c r="AT189" s="1349" t="str">
        <f t="shared" si="122"/>
        <v>-</v>
      </c>
      <c r="AU189" s="955"/>
      <c r="AV189" s="956"/>
      <c r="AW189" s="954"/>
      <c r="AX189" s="1349" t="str">
        <f t="shared" si="123"/>
        <v>-</v>
      </c>
      <c r="AY189" s="464"/>
    </row>
    <row r="190" spans="1:51">
      <c r="A190" s="504">
        <f t="shared" si="126"/>
        <v>17</v>
      </c>
      <c r="B190" s="790">
        <v>8</v>
      </c>
      <c r="C190" s="935" t="s">
        <v>712</v>
      </c>
      <c r="D190" s="896" t="s">
        <v>713</v>
      </c>
      <c r="E190" s="937" t="s">
        <v>1218</v>
      </c>
      <c r="F190" s="899" t="s">
        <v>711</v>
      </c>
      <c r="G190" s="1277">
        <f t="shared" si="112"/>
        <v>36260</v>
      </c>
      <c r="H190" s="1278">
        <f t="shared" si="112"/>
        <v>82763</v>
      </c>
      <c r="I190" s="1278">
        <f t="shared" si="112"/>
        <v>82763</v>
      </c>
      <c r="J190" s="1389">
        <f t="shared" si="113"/>
        <v>1</v>
      </c>
      <c r="K190" s="1277">
        <f t="shared" si="124"/>
        <v>36260</v>
      </c>
      <c r="L190" s="1278">
        <f t="shared" si="124"/>
        <v>82763</v>
      </c>
      <c r="M190" s="1278">
        <f t="shared" si="124"/>
        <v>82763</v>
      </c>
      <c r="N190" s="1389">
        <f t="shared" si="114"/>
        <v>1</v>
      </c>
      <c r="O190" s="953">
        <v>23927</v>
      </c>
      <c r="P190" s="954">
        <v>62683</v>
      </c>
      <c r="Q190" s="954">
        <v>62683</v>
      </c>
      <c r="R190" s="1349">
        <f t="shared" si="115"/>
        <v>1</v>
      </c>
      <c r="S190" s="955">
        <v>2333</v>
      </c>
      <c r="T190" s="956">
        <v>5530</v>
      </c>
      <c r="U190" s="954">
        <v>5530</v>
      </c>
      <c r="V190" s="1349">
        <f t="shared" si="116"/>
        <v>1</v>
      </c>
      <c r="W190" s="955">
        <v>10000</v>
      </c>
      <c r="X190" s="956">
        <v>14550</v>
      </c>
      <c r="Y190" s="954">
        <v>14550</v>
      </c>
      <c r="Z190" s="1349">
        <f t="shared" si="117"/>
        <v>1</v>
      </c>
      <c r="AA190" s="955"/>
      <c r="AB190" s="956"/>
      <c r="AC190" s="954"/>
      <c r="AD190" s="1349" t="str">
        <f t="shared" si="118"/>
        <v>-</v>
      </c>
      <c r="AE190" s="955"/>
      <c r="AF190" s="956"/>
      <c r="AG190" s="954"/>
      <c r="AH190" s="1349" t="str">
        <f t="shared" si="119"/>
        <v>-</v>
      </c>
      <c r="AI190" s="1277">
        <f t="shared" si="125"/>
        <v>0</v>
      </c>
      <c r="AJ190" s="1278">
        <f t="shared" si="125"/>
        <v>0</v>
      </c>
      <c r="AK190" s="1278">
        <f t="shared" si="125"/>
        <v>0</v>
      </c>
      <c r="AL190" s="1389" t="str">
        <f t="shared" si="120"/>
        <v>-</v>
      </c>
      <c r="AM190" s="955"/>
      <c r="AN190" s="956"/>
      <c r="AO190" s="954"/>
      <c r="AP190" s="1349" t="str">
        <f t="shared" si="121"/>
        <v>-</v>
      </c>
      <c r="AQ190" s="955"/>
      <c r="AR190" s="956"/>
      <c r="AS190" s="954"/>
      <c r="AT190" s="1349" t="str">
        <f t="shared" si="122"/>
        <v>-</v>
      </c>
      <c r="AU190" s="955"/>
      <c r="AV190" s="956"/>
      <c r="AW190" s="954"/>
      <c r="AX190" s="1349" t="str">
        <f t="shared" si="123"/>
        <v>-</v>
      </c>
      <c r="AY190" s="464"/>
    </row>
    <row r="191" spans="1:51">
      <c r="A191" s="504">
        <f t="shared" si="126"/>
        <v>18</v>
      </c>
      <c r="B191" s="790">
        <v>8</v>
      </c>
      <c r="C191" s="935" t="s">
        <v>716</v>
      </c>
      <c r="D191" s="896" t="s">
        <v>717</v>
      </c>
      <c r="E191" s="937" t="s">
        <v>1218</v>
      </c>
      <c r="F191" s="899" t="s">
        <v>714</v>
      </c>
      <c r="G191" s="1277">
        <f t="shared" si="112"/>
        <v>0</v>
      </c>
      <c r="H191" s="1278">
        <f t="shared" si="112"/>
        <v>0</v>
      </c>
      <c r="I191" s="1278">
        <f t="shared" si="112"/>
        <v>0</v>
      </c>
      <c r="J191" s="1389" t="str">
        <f t="shared" si="113"/>
        <v>-</v>
      </c>
      <c r="K191" s="1277">
        <f t="shared" si="124"/>
        <v>0</v>
      </c>
      <c r="L191" s="1278">
        <f t="shared" si="124"/>
        <v>0</v>
      </c>
      <c r="M191" s="1278">
        <f t="shared" si="124"/>
        <v>0</v>
      </c>
      <c r="N191" s="1389" t="str">
        <f t="shared" si="114"/>
        <v>-</v>
      </c>
      <c r="O191" s="953"/>
      <c r="P191" s="954"/>
      <c r="Q191" s="954"/>
      <c r="R191" s="1349" t="str">
        <f t="shared" si="115"/>
        <v>-</v>
      </c>
      <c r="S191" s="955"/>
      <c r="T191" s="956"/>
      <c r="U191" s="954"/>
      <c r="V191" s="1349" t="str">
        <f t="shared" si="116"/>
        <v>-</v>
      </c>
      <c r="W191" s="955"/>
      <c r="X191" s="956"/>
      <c r="Y191" s="954"/>
      <c r="Z191" s="1349" t="str">
        <f t="shared" si="117"/>
        <v>-</v>
      </c>
      <c r="AA191" s="955"/>
      <c r="AB191" s="956"/>
      <c r="AC191" s="954"/>
      <c r="AD191" s="1349" t="str">
        <f t="shared" si="118"/>
        <v>-</v>
      </c>
      <c r="AE191" s="955"/>
      <c r="AF191" s="956"/>
      <c r="AG191" s="954"/>
      <c r="AH191" s="1349" t="str">
        <f t="shared" si="119"/>
        <v>-</v>
      </c>
      <c r="AI191" s="1277">
        <f t="shared" si="125"/>
        <v>0</v>
      </c>
      <c r="AJ191" s="1278">
        <f t="shared" si="125"/>
        <v>0</v>
      </c>
      <c r="AK191" s="1278">
        <f t="shared" si="125"/>
        <v>0</v>
      </c>
      <c r="AL191" s="1389" t="str">
        <f t="shared" si="120"/>
        <v>-</v>
      </c>
      <c r="AM191" s="955"/>
      <c r="AN191" s="956"/>
      <c r="AO191" s="954"/>
      <c r="AP191" s="1349" t="str">
        <f t="shared" si="121"/>
        <v>-</v>
      </c>
      <c r="AQ191" s="955"/>
      <c r="AR191" s="956"/>
      <c r="AS191" s="954"/>
      <c r="AT191" s="1349" t="str">
        <f t="shared" si="122"/>
        <v>-</v>
      </c>
      <c r="AU191" s="955"/>
      <c r="AV191" s="956"/>
      <c r="AW191" s="954"/>
      <c r="AX191" s="1349" t="str">
        <f t="shared" si="123"/>
        <v>-</v>
      </c>
      <c r="AY191" s="464"/>
    </row>
    <row r="192" spans="1:51">
      <c r="A192" s="504">
        <f t="shared" si="126"/>
        <v>19</v>
      </c>
      <c r="B192" s="790">
        <v>8</v>
      </c>
      <c r="C192" s="938" t="s">
        <v>715</v>
      </c>
      <c r="D192" s="896" t="s">
        <v>663</v>
      </c>
      <c r="E192" s="937" t="s">
        <v>1218</v>
      </c>
      <c r="F192" s="899" t="s">
        <v>714</v>
      </c>
      <c r="G192" s="1277">
        <f t="shared" si="112"/>
        <v>10433</v>
      </c>
      <c r="H192" s="1278">
        <f t="shared" si="112"/>
        <v>80243</v>
      </c>
      <c r="I192" s="1278">
        <f t="shared" si="112"/>
        <v>80243</v>
      </c>
      <c r="J192" s="1389">
        <f t="shared" si="113"/>
        <v>1</v>
      </c>
      <c r="K192" s="1277">
        <f t="shared" si="124"/>
        <v>10433</v>
      </c>
      <c r="L192" s="1278">
        <f t="shared" si="124"/>
        <v>71831</v>
      </c>
      <c r="M192" s="1278">
        <f t="shared" si="124"/>
        <v>71831</v>
      </c>
      <c r="N192" s="1389">
        <f t="shared" si="114"/>
        <v>1</v>
      </c>
      <c r="O192" s="953">
        <v>9506</v>
      </c>
      <c r="P192" s="954">
        <v>43962</v>
      </c>
      <c r="Q192" s="954">
        <v>43962</v>
      </c>
      <c r="R192" s="1349">
        <f t="shared" si="115"/>
        <v>1</v>
      </c>
      <c r="S192" s="955">
        <v>927</v>
      </c>
      <c r="T192" s="956">
        <v>3845</v>
      </c>
      <c r="U192" s="954">
        <v>3845</v>
      </c>
      <c r="V192" s="1349">
        <f t="shared" si="116"/>
        <v>1</v>
      </c>
      <c r="W192" s="955"/>
      <c r="X192" s="956">
        <v>24024</v>
      </c>
      <c r="Y192" s="954">
        <v>24024</v>
      </c>
      <c r="Z192" s="1349">
        <f t="shared" si="117"/>
        <v>1</v>
      </c>
      <c r="AA192" s="955"/>
      <c r="AB192" s="956"/>
      <c r="AC192" s="954"/>
      <c r="AD192" s="1349" t="str">
        <f t="shared" si="118"/>
        <v>-</v>
      </c>
      <c r="AE192" s="955"/>
      <c r="AF192" s="956"/>
      <c r="AG192" s="954"/>
      <c r="AH192" s="1349" t="str">
        <f t="shared" si="119"/>
        <v>-</v>
      </c>
      <c r="AI192" s="1277">
        <f t="shared" si="125"/>
        <v>0</v>
      </c>
      <c r="AJ192" s="1278">
        <f t="shared" si="125"/>
        <v>8412</v>
      </c>
      <c r="AK192" s="1278">
        <f t="shared" si="125"/>
        <v>8412</v>
      </c>
      <c r="AL192" s="1389">
        <f t="shared" si="120"/>
        <v>1</v>
      </c>
      <c r="AM192" s="955"/>
      <c r="AN192" s="956">
        <v>8412</v>
      </c>
      <c r="AO192" s="954">
        <v>8412</v>
      </c>
      <c r="AP192" s="1349">
        <f t="shared" si="121"/>
        <v>1</v>
      </c>
      <c r="AQ192" s="955"/>
      <c r="AR192" s="956"/>
      <c r="AS192" s="954"/>
      <c r="AT192" s="1349" t="str">
        <f t="shared" si="122"/>
        <v>-</v>
      </c>
      <c r="AU192" s="955"/>
      <c r="AV192" s="956"/>
      <c r="AW192" s="954"/>
      <c r="AX192" s="1349" t="str">
        <f t="shared" si="123"/>
        <v>-</v>
      </c>
      <c r="AY192" s="464"/>
    </row>
    <row r="193" spans="1:51">
      <c r="A193" s="504">
        <f t="shared" si="126"/>
        <v>20</v>
      </c>
      <c r="B193" s="791">
        <v>8</v>
      </c>
      <c r="C193" s="939" t="s">
        <v>706</v>
      </c>
      <c r="D193" s="902" t="s">
        <v>705</v>
      </c>
      <c r="E193" s="940" t="s">
        <v>1223</v>
      </c>
      <c r="F193" s="903" t="s">
        <v>1000</v>
      </c>
      <c r="G193" s="1277">
        <f t="shared" si="112"/>
        <v>3500</v>
      </c>
      <c r="H193" s="1278">
        <f t="shared" si="112"/>
        <v>3614</v>
      </c>
      <c r="I193" s="1278">
        <f t="shared" si="112"/>
        <v>3614</v>
      </c>
      <c r="J193" s="1389">
        <f t="shared" si="113"/>
        <v>1</v>
      </c>
      <c r="K193" s="1277">
        <f t="shared" si="124"/>
        <v>3500</v>
      </c>
      <c r="L193" s="1278">
        <f t="shared" si="124"/>
        <v>3614</v>
      </c>
      <c r="M193" s="1278">
        <f t="shared" si="124"/>
        <v>3614</v>
      </c>
      <c r="N193" s="1389">
        <f t="shared" si="114"/>
        <v>1</v>
      </c>
      <c r="O193" s="953"/>
      <c r="P193" s="954"/>
      <c r="Q193" s="954"/>
      <c r="R193" s="1349" t="str">
        <f t="shared" si="115"/>
        <v>-</v>
      </c>
      <c r="S193" s="955"/>
      <c r="T193" s="956"/>
      <c r="U193" s="954"/>
      <c r="V193" s="1349" t="str">
        <f t="shared" si="116"/>
        <v>-</v>
      </c>
      <c r="W193" s="955">
        <v>3500</v>
      </c>
      <c r="X193" s="956">
        <v>3614</v>
      </c>
      <c r="Y193" s="954">
        <v>3614</v>
      </c>
      <c r="Z193" s="1349">
        <f t="shared" si="117"/>
        <v>1</v>
      </c>
      <c r="AA193" s="955"/>
      <c r="AB193" s="956"/>
      <c r="AC193" s="954"/>
      <c r="AD193" s="1349" t="str">
        <f t="shared" si="118"/>
        <v>-</v>
      </c>
      <c r="AE193" s="955"/>
      <c r="AF193" s="956"/>
      <c r="AG193" s="954"/>
      <c r="AH193" s="1349" t="str">
        <f t="shared" si="119"/>
        <v>-</v>
      </c>
      <c r="AI193" s="1277">
        <f t="shared" si="125"/>
        <v>0</v>
      </c>
      <c r="AJ193" s="1278">
        <f t="shared" si="125"/>
        <v>0</v>
      </c>
      <c r="AK193" s="1278">
        <f t="shared" si="125"/>
        <v>0</v>
      </c>
      <c r="AL193" s="1389" t="str">
        <f t="shared" si="120"/>
        <v>-</v>
      </c>
      <c r="AM193" s="955"/>
      <c r="AN193" s="956"/>
      <c r="AO193" s="954"/>
      <c r="AP193" s="1349" t="str">
        <f t="shared" si="121"/>
        <v>-</v>
      </c>
      <c r="AQ193" s="955"/>
      <c r="AR193" s="956"/>
      <c r="AS193" s="954"/>
      <c r="AT193" s="1349" t="str">
        <f t="shared" si="122"/>
        <v>-</v>
      </c>
      <c r="AU193" s="955"/>
      <c r="AV193" s="956"/>
      <c r="AW193" s="954"/>
      <c r="AX193" s="1349" t="str">
        <f t="shared" si="123"/>
        <v>-</v>
      </c>
      <c r="AY193" s="464"/>
    </row>
    <row r="194" spans="1:51">
      <c r="A194" s="504">
        <f t="shared" si="126"/>
        <v>21</v>
      </c>
      <c r="B194" s="792">
        <v>5</v>
      </c>
      <c r="C194" s="939" t="s">
        <v>694</v>
      </c>
      <c r="D194" s="902" t="s">
        <v>642</v>
      </c>
      <c r="E194" s="940" t="s">
        <v>1218</v>
      </c>
      <c r="F194" s="903" t="s">
        <v>642</v>
      </c>
      <c r="G194" s="1277">
        <f t="shared" si="112"/>
        <v>0</v>
      </c>
      <c r="H194" s="1278">
        <f t="shared" si="112"/>
        <v>0</v>
      </c>
      <c r="I194" s="1278">
        <f t="shared" si="112"/>
        <v>0</v>
      </c>
      <c r="J194" s="1389" t="str">
        <f t="shared" si="113"/>
        <v>-</v>
      </c>
      <c r="K194" s="1277">
        <f t="shared" si="124"/>
        <v>0</v>
      </c>
      <c r="L194" s="1278">
        <f t="shared" si="124"/>
        <v>0</v>
      </c>
      <c r="M194" s="1278">
        <f t="shared" si="124"/>
        <v>0</v>
      </c>
      <c r="N194" s="1389" t="str">
        <f t="shared" si="114"/>
        <v>-</v>
      </c>
      <c r="O194" s="953"/>
      <c r="P194" s="954"/>
      <c r="Q194" s="954"/>
      <c r="R194" s="1349" t="str">
        <f t="shared" si="115"/>
        <v>-</v>
      </c>
      <c r="S194" s="955"/>
      <c r="T194" s="956"/>
      <c r="U194" s="954"/>
      <c r="V194" s="1349" t="str">
        <f t="shared" si="116"/>
        <v>-</v>
      </c>
      <c r="W194" s="955"/>
      <c r="X194" s="956"/>
      <c r="Y194" s="954"/>
      <c r="Z194" s="1349" t="str">
        <f t="shared" si="117"/>
        <v>-</v>
      </c>
      <c r="AA194" s="955"/>
      <c r="AB194" s="956"/>
      <c r="AC194" s="954"/>
      <c r="AD194" s="1349" t="str">
        <f t="shared" si="118"/>
        <v>-</v>
      </c>
      <c r="AE194" s="955"/>
      <c r="AF194" s="956"/>
      <c r="AG194" s="954"/>
      <c r="AH194" s="1349" t="str">
        <f t="shared" si="119"/>
        <v>-</v>
      </c>
      <c r="AI194" s="1277">
        <f t="shared" si="125"/>
        <v>0</v>
      </c>
      <c r="AJ194" s="1278">
        <f t="shared" si="125"/>
        <v>0</v>
      </c>
      <c r="AK194" s="1278">
        <f t="shared" si="125"/>
        <v>0</v>
      </c>
      <c r="AL194" s="1389" t="str">
        <f t="shared" si="120"/>
        <v>-</v>
      </c>
      <c r="AM194" s="955"/>
      <c r="AN194" s="956"/>
      <c r="AO194" s="954"/>
      <c r="AP194" s="1349" t="str">
        <f t="shared" si="121"/>
        <v>-</v>
      </c>
      <c r="AQ194" s="955"/>
      <c r="AR194" s="956"/>
      <c r="AS194" s="954"/>
      <c r="AT194" s="1349" t="str">
        <f t="shared" si="122"/>
        <v>-</v>
      </c>
      <c r="AU194" s="955"/>
      <c r="AV194" s="956"/>
      <c r="AW194" s="954"/>
      <c r="AX194" s="1349" t="str">
        <f t="shared" si="123"/>
        <v>-</v>
      </c>
      <c r="AY194" s="464"/>
    </row>
    <row r="195" spans="1:51">
      <c r="A195" s="504">
        <f t="shared" si="126"/>
        <v>22</v>
      </c>
      <c r="B195" s="792">
        <v>8</v>
      </c>
      <c r="C195" s="938" t="s">
        <v>696</v>
      </c>
      <c r="D195" s="896" t="s">
        <v>695</v>
      </c>
      <c r="E195" s="937" t="s">
        <v>1240</v>
      </c>
      <c r="F195" s="899" t="s">
        <v>695</v>
      </c>
      <c r="G195" s="1277">
        <f t="shared" si="112"/>
        <v>1800</v>
      </c>
      <c r="H195" s="1278">
        <f t="shared" si="112"/>
        <v>1650</v>
      </c>
      <c r="I195" s="1278">
        <f t="shared" si="112"/>
        <v>1650</v>
      </c>
      <c r="J195" s="1389">
        <f t="shared" si="113"/>
        <v>1</v>
      </c>
      <c r="K195" s="1277">
        <f t="shared" si="124"/>
        <v>1800</v>
      </c>
      <c r="L195" s="1278">
        <f t="shared" si="124"/>
        <v>1650</v>
      </c>
      <c r="M195" s="1278">
        <f t="shared" si="124"/>
        <v>1650</v>
      </c>
      <c r="N195" s="1389">
        <f t="shared" si="114"/>
        <v>1</v>
      </c>
      <c r="O195" s="953"/>
      <c r="P195" s="954"/>
      <c r="Q195" s="954"/>
      <c r="R195" s="1349" t="str">
        <f t="shared" si="115"/>
        <v>-</v>
      </c>
      <c r="S195" s="955"/>
      <c r="T195" s="956"/>
      <c r="U195" s="954"/>
      <c r="V195" s="1349" t="str">
        <f t="shared" si="116"/>
        <v>-</v>
      </c>
      <c r="W195" s="955">
        <v>1800</v>
      </c>
      <c r="X195" s="956">
        <v>1650</v>
      </c>
      <c r="Y195" s="954">
        <v>1650</v>
      </c>
      <c r="Z195" s="1349">
        <f t="shared" si="117"/>
        <v>1</v>
      </c>
      <c r="AA195" s="955"/>
      <c r="AB195" s="956"/>
      <c r="AC195" s="954"/>
      <c r="AD195" s="1349" t="str">
        <f t="shared" si="118"/>
        <v>-</v>
      </c>
      <c r="AE195" s="955"/>
      <c r="AF195" s="956"/>
      <c r="AG195" s="954"/>
      <c r="AH195" s="1349" t="str">
        <f t="shared" si="119"/>
        <v>-</v>
      </c>
      <c r="AI195" s="1277">
        <f t="shared" si="125"/>
        <v>0</v>
      </c>
      <c r="AJ195" s="1278">
        <f t="shared" si="125"/>
        <v>0</v>
      </c>
      <c r="AK195" s="1278">
        <f t="shared" si="125"/>
        <v>0</v>
      </c>
      <c r="AL195" s="1389" t="str">
        <f t="shared" si="120"/>
        <v>-</v>
      </c>
      <c r="AM195" s="955"/>
      <c r="AN195" s="956"/>
      <c r="AO195" s="954"/>
      <c r="AP195" s="1349" t="str">
        <f t="shared" si="121"/>
        <v>-</v>
      </c>
      <c r="AQ195" s="955"/>
      <c r="AR195" s="956"/>
      <c r="AS195" s="954"/>
      <c r="AT195" s="1349" t="str">
        <f t="shared" si="122"/>
        <v>-</v>
      </c>
      <c r="AU195" s="955"/>
      <c r="AV195" s="956"/>
      <c r="AW195" s="954"/>
      <c r="AX195" s="1349" t="str">
        <f t="shared" si="123"/>
        <v>-</v>
      </c>
      <c r="AY195" s="464"/>
    </row>
    <row r="196" spans="1:51">
      <c r="A196" s="504">
        <f t="shared" si="126"/>
        <v>23</v>
      </c>
      <c r="B196" s="791">
        <v>5</v>
      </c>
      <c r="C196" s="938" t="s">
        <v>697</v>
      </c>
      <c r="D196" s="896" t="s">
        <v>643</v>
      </c>
      <c r="E196" s="937" t="s">
        <v>1218</v>
      </c>
      <c r="F196" s="899" t="s">
        <v>643</v>
      </c>
      <c r="G196" s="1277">
        <f t="shared" si="112"/>
        <v>74157</v>
      </c>
      <c r="H196" s="1278">
        <f t="shared" si="112"/>
        <v>80146</v>
      </c>
      <c r="I196" s="1278">
        <f t="shared" si="112"/>
        <v>80146</v>
      </c>
      <c r="J196" s="1389">
        <f t="shared" si="113"/>
        <v>1</v>
      </c>
      <c r="K196" s="1277">
        <f t="shared" si="124"/>
        <v>12899</v>
      </c>
      <c r="L196" s="1278">
        <f t="shared" si="124"/>
        <v>15864</v>
      </c>
      <c r="M196" s="1278">
        <f t="shared" si="124"/>
        <v>15864</v>
      </c>
      <c r="N196" s="1389">
        <f t="shared" si="114"/>
        <v>1</v>
      </c>
      <c r="O196" s="953"/>
      <c r="P196" s="954"/>
      <c r="Q196" s="954"/>
      <c r="R196" s="1349" t="str">
        <f t="shared" si="115"/>
        <v>-</v>
      </c>
      <c r="S196" s="955"/>
      <c r="T196" s="956"/>
      <c r="U196" s="954"/>
      <c r="V196" s="1349" t="str">
        <f t="shared" si="116"/>
        <v>-</v>
      </c>
      <c r="W196" s="955">
        <v>12899</v>
      </c>
      <c r="X196" s="956">
        <f>15863+1</f>
        <v>15864</v>
      </c>
      <c r="Y196" s="956">
        <f>15863+1</f>
        <v>15864</v>
      </c>
      <c r="Z196" s="1349">
        <f t="shared" si="117"/>
        <v>1</v>
      </c>
      <c r="AA196" s="955"/>
      <c r="AB196" s="956"/>
      <c r="AC196" s="954"/>
      <c r="AD196" s="1349" t="str">
        <f t="shared" si="118"/>
        <v>-</v>
      </c>
      <c r="AE196" s="955"/>
      <c r="AF196" s="956"/>
      <c r="AG196" s="954"/>
      <c r="AH196" s="1349" t="str">
        <f t="shared" si="119"/>
        <v>-</v>
      </c>
      <c r="AI196" s="1277">
        <f t="shared" si="125"/>
        <v>61258</v>
      </c>
      <c r="AJ196" s="1278">
        <f t="shared" si="125"/>
        <v>64282</v>
      </c>
      <c r="AK196" s="1278">
        <f t="shared" si="125"/>
        <v>64282</v>
      </c>
      <c r="AL196" s="1389">
        <f t="shared" si="120"/>
        <v>1</v>
      </c>
      <c r="AM196" s="955"/>
      <c r="AN196" s="956"/>
      <c r="AO196" s="954"/>
      <c r="AP196" s="1349" t="str">
        <f t="shared" si="121"/>
        <v>-</v>
      </c>
      <c r="AQ196" s="955">
        <v>61258</v>
      </c>
      <c r="AR196" s="956">
        <f>64281+1</f>
        <v>64282</v>
      </c>
      <c r="AS196" s="954">
        <f>64281+1</f>
        <v>64282</v>
      </c>
      <c r="AT196" s="1349">
        <f t="shared" si="122"/>
        <v>1</v>
      </c>
      <c r="AU196" s="955"/>
      <c r="AV196" s="956"/>
      <c r="AW196" s="954"/>
      <c r="AX196" s="1349" t="str">
        <f t="shared" si="123"/>
        <v>-</v>
      </c>
      <c r="AY196" s="464"/>
    </row>
    <row r="197" spans="1:51">
      <c r="A197" s="504">
        <f t="shared" si="126"/>
        <v>24</v>
      </c>
      <c r="B197" s="791">
        <v>8</v>
      </c>
      <c r="C197" s="938" t="s">
        <v>718</v>
      </c>
      <c r="D197" s="896" t="s">
        <v>648</v>
      </c>
      <c r="E197" s="937" t="s">
        <v>1218</v>
      </c>
      <c r="F197" s="899" t="s">
        <v>648</v>
      </c>
      <c r="G197" s="1279">
        <f t="shared" si="112"/>
        <v>0</v>
      </c>
      <c r="H197" s="1280">
        <f t="shared" si="112"/>
        <v>0</v>
      </c>
      <c r="I197" s="1280">
        <f t="shared" si="112"/>
        <v>0</v>
      </c>
      <c r="J197" s="1389" t="str">
        <f t="shared" si="113"/>
        <v>-</v>
      </c>
      <c r="K197" s="1279">
        <f t="shared" si="124"/>
        <v>0</v>
      </c>
      <c r="L197" s="1280">
        <f t="shared" si="124"/>
        <v>0</v>
      </c>
      <c r="M197" s="1280">
        <f t="shared" si="124"/>
        <v>0</v>
      </c>
      <c r="N197" s="1389" t="str">
        <f t="shared" si="114"/>
        <v>-</v>
      </c>
      <c r="O197" s="953"/>
      <c r="P197" s="954"/>
      <c r="Q197" s="954"/>
      <c r="R197" s="1349" t="str">
        <f t="shared" si="115"/>
        <v>-</v>
      </c>
      <c r="S197" s="962"/>
      <c r="T197" s="960"/>
      <c r="U197" s="954"/>
      <c r="V197" s="1349" t="str">
        <f t="shared" si="116"/>
        <v>-</v>
      </c>
      <c r="W197" s="962"/>
      <c r="X197" s="960"/>
      <c r="Y197" s="954"/>
      <c r="Z197" s="1349" t="str">
        <f t="shared" si="117"/>
        <v>-</v>
      </c>
      <c r="AA197" s="962"/>
      <c r="AB197" s="960"/>
      <c r="AC197" s="954"/>
      <c r="AD197" s="1349" t="str">
        <f t="shared" si="118"/>
        <v>-</v>
      </c>
      <c r="AE197" s="962"/>
      <c r="AF197" s="960"/>
      <c r="AG197" s="954"/>
      <c r="AH197" s="1349" t="str">
        <f t="shared" si="119"/>
        <v>-</v>
      </c>
      <c r="AI197" s="1279">
        <f t="shared" si="125"/>
        <v>0</v>
      </c>
      <c r="AJ197" s="1280">
        <f t="shared" si="125"/>
        <v>0</v>
      </c>
      <c r="AK197" s="1280">
        <f t="shared" si="125"/>
        <v>0</v>
      </c>
      <c r="AL197" s="1389" t="str">
        <f t="shared" si="120"/>
        <v>-</v>
      </c>
      <c r="AM197" s="962"/>
      <c r="AN197" s="960"/>
      <c r="AO197" s="954"/>
      <c r="AP197" s="1349" t="str">
        <f t="shared" si="121"/>
        <v>-</v>
      </c>
      <c r="AQ197" s="962"/>
      <c r="AR197" s="960"/>
      <c r="AS197" s="954"/>
      <c r="AT197" s="1349" t="str">
        <f t="shared" si="122"/>
        <v>-</v>
      </c>
      <c r="AU197" s="962"/>
      <c r="AV197" s="960"/>
      <c r="AW197" s="954"/>
      <c r="AX197" s="1349" t="str">
        <f t="shared" si="123"/>
        <v>-</v>
      </c>
      <c r="AY197" s="464"/>
    </row>
    <row r="198" spans="1:51">
      <c r="A198" s="504">
        <f t="shared" si="126"/>
        <v>25</v>
      </c>
      <c r="B198" s="791">
        <v>8</v>
      </c>
      <c r="C198" s="938" t="s">
        <v>692</v>
      </c>
      <c r="D198" s="896" t="s">
        <v>693</v>
      </c>
      <c r="E198" s="937" t="s">
        <v>1218</v>
      </c>
      <c r="F198" s="899" t="s">
        <v>1003</v>
      </c>
      <c r="G198" s="1279">
        <f t="shared" si="112"/>
        <v>0</v>
      </c>
      <c r="H198" s="1280">
        <f t="shared" si="112"/>
        <v>0</v>
      </c>
      <c r="I198" s="1280">
        <f t="shared" si="112"/>
        <v>0</v>
      </c>
      <c r="J198" s="1389" t="str">
        <f t="shared" si="113"/>
        <v>-</v>
      </c>
      <c r="K198" s="1279">
        <f t="shared" si="124"/>
        <v>0</v>
      </c>
      <c r="L198" s="1280">
        <f t="shared" si="124"/>
        <v>0</v>
      </c>
      <c r="M198" s="1280">
        <f t="shared" si="124"/>
        <v>0</v>
      </c>
      <c r="N198" s="1389" t="str">
        <f t="shared" si="114"/>
        <v>-</v>
      </c>
      <c r="O198" s="953"/>
      <c r="P198" s="954"/>
      <c r="Q198" s="954"/>
      <c r="R198" s="1349" t="str">
        <f t="shared" si="115"/>
        <v>-</v>
      </c>
      <c r="S198" s="962"/>
      <c r="T198" s="960"/>
      <c r="U198" s="954"/>
      <c r="V198" s="1349" t="str">
        <f t="shared" si="116"/>
        <v>-</v>
      </c>
      <c r="W198" s="962"/>
      <c r="X198" s="960"/>
      <c r="Y198" s="954"/>
      <c r="Z198" s="1349" t="str">
        <f t="shared" si="117"/>
        <v>-</v>
      </c>
      <c r="AA198" s="962"/>
      <c r="AB198" s="960"/>
      <c r="AC198" s="954"/>
      <c r="AD198" s="1349" t="str">
        <f t="shared" si="118"/>
        <v>-</v>
      </c>
      <c r="AE198" s="962"/>
      <c r="AF198" s="960"/>
      <c r="AG198" s="954"/>
      <c r="AH198" s="1349" t="str">
        <f t="shared" si="119"/>
        <v>-</v>
      </c>
      <c r="AI198" s="1279">
        <f t="shared" si="125"/>
        <v>0</v>
      </c>
      <c r="AJ198" s="1280">
        <f t="shared" si="125"/>
        <v>0</v>
      </c>
      <c r="AK198" s="1280">
        <f t="shared" si="125"/>
        <v>0</v>
      </c>
      <c r="AL198" s="1389" t="str">
        <f t="shared" si="120"/>
        <v>-</v>
      </c>
      <c r="AM198" s="962"/>
      <c r="AN198" s="960"/>
      <c r="AO198" s="954"/>
      <c r="AP198" s="1349" t="str">
        <f t="shared" si="121"/>
        <v>-</v>
      </c>
      <c r="AQ198" s="962"/>
      <c r="AR198" s="960"/>
      <c r="AS198" s="954"/>
      <c r="AT198" s="1349" t="str">
        <f t="shared" si="122"/>
        <v>-</v>
      </c>
      <c r="AU198" s="962"/>
      <c r="AV198" s="960"/>
      <c r="AW198" s="954"/>
      <c r="AX198" s="1349" t="str">
        <f t="shared" si="123"/>
        <v>-</v>
      </c>
      <c r="AY198" s="464"/>
    </row>
    <row r="199" spans="1:51">
      <c r="A199" s="504">
        <f t="shared" si="126"/>
        <v>26</v>
      </c>
      <c r="B199" s="791">
        <v>8</v>
      </c>
      <c r="C199" s="938" t="s">
        <v>690</v>
      </c>
      <c r="D199" s="896" t="s">
        <v>691</v>
      </c>
      <c r="E199" s="937" t="s">
        <v>1218</v>
      </c>
      <c r="F199" s="899" t="s">
        <v>641</v>
      </c>
      <c r="G199" s="1279">
        <f t="shared" si="112"/>
        <v>4107</v>
      </c>
      <c r="H199" s="1280">
        <f t="shared" si="112"/>
        <v>10631</v>
      </c>
      <c r="I199" s="1280">
        <f t="shared" si="112"/>
        <v>10631</v>
      </c>
      <c r="J199" s="1389">
        <f t="shared" si="113"/>
        <v>1</v>
      </c>
      <c r="K199" s="1279">
        <f t="shared" si="124"/>
        <v>4107</v>
      </c>
      <c r="L199" s="1280">
        <f t="shared" si="124"/>
        <v>4761</v>
      </c>
      <c r="M199" s="1280">
        <f t="shared" si="124"/>
        <v>4761</v>
      </c>
      <c r="N199" s="1389">
        <f t="shared" si="114"/>
        <v>1</v>
      </c>
      <c r="O199" s="953"/>
      <c r="P199" s="954"/>
      <c r="Q199" s="954"/>
      <c r="R199" s="1349" t="str">
        <f t="shared" si="115"/>
        <v>-</v>
      </c>
      <c r="S199" s="962"/>
      <c r="T199" s="960"/>
      <c r="U199" s="954"/>
      <c r="V199" s="1349" t="str">
        <f t="shared" si="116"/>
        <v>-</v>
      </c>
      <c r="W199" s="962">
        <v>4107</v>
      </c>
      <c r="X199" s="960">
        <v>4761</v>
      </c>
      <c r="Y199" s="954">
        <v>4761</v>
      </c>
      <c r="Z199" s="1349">
        <f t="shared" si="117"/>
        <v>1</v>
      </c>
      <c r="AA199" s="962"/>
      <c r="AB199" s="960"/>
      <c r="AC199" s="954"/>
      <c r="AD199" s="1349" t="str">
        <f t="shared" si="118"/>
        <v>-</v>
      </c>
      <c r="AE199" s="962"/>
      <c r="AF199" s="960"/>
      <c r="AG199" s="954"/>
      <c r="AH199" s="1349" t="str">
        <f t="shared" si="119"/>
        <v>-</v>
      </c>
      <c r="AI199" s="1279">
        <f t="shared" si="125"/>
        <v>0</v>
      </c>
      <c r="AJ199" s="1280">
        <f t="shared" si="125"/>
        <v>5870</v>
      </c>
      <c r="AK199" s="1280">
        <f t="shared" si="125"/>
        <v>5870</v>
      </c>
      <c r="AL199" s="1389">
        <f t="shared" si="120"/>
        <v>1</v>
      </c>
      <c r="AM199" s="962"/>
      <c r="AN199" s="960">
        <v>5870</v>
      </c>
      <c r="AO199" s="954">
        <v>5870</v>
      </c>
      <c r="AP199" s="1349">
        <f t="shared" si="121"/>
        <v>1</v>
      </c>
      <c r="AQ199" s="962"/>
      <c r="AR199" s="960"/>
      <c r="AS199" s="954"/>
      <c r="AT199" s="1349" t="str">
        <f t="shared" si="122"/>
        <v>-</v>
      </c>
      <c r="AU199" s="962"/>
      <c r="AV199" s="960"/>
      <c r="AW199" s="954"/>
      <c r="AX199" s="1349" t="str">
        <f t="shared" si="123"/>
        <v>-</v>
      </c>
      <c r="AY199" s="464"/>
    </row>
    <row r="200" spans="1:51" s="470" customFormat="1">
      <c r="A200" s="504">
        <f t="shared" si="126"/>
        <v>27</v>
      </c>
      <c r="B200" s="791">
        <v>3</v>
      </c>
      <c r="C200" s="938" t="s">
        <v>698</v>
      </c>
      <c r="D200" s="896" t="s">
        <v>644</v>
      </c>
      <c r="E200" s="937" t="s">
        <v>1218</v>
      </c>
      <c r="F200" s="899" t="s">
        <v>644</v>
      </c>
      <c r="G200" s="1277">
        <f t="shared" si="112"/>
        <v>26500</v>
      </c>
      <c r="H200" s="1278">
        <f t="shared" si="112"/>
        <v>27445</v>
      </c>
      <c r="I200" s="1278">
        <f t="shared" si="112"/>
        <v>27445</v>
      </c>
      <c r="J200" s="1389">
        <f t="shared" si="113"/>
        <v>1</v>
      </c>
      <c r="K200" s="1277">
        <f t="shared" si="124"/>
        <v>25000</v>
      </c>
      <c r="L200" s="1278">
        <f t="shared" si="124"/>
        <v>27445</v>
      </c>
      <c r="M200" s="1278">
        <f t="shared" si="124"/>
        <v>27445</v>
      </c>
      <c r="N200" s="1389">
        <f t="shared" si="114"/>
        <v>1</v>
      </c>
      <c r="O200" s="953"/>
      <c r="P200" s="954"/>
      <c r="Q200" s="954"/>
      <c r="R200" s="1349" t="str">
        <f t="shared" si="115"/>
        <v>-</v>
      </c>
      <c r="S200" s="955"/>
      <c r="T200" s="956"/>
      <c r="U200" s="954"/>
      <c r="V200" s="1349" t="str">
        <f t="shared" si="116"/>
        <v>-</v>
      </c>
      <c r="W200" s="955">
        <v>25000</v>
      </c>
      <c r="X200" s="956">
        <v>27445</v>
      </c>
      <c r="Y200" s="954">
        <v>27445</v>
      </c>
      <c r="Z200" s="1349">
        <f t="shared" si="117"/>
        <v>1</v>
      </c>
      <c r="AA200" s="955"/>
      <c r="AB200" s="956"/>
      <c r="AC200" s="954"/>
      <c r="AD200" s="1349" t="str">
        <f t="shared" si="118"/>
        <v>-</v>
      </c>
      <c r="AE200" s="955"/>
      <c r="AF200" s="956"/>
      <c r="AG200" s="954"/>
      <c r="AH200" s="1349" t="str">
        <f t="shared" si="119"/>
        <v>-</v>
      </c>
      <c r="AI200" s="1277">
        <f t="shared" si="125"/>
        <v>1500</v>
      </c>
      <c r="AJ200" s="1278">
        <f t="shared" si="125"/>
        <v>0</v>
      </c>
      <c r="AK200" s="1278">
        <f t="shared" si="125"/>
        <v>0</v>
      </c>
      <c r="AL200" s="1389" t="str">
        <f t="shared" si="120"/>
        <v>-</v>
      </c>
      <c r="AM200" s="955">
        <v>1500</v>
      </c>
      <c r="AN200" s="956">
        <v>0</v>
      </c>
      <c r="AO200" s="954"/>
      <c r="AP200" s="1349" t="str">
        <f t="shared" si="121"/>
        <v>-</v>
      </c>
      <c r="AQ200" s="955"/>
      <c r="AR200" s="956"/>
      <c r="AS200" s="954"/>
      <c r="AT200" s="1349" t="str">
        <f t="shared" si="122"/>
        <v>-</v>
      </c>
      <c r="AU200" s="955"/>
      <c r="AV200" s="956"/>
      <c r="AW200" s="954"/>
      <c r="AX200" s="1349" t="str">
        <f t="shared" si="123"/>
        <v>-</v>
      </c>
      <c r="AY200" s="464"/>
    </row>
    <row r="201" spans="1:51" s="470" customFormat="1">
      <c r="A201" s="504">
        <f t="shared" si="126"/>
        <v>28</v>
      </c>
      <c r="B201" s="791">
        <v>4</v>
      </c>
      <c r="C201" s="938" t="s">
        <v>707</v>
      </c>
      <c r="D201" s="896" t="s">
        <v>646</v>
      </c>
      <c r="E201" s="937" t="s">
        <v>1225</v>
      </c>
      <c r="F201" s="899" t="s">
        <v>646</v>
      </c>
      <c r="G201" s="1277">
        <f t="shared" si="112"/>
        <v>13381</v>
      </c>
      <c r="H201" s="1278">
        <f t="shared" si="112"/>
        <v>11898</v>
      </c>
      <c r="I201" s="1278">
        <f t="shared" si="112"/>
        <v>11898</v>
      </c>
      <c r="J201" s="1389">
        <f t="shared" si="113"/>
        <v>1</v>
      </c>
      <c r="K201" s="1277">
        <f t="shared" si="124"/>
        <v>13381</v>
      </c>
      <c r="L201" s="1278">
        <f t="shared" si="124"/>
        <v>11898</v>
      </c>
      <c r="M201" s="1278">
        <f t="shared" si="124"/>
        <v>11898</v>
      </c>
      <c r="N201" s="1389">
        <f t="shared" si="114"/>
        <v>1</v>
      </c>
      <c r="O201" s="953"/>
      <c r="P201" s="954"/>
      <c r="Q201" s="954"/>
      <c r="R201" s="1349" t="str">
        <f t="shared" si="115"/>
        <v>-</v>
      </c>
      <c r="S201" s="955"/>
      <c r="T201" s="956"/>
      <c r="U201" s="954"/>
      <c r="V201" s="1349" t="str">
        <f t="shared" si="116"/>
        <v>-</v>
      </c>
      <c r="W201" s="955">
        <v>13381</v>
      </c>
      <c r="X201" s="956">
        <v>11898</v>
      </c>
      <c r="Y201" s="954">
        <v>11898</v>
      </c>
      <c r="Z201" s="1349">
        <f t="shared" si="117"/>
        <v>1</v>
      </c>
      <c r="AA201" s="955"/>
      <c r="AB201" s="956"/>
      <c r="AC201" s="954"/>
      <c r="AD201" s="1349" t="str">
        <f t="shared" si="118"/>
        <v>-</v>
      </c>
      <c r="AE201" s="955"/>
      <c r="AF201" s="956"/>
      <c r="AG201" s="954"/>
      <c r="AH201" s="1349" t="str">
        <f t="shared" si="119"/>
        <v>-</v>
      </c>
      <c r="AI201" s="1277">
        <f t="shared" si="125"/>
        <v>0</v>
      </c>
      <c r="AJ201" s="1278">
        <f t="shared" si="125"/>
        <v>0</v>
      </c>
      <c r="AK201" s="1278">
        <f t="shared" si="125"/>
        <v>0</v>
      </c>
      <c r="AL201" s="1389" t="str">
        <f t="shared" si="120"/>
        <v>-</v>
      </c>
      <c r="AM201" s="955"/>
      <c r="AN201" s="956"/>
      <c r="AO201" s="954"/>
      <c r="AP201" s="1349" t="str">
        <f t="shared" si="121"/>
        <v>-</v>
      </c>
      <c r="AQ201" s="955"/>
      <c r="AR201" s="956"/>
      <c r="AS201" s="954"/>
      <c r="AT201" s="1349" t="str">
        <f t="shared" si="122"/>
        <v>-</v>
      </c>
      <c r="AU201" s="955"/>
      <c r="AV201" s="956"/>
      <c r="AW201" s="954"/>
      <c r="AX201" s="1349" t="str">
        <f t="shared" si="123"/>
        <v>-</v>
      </c>
      <c r="AY201" s="464"/>
    </row>
    <row r="202" spans="1:51" s="470" customFormat="1" ht="24" customHeight="1">
      <c r="A202" s="504">
        <f t="shared" si="126"/>
        <v>29</v>
      </c>
      <c r="B202" s="791">
        <v>8</v>
      </c>
      <c r="C202" s="935" t="s">
        <v>699</v>
      </c>
      <c r="D202" s="900" t="s">
        <v>645</v>
      </c>
      <c r="E202" s="937" t="s">
        <v>1218</v>
      </c>
      <c r="F202" s="901" t="s">
        <v>645</v>
      </c>
      <c r="G202" s="1277">
        <f t="shared" si="112"/>
        <v>92641</v>
      </c>
      <c r="H202" s="1278">
        <f t="shared" si="112"/>
        <v>93429</v>
      </c>
      <c r="I202" s="1278">
        <f t="shared" si="112"/>
        <v>56609</v>
      </c>
      <c r="J202" s="1389">
        <f t="shared" si="113"/>
        <v>0.60590394845283579</v>
      </c>
      <c r="K202" s="1277">
        <f t="shared" si="124"/>
        <v>19141</v>
      </c>
      <c r="L202" s="1278">
        <f t="shared" si="124"/>
        <v>35164</v>
      </c>
      <c r="M202" s="1278">
        <f t="shared" si="124"/>
        <v>35164</v>
      </c>
      <c r="N202" s="1389">
        <f t="shared" si="114"/>
        <v>1</v>
      </c>
      <c r="O202" s="953"/>
      <c r="P202" s="954">
        <v>165</v>
      </c>
      <c r="Q202" s="954">
        <v>165</v>
      </c>
      <c r="R202" s="1349">
        <f t="shared" si="115"/>
        <v>1</v>
      </c>
      <c r="S202" s="955"/>
      <c r="T202" s="956">
        <v>26</v>
      </c>
      <c r="U202" s="954">
        <v>26</v>
      </c>
      <c r="V202" s="1349">
        <f t="shared" si="116"/>
        <v>1</v>
      </c>
      <c r="W202" s="955">
        <v>19141</v>
      </c>
      <c r="X202" s="956">
        <f>34972+1</f>
        <v>34973</v>
      </c>
      <c r="Y202" s="954">
        <f>34972+1</f>
        <v>34973</v>
      </c>
      <c r="Z202" s="1349">
        <f t="shared" si="117"/>
        <v>1</v>
      </c>
      <c r="AA202" s="955"/>
      <c r="AB202" s="956"/>
      <c r="AC202" s="954"/>
      <c r="AD202" s="1349" t="str">
        <f t="shared" si="118"/>
        <v>-</v>
      </c>
      <c r="AE202" s="955"/>
      <c r="AF202" s="956"/>
      <c r="AG202" s="954"/>
      <c r="AH202" s="1349" t="str">
        <f t="shared" si="119"/>
        <v>-</v>
      </c>
      <c r="AI202" s="1277">
        <f t="shared" si="125"/>
        <v>73500</v>
      </c>
      <c r="AJ202" s="1278">
        <f t="shared" si="125"/>
        <v>58265</v>
      </c>
      <c r="AK202" s="1278">
        <f t="shared" si="125"/>
        <v>21445</v>
      </c>
      <c r="AL202" s="1389">
        <f t="shared" si="120"/>
        <v>0.368059727108899</v>
      </c>
      <c r="AM202" s="955">
        <v>73500</v>
      </c>
      <c r="AN202" s="956">
        <v>18866</v>
      </c>
      <c r="AO202" s="954">
        <v>18866</v>
      </c>
      <c r="AP202" s="1349">
        <f t="shared" si="121"/>
        <v>1</v>
      </c>
      <c r="AQ202" s="955"/>
      <c r="AR202" s="954">
        <f>834+1746+36819</f>
        <v>39399</v>
      </c>
      <c r="AS202" s="954">
        <f>834+1746-1</f>
        <v>2579</v>
      </c>
      <c r="AT202" s="1349">
        <f t="shared" si="122"/>
        <v>6.545851417548669E-2</v>
      </c>
      <c r="AU202" s="955"/>
      <c r="AV202" s="956"/>
      <c r="AW202" s="954"/>
      <c r="AX202" s="1349" t="str">
        <f t="shared" si="123"/>
        <v>-</v>
      </c>
      <c r="AY202" s="464"/>
    </row>
    <row r="203" spans="1:51" s="470" customFormat="1" ht="24">
      <c r="A203" s="504">
        <f t="shared" si="126"/>
        <v>30</v>
      </c>
      <c r="B203" s="790">
        <v>7</v>
      </c>
      <c r="C203" s="935" t="s">
        <v>696</v>
      </c>
      <c r="D203" s="900" t="s">
        <v>1251</v>
      </c>
      <c r="E203" s="937" t="s">
        <v>1240</v>
      </c>
      <c r="F203" s="901" t="s">
        <v>1242</v>
      </c>
      <c r="G203" s="1277">
        <f>+K203+AI203</f>
        <v>0</v>
      </c>
      <c r="H203" s="1278">
        <f>+L203+AJ203</f>
        <v>2235</v>
      </c>
      <c r="I203" s="1278">
        <f>+M203+AK203</f>
        <v>2235</v>
      </c>
      <c r="J203" s="1389">
        <f t="shared" si="113"/>
        <v>1</v>
      </c>
      <c r="K203" s="1277">
        <f>+O203+S203+W203+AA203+AE203</f>
        <v>0</v>
      </c>
      <c r="L203" s="1278">
        <f>+P203+T203+X203+AB203+AF203</f>
        <v>2235</v>
      </c>
      <c r="M203" s="1278">
        <f>+Q203+U203+Y203+AC203+AG203</f>
        <v>2235</v>
      </c>
      <c r="N203" s="1389">
        <f t="shared" si="114"/>
        <v>1</v>
      </c>
      <c r="O203" s="953"/>
      <c r="P203" s="954"/>
      <c r="Q203" s="954"/>
      <c r="R203" s="1349" t="str">
        <f t="shared" si="115"/>
        <v>-</v>
      </c>
      <c r="S203" s="955"/>
      <c r="T203" s="956"/>
      <c r="U203" s="954"/>
      <c r="V203" s="1349" t="str">
        <f t="shared" si="116"/>
        <v>-</v>
      </c>
      <c r="W203" s="955"/>
      <c r="X203" s="956">
        <v>2032</v>
      </c>
      <c r="Y203" s="954">
        <v>2032</v>
      </c>
      <c r="Z203" s="1349">
        <f t="shared" si="117"/>
        <v>1</v>
      </c>
      <c r="AA203" s="955"/>
      <c r="AB203" s="956"/>
      <c r="AC203" s="954"/>
      <c r="AD203" s="1349" t="str">
        <f t="shared" si="118"/>
        <v>-</v>
      </c>
      <c r="AE203" s="955"/>
      <c r="AF203" s="956">
        <v>203</v>
      </c>
      <c r="AG203" s="954">
        <v>203</v>
      </c>
      <c r="AH203" s="1349">
        <f t="shared" si="119"/>
        <v>1</v>
      </c>
      <c r="AI203" s="1277">
        <f>+AM203+AQ203+AU203</f>
        <v>0</v>
      </c>
      <c r="AJ203" s="1278">
        <f>+AN203+AR203+AV203</f>
        <v>0</v>
      </c>
      <c r="AK203" s="1278">
        <f>+AO203+AS203+AW203</f>
        <v>0</v>
      </c>
      <c r="AL203" s="1389" t="str">
        <f t="shared" si="120"/>
        <v>-</v>
      </c>
      <c r="AM203" s="955"/>
      <c r="AN203" s="956"/>
      <c r="AO203" s="954"/>
      <c r="AP203" s="1349" t="str">
        <f t="shared" si="121"/>
        <v>-</v>
      </c>
      <c r="AQ203" s="955"/>
      <c r="AR203" s="956"/>
      <c r="AS203" s="954"/>
      <c r="AT203" s="1349" t="str">
        <f t="shared" si="122"/>
        <v>-</v>
      </c>
      <c r="AU203" s="955"/>
      <c r="AV203" s="956"/>
      <c r="AW203" s="954"/>
      <c r="AX203" s="1349" t="str">
        <f t="shared" si="123"/>
        <v>-</v>
      </c>
      <c r="AY203" s="464"/>
    </row>
    <row r="204" spans="1:51" s="470" customFormat="1" ht="12" customHeight="1">
      <c r="A204" s="504">
        <f t="shared" si="126"/>
        <v>31</v>
      </c>
      <c r="B204" s="790">
        <v>7</v>
      </c>
      <c r="C204" s="935" t="s">
        <v>696</v>
      </c>
      <c r="D204" s="900" t="s">
        <v>1251</v>
      </c>
      <c r="E204" s="937" t="s">
        <v>1240</v>
      </c>
      <c r="F204" s="901" t="s">
        <v>1243</v>
      </c>
      <c r="G204" s="1277">
        <f t="shared" si="112"/>
        <v>0</v>
      </c>
      <c r="H204" s="1278">
        <f t="shared" si="112"/>
        <v>0</v>
      </c>
      <c r="I204" s="1278">
        <f t="shared" si="112"/>
        <v>0</v>
      </c>
      <c r="J204" s="1389" t="str">
        <f t="shared" si="113"/>
        <v>-</v>
      </c>
      <c r="K204" s="1277">
        <f t="shared" si="124"/>
        <v>0</v>
      </c>
      <c r="L204" s="1278">
        <f t="shared" si="124"/>
        <v>0</v>
      </c>
      <c r="M204" s="1278">
        <f t="shared" si="124"/>
        <v>0</v>
      </c>
      <c r="N204" s="1389" t="str">
        <f t="shared" si="114"/>
        <v>-</v>
      </c>
      <c r="O204" s="953"/>
      <c r="P204" s="954"/>
      <c r="Q204" s="954"/>
      <c r="R204" s="1349" t="str">
        <f t="shared" si="115"/>
        <v>-</v>
      </c>
      <c r="S204" s="955"/>
      <c r="T204" s="956"/>
      <c r="U204" s="954"/>
      <c r="V204" s="1349" t="str">
        <f t="shared" si="116"/>
        <v>-</v>
      </c>
      <c r="W204" s="955"/>
      <c r="X204" s="956"/>
      <c r="Y204" s="954"/>
      <c r="Z204" s="1349" t="str">
        <f t="shared" si="117"/>
        <v>-</v>
      </c>
      <c r="AA204" s="955"/>
      <c r="AB204" s="956"/>
      <c r="AC204" s="954"/>
      <c r="AD204" s="1349" t="str">
        <f t="shared" si="118"/>
        <v>-</v>
      </c>
      <c r="AE204" s="955"/>
      <c r="AF204" s="956"/>
      <c r="AG204" s="954"/>
      <c r="AH204" s="1349" t="str">
        <f t="shared" si="119"/>
        <v>-</v>
      </c>
      <c r="AI204" s="1277">
        <f t="shared" si="125"/>
        <v>0</v>
      </c>
      <c r="AJ204" s="1278">
        <f t="shared" si="125"/>
        <v>0</v>
      </c>
      <c r="AK204" s="1278">
        <f t="shared" si="125"/>
        <v>0</v>
      </c>
      <c r="AL204" s="1389" t="str">
        <f t="shared" si="120"/>
        <v>-</v>
      </c>
      <c r="AM204" s="955"/>
      <c r="AN204" s="956"/>
      <c r="AO204" s="954"/>
      <c r="AP204" s="1349" t="str">
        <f t="shared" si="121"/>
        <v>-</v>
      </c>
      <c r="AQ204" s="955"/>
      <c r="AR204" s="956"/>
      <c r="AS204" s="954"/>
      <c r="AT204" s="1349" t="str">
        <f t="shared" si="122"/>
        <v>-</v>
      </c>
      <c r="AU204" s="955"/>
      <c r="AV204" s="956"/>
      <c r="AW204" s="954"/>
      <c r="AX204" s="1349" t="str">
        <f t="shared" si="123"/>
        <v>-</v>
      </c>
      <c r="AY204" s="464"/>
    </row>
    <row r="205" spans="1:51" s="470" customFormat="1" ht="12" customHeight="1">
      <c r="A205" s="504">
        <f t="shared" si="126"/>
        <v>32</v>
      </c>
      <c r="B205" s="790">
        <v>7</v>
      </c>
      <c r="C205" s="935" t="s">
        <v>696</v>
      </c>
      <c r="D205" s="900" t="s">
        <v>1251</v>
      </c>
      <c r="E205" s="937" t="s">
        <v>1240</v>
      </c>
      <c r="F205" s="901" t="s">
        <v>1244</v>
      </c>
      <c r="G205" s="1277">
        <f t="shared" si="112"/>
        <v>0</v>
      </c>
      <c r="H205" s="1278">
        <f t="shared" si="112"/>
        <v>6146</v>
      </c>
      <c r="I205" s="1278">
        <f t="shared" si="112"/>
        <v>6146</v>
      </c>
      <c r="J205" s="1389">
        <f t="shared" si="113"/>
        <v>1</v>
      </c>
      <c r="K205" s="1277">
        <f t="shared" si="124"/>
        <v>0</v>
      </c>
      <c r="L205" s="1278">
        <f t="shared" si="124"/>
        <v>6146</v>
      </c>
      <c r="M205" s="1278">
        <f t="shared" si="124"/>
        <v>6146</v>
      </c>
      <c r="N205" s="1389">
        <f t="shared" si="114"/>
        <v>1</v>
      </c>
      <c r="O205" s="953"/>
      <c r="P205" s="954"/>
      <c r="Q205" s="954"/>
      <c r="R205" s="1349" t="str">
        <f t="shared" si="115"/>
        <v>-</v>
      </c>
      <c r="S205" s="955"/>
      <c r="T205" s="956"/>
      <c r="U205" s="954"/>
      <c r="V205" s="1349" t="str">
        <f t="shared" si="116"/>
        <v>-</v>
      </c>
      <c r="W205" s="955"/>
      <c r="X205" s="956">
        <v>6146</v>
      </c>
      <c r="Y205" s="954">
        <v>6146</v>
      </c>
      <c r="Z205" s="1349">
        <f t="shared" si="117"/>
        <v>1</v>
      </c>
      <c r="AA205" s="955"/>
      <c r="AB205" s="956"/>
      <c r="AC205" s="954"/>
      <c r="AD205" s="1349" t="str">
        <f t="shared" si="118"/>
        <v>-</v>
      </c>
      <c r="AE205" s="955"/>
      <c r="AF205" s="956"/>
      <c r="AG205" s="954"/>
      <c r="AH205" s="1349" t="str">
        <f t="shared" si="119"/>
        <v>-</v>
      </c>
      <c r="AI205" s="1277">
        <f t="shared" si="125"/>
        <v>0</v>
      </c>
      <c r="AJ205" s="1278">
        <f t="shared" si="125"/>
        <v>0</v>
      </c>
      <c r="AK205" s="1278">
        <f t="shared" si="125"/>
        <v>0</v>
      </c>
      <c r="AL205" s="1389" t="str">
        <f t="shared" si="120"/>
        <v>-</v>
      </c>
      <c r="AM205" s="955"/>
      <c r="AN205" s="956"/>
      <c r="AO205" s="954"/>
      <c r="AP205" s="1349" t="str">
        <f t="shared" si="121"/>
        <v>-</v>
      </c>
      <c r="AQ205" s="955"/>
      <c r="AR205" s="956"/>
      <c r="AS205" s="954"/>
      <c r="AT205" s="1349" t="str">
        <f t="shared" si="122"/>
        <v>-</v>
      </c>
      <c r="AU205" s="955"/>
      <c r="AV205" s="956"/>
      <c r="AW205" s="954"/>
      <c r="AX205" s="1349" t="str">
        <f t="shared" si="123"/>
        <v>-</v>
      </c>
      <c r="AY205" s="464"/>
    </row>
    <row r="206" spans="1:51" s="470" customFormat="1" ht="12" customHeight="1">
      <c r="A206" s="504">
        <f t="shared" si="126"/>
        <v>33</v>
      </c>
      <c r="B206" s="790">
        <v>7</v>
      </c>
      <c r="C206" s="935" t="s">
        <v>1247</v>
      </c>
      <c r="D206" s="900" t="s">
        <v>1245</v>
      </c>
      <c r="E206" s="937" t="s">
        <v>1218</v>
      </c>
      <c r="F206" s="901" t="s">
        <v>1246</v>
      </c>
      <c r="G206" s="1277">
        <f t="shared" si="112"/>
        <v>0</v>
      </c>
      <c r="H206" s="1278">
        <f t="shared" si="112"/>
        <v>157145</v>
      </c>
      <c r="I206" s="1278">
        <f t="shared" si="112"/>
        <v>157145</v>
      </c>
      <c r="J206" s="1389">
        <f t="shared" si="113"/>
        <v>1</v>
      </c>
      <c r="K206" s="1277">
        <f t="shared" si="124"/>
        <v>0</v>
      </c>
      <c r="L206" s="1278">
        <f t="shared" si="124"/>
        <v>23891</v>
      </c>
      <c r="M206" s="1278">
        <f t="shared" si="124"/>
        <v>23891</v>
      </c>
      <c r="N206" s="1389">
        <f t="shared" si="114"/>
        <v>1</v>
      </c>
      <c r="O206" s="953"/>
      <c r="P206" s="954"/>
      <c r="Q206" s="954"/>
      <c r="R206" s="1349" t="str">
        <f t="shared" si="115"/>
        <v>-</v>
      </c>
      <c r="S206" s="955"/>
      <c r="T206" s="956"/>
      <c r="U206" s="954"/>
      <c r="V206" s="1349" t="str">
        <f t="shared" si="116"/>
        <v>-</v>
      </c>
      <c r="W206" s="955"/>
      <c r="X206" s="956">
        <v>23891</v>
      </c>
      <c r="Y206" s="954">
        <v>23891</v>
      </c>
      <c r="Z206" s="1349">
        <f t="shared" si="117"/>
        <v>1</v>
      </c>
      <c r="AA206" s="955"/>
      <c r="AB206" s="956"/>
      <c r="AC206" s="954"/>
      <c r="AD206" s="1349" t="str">
        <f t="shared" si="118"/>
        <v>-</v>
      </c>
      <c r="AE206" s="955"/>
      <c r="AF206" s="956"/>
      <c r="AG206" s="954"/>
      <c r="AH206" s="1349" t="str">
        <f t="shared" si="119"/>
        <v>-</v>
      </c>
      <c r="AI206" s="1277">
        <f t="shared" si="125"/>
        <v>0</v>
      </c>
      <c r="AJ206" s="1278">
        <f t="shared" si="125"/>
        <v>133254</v>
      </c>
      <c r="AK206" s="1278">
        <f t="shared" si="125"/>
        <v>133254</v>
      </c>
      <c r="AL206" s="1389">
        <f t="shared" si="120"/>
        <v>1</v>
      </c>
      <c r="AM206" s="955"/>
      <c r="AN206" s="956"/>
      <c r="AO206" s="954"/>
      <c r="AP206" s="1349" t="str">
        <f t="shared" si="121"/>
        <v>-</v>
      </c>
      <c r="AQ206" s="955"/>
      <c r="AR206" s="956">
        <v>133254</v>
      </c>
      <c r="AS206" s="954">
        <v>133254</v>
      </c>
      <c r="AT206" s="1349">
        <f t="shared" si="122"/>
        <v>1</v>
      </c>
      <c r="AU206" s="955"/>
      <c r="AV206" s="956"/>
      <c r="AW206" s="954"/>
      <c r="AX206" s="1349" t="str">
        <f t="shared" si="123"/>
        <v>-</v>
      </c>
      <c r="AY206" s="464"/>
    </row>
    <row r="207" spans="1:51" s="470" customFormat="1" ht="12" customHeight="1">
      <c r="A207" s="504">
        <f t="shared" si="126"/>
        <v>34</v>
      </c>
      <c r="B207" s="790">
        <v>7</v>
      </c>
      <c r="C207" s="935" t="s">
        <v>1072</v>
      </c>
      <c r="D207" s="900" t="s">
        <v>1250</v>
      </c>
      <c r="E207" s="937" t="s">
        <v>1218</v>
      </c>
      <c r="F207" s="901" t="s">
        <v>1249</v>
      </c>
      <c r="G207" s="1277">
        <f>+K207+AI207</f>
        <v>0</v>
      </c>
      <c r="H207" s="1278">
        <f>+L207+AJ207</f>
        <v>0</v>
      </c>
      <c r="I207" s="1278">
        <f>+M207+AK207</f>
        <v>0</v>
      </c>
      <c r="J207" s="1389" t="str">
        <f t="shared" si="113"/>
        <v>-</v>
      </c>
      <c r="K207" s="1277">
        <f>+O207+S207+W207+AA207+AE207</f>
        <v>0</v>
      </c>
      <c r="L207" s="1278">
        <f>+P207+T207+X207+AB207+AF207</f>
        <v>0</v>
      </c>
      <c r="M207" s="1278">
        <f>+Q207+U207+Y207+AC207+AG207</f>
        <v>0</v>
      </c>
      <c r="N207" s="1389" t="str">
        <f t="shared" si="114"/>
        <v>-</v>
      </c>
      <c r="O207" s="953"/>
      <c r="P207" s="954"/>
      <c r="Q207" s="954"/>
      <c r="R207" s="1349" t="str">
        <f t="shared" si="115"/>
        <v>-</v>
      </c>
      <c r="S207" s="955"/>
      <c r="T207" s="956"/>
      <c r="U207" s="954"/>
      <c r="V207" s="1349" t="str">
        <f t="shared" si="116"/>
        <v>-</v>
      </c>
      <c r="W207" s="955"/>
      <c r="X207" s="956"/>
      <c r="Y207" s="954"/>
      <c r="Z207" s="1349" t="str">
        <f t="shared" si="117"/>
        <v>-</v>
      </c>
      <c r="AA207" s="955"/>
      <c r="AB207" s="956"/>
      <c r="AC207" s="954"/>
      <c r="AD207" s="1349" t="str">
        <f t="shared" si="118"/>
        <v>-</v>
      </c>
      <c r="AE207" s="955"/>
      <c r="AF207" s="956"/>
      <c r="AG207" s="954"/>
      <c r="AH207" s="1349" t="str">
        <f t="shared" si="119"/>
        <v>-</v>
      </c>
      <c r="AI207" s="1277">
        <f>+AM207+AQ207+AU207</f>
        <v>0</v>
      </c>
      <c r="AJ207" s="1278">
        <f>+AN207+AR207+AV207</f>
        <v>0</v>
      </c>
      <c r="AK207" s="1278">
        <f>+AO207+AS207+AW207</f>
        <v>0</v>
      </c>
      <c r="AL207" s="1389" t="str">
        <f t="shared" si="120"/>
        <v>-</v>
      </c>
      <c r="AM207" s="955"/>
      <c r="AN207" s="956"/>
      <c r="AO207" s="954"/>
      <c r="AP207" s="1349" t="str">
        <f t="shared" si="121"/>
        <v>-</v>
      </c>
      <c r="AQ207" s="955"/>
      <c r="AR207" s="956"/>
      <c r="AS207" s="954"/>
      <c r="AT207" s="1349" t="str">
        <f t="shared" si="122"/>
        <v>-</v>
      </c>
      <c r="AU207" s="955"/>
      <c r="AV207" s="956"/>
      <c r="AW207" s="954"/>
      <c r="AX207" s="1349" t="str">
        <f t="shared" si="123"/>
        <v>-</v>
      </c>
      <c r="AY207" s="464"/>
    </row>
    <row r="208" spans="1:51" s="470" customFormat="1" ht="12" customHeight="1">
      <c r="A208" s="504">
        <f t="shared" si="126"/>
        <v>35</v>
      </c>
      <c r="B208" s="790">
        <v>7</v>
      </c>
      <c r="C208" s="935" t="s">
        <v>1252</v>
      </c>
      <c r="D208" s="900" t="s">
        <v>1253</v>
      </c>
      <c r="E208" s="937" t="s">
        <v>1218</v>
      </c>
      <c r="F208" s="901" t="s">
        <v>1254</v>
      </c>
      <c r="G208" s="1277">
        <f t="shared" si="112"/>
        <v>0</v>
      </c>
      <c r="H208" s="1278">
        <f t="shared" si="112"/>
        <v>126901</v>
      </c>
      <c r="I208" s="1278">
        <f t="shared" si="112"/>
        <v>126901</v>
      </c>
      <c r="J208" s="1389">
        <f t="shared" si="113"/>
        <v>1</v>
      </c>
      <c r="K208" s="1277">
        <f t="shared" si="124"/>
        <v>0</v>
      </c>
      <c r="L208" s="1278">
        <f t="shared" si="124"/>
        <v>2350</v>
      </c>
      <c r="M208" s="1278">
        <f t="shared" si="124"/>
        <v>2350</v>
      </c>
      <c r="N208" s="1389">
        <f t="shared" si="114"/>
        <v>1</v>
      </c>
      <c r="O208" s="953"/>
      <c r="P208" s="954"/>
      <c r="Q208" s="954"/>
      <c r="R208" s="1349" t="str">
        <f t="shared" si="115"/>
        <v>-</v>
      </c>
      <c r="S208" s="955"/>
      <c r="T208" s="956"/>
      <c r="U208" s="954"/>
      <c r="V208" s="1349" t="str">
        <f t="shared" si="116"/>
        <v>-</v>
      </c>
      <c r="W208" s="955"/>
      <c r="X208" s="956">
        <v>2350</v>
      </c>
      <c r="Y208" s="954">
        <v>2350</v>
      </c>
      <c r="Z208" s="1349">
        <f t="shared" si="117"/>
        <v>1</v>
      </c>
      <c r="AA208" s="955"/>
      <c r="AB208" s="956"/>
      <c r="AC208" s="954"/>
      <c r="AD208" s="1349" t="str">
        <f t="shared" si="118"/>
        <v>-</v>
      </c>
      <c r="AE208" s="955"/>
      <c r="AF208" s="956"/>
      <c r="AG208" s="954"/>
      <c r="AH208" s="1349" t="str">
        <f t="shared" si="119"/>
        <v>-</v>
      </c>
      <c r="AI208" s="1277">
        <f t="shared" si="125"/>
        <v>0</v>
      </c>
      <c r="AJ208" s="1278">
        <f t="shared" si="125"/>
        <v>124551</v>
      </c>
      <c r="AK208" s="1278">
        <f t="shared" si="125"/>
        <v>124551</v>
      </c>
      <c r="AL208" s="1389">
        <f t="shared" si="120"/>
        <v>1</v>
      </c>
      <c r="AM208" s="955"/>
      <c r="AN208" s="956"/>
      <c r="AO208" s="954"/>
      <c r="AP208" s="1349" t="str">
        <f t="shared" si="121"/>
        <v>-</v>
      </c>
      <c r="AQ208" s="955"/>
      <c r="AR208" s="956">
        <v>124551</v>
      </c>
      <c r="AS208" s="954">
        <v>124551</v>
      </c>
      <c r="AT208" s="1349">
        <f t="shared" si="122"/>
        <v>1</v>
      </c>
      <c r="AU208" s="955"/>
      <c r="AV208" s="956"/>
      <c r="AW208" s="954"/>
      <c r="AX208" s="1349" t="str">
        <f t="shared" si="123"/>
        <v>-</v>
      </c>
      <c r="AY208" s="464"/>
    </row>
    <row r="209" spans="1:51" s="470" customFormat="1" ht="12" customHeight="1">
      <c r="A209" s="504">
        <f t="shared" si="126"/>
        <v>36</v>
      </c>
      <c r="B209" s="790">
        <v>7</v>
      </c>
      <c r="C209" s="935" t="s">
        <v>704</v>
      </c>
      <c r="D209" s="900" t="s">
        <v>1256</v>
      </c>
      <c r="E209" s="937" t="s">
        <v>1221</v>
      </c>
      <c r="F209" s="901" t="s">
        <v>1255</v>
      </c>
      <c r="G209" s="1277">
        <f>+K209+AI209</f>
        <v>0</v>
      </c>
      <c r="H209" s="1278">
        <f>+L209+AJ209</f>
        <v>0</v>
      </c>
      <c r="I209" s="1278">
        <f>+M209+AK209</f>
        <v>0</v>
      </c>
      <c r="J209" s="1389" t="str">
        <f t="shared" si="113"/>
        <v>-</v>
      </c>
      <c r="K209" s="1277">
        <f>+O209+S209+W209+AA209+AE209</f>
        <v>0</v>
      </c>
      <c r="L209" s="1278">
        <f>+P209+T209+X209+AB209+AF209</f>
        <v>0</v>
      </c>
      <c r="M209" s="1278">
        <f>+Q209+U209+Y209+AC209+AG209</f>
        <v>0</v>
      </c>
      <c r="N209" s="1389" t="str">
        <f t="shared" si="114"/>
        <v>-</v>
      </c>
      <c r="O209" s="953"/>
      <c r="P209" s="954"/>
      <c r="Q209" s="954"/>
      <c r="R209" s="1349" t="str">
        <f t="shared" si="115"/>
        <v>-</v>
      </c>
      <c r="S209" s="955"/>
      <c r="T209" s="956"/>
      <c r="U209" s="954"/>
      <c r="V209" s="1349" t="str">
        <f t="shared" si="116"/>
        <v>-</v>
      </c>
      <c r="W209" s="955"/>
      <c r="X209" s="956"/>
      <c r="Y209" s="954"/>
      <c r="Z209" s="1349" t="str">
        <f t="shared" si="117"/>
        <v>-</v>
      </c>
      <c r="AA209" s="955"/>
      <c r="AB209" s="956"/>
      <c r="AC209" s="954"/>
      <c r="AD209" s="1349" t="str">
        <f t="shared" si="118"/>
        <v>-</v>
      </c>
      <c r="AE209" s="955"/>
      <c r="AF209" s="956"/>
      <c r="AG209" s="954"/>
      <c r="AH209" s="1349" t="str">
        <f t="shared" si="119"/>
        <v>-</v>
      </c>
      <c r="AI209" s="1277">
        <f>+AM209+AQ209+AU209</f>
        <v>0</v>
      </c>
      <c r="AJ209" s="1278">
        <f>+AN209+AR209+AV209</f>
        <v>0</v>
      </c>
      <c r="AK209" s="1278">
        <f>+AO209+AS209+AW209</f>
        <v>0</v>
      </c>
      <c r="AL209" s="1389" t="str">
        <f t="shared" si="120"/>
        <v>-</v>
      </c>
      <c r="AM209" s="955"/>
      <c r="AN209" s="956"/>
      <c r="AO209" s="954"/>
      <c r="AP209" s="1349" t="str">
        <f t="shared" si="121"/>
        <v>-</v>
      </c>
      <c r="AQ209" s="955"/>
      <c r="AR209" s="956"/>
      <c r="AS209" s="954"/>
      <c r="AT209" s="1349" t="str">
        <f t="shared" si="122"/>
        <v>-</v>
      </c>
      <c r="AU209" s="955"/>
      <c r="AV209" s="956"/>
      <c r="AW209" s="954"/>
      <c r="AX209" s="1349" t="str">
        <f t="shared" si="123"/>
        <v>-</v>
      </c>
      <c r="AY209" s="464"/>
    </row>
    <row r="210" spans="1:51" s="470" customFormat="1">
      <c r="A210" s="504">
        <f t="shared" si="126"/>
        <v>37</v>
      </c>
      <c r="B210" s="790">
        <v>7</v>
      </c>
      <c r="C210" s="938" t="s">
        <v>1257</v>
      </c>
      <c r="D210" s="896" t="s">
        <v>1259</v>
      </c>
      <c r="E210" s="937" t="s">
        <v>1218</v>
      </c>
      <c r="F210" s="899" t="s">
        <v>1258</v>
      </c>
      <c r="G210" s="1277">
        <f t="shared" si="112"/>
        <v>0</v>
      </c>
      <c r="H210" s="1278">
        <f t="shared" si="112"/>
        <v>1042</v>
      </c>
      <c r="I210" s="1278">
        <f t="shared" si="112"/>
        <v>1042</v>
      </c>
      <c r="J210" s="1389">
        <f t="shared" si="113"/>
        <v>1</v>
      </c>
      <c r="K210" s="1277">
        <f t="shared" si="124"/>
        <v>0</v>
      </c>
      <c r="L210" s="1278">
        <f t="shared" si="124"/>
        <v>1042</v>
      </c>
      <c r="M210" s="1278">
        <f t="shared" si="124"/>
        <v>1042</v>
      </c>
      <c r="N210" s="1389">
        <f t="shared" si="114"/>
        <v>1</v>
      </c>
      <c r="O210" s="953"/>
      <c r="P210" s="954">
        <v>900</v>
      </c>
      <c r="Q210" s="954">
        <v>900</v>
      </c>
      <c r="R210" s="1349">
        <f t="shared" si="115"/>
        <v>1</v>
      </c>
      <c r="S210" s="955"/>
      <c r="T210" s="956">
        <v>142</v>
      </c>
      <c r="U210" s="954">
        <v>142</v>
      </c>
      <c r="V210" s="1349">
        <f t="shared" si="116"/>
        <v>1</v>
      </c>
      <c r="W210" s="955"/>
      <c r="X210" s="956"/>
      <c r="Y210" s="954"/>
      <c r="Z210" s="1349" t="str">
        <f t="shared" si="117"/>
        <v>-</v>
      </c>
      <c r="AA210" s="955"/>
      <c r="AB210" s="956"/>
      <c r="AC210" s="954"/>
      <c r="AD210" s="1349" t="str">
        <f t="shared" si="118"/>
        <v>-</v>
      </c>
      <c r="AE210" s="955"/>
      <c r="AF210" s="956"/>
      <c r="AG210" s="954"/>
      <c r="AH210" s="1349" t="str">
        <f t="shared" si="119"/>
        <v>-</v>
      </c>
      <c r="AI210" s="1277">
        <f t="shared" si="125"/>
        <v>0</v>
      </c>
      <c r="AJ210" s="1278">
        <f t="shared" si="125"/>
        <v>0</v>
      </c>
      <c r="AK210" s="1278">
        <f t="shared" si="125"/>
        <v>0</v>
      </c>
      <c r="AL210" s="1389" t="str">
        <f t="shared" si="120"/>
        <v>-</v>
      </c>
      <c r="AM210" s="955"/>
      <c r="AN210" s="956"/>
      <c r="AO210" s="954"/>
      <c r="AP210" s="1349" t="str">
        <f t="shared" si="121"/>
        <v>-</v>
      </c>
      <c r="AQ210" s="955"/>
      <c r="AR210" s="956"/>
      <c r="AS210" s="954"/>
      <c r="AT210" s="1349" t="str">
        <f t="shared" si="122"/>
        <v>-</v>
      </c>
      <c r="AU210" s="955"/>
      <c r="AV210" s="956"/>
      <c r="AW210" s="954"/>
      <c r="AX210" s="1349" t="str">
        <f t="shared" si="123"/>
        <v>-</v>
      </c>
      <c r="AY210" s="464"/>
    </row>
    <row r="211" spans="1:51" s="470" customFormat="1">
      <c r="A211" s="504">
        <f t="shared" si="126"/>
        <v>38</v>
      </c>
      <c r="B211" s="790">
        <v>7</v>
      </c>
      <c r="C211" s="938" t="s">
        <v>1257</v>
      </c>
      <c r="D211" s="896" t="s">
        <v>1259</v>
      </c>
      <c r="E211" s="937" t="s">
        <v>1218</v>
      </c>
      <c r="F211" s="899" t="s">
        <v>2788</v>
      </c>
      <c r="G211" s="1277">
        <f t="shared" ref="G211:I212" si="127">+K211+AI211</f>
        <v>0</v>
      </c>
      <c r="H211" s="1278">
        <f t="shared" si="127"/>
        <v>3352</v>
      </c>
      <c r="I211" s="1278">
        <f t="shared" si="127"/>
        <v>3352</v>
      </c>
      <c r="J211" s="1389">
        <f>IF(ISERROR(I211/H211),"-",I211/H211)</f>
        <v>1</v>
      </c>
      <c r="K211" s="1277">
        <f t="shared" ref="K211:M212" si="128">+O211+S211+W211+AA211+AE211</f>
        <v>0</v>
      </c>
      <c r="L211" s="1278">
        <f t="shared" si="128"/>
        <v>3352</v>
      </c>
      <c r="M211" s="1278">
        <f t="shared" si="128"/>
        <v>3352</v>
      </c>
      <c r="N211" s="1389">
        <f>IF(ISERROR(M211/L211),"-",M211/L211)</f>
        <v>1</v>
      </c>
      <c r="O211" s="953"/>
      <c r="P211" s="954">
        <v>2880</v>
      </c>
      <c r="Q211" s="954">
        <v>2880</v>
      </c>
      <c r="R211" s="1349">
        <f>IF(ISERROR(Q211/P211),"-",Q211/P211)</f>
        <v>1</v>
      </c>
      <c r="S211" s="955"/>
      <c r="T211" s="956">
        <v>472</v>
      </c>
      <c r="U211" s="954">
        <v>472</v>
      </c>
      <c r="V211" s="1349">
        <f>IF(ISERROR(U211/T211),"-",U211/T211)</f>
        <v>1</v>
      </c>
      <c r="W211" s="955"/>
      <c r="X211" s="956"/>
      <c r="Y211" s="954"/>
      <c r="Z211" s="1349" t="str">
        <f>IF(ISERROR(Y211/X211),"-",Y211/X211)</f>
        <v>-</v>
      </c>
      <c r="AA211" s="955"/>
      <c r="AB211" s="956"/>
      <c r="AC211" s="954"/>
      <c r="AD211" s="1349" t="str">
        <f>IF(ISERROR(AC211/AB211),"-",AC211/AB211)</f>
        <v>-</v>
      </c>
      <c r="AE211" s="955"/>
      <c r="AF211" s="956"/>
      <c r="AG211" s="954"/>
      <c r="AH211" s="1349" t="str">
        <f>IF(ISERROR(AG211/AF211),"-",AG211/AF211)</f>
        <v>-</v>
      </c>
      <c r="AI211" s="1277">
        <f t="shared" ref="AI211:AK212" si="129">+AM211+AQ211+AU211</f>
        <v>0</v>
      </c>
      <c r="AJ211" s="1278">
        <f t="shared" si="129"/>
        <v>0</v>
      </c>
      <c r="AK211" s="1278">
        <f t="shared" si="129"/>
        <v>0</v>
      </c>
      <c r="AL211" s="1389" t="str">
        <f>IF(ISERROR(AK211/AJ211),"-",AK211/AJ211)</f>
        <v>-</v>
      </c>
      <c r="AM211" s="955"/>
      <c r="AN211" s="956"/>
      <c r="AO211" s="954"/>
      <c r="AP211" s="1349" t="str">
        <f>IF(ISERROR(AO211/AN211),"-",AO211/AN211)</f>
        <v>-</v>
      </c>
      <c r="AQ211" s="955"/>
      <c r="AR211" s="956"/>
      <c r="AS211" s="954"/>
      <c r="AT211" s="1349" t="str">
        <f>IF(ISERROR(AS211/AR211),"-",AS211/AR211)</f>
        <v>-</v>
      </c>
      <c r="AU211" s="955"/>
      <c r="AV211" s="956"/>
      <c r="AW211" s="954"/>
      <c r="AX211" s="1349" t="str">
        <f>IF(ISERROR(AW211/AV211),"-",AW211/AV211)</f>
        <v>-</v>
      </c>
      <c r="AY211" s="464"/>
    </row>
    <row r="212" spans="1:51" s="470" customFormat="1">
      <c r="A212" s="504">
        <f t="shared" si="126"/>
        <v>39</v>
      </c>
      <c r="B212" s="790">
        <v>7</v>
      </c>
      <c r="C212" s="938" t="s">
        <v>704</v>
      </c>
      <c r="D212" s="896" t="s">
        <v>1261</v>
      </c>
      <c r="E212" s="937" t="s">
        <v>1221</v>
      </c>
      <c r="F212" s="899" t="s">
        <v>1260</v>
      </c>
      <c r="G212" s="1277">
        <f t="shared" si="127"/>
        <v>0</v>
      </c>
      <c r="H212" s="1278">
        <f t="shared" si="127"/>
        <v>24156</v>
      </c>
      <c r="I212" s="1278">
        <f t="shared" si="127"/>
        <v>24156</v>
      </c>
      <c r="J212" s="1389">
        <f t="shared" si="113"/>
        <v>1</v>
      </c>
      <c r="K212" s="1277">
        <f t="shared" si="128"/>
        <v>0</v>
      </c>
      <c r="L212" s="1278">
        <f t="shared" si="128"/>
        <v>24156</v>
      </c>
      <c r="M212" s="1278">
        <f t="shared" si="128"/>
        <v>24156</v>
      </c>
      <c r="N212" s="1389">
        <f t="shared" si="114"/>
        <v>1</v>
      </c>
      <c r="O212" s="953"/>
      <c r="P212" s="954">
        <v>1681</v>
      </c>
      <c r="Q212" s="954">
        <v>1681</v>
      </c>
      <c r="R212" s="1349">
        <f t="shared" si="115"/>
        <v>1</v>
      </c>
      <c r="S212" s="955"/>
      <c r="T212" s="956">
        <v>315</v>
      </c>
      <c r="U212" s="954">
        <v>315</v>
      </c>
      <c r="V212" s="1349">
        <f t="shared" si="116"/>
        <v>1</v>
      </c>
      <c r="W212" s="955"/>
      <c r="X212" s="956">
        <v>22160</v>
      </c>
      <c r="Y212" s="954">
        <v>22160</v>
      </c>
      <c r="Z212" s="1349">
        <f t="shared" si="117"/>
        <v>1</v>
      </c>
      <c r="AA212" s="955"/>
      <c r="AB212" s="956"/>
      <c r="AC212" s="954"/>
      <c r="AD212" s="1349" t="str">
        <f t="shared" si="118"/>
        <v>-</v>
      </c>
      <c r="AE212" s="955"/>
      <c r="AF212" s="956"/>
      <c r="AG212" s="954"/>
      <c r="AH212" s="1349" t="str">
        <f t="shared" si="119"/>
        <v>-</v>
      </c>
      <c r="AI212" s="1277">
        <f t="shared" si="129"/>
        <v>0</v>
      </c>
      <c r="AJ212" s="1278">
        <f t="shared" si="129"/>
        <v>0</v>
      </c>
      <c r="AK212" s="1278">
        <f t="shared" si="129"/>
        <v>0</v>
      </c>
      <c r="AL212" s="1389" t="str">
        <f t="shared" si="120"/>
        <v>-</v>
      </c>
      <c r="AM212" s="955"/>
      <c r="AN212" s="956"/>
      <c r="AO212" s="954"/>
      <c r="AP212" s="1349" t="str">
        <f t="shared" si="121"/>
        <v>-</v>
      </c>
      <c r="AQ212" s="955"/>
      <c r="AR212" s="956"/>
      <c r="AS212" s="954"/>
      <c r="AT212" s="1349" t="str">
        <f t="shared" si="122"/>
        <v>-</v>
      </c>
      <c r="AU212" s="955"/>
      <c r="AV212" s="956"/>
      <c r="AW212" s="954"/>
      <c r="AX212" s="1349" t="str">
        <f t="shared" si="123"/>
        <v>-</v>
      </c>
      <c r="AY212" s="464"/>
    </row>
    <row r="213" spans="1:51" s="470" customFormat="1">
      <c r="A213" s="504">
        <f t="shared" si="126"/>
        <v>40</v>
      </c>
      <c r="B213" s="790">
        <v>7</v>
      </c>
      <c r="C213" s="938" t="s">
        <v>1019</v>
      </c>
      <c r="D213" s="896" t="s">
        <v>1262</v>
      </c>
      <c r="E213" s="937" t="s">
        <v>1238</v>
      </c>
      <c r="F213" s="899" t="s">
        <v>1263</v>
      </c>
      <c r="G213" s="1277">
        <f t="shared" si="112"/>
        <v>0</v>
      </c>
      <c r="H213" s="1278">
        <f t="shared" si="112"/>
        <v>34980</v>
      </c>
      <c r="I213" s="1278">
        <f t="shared" si="112"/>
        <v>34980</v>
      </c>
      <c r="J213" s="1389">
        <f t="shared" si="113"/>
        <v>1</v>
      </c>
      <c r="K213" s="1277">
        <f t="shared" si="124"/>
        <v>0</v>
      </c>
      <c r="L213" s="1278">
        <f t="shared" si="124"/>
        <v>0</v>
      </c>
      <c r="M213" s="1278">
        <f t="shared" si="124"/>
        <v>0</v>
      </c>
      <c r="N213" s="1389" t="str">
        <f t="shared" si="114"/>
        <v>-</v>
      </c>
      <c r="O213" s="953"/>
      <c r="P213" s="954"/>
      <c r="Q213" s="954"/>
      <c r="R213" s="1349" t="str">
        <f t="shared" si="115"/>
        <v>-</v>
      </c>
      <c r="S213" s="955"/>
      <c r="T213" s="956"/>
      <c r="U213" s="954"/>
      <c r="V213" s="1349" t="str">
        <f t="shared" si="116"/>
        <v>-</v>
      </c>
      <c r="W213" s="955"/>
      <c r="X213" s="956"/>
      <c r="Y213" s="954"/>
      <c r="Z213" s="1349" t="str">
        <f t="shared" si="117"/>
        <v>-</v>
      </c>
      <c r="AA213" s="955"/>
      <c r="AB213" s="956"/>
      <c r="AC213" s="954"/>
      <c r="AD213" s="1349" t="str">
        <f t="shared" si="118"/>
        <v>-</v>
      </c>
      <c r="AE213" s="955"/>
      <c r="AF213" s="956"/>
      <c r="AG213" s="954"/>
      <c r="AH213" s="1349" t="str">
        <f t="shared" si="119"/>
        <v>-</v>
      </c>
      <c r="AI213" s="1277">
        <f t="shared" si="125"/>
        <v>0</v>
      </c>
      <c r="AJ213" s="1278">
        <f t="shared" si="125"/>
        <v>34980</v>
      </c>
      <c r="AK213" s="1278">
        <f t="shared" si="125"/>
        <v>34980</v>
      </c>
      <c r="AL213" s="1389">
        <f t="shared" si="120"/>
        <v>1</v>
      </c>
      <c r="AM213" s="955"/>
      <c r="AN213" s="956"/>
      <c r="AO213" s="954"/>
      <c r="AP213" s="1349" t="str">
        <f t="shared" si="121"/>
        <v>-</v>
      </c>
      <c r="AQ213" s="955"/>
      <c r="AR213" s="956">
        <f>27875+7105</f>
        <v>34980</v>
      </c>
      <c r="AS213" s="954">
        <f>27875+7105</f>
        <v>34980</v>
      </c>
      <c r="AT213" s="1349">
        <f t="shared" si="122"/>
        <v>1</v>
      </c>
      <c r="AU213" s="955"/>
      <c r="AV213" s="956"/>
      <c r="AW213" s="954"/>
      <c r="AX213" s="1349" t="str">
        <f t="shared" si="123"/>
        <v>-</v>
      </c>
      <c r="AY213" s="464"/>
    </row>
    <row r="214" spans="1:51" s="470" customFormat="1">
      <c r="A214" s="504">
        <f t="shared" si="126"/>
        <v>41</v>
      </c>
      <c r="B214" s="790">
        <v>7</v>
      </c>
      <c r="C214" s="938" t="s">
        <v>699</v>
      </c>
      <c r="D214" s="896" t="s">
        <v>1168</v>
      </c>
      <c r="E214" s="941" t="s">
        <v>1218</v>
      </c>
      <c r="F214" s="899" t="s">
        <v>1169</v>
      </c>
      <c r="G214" s="1277">
        <f>+K214+AI214</f>
        <v>0</v>
      </c>
      <c r="H214" s="1278">
        <f>+L214+AJ214</f>
        <v>437844</v>
      </c>
      <c r="I214" s="1278">
        <f>+M214+AK214</f>
        <v>437844</v>
      </c>
      <c r="J214" s="1389">
        <f t="shared" si="113"/>
        <v>1</v>
      </c>
      <c r="K214" s="1277">
        <f>+O214+S214+W214+AA214+AE214</f>
        <v>0</v>
      </c>
      <c r="L214" s="1278">
        <f>+P214+T214+X214+AB214+AF214</f>
        <v>0</v>
      </c>
      <c r="M214" s="1278">
        <f>+Q214+U214+Y214+AC214+AG214</f>
        <v>0</v>
      </c>
      <c r="N214" s="1389" t="str">
        <f t="shared" si="114"/>
        <v>-</v>
      </c>
      <c r="O214" s="953"/>
      <c r="P214" s="954"/>
      <c r="Q214" s="954"/>
      <c r="R214" s="1349" t="str">
        <f t="shared" si="115"/>
        <v>-</v>
      </c>
      <c r="S214" s="955"/>
      <c r="T214" s="956"/>
      <c r="U214" s="954"/>
      <c r="V214" s="1349" t="str">
        <f t="shared" si="116"/>
        <v>-</v>
      </c>
      <c r="W214" s="955"/>
      <c r="X214" s="956"/>
      <c r="Y214" s="954"/>
      <c r="Z214" s="1349" t="str">
        <f t="shared" si="117"/>
        <v>-</v>
      </c>
      <c r="AA214" s="955"/>
      <c r="AB214" s="956"/>
      <c r="AC214" s="954"/>
      <c r="AD214" s="1349" t="str">
        <f t="shared" si="118"/>
        <v>-</v>
      </c>
      <c r="AE214" s="955"/>
      <c r="AF214" s="956"/>
      <c r="AG214" s="954"/>
      <c r="AH214" s="1349" t="str">
        <f t="shared" si="119"/>
        <v>-</v>
      </c>
      <c r="AI214" s="1277">
        <f>+AM214+AQ214+AU214</f>
        <v>0</v>
      </c>
      <c r="AJ214" s="1278">
        <f>+AN214+AR214+AV214</f>
        <v>437844</v>
      </c>
      <c r="AK214" s="1278">
        <f>+AO214+AS214+AW214</f>
        <v>437844</v>
      </c>
      <c r="AL214" s="1389">
        <f t="shared" si="120"/>
        <v>1</v>
      </c>
      <c r="AM214" s="955"/>
      <c r="AN214" s="956">
        <v>437844</v>
      </c>
      <c r="AO214" s="954">
        <v>437844</v>
      </c>
      <c r="AP214" s="1349">
        <f t="shared" si="121"/>
        <v>1</v>
      </c>
      <c r="AQ214" s="955"/>
      <c r="AR214" s="956"/>
      <c r="AS214" s="954"/>
      <c r="AT214" s="1349" t="str">
        <f t="shared" si="122"/>
        <v>-</v>
      </c>
      <c r="AU214" s="955"/>
      <c r="AV214" s="956"/>
      <c r="AW214" s="954"/>
      <c r="AX214" s="1349" t="str">
        <f t="shared" si="123"/>
        <v>-</v>
      </c>
      <c r="AY214" s="464"/>
    </row>
    <row r="215" spans="1:51" s="470" customFormat="1">
      <c r="A215" s="504">
        <f t="shared" si="126"/>
        <v>42</v>
      </c>
      <c r="B215" s="790">
        <v>8</v>
      </c>
      <c r="C215" s="938" t="s">
        <v>1004</v>
      </c>
      <c r="D215" s="896" t="s">
        <v>1005</v>
      </c>
      <c r="E215" s="937" t="s">
        <v>1218</v>
      </c>
      <c r="F215" s="899" t="s">
        <v>1006</v>
      </c>
      <c r="G215" s="1277">
        <f t="shared" si="112"/>
        <v>10000</v>
      </c>
      <c r="H215" s="1278">
        <f t="shared" si="112"/>
        <v>4216</v>
      </c>
      <c r="I215" s="1278">
        <f t="shared" si="112"/>
        <v>4216</v>
      </c>
      <c r="J215" s="1389">
        <f t="shared" si="113"/>
        <v>1</v>
      </c>
      <c r="K215" s="1277">
        <f t="shared" si="124"/>
        <v>10000</v>
      </c>
      <c r="L215" s="1278">
        <f t="shared" si="124"/>
        <v>0</v>
      </c>
      <c r="M215" s="1278">
        <f t="shared" si="124"/>
        <v>0</v>
      </c>
      <c r="N215" s="1389" t="str">
        <f t="shared" si="114"/>
        <v>-</v>
      </c>
      <c r="O215" s="953"/>
      <c r="P215" s="954"/>
      <c r="Q215" s="954"/>
      <c r="R215" s="1349" t="str">
        <f t="shared" si="115"/>
        <v>-</v>
      </c>
      <c r="S215" s="955"/>
      <c r="T215" s="956"/>
      <c r="U215" s="954"/>
      <c r="V215" s="1349" t="str">
        <f t="shared" si="116"/>
        <v>-</v>
      </c>
      <c r="W215" s="955"/>
      <c r="X215" s="956"/>
      <c r="Y215" s="954"/>
      <c r="Z215" s="1349" t="str">
        <f t="shared" si="117"/>
        <v>-</v>
      </c>
      <c r="AA215" s="955"/>
      <c r="AB215" s="956"/>
      <c r="AC215" s="954"/>
      <c r="AD215" s="1349" t="str">
        <f t="shared" si="118"/>
        <v>-</v>
      </c>
      <c r="AE215" s="955">
        <v>10000</v>
      </c>
      <c r="AF215" s="956">
        <v>0</v>
      </c>
      <c r="AG215" s="954"/>
      <c r="AH215" s="1349" t="str">
        <f t="shared" si="119"/>
        <v>-</v>
      </c>
      <c r="AI215" s="1277">
        <f t="shared" si="125"/>
        <v>0</v>
      </c>
      <c r="AJ215" s="1278">
        <f t="shared" si="125"/>
        <v>4216</v>
      </c>
      <c r="AK215" s="1278">
        <f t="shared" si="125"/>
        <v>4216</v>
      </c>
      <c r="AL215" s="1389">
        <f t="shared" si="120"/>
        <v>1</v>
      </c>
      <c r="AM215" s="955"/>
      <c r="AN215" s="956"/>
      <c r="AO215" s="954"/>
      <c r="AP215" s="1349" t="str">
        <f t="shared" si="121"/>
        <v>-</v>
      </c>
      <c r="AQ215" s="955"/>
      <c r="AR215" s="956">
        <v>4216</v>
      </c>
      <c r="AS215" s="954">
        <v>4216</v>
      </c>
      <c r="AT215" s="1349">
        <f t="shared" si="122"/>
        <v>1</v>
      </c>
      <c r="AU215" s="955"/>
      <c r="AV215" s="956"/>
      <c r="AW215" s="954"/>
      <c r="AX215" s="1349" t="str">
        <f t="shared" si="123"/>
        <v>-</v>
      </c>
      <c r="AY215" s="464"/>
    </row>
    <row r="216" spans="1:51" s="470" customFormat="1">
      <c r="A216" s="504">
        <f t="shared" si="126"/>
        <v>43</v>
      </c>
      <c r="B216" s="790">
        <v>8</v>
      </c>
      <c r="C216" s="938" t="s">
        <v>1007</v>
      </c>
      <c r="D216" s="896" t="s">
        <v>1008</v>
      </c>
      <c r="E216" s="937" t="s">
        <v>1218</v>
      </c>
      <c r="F216" s="899" t="s">
        <v>1008</v>
      </c>
      <c r="G216" s="1277">
        <f>+K216+AI216</f>
        <v>8832</v>
      </c>
      <c r="H216" s="1278">
        <f>+L216+AJ216</f>
        <v>0</v>
      </c>
      <c r="I216" s="1278">
        <f>+M216+AK216</f>
        <v>0</v>
      </c>
      <c r="J216" s="1389" t="str">
        <f t="shared" si="113"/>
        <v>-</v>
      </c>
      <c r="K216" s="1277">
        <f>+O216+S216+W216+AA216+AE216</f>
        <v>8832</v>
      </c>
      <c r="L216" s="1278">
        <f>+P216+T216+X216+AB216+AF216</f>
        <v>0</v>
      </c>
      <c r="M216" s="1278">
        <f>+Q216+U216+Y216+AC216+AG216</f>
        <v>0</v>
      </c>
      <c r="N216" s="1389" t="str">
        <f t="shared" si="114"/>
        <v>-</v>
      </c>
      <c r="O216" s="953"/>
      <c r="P216" s="954"/>
      <c r="Q216" s="954"/>
      <c r="R216" s="1349" t="str">
        <f t="shared" si="115"/>
        <v>-</v>
      </c>
      <c r="S216" s="955"/>
      <c r="T216" s="956"/>
      <c r="U216" s="954"/>
      <c r="V216" s="1349" t="str">
        <f t="shared" si="116"/>
        <v>-</v>
      </c>
      <c r="W216" s="955"/>
      <c r="X216" s="956"/>
      <c r="Y216" s="954"/>
      <c r="Z216" s="1349" t="str">
        <f t="shared" si="117"/>
        <v>-</v>
      </c>
      <c r="AA216" s="955"/>
      <c r="AB216" s="956"/>
      <c r="AC216" s="954"/>
      <c r="AD216" s="1349" t="str">
        <f t="shared" si="118"/>
        <v>-</v>
      </c>
      <c r="AE216" s="955">
        <v>8832</v>
      </c>
      <c r="AF216" s="956">
        <v>0</v>
      </c>
      <c r="AG216" s="954"/>
      <c r="AH216" s="1349" t="str">
        <f t="shared" si="119"/>
        <v>-</v>
      </c>
      <c r="AI216" s="1277">
        <f>+AM216+AQ216+AU216</f>
        <v>0</v>
      </c>
      <c r="AJ216" s="1278">
        <f>+AN216+AR216+AV216</f>
        <v>0</v>
      </c>
      <c r="AK216" s="1278">
        <f>+AO216+AS216+AW216</f>
        <v>0</v>
      </c>
      <c r="AL216" s="1389" t="str">
        <f t="shared" si="120"/>
        <v>-</v>
      </c>
      <c r="AM216" s="955"/>
      <c r="AN216" s="956"/>
      <c r="AO216" s="954"/>
      <c r="AP216" s="1349" t="str">
        <f t="shared" si="121"/>
        <v>-</v>
      </c>
      <c r="AQ216" s="955"/>
      <c r="AR216" s="956"/>
      <c r="AS216" s="954"/>
      <c r="AT216" s="1349" t="str">
        <f t="shared" si="122"/>
        <v>-</v>
      </c>
      <c r="AU216" s="955"/>
      <c r="AV216" s="956"/>
      <c r="AW216" s="954"/>
      <c r="AX216" s="1349" t="str">
        <f t="shared" si="123"/>
        <v>-</v>
      </c>
      <c r="AY216" s="464"/>
    </row>
    <row r="217" spans="1:51" s="470" customFormat="1">
      <c r="A217" s="504">
        <f t="shared" si="126"/>
        <v>44</v>
      </c>
      <c r="B217" s="790">
        <v>8</v>
      </c>
      <c r="C217" s="938" t="s">
        <v>702</v>
      </c>
      <c r="D217" s="896" t="s">
        <v>703</v>
      </c>
      <c r="E217" s="937" t="s">
        <v>1224</v>
      </c>
      <c r="F217" s="899" t="s">
        <v>703</v>
      </c>
      <c r="G217" s="1277">
        <f t="shared" ref="G217:I225" si="130">+K217+AI217</f>
        <v>0</v>
      </c>
      <c r="H217" s="1278">
        <f t="shared" si="130"/>
        <v>0</v>
      </c>
      <c r="I217" s="1278">
        <f t="shared" si="130"/>
        <v>0</v>
      </c>
      <c r="J217" s="1389" t="str">
        <f t="shared" si="113"/>
        <v>-</v>
      </c>
      <c r="K217" s="1277">
        <f t="shared" ref="K217:M225" si="131">+O217+S217+W217+AA217+AE217</f>
        <v>0</v>
      </c>
      <c r="L217" s="1278">
        <f t="shared" si="131"/>
        <v>0</v>
      </c>
      <c r="M217" s="1278">
        <f t="shared" si="131"/>
        <v>0</v>
      </c>
      <c r="N217" s="1389" t="str">
        <f t="shared" si="114"/>
        <v>-</v>
      </c>
      <c r="O217" s="953"/>
      <c r="P217" s="954"/>
      <c r="Q217" s="954"/>
      <c r="R217" s="1349" t="str">
        <f t="shared" si="115"/>
        <v>-</v>
      </c>
      <c r="S217" s="955"/>
      <c r="T217" s="956"/>
      <c r="U217" s="954"/>
      <c r="V217" s="1349" t="str">
        <f t="shared" si="116"/>
        <v>-</v>
      </c>
      <c r="W217" s="955"/>
      <c r="X217" s="956"/>
      <c r="Y217" s="954"/>
      <c r="Z217" s="1349" t="str">
        <f t="shared" si="117"/>
        <v>-</v>
      </c>
      <c r="AA217" s="955"/>
      <c r="AB217" s="956"/>
      <c r="AC217" s="954"/>
      <c r="AD217" s="1349" t="str">
        <f t="shared" si="118"/>
        <v>-</v>
      </c>
      <c r="AE217" s="955"/>
      <c r="AF217" s="956"/>
      <c r="AG217" s="954"/>
      <c r="AH217" s="1349" t="str">
        <f t="shared" si="119"/>
        <v>-</v>
      </c>
      <c r="AI217" s="1277">
        <f t="shared" ref="AI217:AK225" si="132">+AM217+AQ217+AU217</f>
        <v>0</v>
      </c>
      <c r="AJ217" s="1278">
        <f t="shared" si="132"/>
        <v>0</v>
      </c>
      <c r="AK217" s="1278">
        <f t="shared" si="132"/>
        <v>0</v>
      </c>
      <c r="AL217" s="1389" t="str">
        <f t="shared" si="120"/>
        <v>-</v>
      </c>
      <c r="AM217" s="955"/>
      <c r="AN217" s="956"/>
      <c r="AO217" s="954"/>
      <c r="AP217" s="1349" t="str">
        <f t="shared" si="121"/>
        <v>-</v>
      </c>
      <c r="AQ217" s="955"/>
      <c r="AR217" s="956"/>
      <c r="AS217" s="954"/>
      <c r="AT217" s="1349" t="str">
        <f t="shared" si="122"/>
        <v>-</v>
      </c>
      <c r="AU217" s="955"/>
      <c r="AV217" s="956"/>
      <c r="AW217" s="954"/>
      <c r="AX217" s="1349" t="str">
        <f t="shared" si="123"/>
        <v>-</v>
      </c>
      <c r="AY217" s="464"/>
    </row>
    <row r="218" spans="1:51" s="470" customFormat="1">
      <c r="A218" s="504">
        <f t="shared" si="126"/>
        <v>45</v>
      </c>
      <c r="B218" s="790">
        <v>8</v>
      </c>
      <c r="C218" s="938" t="s">
        <v>1011</v>
      </c>
      <c r="D218" s="896" t="s">
        <v>1009</v>
      </c>
      <c r="E218" s="937" t="s">
        <v>1226</v>
      </c>
      <c r="F218" s="899" t="s">
        <v>1009</v>
      </c>
      <c r="G218" s="1277">
        <f t="shared" si="130"/>
        <v>0</v>
      </c>
      <c r="H218" s="1278">
        <f t="shared" si="130"/>
        <v>0</v>
      </c>
      <c r="I218" s="1278">
        <f t="shared" si="130"/>
        <v>0</v>
      </c>
      <c r="J218" s="1389" t="str">
        <f t="shared" si="113"/>
        <v>-</v>
      </c>
      <c r="K218" s="1277">
        <f t="shared" si="131"/>
        <v>0</v>
      </c>
      <c r="L218" s="1278">
        <f t="shared" si="131"/>
        <v>0</v>
      </c>
      <c r="M218" s="1278">
        <f t="shared" si="131"/>
        <v>0</v>
      </c>
      <c r="N218" s="1389" t="str">
        <f t="shared" si="114"/>
        <v>-</v>
      </c>
      <c r="O218" s="953"/>
      <c r="P218" s="954"/>
      <c r="Q218" s="954"/>
      <c r="R218" s="1349" t="str">
        <f t="shared" si="115"/>
        <v>-</v>
      </c>
      <c r="S218" s="955"/>
      <c r="T218" s="956"/>
      <c r="U218" s="954"/>
      <c r="V218" s="1349" t="str">
        <f t="shared" si="116"/>
        <v>-</v>
      </c>
      <c r="W218" s="955"/>
      <c r="X218" s="956"/>
      <c r="Y218" s="954"/>
      <c r="Z218" s="1349" t="str">
        <f t="shared" si="117"/>
        <v>-</v>
      </c>
      <c r="AA218" s="955"/>
      <c r="AB218" s="956"/>
      <c r="AC218" s="954"/>
      <c r="AD218" s="1349" t="str">
        <f t="shared" si="118"/>
        <v>-</v>
      </c>
      <c r="AE218" s="955"/>
      <c r="AF218" s="956"/>
      <c r="AG218" s="954"/>
      <c r="AH218" s="1349" t="str">
        <f t="shared" si="119"/>
        <v>-</v>
      </c>
      <c r="AI218" s="1277">
        <f t="shared" si="132"/>
        <v>0</v>
      </c>
      <c r="AJ218" s="1278">
        <f t="shared" si="132"/>
        <v>0</v>
      </c>
      <c r="AK218" s="1278">
        <f t="shared" si="132"/>
        <v>0</v>
      </c>
      <c r="AL218" s="1389" t="str">
        <f t="shared" si="120"/>
        <v>-</v>
      </c>
      <c r="AM218" s="955"/>
      <c r="AN218" s="956"/>
      <c r="AO218" s="954"/>
      <c r="AP218" s="1349" t="str">
        <f t="shared" si="121"/>
        <v>-</v>
      </c>
      <c r="AQ218" s="955"/>
      <c r="AR218" s="956"/>
      <c r="AS218" s="954"/>
      <c r="AT218" s="1349" t="str">
        <f t="shared" si="122"/>
        <v>-</v>
      </c>
      <c r="AU218" s="955"/>
      <c r="AV218" s="956"/>
      <c r="AW218" s="954"/>
      <c r="AX218" s="1349" t="str">
        <f t="shared" si="123"/>
        <v>-</v>
      </c>
      <c r="AY218" s="464"/>
    </row>
    <row r="219" spans="1:51" s="470" customFormat="1">
      <c r="A219" s="504">
        <f t="shared" si="126"/>
        <v>46</v>
      </c>
      <c r="B219" s="790">
        <v>8</v>
      </c>
      <c r="C219" s="938" t="s">
        <v>1012</v>
      </c>
      <c r="D219" s="896" t="s">
        <v>1010</v>
      </c>
      <c r="E219" s="937" t="s">
        <v>1218</v>
      </c>
      <c r="F219" s="899" t="s">
        <v>1013</v>
      </c>
      <c r="G219" s="1277">
        <f t="shared" si="130"/>
        <v>0</v>
      </c>
      <c r="H219" s="1278">
        <f t="shared" si="130"/>
        <v>0</v>
      </c>
      <c r="I219" s="1278">
        <f t="shared" si="130"/>
        <v>0</v>
      </c>
      <c r="J219" s="1389" t="str">
        <f t="shared" si="113"/>
        <v>-</v>
      </c>
      <c r="K219" s="1277">
        <f t="shared" si="131"/>
        <v>0</v>
      </c>
      <c r="L219" s="1278">
        <f t="shared" si="131"/>
        <v>0</v>
      </c>
      <c r="M219" s="1278">
        <f t="shared" si="131"/>
        <v>0</v>
      </c>
      <c r="N219" s="1389" t="str">
        <f t="shared" si="114"/>
        <v>-</v>
      </c>
      <c r="O219" s="953"/>
      <c r="P219" s="954"/>
      <c r="Q219" s="954"/>
      <c r="R219" s="1349" t="str">
        <f t="shared" si="115"/>
        <v>-</v>
      </c>
      <c r="S219" s="955"/>
      <c r="T219" s="956"/>
      <c r="U219" s="954"/>
      <c r="V219" s="1349" t="str">
        <f t="shared" si="116"/>
        <v>-</v>
      </c>
      <c r="W219" s="955"/>
      <c r="X219" s="956"/>
      <c r="Y219" s="954"/>
      <c r="Z219" s="1349" t="str">
        <f t="shared" si="117"/>
        <v>-</v>
      </c>
      <c r="AA219" s="955"/>
      <c r="AB219" s="956"/>
      <c r="AC219" s="954"/>
      <c r="AD219" s="1349" t="str">
        <f t="shared" si="118"/>
        <v>-</v>
      </c>
      <c r="AE219" s="955"/>
      <c r="AF219" s="956"/>
      <c r="AG219" s="954"/>
      <c r="AH219" s="1349" t="str">
        <f t="shared" si="119"/>
        <v>-</v>
      </c>
      <c r="AI219" s="1277">
        <f t="shared" si="132"/>
        <v>0</v>
      </c>
      <c r="AJ219" s="1278">
        <f t="shared" si="132"/>
        <v>0</v>
      </c>
      <c r="AK219" s="1278">
        <f t="shared" si="132"/>
        <v>0</v>
      </c>
      <c r="AL219" s="1389" t="str">
        <f t="shared" si="120"/>
        <v>-</v>
      </c>
      <c r="AM219" s="955"/>
      <c r="AN219" s="956"/>
      <c r="AO219" s="954"/>
      <c r="AP219" s="1349" t="str">
        <f t="shared" si="121"/>
        <v>-</v>
      </c>
      <c r="AQ219" s="955"/>
      <c r="AR219" s="956"/>
      <c r="AS219" s="954"/>
      <c r="AT219" s="1349" t="str">
        <f t="shared" si="122"/>
        <v>-</v>
      </c>
      <c r="AU219" s="955"/>
      <c r="AV219" s="956"/>
      <c r="AW219" s="954"/>
      <c r="AX219" s="1349" t="str">
        <f t="shared" si="123"/>
        <v>-</v>
      </c>
      <c r="AY219" s="464"/>
    </row>
    <row r="220" spans="1:51" s="470" customFormat="1">
      <c r="A220" s="504">
        <f t="shared" si="126"/>
        <v>47</v>
      </c>
      <c r="B220" s="791">
        <v>8</v>
      </c>
      <c r="C220" s="939" t="s">
        <v>1014</v>
      </c>
      <c r="D220" s="902" t="s">
        <v>1015</v>
      </c>
      <c r="E220" s="940" t="s">
        <v>1218</v>
      </c>
      <c r="F220" s="903" t="s">
        <v>1015</v>
      </c>
      <c r="G220" s="1277">
        <f t="shared" si="130"/>
        <v>0</v>
      </c>
      <c r="H220" s="1278">
        <f t="shared" si="130"/>
        <v>0</v>
      </c>
      <c r="I220" s="1278">
        <f t="shared" si="130"/>
        <v>0</v>
      </c>
      <c r="J220" s="1389" t="str">
        <f t="shared" si="113"/>
        <v>-</v>
      </c>
      <c r="K220" s="1277">
        <f t="shared" si="131"/>
        <v>0</v>
      </c>
      <c r="L220" s="1278">
        <f t="shared" si="131"/>
        <v>0</v>
      </c>
      <c r="M220" s="1278">
        <f t="shared" si="131"/>
        <v>0</v>
      </c>
      <c r="N220" s="1389" t="str">
        <f t="shared" si="114"/>
        <v>-</v>
      </c>
      <c r="O220" s="953"/>
      <c r="P220" s="954"/>
      <c r="Q220" s="954"/>
      <c r="R220" s="1349" t="str">
        <f t="shared" si="115"/>
        <v>-</v>
      </c>
      <c r="S220" s="955"/>
      <c r="T220" s="956"/>
      <c r="U220" s="954"/>
      <c r="V220" s="1349" t="str">
        <f t="shared" si="116"/>
        <v>-</v>
      </c>
      <c r="W220" s="955"/>
      <c r="X220" s="956"/>
      <c r="Y220" s="954"/>
      <c r="Z220" s="1349" t="str">
        <f t="shared" si="117"/>
        <v>-</v>
      </c>
      <c r="AA220" s="955"/>
      <c r="AB220" s="956"/>
      <c r="AC220" s="954"/>
      <c r="AD220" s="1349" t="str">
        <f t="shared" si="118"/>
        <v>-</v>
      </c>
      <c r="AE220" s="955"/>
      <c r="AF220" s="956"/>
      <c r="AG220" s="954"/>
      <c r="AH220" s="1349" t="str">
        <f t="shared" si="119"/>
        <v>-</v>
      </c>
      <c r="AI220" s="1277">
        <f t="shared" si="132"/>
        <v>0</v>
      </c>
      <c r="AJ220" s="1278">
        <f t="shared" si="132"/>
        <v>0</v>
      </c>
      <c r="AK220" s="1278">
        <f t="shared" si="132"/>
        <v>0</v>
      </c>
      <c r="AL220" s="1389" t="str">
        <f t="shared" si="120"/>
        <v>-</v>
      </c>
      <c r="AM220" s="955"/>
      <c r="AN220" s="956"/>
      <c r="AO220" s="954"/>
      <c r="AP220" s="1349" t="str">
        <f t="shared" si="121"/>
        <v>-</v>
      </c>
      <c r="AQ220" s="955"/>
      <c r="AR220" s="956"/>
      <c r="AS220" s="954"/>
      <c r="AT220" s="1349" t="str">
        <f t="shared" si="122"/>
        <v>-</v>
      </c>
      <c r="AU220" s="955"/>
      <c r="AV220" s="956"/>
      <c r="AW220" s="954"/>
      <c r="AX220" s="1349" t="str">
        <f t="shared" si="123"/>
        <v>-</v>
      </c>
      <c r="AY220" s="464"/>
    </row>
    <row r="221" spans="1:51" s="470" customFormat="1">
      <c r="A221" s="504">
        <f t="shared" si="126"/>
        <v>48</v>
      </c>
      <c r="B221" s="791">
        <v>8</v>
      </c>
      <c r="C221" s="939" t="s">
        <v>730</v>
      </c>
      <c r="D221" s="902" t="s">
        <v>728</v>
      </c>
      <c r="E221" s="940" t="s">
        <v>1227</v>
      </c>
      <c r="F221" s="903" t="s">
        <v>657</v>
      </c>
      <c r="G221" s="1277">
        <f t="shared" si="130"/>
        <v>15531</v>
      </c>
      <c r="H221" s="1278">
        <f t="shared" si="130"/>
        <v>0</v>
      </c>
      <c r="I221" s="1278">
        <f t="shared" si="130"/>
        <v>0</v>
      </c>
      <c r="J221" s="1389" t="str">
        <f t="shared" si="113"/>
        <v>-</v>
      </c>
      <c r="K221" s="1277">
        <f t="shared" si="131"/>
        <v>15531</v>
      </c>
      <c r="L221" s="1278">
        <f t="shared" si="131"/>
        <v>0</v>
      </c>
      <c r="M221" s="1278">
        <f t="shared" si="131"/>
        <v>0</v>
      </c>
      <c r="N221" s="1389" t="str">
        <f t="shared" si="114"/>
        <v>-</v>
      </c>
      <c r="O221" s="953"/>
      <c r="P221" s="954"/>
      <c r="Q221" s="954"/>
      <c r="R221" s="1349" t="str">
        <f t="shared" si="115"/>
        <v>-</v>
      </c>
      <c r="S221" s="955"/>
      <c r="T221" s="956"/>
      <c r="U221" s="954"/>
      <c r="V221" s="1349" t="str">
        <f t="shared" si="116"/>
        <v>-</v>
      </c>
      <c r="W221" s="955">
        <v>531</v>
      </c>
      <c r="X221" s="956">
        <v>0</v>
      </c>
      <c r="Y221" s="954"/>
      <c r="Z221" s="1349" t="str">
        <f t="shared" si="117"/>
        <v>-</v>
      </c>
      <c r="AA221" s="955"/>
      <c r="AB221" s="956"/>
      <c r="AC221" s="954"/>
      <c r="AD221" s="1349" t="str">
        <f t="shared" si="118"/>
        <v>-</v>
      </c>
      <c r="AE221" s="955">
        <v>15000</v>
      </c>
      <c r="AF221" s="956">
        <v>0</v>
      </c>
      <c r="AG221" s="954"/>
      <c r="AH221" s="1349" t="str">
        <f t="shared" si="119"/>
        <v>-</v>
      </c>
      <c r="AI221" s="1277">
        <f t="shared" si="132"/>
        <v>0</v>
      </c>
      <c r="AJ221" s="1278">
        <f t="shared" si="132"/>
        <v>0</v>
      </c>
      <c r="AK221" s="1278">
        <f t="shared" si="132"/>
        <v>0</v>
      </c>
      <c r="AL221" s="1389" t="str">
        <f t="shared" si="120"/>
        <v>-</v>
      </c>
      <c r="AM221" s="955"/>
      <c r="AN221" s="956"/>
      <c r="AO221" s="954"/>
      <c r="AP221" s="1349" t="str">
        <f t="shared" si="121"/>
        <v>-</v>
      </c>
      <c r="AQ221" s="955"/>
      <c r="AR221" s="956"/>
      <c r="AS221" s="954"/>
      <c r="AT221" s="1349" t="str">
        <f t="shared" si="122"/>
        <v>-</v>
      </c>
      <c r="AU221" s="955"/>
      <c r="AV221" s="956"/>
      <c r="AW221" s="954"/>
      <c r="AX221" s="1349" t="str">
        <f t="shared" si="123"/>
        <v>-</v>
      </c>
      <c r="AY221" s="464"/>
    </row>
    <row r="222" spans="1:51" s="470" customFormat="1">
      <c r="A222" s="504">
        <f t="shared" si="126"/>
        <v>49</v>
      </c>
      <c r="B222" s="791">
        <v>8</v>
      </c>
      <c r="C222" s="939" t="s">
        <v>731</v>
      </c>
      <c r="D222" s="902" t="s">
        <v>729</v>
      </c>
      <c r="E222" s="940" t="s">
        <v>1218</v>
      </c>
      <c r="F222" s="903" t="s">
        <v>653</v>
      </c>
      <c r="G222" s="1277">
        <f t="shared" si="130"/>
        <v>16850</v>
      </c>
      <c r="H222" s="1278">
        <f t="shared" si="130"/>
        <v>16544</v>
      </c>
      <c r="I222" s="1278">
        <f t="shared" si="130"/>
        <v>15500</v>
      </c>
      <c r="J222" s="1389">
        <f t="shared" si="113"/>
        <v>0.93689555125725343</v>
      </c>
      <c r="K222" s="1277">
        <f t="shared" si="131"/>
        <v>16850</v>
      </c>
      <c r="L222" s="1278">
        <f t="shared" si="131"/>
        <v>16544</v>
      </c>
      <c r="M222" s="1278">
        <f t="shared" si="131"/>
        <v>15500</v>
      </c>
      <c r="N222" s="1389">
        <f t="shared" si="114"/>
        <v>0.93689555125725343</v>
      </c>
      <c r="O222" s="953"/>
      <c r="P222" s="954"/>
      <c r="Q222" s="954"/>
      <c r="R222" s="1349" t="str">
        <f t="shared" si="115"/>
        <v>-</v>
      </c>
      <c r="S222" s="955"/>
      <c r="T222" s="956"/>
      <c r="U222" s="954"/>
      <c r="V222" s="1349" t="str">
        <f t="shared" si="116"/>
        <v>-</v>
      </c>
      <c r="W222" s="955"/>
      <c r="X222" s="956"/>
      <c r="Y222" s="954"/>
      <c r="Z222" s="1349" t="str">
        <f t="shared" si="117"/>
        <v>-</v>
      </c>
      <c r="AA222" s="955"/>
      <c r="AB222" s="956"/>
      <c r="AC222" s="954"/>
      <c r="AD222" s="1349" t="str">
        <f t="shared" si="118"/>
        <v>-</v>
      </c>
      <c r="AE222" s="955">
        <v>16850</v>
      </c>
      <c r="AF222" s="956">
        <f>15500+1044</f>
        <v>16544</v>
      </c>
      <c r="AG222" s="954">
        <v>15500</v>
      </c>
      <c r="AH222" s="1349">
        <f t="shared" si="119"/>
        <v>0.93689555125725343</v>
      </c>
      <c r="AI222" s="1277">
        <f t="shared" si="132"/>
        <v>0</v>
      </c>
      <c r="AJ222" s="1278">
        <f t="shared" si="132"/>
        <v>0</v>
      </c>
      <c r="AK222" s="1278">
        <f t="shared" si="132"/>
        <v>0</v>
      </c>
      <c r="AL222" s="1389" t="str">
        <f t="shared" si="120"/>
        <v>-</v>
      </c>
      <c r="AM222" s="955"/>
      <c r="AN222" s="956"/>
      <c r="AO222" s="954"/>
      <c r="AP222" s="1349" t="str">
        <f t="shared" si="121"/>
        <v>-</v>
      </c>
      <c r="AQ222" s="955"/>
      <c r="AR222" s="956"/>
      <c r="AS222" s="954"/>
      <c r="AT222" s="1349" t="str">
        <f t="shared" si="122"/>
        <v>-</v>
      </c>
      <c r="AU222" s="955"/>
      <c r="AV222" s="956"/>
      <c r="AW222" s="954"/>
      <c r="AX222" s="1349" t="str">
        <f t="shared" si="123"/>
        <v>-</v>
      </c>
      <c r="AY222" s="464"/>
    </row>
    <row r="223" spans="1:51" s="470" customFormat="1">
      <c r="A223" s="504">
        <f t="shared" si="126"/>
        <v>50</v>
      </c>
      <c r="B223" s="791">
        <v>8</v>
      </c>
      <c r="C223" s="939" t="s">
        <v>1016</v>
      </c>
      <c r="D223" s="902" t="s">
        <v>1017</v>
      </c>
      <c r="E223" s="940" t="s">
        <v>1218</v>
      </c>
      <c r="F223" s="903" t="s">
        <v>1017</v>
      </c>
      <c r="G223" s="1277">
        <f t="shared" si="130"/>
        <v>0</v>
      </c>
      <c r="H223" s="1278">
        <f t="shared" si="130"/>
        <v>0</v>
      </c>
      <c r="I223" s="1278">
        <f t="shared" si="130"/>
        <v>0</v>
      </c>
      <c r="J223" s="1389" t="str">
        <f t="shared" si="113"/>
        <v>-</v>
      </c>
      <c r="K223" s="1277">
        <f t="shared" si="131"/>
        <v>0</v>
      </c>
      <c r="L223" s="1278">
        <f t="shared" si="131"/>
        <v>0</v>
      </c>
      <c r="M223" s="1278">
        <f t="shared" si="131"/>
        <v>0</v>
      </c>
      <c r="N223" s="1389" t="str">
        <f t="shared" si="114"/>
        <v>-</v>
      </c>
      <c r="O223" s="953"/>
      <c r="P223" s="954"/>
      <c r="Q223" s="954"/>
      <c r="R223" s="1349" t="str">
        <f t="shared" si="115"/>
        <v>-</v>
      </c>
      <c r="S223" s="955"/>
      <c r="T223" s="956"/>
      <c r="U223" s="954"/>
      <c r="V223" s="1349" t="str">
        <f t="shared" si="116"/>
        <v>-</v>
      </c>
      <c r="W223" s="955"/>
      <c r="X223" s="956"/>
      <c r="Y223" s="954"/>
      <c r="Z223" s="1349" t="str">
        <f t="shared" si="117"/>
        <v>-</v>
      </c>
      <c r="AA223" s="955"/>
      <c r="AB223" s="956"/>
      <c r="AC223" s="954"/>
      <c r="AD223" s="1349" t="str">
        <f t="shared" si="118"/>
        <v>-</v>
      </c>
      <c r="AE223" s="955"/>
      <c r="AF223" s="956"/>
      <c r="AG223" s="954"/>
      <c r="AH223" s="1349" t="str">
        <f t="shared" si="119"/>
        <v>-</v>
      </c>
      <c r="AI223" s="1277">
        <f t="shared" si="132"/>
        <v>0</v>
      </c>
      <c r="AJ223" s="1278">
        <f t="shared" si="132"/>
        <v>0</v>
      </c>
      <c r="AK223" s="1278">
        <f t="shared" si="132"/>
        <v>0</v>
      </c>
      <c r="AL223" s="1389" t="str">
        <f t="shared" si="120"/>
        <v>-</v>
      </c>
      <c r="AM223" s="955"/>
      <c r="AN223" s="956"/>
      <c r="AO223" s="954"/>
      <c r="AP223" s="1349" t="str">
        <f t="shared" si="121"/>
        <v>-</v>
      </c>
      <c r="AQ223" s="955"/>
      <c r="AR223" s="956"/>
      <c r="AS223" s="954"/>
      <c r="AT223" s="1349" t="str">
        <f t="shared" si="122"/>
        <v>-</v>
      </c>
      <c r="AU223" s="955"/>
      <c r="AV223" s="956"/>
      <c r="AW223" s="954"/>
      <c r="AX223" s="1349" t="str">
        <f t="shared" si="123"/>
        <v>-</v>
      </c>
      <c r="AY223" s="464"/>
    </row>
    <row r="224" spans="1:51" s="470" customFormat="1">
      <c r="A224" s="504">
        <f t="shared" si="126"/>
        <v>51</v>
      </c>
      <c r="B224" s="791">
        <v>6</v>
      </c>
      <c r="C224" s="939" t="s">
        <v>679</v>
      </c>
      <c r="D224" s="902" t="s">
        <v>678</v>
      </c>
      <c r="E224" s="940" t="s">
        <v>1218</v>
      </c>
      <c r="F224" s="903" t="s">
        <v>1027</v>
      </c>
      <c r="G224" s="1277">
        <f t="shared" si="130"/>
        <v>2400</v>
      </c>
      <c r="H224" s="1278">
        <f t="shared" si="130"/>
        <v>0</v>
      </c>
      <c r="I224" s="1278">
        <f t="shared" si="130"/>
        <v>0</v>
      </c>
      <c r="J224" s="1389" t="str">
        <f t="shared" si="113"/>
        <v>-</v>
      </c>
      <c r="K224" s="1277">
        <f t="shared" si="131"/>
        <v>2400</v>
      </c>
      <c r="L224" s="1278">
        <f t="shared" si="131"/>
        <v>0</v>
      </c>
      <c r="M224" s="1278">
        <f t="shared" si="131"/>
        <v>0</v>
      </c>
      <c r="N224" s="1389" t="str">
        <f t="shared" si="114"/>
        <v>-</v>
      </c>
      <c r="O224" s="953"/>
      <c r="P224" s="954"/>
      <c r="Q224" s="954"/>
      <c r="R224" s="1349" t="str">
        <f t="shared" si="115"/>
        <v>-</v>
      </c>
      <c r="S224" s="955"/>
      <c r="T224" s="956"/>
      <c r="U224" s="954"/>
      <c r="V224" s="1349" t="str">
        <f t="shared" si="116"/>
        <v>-</v>
      </c>
      <c r="W224" s="955"/>
      <c r="X224" s="956"/>
      <c r="Y224" s="954"/>
      <c r="Z224" s="1349" t="str">
        <f t="shared" si="117"/>
        <v>-</v>
      </c>
      <c r="AA224" s="955">
        <v>2400</v>
      </c>
      <c r="AB224" s="956">
        <v>0</v>
      </c>
      <c r="AC224" s="954"/>
      <c r="AD224" s="1349" t="str">
        <f t="shared" si="118"/>
        <v>-</v>
      </c>
      <c r="AE224" s="955"/>
      <c r="AF224" s="956"/>
      <c r="AG224" s="954"/>
      <c r="AH224" s="1349" t="str">
        <f t="shared" si="119"/>
        <v>-</v>
      </c>
      <c r="AI224" s="1277">
        <f t="shared" si="132"/>
        <v>0</v>
      </c>
      <c r="AJ224" s="1278">
        <f t="shared" si="132"/>
        <v>0</v>
      </c>
      <c r="AK224" s="1278">
        <f t="shared" si="132"/>
        <v>0</v>
      </c>
      <c r="AL224" s="1389" t="str">
        <f t="shared" si="120"/>
        <v>-</v>
      </c>
      <c r="AM224" s="955"/>
      <c r="AN224" s="956"/>
      <c r="AO224" s="954"/>
      <c r="AP224" s="1349" t="str">
        <f t="shared" si="121"/>
        <v>-</v>
      </c>
      <c r="AQ224" s="955"/>
      <c r="AR224" s="956"/>
      <c r="AS224" s="954"/>
      <c r="AT224" s="1349" t="str">
        <f t="shared" si="122"/>
        <v>-</v>
      </c>
      <c r="AU224" s="955"/>
      <c r="AV224" s="956"/>
      <c r="AW224" s="954"/>
      <c r="AX224" s="1349" t="str">
        <f t="shared" si="123"/>
        <v>-</v>
      </c>
      <c r="AY224" s="464"/>
    </row>
    <row r="225" spans="1:51" s="470" customFormat="1">
      <c r="A225" s="504">
        <f t="shared" si="126"/>
        <v>52</v>
      </c>
      <c r="B225" s="791">
        <v>6</v>
      </c>
      <c r="C225" s="939" t="s">
        <v>685</v>
      </c>
      <c r="D225" s="902" t="s">
        <v>684</v>
      </c>
      <c r="E225" s="940" t="s">
        <v>1218</v>
      </c>
      <c r="F225" s="903" t="s">
        <v>1029</v>
      </c>
      <c r="G225" s="1277">
        <f t="shared" si="130"/>
        <v>1200</v>
      </c>
      <c r="H225" s="1278">
        <f t="shared" si="130"/>
        <v>0</v>
      </c>
      <c r="I225" s="1278">
        <f t="shared" si="130"/>
        <v>0</v>
      </c>
      <c r="J225" s="1389" t="str">
        <f t="shared" si="113"/>
        <v>-</v>
      </c>
      <c r="K225" s="1277">
        <f t="shared" si="131"/>
        <v>1200</v>
      </c>
      <c r="L225" s="1278">
        <f t="shared" si="131"/>
        <v>0</v>
      </c>
      <c r="M225" s="1278">
        <f t="shared" si="131"/>
        <v>0</v>
      </c>
      <c r="N225" s="1389" t="str">
        <f t="shared" si="114"/>
        <v>-</v>
      </c>
      <c r="O225" s="953"/>
      <c r="P225" s="954"/>
      <c r="Q225" s="954"/>
      <c r="R225" s="1349" t="str">
        <f t="shared" si="115"/>
        <v>-</v>
      </c>
      <c r="S225" s="955"/>
      <c r="T225" s="956"/>
      <c r="U225" s="954"/>
      <c r="V225" s="1349" t="str">
        <f t="shared" si="116"/>
        <v>-</v>
      </c>
      <c r="W225" s="955"/>
      <c r="X225" s="956"/>
      <c r="Y225" s="954"/>
      <c r="Z225" s="1349" t="str">
        <f t="shared" si="117"/>
        <v>-</v>
      </c>
      <c r="AA225" s="955">
        <v>1200</v>
      </c>
      <c r="AB225" s="956">
        <v>0</v>
      </c>
      <c r="AC225" s="954"/>
      <c r="AD225" s="1349" t="str">
        <f t="shared" si="118"/>
        <v>-</v>
      </c>
      <c r="AE225" s="955"/>
      <c r="AF225" s="956"/>
      <c r="AG225" s="954"/>
      <c r="AH225" s="1349" t="str">
        <f t="shared" si="119"/>
        <v>-</v>
      </c>
      <c r="AI225" s="1277">
        <f t="shared" si="132"/>
        <v>0</v>
      </c>
      <c r="AJ225" s="1278">
        <f t="shared" si="132"/>
        <v>0</v>
      </c>
      <c r="AK225" s="1278">
        <f t="shared" si="132"/>
        <v>0</v>
      </c>
      <c r="AL225" s="1389" t="str">
        <f t="shared" si="120"/>
        <v>-</v>
      </c>
      <c r="AM225" s="955"/>
      <c r="AN225" s="956"/>
      <c r="AO225" s="954"/>
      <c r="AP225" s="1349" t="str">
        <f t="shared" si="121"/>
        <v>-</v>
      </c>
      <c r="AQ225" s="955"/>
      <c r="AR225" s="956"/>
      <c r="AS225" s="954"/>
      <c r="AT225" s="1349" t="str">
        <f t="shared" si="122"/>
        <v>-</v>
      </c>
      <c r="AU225" s="955"/>
      <c r="AV225" s="956"/>
      <c r="AW225" s="954"/>
      <c r="AX225" s="1349" t="str">
        <f t="shared" si="123"/>
        <v>-</v>
      </c>
      <c r="AY225" s="464"/>
    </row>
    <row r="226" spans="1:51" s="470" customFormat="1">
      <c r="A226" s="504">
        <f t="shared" si="126"/>
        <v>53</v>
      </c>
      <c r="B226" s="791">
        <v>6</v>
      </c>
      <c r="C226" s="939" t="s">
        <v>1026</v>
      </c>
      <c r="D226" s="902" t="s">
        <v>1025</v>
      </c>
      <c r="E226" s="940" t="s">
        <v>1228</v>
      </c>
      <c r="F226" s="903" t="s">
        <v>1025</v>
      </c>
      <c r="G226" s="1277">
        <f>+K226+AI226</f>
        <v>0</v>
      </c>
      <c r="H226" s="1278">
        <f>+L226+AJ226</f>
        <v>2249</v>
      </c>
      <c r="I226" s="1278">
        <f>+M226+AK226</f>
        <v>2249</v>
      </c>
      <c r="J226" s="1389">
        <f t="shared" si="113"/>
        <v>1</v>
      </c>
      <c r="K226" s="1277">
        <f>+O226+S226+W226+AA226+AE226</f>
        <v>0</v>
      </c>
      <c r="L226" s="1278">
        <f>+P226+T226+X226+AB226+AF226</f>
        <v>2249</v>
      </c>
      <c r="M226" s="1278">
        <f>+Q226+U226+Y226+AC226+AG226</f>
        <v>2249</v>
      </c>
      <c r="N226" s="1389">
        <f t="shared" si="114"/>
        <v>1</v>
      </c>
      <c r="O226" s="953"/>
      <c r="P226" s="954"/>
      <c r="Q226" s="954"/>
      <c r="R226" s="1349" t="str">
        <f t="shared" si="115"/>
        <v>-</v>
      </c>
      <c r="S226" s="955"/>
      <c r="T226" s="956"/>
      <c r="U226" s="954"/>
      <c r="V226" s="1349" t="str">
        <f t="shared" si="116"/>
        <v>-</v>
      </c>
      <c r="W226" s="955"/>
      <c r="X226" s="956">
        <v>2249</v>
      </c>
      <c r="Y226" s="954">
        <v>2249</v>
      </c>
      <c r="Z226" s="1349">
        <f t="shared" si="117"/>
        <v>1</v>
      </c>
      <c r="AA226" s="955"/>
      <c r="AB226" s="956"/>
      <c r="AC226" s="954"/>
      <c r="AD226" s="1349" t="str">
        <f t="shared" si="118"/>
        <v>-</v>
      </c>
      <c r="AE226" s="955"/>
      <c r="AF226" s="956"/>
      <c r="AG226" s="954"/>
      <c r="AH226" s="1349" t="str">
        <f t="shared" si="119"/>
        <v>-</v>
      </c>
      <c r="AI226" s="1277">
        <f>+AM226+AQ226+AU226</f>
        <v>0</v>
      </c>
      <c r="AJ226" s="1278">
        <f>+AN226+AR226+AV226</f>
        <v>0</v>
      </c>
      <c r="AK226" s="1278">
        <f>+AO226+AS226+AW226</f>
        <v>0</v>
      </c>
      <c r="AL226" s="1389" t="str">
        <f t="shared" si="120"/>
        <v>-</v>
      </c>
      <c r="AM226" s="955"/>
      <c r="AN226" s="956"/>
      <c r="AO226" s="954"/>
      <c r="AP226" s="1349" t="str">
        <f t="shared" si="121"/>
        <v>-</v>
      </c>
      <c r="AQ226" s="955"/>
      <c r="AR226" s="956"/>
      <c r="AS226" s="954"/>
      <c r="AT226" s="1349" t="str">
        <f t="shared" si="122"/>
        <v>-</v>
      </c>
      <c r="AU226" s="955"/>
      <c r="AV226" s="956"/>
      <c r="AW226" s="954"/>
      <c r="AX226" s="1349" t="str">
        <f t="shared" si="123"/>
        <v>-</v>
      </c>
      <c r="AY226" s="464"/>
    </row>
    <row r="227" spans="1:51" s="470" customFormat="1">
      <c r="A227" s="504">
        <f t="shared" si="126"/>
        <v>54</v>
      </c>
      <c r="B227" s="791">
        <v>6</v>
      </c>
      <c r="C227" s="939" t="s">
        <v>681</v>
      </c>
      <c r="D227" s="902" t="s">
        <v>680</v>
      </c>
      <c r="E227" s="940" t="s">
        <v>1218</v>
      </c>
      <c r="F227" s="903" t="s">
        <v>637</v>
      </c>
      <c r="G227" s="1277">
        <f t="shared" si="112"/>
        <v>0</v>
      </c>
      <c r="H227" s="1278">
        <f t="shared" si="112"/>
        <v>0</v>
      </c>
      <c r="I227" s="1278">
        <f t="shared" si="112"/>
        <v>0</v>
      </c>
      <c r="J227" s="1389" t="str">
        <f t="shared" si="113"/>
        <v>-</v>
      </c>
      <c r="K227" s="1277">
        <f t="shared" si="124"/>
        <v>0</v>
      </c>
      <c r="L227" s="1278">
        <f t="shared" si="124"/>
        <v>0</v>
      </c>
      <c r="M227" s="1278">
        <f t="shared" si="124"/>
        <v>0</v>
      </c>
      <c r="N227" s="1389" t="str">
        <f t="shared" si="114"/>
        <v>-</v>
      </c>
      <c r="O227" s="953"/>
      <c r="P227" s="954"/>
      <c r="Q227" s="954"/>
      <c r="R227" s="1349" t="str">
        <f t="shared" si="115"/>
        <v>-</v>
      </c>
      <c r="S227" s="955"/>
      <c r="T227" s="956"/>
      <c r="U227" s="954"/>
      <c r="V227" s="1349" t="str">
        <f t="shared" si="116"/>
        <v>-</v>
      </c>
      <c r="W227" s="955"/>
      <c r="X227" s="956"/>
      <c r="Y227" s="954"/>
      <c r="Z227" s="1349" t="str">
        <f t="shared" si="117"/>
        <v>-</v>
      </c>
      <c r="AA227" s="955"/>
      <c r="AB227" s="956"/>
      <c r="AC227" s="954"/>
      <c r="AD227" s="1349" t="str">
        <f t="shared" si="118"/>
        <v>-</v>
      </c>
      <c r="AE227" s="955"/>
      <c r="AF227" s="956"/>
      <c r="AG227" s="954"/>
      <c r="AH227" s="1349" t="str">
        <f t="shared" si="119"/>
        <v>-</v>
      </c>
      <c r="AI227" s="1277">
        <f t="shared" si="125"/>
        <v>0</v>
      </c>
      <c r="AJ227" s="1278">
        <f t="shared" si="125"/>
        <v>0</v>
      </c>
      <c r="AK227" s="1278">
        <f t="shared" si="125"/>
        <v>0</v>
      </c>
      <c r="AL227" s="1389" t="str">
        <f t="shared" si="120"/>
        <v>-</v>
      </c>
      <c r="AM227" s="955"/>
      <c r="AN227" s="956"/>
      <c r="AO227" s="954"/>
      <c r="AP227" s="1349" t="str">
        <f t="shared" si="121"/>
        <v>-</v>
      </c>
      <c r="AQ227" s="955"/>
      <c r="AR227" s="956"/>
      <c r="AS227" s="954"/>
      <c r="AT227" s="1349" t="str">
        <f t="shared" si="122"/>
        <v>-</v>
      </c>
      <c r="AU227" s="955"/>
      <c r="AV227" s="956"/>
      <c r="AW227" s="954"/>
      <c r="AX227" s="1349" t="str">
        <f t="shared" si="123"/>
        <v>-</v>
      </c>
      <c r="AY227" s="464"/>
    </row>
    <row r="228" spans="1:51" s="470" customFormat="1">
      <c r="A228" s="504">
        <f t="shared" si="126"/>
        <v>55</v>
      </c>
      <c r="B228" s="791">
        <v>6</v>
      </c>
      <c r="C228" s="939" t="s">
        <v>681</v>
      </c>
      <c r="D228" s="902" t="s">
        <v>680</v>
      </c>
      <c r="E228" s="940" t="s">
        <v>1218</v>
      </c>
      <c r="F228" s="903" t="s">
        <v>638</v>
      </c>
      <c r="G228" s="1277">
        <f t="shared" si="112"/>
        <v>0</v>
      </c>
      <c r="H228" s="1278">
        <f t="shared" si="112"/>
        <v>0</v>
      </c>
      <c r="I228" s="1278">
        <f t="shared" si="112"/>
        <v>0</v>
      </c>
      <c r="J228" s="1389" t="str">
        <f t="shared" si="113"/>
        <v>-</v>
      </c>
      <c r="K228" s="1277">
        <f t="shared" si="124"/>
        <v>0</v>
      </c>
      <c r="L228" s="1278">
        <f t="shared" si="124"/>
        <v>0</v>
      </c>
      <c r="M228" s="1278">
        <f t="shared" si="124"/>
        <v>0</v>
      </c>
      <c r="N228" s="1389" t="str">
        <f t="shared" si="114"/>
        <v>-</v>
      </c>
      <c r="O228" s="953"/>
      <c r="P228" s="954"/>
      <c r="Q228" s="954"/>
      <c r="R228" s="1349" t="str">
        <f t="shared" si="115"/>
        <v>-</v>
      </c>
      <c r="S228" s="955"/>
      <c r="T228" s="956"/>
      <c r="U228" s="954"/>
      <c r="V228" s="1349" t="str">
        <f t="shared" si="116"/>
        <v>-</v>
      </c>
      <c r="W228" s="955"/>
      <c r="X228" s="956"/>
      <c r="Y228" s="954"/>
      <c r="Z228" s="1349" t="str">
        <f t="shared" si="117"/>
        <v>-</v>
      </c>
      <c r="AA228" s="955"/>
      <c r="AB228" s="956"/>
      <c r="AC228" s="954"/>
      <c r="AD228" s="1349" t="str">
        <f t="shared" si="118"/>
        <v>-</v>
      </c>
      <c r="AE228" s="955"/>
      <c r="AF228" s="956"/>
      <c r="AG228" s="954"/>
      <c r="AH228" s="1349" t="str">
        <f t="shared" si="119"/>
        <v>-</v>
      </c>
      <c r="AI228" s="1277">
        <f t="shared" si="125"/>
        <v>0</v>
      </c>
      <c r="AJ228" s="1278">
        <f t="shared" si="125"/>
        <v>0</v>
      </c>
      <c r="AK228" s="1278">
        <f t="shared" si="125"/>
        <v>0</v>
      </c>
      <c r="AL228" s="1389" t="str">
        <f t="shared" si="120"/>
        <v>-</v>
      </c>
      <c r="AM228" s="955"/>
      <c r="AN228" s="956"/>
      <c r="AO228" s="954"/>
      <c r="AP228" s="1349" t="str">
        <f t="shared" si="121"/>
        <v>-</v>
      </c>
      <c r="AQ228" s="955"/>
      <c r="AR228" s="956"/>
      <c r="AS228" s="954"/>
      <c r="AT228" s="1349" t="str">
        <f t="shared" si="122"/>
        <v>-</v>
      </c>
      <c r="AU228" s="955"/>
      <c r="AV228" s="956"/>
      <c r="AW228" s="954"/>
      <c r="AX228" s="1349" t="str">
        <f t="shared" si="123"/>
        <v>-</v>
      </c>
      <c r="AY228" s="464"/>
    </row>
    <row r="229" spans="1:51" s="470" customFormat="1">
      <c r="A229" s="504">
        <f t="shared" si="126"/>
        <v>56</v>
      </c>
      <c r="B229" s="792">
        <v>6</v>
      </c>
      <c r="C229" s="939" t="s">
        <v>681</v>
      </c>
      <c r="D229" s="902" t="s">
        <v>680</v>
      </c>
      <c r="E229" s="940" t="s">
        <v>1218</v>
      </c>
      <c r="F229" s="903" t="s">
        <v>639</v>
      </c>
      <c r="G229" s="1277">
        <f t="shared" si="112"/>
        <v>2700</v>
      </c>
      <c r="H229" s="1278">
        <f t="shared" si="112"/>
        <v>0</v>
      </c>
      <c r="I229" s="1278">
        <f t="shared" si="112"/>
        <v>0</v>
      </c>
      <c r="J229" s="1390" t="str">
        <f t="shared" si="113"/>
        <v>-</v>
      </c>
      <c r="K229" s="1277">
        <f t="shared" si="124"/>
        <v>2700</v>
      </c>
      <c r="L229" s="1278">
        <f t="shared" si="124"/>
        <v>0</v>
      </c>
      <c r="M229" s="1278">
        <f t="shared" si="124"/>
        <v>0</v>
      </c>
      <c r="N229" s="1390" t="str">
        <f t="shared" si="114"/>
        <v>-</v>
      </c>
      <c r="O229" s="953"/>
      <c r="P229" s="954"/>
      <c r="Q229" s="954"/>
      <c r="R229" s="1357" t="str">
        <f t="shared" si="115"/>
        <v>-</v>
      </c>
      <c r="S229" s="955"/>
      <c r="T229" s="956"/>
      <c r="U229" s="954"/>
      <c r="V229" s="1357" t="str">
        <f t="shared" si="116"/>
        <v>-</v>
      </c>
      <c r="W229" s="955"/>
      <c r="X229" s="956"/>
      <c r="Y229" s="954"/>
      <c r="Z229" s="1357" t="str">
        <f t="shared" si="117"/>
        <v>-</v>
      </c>
      <c r="AA229" s="955">
        <v>2700</v>
      </c>
      <c r="AB229" s="956">
        <v>0</v>
      </c>
      <c r="AC229" s="954"/>
      <c r="AD229" s="1357" t="str">
        <f t="shared" si="118"/>
        <v>-</v>
      </c>
      <c r="AE229" s="955"/>
      <c r="AF229" s="956"/>
      <c r="AG229" s="954"/>
      <c r="AH229" s="1357" t="str">
        <f t="shared" si="119"/>
        <v>-</v>
      </c>
      <c r="AI229" s="1277">
        <f t="shared" si="125"/>
        <v>0</v>
      </c>
      <c r="AJ229" s="1278">
        <f t="shared" si="125"/>
        <v>0</v>
      </c>
      <c r="AK229" s="1278">
        <f t="shared" si="125"/>
        <v>0</v>
      </c>
      <c r="AL229" s="1390" t="str">
        <f t="shared" si="120"/>
        <v>-</v>
      </c>
      <c r="AM229" s="955"/>
      <c r="AN229" s="956"/>
      <c r="AO229" s="954"/>
      <c r="AP229" s="1357" t="str">
        <f t="shared" si="121"/>
        <v>-</v>
      </c>
      <c r="AQ229" s="955"/>
      <c r="AR229" s="956"/>
      <c r="AS229" s="954"/>
      <c r="AT229" s="1357" t="str">
        <f t="shared" si="122"/>
        <v>-</v>
      </c>
      <c r="AU229" s="955"/>
      <c r="AV229" s="956"/>
      <c r="AW229" s="954"/>
      <c r="AX229" s="1357" t="str">
        <f t="shared" si="123"/>
        <v>-</v>
      </c>
      <c r="AY229" s="464"/>
    </row>
    <row r="230" spans="1:51" s="470" customFormat="1">
      <c r="A230" s="504">
        <f t="shared" si="126"/>
        <v>57</v>
      </c>
      <c r="B230" s="792">
        <v>7</v>
      </c>
      <c r="C230" s="939" t="s">
        <v>1252</v>
      </c>
      <c r="D230" s="902" t="s">
        <v>1265</v>
      </c>
      <c r="E230" s="940" t="s">
        <v>1218</v>
      </c>
      <c r="F230" s="903" t="s">
        <v>1264</v>
      </c>
      <c r="G230" s="1277">
        <f t="shared" si="112"/>
        <v>0</v>
      </c>
      <c r="H230" s="1278">
        <f t="shared" si="112"/>
        <v>6281</v>
      </c>
      <c r="I230" s="1278">
        <f t="shared" si="112"/>
        <v>6281</v>
      </c>
      <c r="J230" s="1389">
        <f t="shared" si="113"/>
        <v>1</v>
      </c>
      <c r="K230" s="1277">
        <f t="shared" si="124"/>
        <v>0</v>
      </c>
      <c r="L230" s="1278">
        <f t="shared" si="124"/>
        <v>6281</v>
      </c>
      <c r="M230" s="1278">
        <f t="shared" si="124"/>
        <v>6281</v>
      </c>
      <c r="N230" s="1389">
        <f t="shared" si="114"/>
        <v>1</v>
      </c>
      <c r="O230" s="953"/>
      <c r="P230" s="954">
        <v>3467</v>
      </c>
      <c r="Q230" s="954">
        <v>3467</v>
      </c>
      <c r="R230" s="1349">
        <f t="shared" si="115"/>
        <v>1</v>
      </c>
      <c r="S230" s="955"/>
      <c r="T230" s="956">
        <v>531</v>
      </c>
      <c r="U230" s="954">
        <v>531</v>
      </c>
      <c r="V230" s="1349">
        <f t="shared" si="116"/>
        <v>1</v>
      </c>
      <c r="W230" s="955"/>
      <c r="X230" s="956">
        <v>2283</v>
      </c>
      <c r="Y230" s="954">
        <v>2283</v>
      </c>
      <c r="Z230" s="1349">
        <f t="shared" si="117"/>
        <v>1</v>
      </c>
      <c r="AA230" s="955"/>
      <c r="AB230" s="956"/>
      <c r="AC230" s="954"/>
      <c r="AD230" s="1349" t="str">
        <f t="shared" si="118"/>
        <v>-</v>
      </c>
      <c r="AE230" s="955"/>
      <c r="AF230" s="956"/>
      <c r="AG230" s="954"/>
      <c r="AH230" s="1349" t="str">
        <f t="shared" si="119"/>
        <v>-</v>
      </c>
      <c r="AI230" s="1277">
        <f t="shared" si="125"/>
        <v>0</v>
      </c>
      <c r="AJ230" s="1278">
        <f t="shared" si="125"/>
        <v>0</v>
      </c>
      <c r="AK230" s="1278">
        <f t="shared" si="125"/>
        <v>0</v>
      </c>
      <c r="AL230" s="1389" t="str">
        <f t="shared" si="120"/>
        <v>-</v>
      </c>
      <c r="AM230" s="955"/>
      <c r="AN230" s="956"/>
      <c r="AO230" s="954"/>
      <c r="AP230" s="1349" t="str">
        <f t="shared" si="121"/>
        <v>-</v>
      </c>
      <c r="AQ230" s="955"/>
      <c r="AR230" s="956"/>
      <c r="AS230" s="954"/>
      <c r="AT230" s="1349" t="str">
        <f t="shared" si="122"/>
        <v>-</v>
      </c>
      <c r="AU230" s="955"/>
      <c r="AV230" s="956"/>
      <c r="AW230" s="954"/>
      <c r="AX230" s="1349" t="str">
        <f t="shared" si="123"/>
        <v>-</v>
      </c>
      <c r="AY230" s="464"/>
    </row>
    <row r="231" spans="1:51" s="470" customFormat="1">
      <c r="A231" s="504">
        <f t="shared" si="126"/>
        <v>58</v>
      </c>
      <c r="B231" s="792">
        <v>8</v>
      </c>
      <c r="C231" s="939" t="s">
        <v>1033</v>
      </c>
      <c r="D231" s="902" t="s">
        <v>1035</v>
      </c>
      <c r="E231" s="940" t="s">
        <v>1218</v>
      </c>
      <c r="F231" s="903" t="s">
        <v>1034</v>
      </c>
      <c r="G231" s="1277">
        <f t="shared" si="112"/>
        <v>2000</v>
      </c>
      <c r="H231" s="1278">
        <f t="shared" si="112"/>
        <v>8267</v>
      </c>
      <c r="I231" s="1278">
        <f t="shared" si="112"/>
        <v>8267</v>
      </c>
      <c r="J231" s="1389">
        <f t="shared" si="113"/>
        <v>1</v>
      </c>
      <c r="K231" s="1277">
        <f t="shared" si="124"/>
        <v>2000</v>
      </c>
      <c r="L231" s="1278">
        <f t="shared" si="124"/>
        <v>8267</v>
      </c>
      <c r="M231" s="1278">
        <f t="shared" si="124"/>
        <v>8267</v>
      </c>
      <c r="N231" s="1389">
        <f t="shared" si="114"/>
        <v>1</v>
      </c>
      <c r="O231" s="953"/>
      <c r="P231" s="954">
        <v>2424</v>
      </c>
      <c r="Q231" s="954">
        <v>2424</v>
      </c>
      <c r="R231" s="1349">
        <f t="shared" si="115"/>
        <v>1</v>
      </c>
      <c r="S231" s="955"/>
      <c r="T231" s="956">
        <v>354</v>
      </c>
      <c r="U231" s="954">
        <v>354</v>
      </c>
      <c r="V231" s="1349">
        <f t="shared" si="116"/>
        <v>1</v>
      </c>
      <c r="W231" s="955">
        <v>2000</v>
      </c>
      <c r="X231" s="956">
        <v>5489</v>
      </c>
      <c r="Y231" s="954">
        <v>5489</v>
      </c>
      <c r="Z231" s="1349">
        <f t="shared" si="117"/>
        <v>1</v>
      </c>
      <c r="AA231" s="955"/>
      <c r="AB231" s="956"/>
      <c r="AC231" s="954"/>
      <c r="AD231" s="1349" t="str">
        <f t="shared" si="118"/>
        <v>-</v>
      </c>
      <c r="AE231" s="955"/>
      <c r="AF231" s="956"/>
      <c r="AG231" s="954"/>
      <c r="AH231" s="1349" t="str">
        <f t="shared" si="119"/>
        <v>-</v>
      </c>
      <c r="AI231" s="1277">
        <f t="shared" si="125"/>
        <v>0</v>
      </c>
      <c r="AJ231" s="1278">
        <f t="shared" si="125"/>
        <v>0</v>
      </c>
      <c r="AK231" s="1278">
        <f t="shared" si="125"/>
        <v>0</v>
      </c>
      <c r="AL231" s="1389" t="str">
        <f t="shared" si="120"/>
        <v>-</v>
      </c>
      <c r="AM231" s="955"/>
      <c r="AN231" s="956"/>
      <c r="AO231" s="954"/>
      <c r="AP231" s="1349" t="str">
        <f t="shared" si="121"/>
        <v>-</v>
      </c>
      <c r="AQ231" s="955"/>
      <c r="AR231" s="956"/>
      <c r="AS231" s="954"/>
      <c r="AT231" s="1349" t="str">
        <f t="shared" si="122"/>
        <v>-</v>
      </c>
      <c r="AU231" s="955"/>
      <c r="AV231" s="956"/>
      <c r="AW231" s="954"/>
      <c r="AX231" s="1349" t="str">
        <f t="shared" si="123"/>
        <v>-</v>
      </c>
      <c r="AY231" s="464"/>
    </row>
    <row r="232" spans="1:51" s="470" customFormat="1">
      <c r="A232" s="504">
        <f t="shared" si="126"/>
        <v>59</v>
      </c>
      <c r="B232" s="792">
        <v>6</v>
      </c>
      <c r="C232" s="939" t="s">
        <v>1053</v>
      </c>
      <c r="D232" s="902" t="s">
        <v>1055</v>
      </c>
      <c r="E232" s="940" t="s">
        <v>1229</v>
      </c>
      <c r="F232" s="903" t="s">
        <v>1055</v>
      </c>
      <c r="G232" s="1277">
        <f t="shared" si="112"/>
        <v>0</v>
      </c>
      <c r="H232" s="1278">
        <f t="shared" si="112"/>
        <v>27976</v>
      </c>
      <c r="I232" s="1278">
        <f t="shared" si="112"/>
        <v>27976</v>
      </c>
      <c r="J232" s="1389">
        <f t="shared" si="113"/>
        <v>1</v>
      </c>
      <c r="K232" s="1277">
        <f t="shared" si="124"/>
        <v>0</v>
      </c>
      <c r="L232" s="1278">
        <f t="shared" si="124"/>
        <v>19162</v>
      </c>
      <c r="M232" s="1278">
        <f t="shared" si="124"/>
        <v>19162</v>
      </c>
      <c r="N232" s="1389">
        <f t="shared" si="114"/>
        <v>1</v>
      </c>
      <c r="O232" s="953"/>
      <c r="P232" s="954"/>
      <c r="Q232" s="954"/>
      <c r="R232" s="1349" t="str">
        <f t="shared" si="115"/>
        <v>-</v>
      </c>
      <c r="S232" s="955"/>
      <c r="T232" s="956"/>
      <c r="U232" s="954"/>
      <c r="V232" s="1349" t="str">
        <f t="shared" si="116"/>
        <v>-</v>
      </c>
      <c r="W232" s="955"/>
      <c r="X232" s="956">
        <v>19162</v>
      </c>
      <c r="Y232" s="954">
        <v>19162</v>
      </c>
      <c r="Z232" s="1349">
        <f t="shared" si="117"/>
        <v>1</v>
      </c>
      <c r="AA232" s="955"/>
      <c r="AB232" s="956"/>
      <c r="AC232" s="954"/>
      <c r="AD232" s="1349" t="str">
        <f t="shared" si="118"/>
        <v>-</v>
      </c>
      <c r="AE232" s="955"/>
      <c r="AF232" s="956"/>
      <c r="AG232" s="954"/>
      <c r="AH232" s="1349" t="str">
        <f t="shared" si="119"/>
        <v>-</v>
      </c>
      <c r="AI232" s="1277">
        <f t="shared" si="125"/>
        <v>0</v>
      </c>
      <c r="AJ232" s="1278">
        <f t="shared" si="125"/>
        <v>8814</v>
      </c>
      <c r="AK232" s="1278">
        <f t="shared" si="125"/>
        <v>8814</v>
      </c>
      <c r="AL232" s="1389">
        <f t="shared" si="120"/>
        <v>1</v>
      </c>
      <c r="AM232" s="955"/>
      <c r="AN232" s="956">
        <v>8814</v>
      </c>
      <c r="AO232" s="954">
        <v>8814</v>
      </c>
      <c r="AP232" s="1349">
        <f t="shared" si="121"/>
        <v>1</v>
      </c>
      <c r="AQ232" s="955"/>
      <c r="AR232" s="956"/>
      <c r="AS232" s="954"/>
      <c r="AT232" s="1349" t="str">
        <f t="shared" si="122"/>
        <v>-</v>
      </c>
      <c r="AU232" s="955"/>
      <c r="AV232" s="956"/>
      <c r="AW232" s="954"/>
      <c r="AX232" s="1349" t="str">
        <f t="shared" si="123"/>
        <v>-</v>
      </c>
      <c r="AY232" s="464"/>
    </row>
    <row r="233" spans="1:51" s="470" customFormat="1">
      <c r="A233" s="504">
        <f t="shared" si="126"/>
        <v>60</v>
      </c>
      <c r="B233" s="792">
        <v>6</v>
      </c>
      <c r="C233" s="939" t="s">
        <v>676</v>
      </c>
      <c r="D233" s="902" t="s">
        <v>677</v>
      </c>
      <c r="E233" s="940" t="s">
        <v>1218</v>
      </c>
      <c r="F233" s="903" t="s">
        <v>1028</v>
      </c>
      <c r="G233" s="1277">
        <f t="shared" si="112"/>
        <v>19200</v>
      </c>
      <c r="H233" s="1278">
        <f t="shared" si="112"/>
        <v>0</v>
      </c>
      <c r="I233" s="1278">
        <f t="shared" si="112"/>
        <v>0</v>
      </c>
      <c r="J233" s="1389" t="str">
        <f t="shared" si="113"/>
        <v>-</v>
      </c>
      <c r="K233" s="1277">
        <f t="shared" si="124"/>
        <v>19200</v>
      </c>
      <c r="L233" s="1278">
        <f t="shared" si="124"/>
        <v>0</v>
      </c>
      <c r="M233" s="1278">
        <f t="shared" si="124"/>
        <v>0</v>
      </c>
      <c r="N233" s="1389" t="str">
        <f t="shared" si="114"/>
        <v>-</v>
      </c>
      <c r="O233" s="953"/>
      <c r="P233" s="954"/>
      <c r="Q233" s="954"/>
      <c r="R233" s="1349" t="str">
        <f t="shared" si="115"/>
        <v>-</v>
      </c>
      <c r="S233" s="955"/>
      <c r="T233" s="956"/>
      <c r="U233" s="954"/>
      <c r="V233" s="1349" t="str">
        <f t="shared" si="116"/>
        <v>-</v>
      </c>
      <c r="W233" s="955"/>
      <c r="X233" s="956"/>
      <c r="Y233" s="954"/>
      <c r="Z233" s="1349" t="str">
        <f t="shared" si="117"/>
        <v>-</v>
      </c>
      <c r="AA233" s="955">
        <v>19200</v>
      </c>
      <c r="AB233" s="956">
        <v>0</v>
      </c>
      <c r="AC233" s="954"/>
      <c r="AD233" s="1349" t="str">
        <f t="shared" si="118"/>
        <v>-</v>
      </c>
      <c r="AE233" s="955"/>
      <c r="AF233" s="956"/>
      <c r="AG233" s="954"/>
      <c r="AH233" s="1349" t="str">
        <f t="shared" si="119"/>
        <v>-</v>
      </c>
      <c r="AI233" s="1277">
        <f t="shared" si="125"/>
        <v>0</v>
      </c>
      <c r="AJ233" s="1278">
        <f t="shared" si="125"/>
        <v>0</v>
      </c>
      <c r="AK233" s="1278">
        <f t="shared" si="125"/>
        <v>0</v>
      </c>
      <c r="AL233" s="1389" t="str">
        <f t="shared" si="120"/>
        <v>-</v>
      </c>
      <c r="AM233" s="955"/>
      <c r="AN233" s="956"/>
      <c r="AO233" s="954"/>
      <c r="AP233" s="1349" t="str">
        <f t="shared" si="121"/>
        <v>-</v>
      </c>
      <c r="AQ233" s="955"/>
      <c r="AR233" s="956"/>
      <c r="AS233" s="954"/>
      <c r="AT233" s="1349" t="str">
        <f t="shared" si="122"/>
        <v>-</v>
      </c>
      <c r="AU233" s="955"/>
      <c r="AV233" s="956"/>
      <c r="AW233" s="954"/>
      <c r="AX233" s="1349" t="str">
        <f t="shared" si="123"/>
        <v>-</v>
      </c>
      <c r="AY233" s="464"/>
    </row>
    <row r="234" spans="1:51" s="470" customFormat="1">
      <c r="A234" s="504">
        <f t="shared" si="126"/>
        <v>61</v>
      </c>
      <c r="B234" s="792">
        <v>6</v>
      </c>
      <c r="C234" s="939" t="s">
        <v>682</v>
      </c>
      <c r="D234" s="902" t="s">
        <v>683</v>
      </c>
      <c r="E234" s="940" t="s">
        <v>1218</v>
      </c>
      <c r="F234" s="903" t="s">
        <v>1030</v>
      </c>
      <c r="G234" s="1277">
        <f t="shared" si="112"/>
        <v>22855</v>
      </c>
      <c r="H234" s="1278">
        <f t="shared" si="112"/>
        <v>47454</v>
      </c>
      <c r="I234" s="1278">
        <f t="shared" si="112"/>
        <v>47452</v>
      </c>
      <c r="J234" s="1389">
        <f t="shared" si="113"/>
        <v>0.99995785392169256</v>
      </c>
      <c r="K234" s="1277">
        <f t="shared" si="124"/>
        <v>22855</v>
      </c>
      <c r="L234" s="1278">
        <f t="shared" si="124"/>
        <v>47454</v>
      </c>
      <c r="M234" s="1278">
        <f t="shared" si="124"/>
        <v>47452</v>
      </c>
      <c r="N234" s="1389">
        <f t="shared" si="114"/>
        <v>0.99995785392169256</v>
      </c>
      <c r="O234" s="953"/>
      <c r="P234" s="954"/>
      <c r="Q234" s="954"/>
      <c r="R234" s="1349" t="str">
        <f t="shared" si="115"/>
        <v>-</v>
      </c>
      <c r="S234" s="955"/>
      <c r="T234" s="956"/>
      <c r="U234" s="954"/>
      <c r="V234" s="1349" t="str">
        <f t="shared" si="116"/>
        <v>-</v>
      </c>
      <c r="W234" s="955"/>
      <c r="X234" s="956">
        <v>5</v>
      </c>
      <c r="Y234" s="954">
        <v>5</v>
      </c>
      <c r="Z234" s="1349">
        <f t="shared" si="117"/>
        <v>1</v>
      </c>
      <c r="AA234" s="955">
        <v>22855</v>
      </c>
      <c r="AB234" s="954">
        <f>48427-980+2</f>
        <v>47449</v>
      </c>
      <c r="AC234" s="954">
        <f>48427-980</f>
        <v>47447</v>
      </c>
      <c r="AD234" s="1349">
        <f t="shared" si="118"/>
        <v>0.99995784948049482</v>
      </c>
      <c r="AE234" s="955"/>
      <c r="AF234" s="956"/>
      <c r="AG234" s="954"/>
      <c r="AH234" s="1349" t="str">
        <f t="shared" si="119"/>
        <v>-</v>
      </c>
      <c r="AI234" s="1277">
        <f t="shared" si="125"/>
        <v>0</v>
      </c>
      <c r="AJ234" s="1278">
        <f t="shared" si="125"/>
        <v>0</v>
      </c>
      <c r="AK234" s="1278">
        <f t="shared" si="125"/>
        <v>0</v>
      </c>
      <c r="AL234" s="1389" t="str">
        <f t="shared" si="120"/>
        <v>-</v>
      </c>
      <c r="AM234" s="955"/>
      <c r="AN234" s="956"/>
      <c r="AO234" s="954"/>
      <c r="AP234" s="1349" t="str">
        <f t="shared" si="121"/>
        <v>-</v>
      </c>
      <c r="AQ234" s="955"/>
      <c r="AR234" s="956"/>
      <c r="AS234" s="954"/>
      <c r="AT234" s="1349" t="str">
        <f t="shared" si="122"/>
        <v>-</v>
      </c>
      <c r="AU234" s="955"/>
      <c r="AV234" s="956"/>
      <c r="AW234" s="954"/>
      <c r="AX234" s="1349" t="str">
        <f t="shared" si="123"/>
        <v>-</v>
      </c>
      <c r="AY234" s="464"/>
    </row>
    <row r="235" spans="1:51" s="470" customFormat="1">
      <c r="A235" s="504">
        <f t="shared" si="126"/>
        <v>62</v>
      </c>
      <c r="B235" s="792">
        <v>6</v>
      </c>
      <c r="C235" s="939" t="s">
        <v>682</v>
      </c>
      <c r="D235" s="902" t="s">
        <v>689</v>
      </c>
      <c r="E235" s="940" t="s">
        <v>1218</v>
      </c>
      <c r="F235" s="903" t="s">
        <v>640</v>
      </c>
      <c r="G235" s="1277">
        <f>+K235+AI235</f>
        <v>1000</v>
      </c>
      <c r="H235" s="1278">
        <f>+L235+AJ235</f>
        <v>980</v>
      </c>
      <c r="I235" s="1278">
        <f>+M235+AK235</f>
        <v>980</v>
      </c>
      <c r="J235" s="1389">
        <f t="shared" si="113"/>
        <v>1</v>
      </c>
      <c r="K235" s="1277">
        <f>+O235+S235+W235+AA235+AE235</f>
        <v>1000</v>
      </c>
      <c r="L235" s="1278">
        <f>+P235+T235+X235+AB235+AF235</f>
        <v>980</v>
      </c>
      <c r="M235" s="1278">
        <f>+Q235+U235+Y235+AC235+AG235</f>
        <v>980</v>
      </c>
      <c r="N235" s="1389">
        <f t="shared" si="114"/>
        <v>1</v>
      </c>
      <c r="O235" s="953"/>
      <c r="P235" s="954"/>
      <c r="Q235" s="954"/>
      <c r="R235" s="1349" t="str">
        <f t="shared" si="115"/>
        <v>-</v>
      </c>
      <c r="S235" s="955"/>
      <c r="T235" s="956"/>
      <c r="U235" s="954"/>
      <c r="V235" s="1349" t="str">
        <f t="shared" si="116"/>
        <v>-</v>
      </c>
      <c r="W235" s="955"/>
      <c r="X235" s="956"/>
      <c r="Y235" s="954"/>
      <c r="Z235" s="1349" t="str">
        <f t="shared" si="117"/>
        <v>-</v>
      </c>
      <c r="AA235" s="955">
        <v>1000</v>
      </c>
      <c r="AB235" s="956">
        <v>980</v>
      </c>
      <c r="AC235" s="954">
        <v>980</v>
      </c>
      <c r="AD235" s="1349">
        <f t="shared" si="118"/>
        <v>1</v>
      </c>
      <c r="AE235" s="955"/>
      <c r="AF235" s="956"/>
      <c r="AG235" s="954"/>
      <c r="AH235" s="1349" t="str">
        <f t="shared" si="119"/>
        <v>-</v>
      </c>
      <c r="AI235" s="1277">
        <f>+AM235+AQ235+AU235</f>
        <v>0</v>
      </c>
      <c r="AJ235" s="1278">
        <f>+AN235+AR235+AV235</f>
        <v>0</v>
      </c>
      <c r="AK235" s="1278">
        <f>+AO235+AS235+AW235</f>
        <v>0</v>
      </c>
      <c r="AL235" s="1389" t="str">
        <f t="shared" si="120"/>
        <v>-</v>
      </c>
      <c r="AM235" s="955"/>
      <c r="AN235" s="956"/>
      <c r="AO235" s="954"/>
      <c r="AP235" s="1349" t="str">
        <f t="shared" si="121"/>
        <v>-</v>
      </c>
      <c r="AQ235" s="955"/>
      <c r="AR235" s="956"/>
      <c r="AS235" s="954"/>
      <c r="AT235" s="1349" t="str">
        <f t="shared" si="122"/>
        <v>-</v>
      </c>
      <c r="AU235" s="955"/>
      <c r="AV235" s="956"/>
      <c r="AW235" s="954"/>
      <c r="AX235" s="1349" t="str">
        <f t="shared" si="123"/>
        <v>-</v>
      </c>
      <c r="AY235" s="464"/>
    </row>
    <row r="236" spans="1:51" s="470" customFormat="1">
      <c r="A236" s="504">
        <f t="shared" si="126"/>
        <v>63</v>
      </c>
      <c r="B236" s="792">
        <v>7</v>
      </c>
      <c r="C236" s="939" t="s">
        <v>704</v>
      </c>
      <c r="D236" s="902" t="s">
        <v>1273</v>
      </c>
      <c r="E236" s="940" t="s">
        <v>1221</v>
      </c>
      <c r="F236" s="903" t="s">
        <v>1274</v>
      </c>
      <c r="G236" s="1277">
        <f t="shared" si="112"/>
        <v>0</v>
      </c>
      <c r="H236" s="1278">
        <f t="shared" si="112"/>
        <v>2565</v>
      </c>
      <c r="I236" s="1278">
        <f t="shared" si="112"/>
        <v>2565</v>
      </c>
      <c r="J236" s="1389">
        <f t="shared" si="113"/>
        <v>1</v>
      </c>
      <c r="K236" s="1277">
        <f t="shared" si="124"/>
        <v>0</v>
      </c>
      <c r="L236" s="1278">
        <f t="shared" si="124"/>
        <v>2565</v>
      </c>
      <c r="M236" s="1278">
        <f t="shared" si="124"/>
        <v>2565</v>
      </c>
      <c r="N236" s="1389">
        <f t="shared" si="114"/>
        <v>1</v>
      </c>
      <c r="O236" s="953"/>
      <c r="P236" s="954"/>
      <c r="Q236" s="954"/>
      <c r="R236" s="1349" t="str">
        <f t="shared" si="115"/>
        <v>-</v>
      </c>
      <c r="S236" s="955"/>
      <c r="T236" s="956"/>
      <c r="U236" s="954"/>
      <c r="V236" s="1349" t="str">
        <f t="shared" si="116"/>
        <v>-</v>
      </c>
      <c r="W236" s="955"/>
      <c r="X236" s="956">
        <v>2565</v>
      </c>
      <c r="Y236" s="954">
        <v>2565</v>
      </c>
      <c r="Z236" s="1349">
        <f t="shared" si="117"/>
        <v>1</v>
      </c>
      <c r="AA236" s="955"/>
      <c r="AB236" s="956"/>
      <c r="AC236" s="954"/>
      <c r="AD236" s="1349" t="str">
        <f t="shared" si="118"/>
        <v>-</v>
      </c>
      <c r="AE236" s="955"/>
      <c r="AF236" s="956"/>
      <c r="AG236" s="954"/>
      <c r="AH236" s="1349" t="str">
        <f t="shared" si="119"/>
        <v>-</v>
      </c>
      <c r="AI236" s="1277">
        <f t="shared" si="125"/>
        <v>0</v>
      </c>
      <c r="AJ236" s="1278">
        <f t="shared" si="125"/>
        <v>0</v>
      </c>
      <c r="AK236" s="1278">
        <f t="shared" si="125"/>
        <v>0</v>
      </c>
      <c r="AL236" s="1389" t="str">
        <f t="shared" si="120"/>
        <v>-</v>
      </c>
      <c r="AM236" s="955"/>
      <c r="AN236" s="956"/>
      <c r="AO236" s="954"/>
      <c r="AP236" s="1349" t="str">
        <f t="shared" si="121"/>
        <v>-</v>
      </c>
      <c r="AQ236" s="955"/>
      <c r="AR236" s="956"/>
      <c r="AS236" s="954"/>
      <c r="AT236" s="1349" t="str">
        <f t="shared" si="122"/>
        <v>-</v>
      </c>
      <c r="AU236" s="955"/>
      <c r="AV236" s="956"/>
      <c r="AW236" s="954"/>
      <c r="AX236" s="1349" t="str">
        <f t="shared" si="123"/>
        <v>-</v>
      </c>
      <c r="AY236" s="464"/>
    </row>
    <row r="237" spans="1:51" s="470" customFormat="1">
      <c r="A237" s="504">
        <f t="shared" si="126"/>
        <v>64</v>
      </c>
      <c r="B237" s="792">
        <v>7</v>
      </c>
      <c r="C237" s="939" t="s">
        <v>1247</v>
      </c>
      <c r="D237" s="902" t="s">
        <v>1245</v>
      </c>
      <c r="E237" s="940" t="s">
        <v>1218</v>
      </c>
      <c r="F237" s="903" t="s">
        <v>1275</v>
      </c>
      <c r="G237" s="1277">
        <f>+K237+AI237</f>
        <v>0</v>
      </c>
      <c r="H237" s="1278">
        <f>+L237+AJ237</f>
        <v>48117</v>
      </c>
      <c r="I237" s="1278">
        <f>+M237+AK237</f>
        <v>48117</v>
      </c>
      <c r="J237" s="1389">
        <f t="shared" si="113"/>
        <v>1</v>
      </c>
      <c r="K237" s="1277">
        <f>+O237+S237+W237+AA237+AE237</f>
        <v>0</v>
      </c>
      <c r="L237" s="1278">
        <f>+P237+T237+X237+AB237+AF237</f>
        <v>0</v>
      </c>
      <c r="M237" s="1278">
        <f>+Q237+U237+Y237+AC237+AG237</f>
        <v>0</v>
      </c>
      <c r="N237" s="1389" t="str">
        <f t="shared" si="114"/>
        <v>-</v>
      </c>
      <c r="O237" s="953"/>
      <c r="P237" s="954"/>
      <c r="Q237" s="954"/>
      <c r="R237" s="1349" t="str">
        <f t="shared" si="115"/>
        <v>-</v>
      </c>
      <c r="S237" s="955"/>
      <c r="T237" s="956"/>
      <c r="U237" s="954"/>
      <c r="V237" s="1349" t="str">
        <f t="shared" si="116"/>
        <v>-</v>
      </c>
      <c r="W237" s="955"/>
      <c r="X237" s="956"/>
      <c r="Y237" s="954"/>
      <c r="Z237" s="1349" t="str">
        <f t="shared" si="117"/>
        <v>-</v>
      </c>
      <c r="AA237" s="955"/>
      <c r="AB237" s="956"/>
      <c r="AC237" s="954"/>
      <c r="AD237" s="1349" t="str">
        <f t="shared" si="118"/>
        <v>-</v>
      </c>
      <c r="AE237" s="955"/>
      <c r="AF237" s="956"/>
      <c r="AG237" s="954"/>
      <c r="AH237" s="1349" t="str">
        <f t="shared" si="119"/>
        <v>-</v>
      </c>
      <c r="AI237" s="1277">
        <f>+AM237+AQ237+AU237</f>
        <v>0</v>
      </c>
      <c r="AJ237" s="1278">
        <f>+AN237+AR237+AV237</f>
        <v>48117</v>
      </c>
      <c r="AK237" s="1278">
        <f>+AO237+AS237+AW237</f>
        <v>48117</v>
      </c>
      <c r="AL237" s="1389">
        <f t="shared" si="120"/>
        <v>1</v>
      </c>
      <c r="AM237" s="955"/>
      <c r="AN237" s="956"/>
      <c r="AO237" s="954"/>
      <c r="AP237" s="1349" t="str">
        <f t="shared" si="121"/>
        <v>-</v>
      </c>
      <c r="AQ237" s="955"/>
      <c r="AR237" s="956">
        <v>48117</v>
      </c>
      <c r="AS237" s="954">
        <v>48117</v>
      </c>
      <c r="AT237" s="1349">
        <f t="shared" si="122"/>
        <v>1</v>
      </c>
      <c r="AU237" s="955"/>
      <c r="AV237" s="956"/>
      <c r="AW237" s="954"/>
      <c r="AX237" s="1349" t="str">
        <f t="shared" si="123"/>
        <v>-</v>
      </c>
      <c r="AY237" s="464"/>
    </row>
    <row r="238" spans="1:51" s="470" customFormat="1">
      <c r="A238" s="504">
        <f t="shared" si="126"/>
        <v>65</v>
      </c>
      <c r="B238" s="792">
        <v>7</v>
      </c>
      <c r="C238" s="939" t="s">
        <v>1252</v>
      </c>
      <c r="D238" s="902" t="s">
        <v>1277</v>
      </c>
      <c r="E238" s="940" t="s">
        <v>1218</v>
      </c>
      <c r="F238" s="903" t="s">
        <v>1276</v>
      </c>
      <c r="G238" s="1277">
        <f t="shared" si="112"/>
        <v>0</v>
      </c>
      <c r="H238" s="1278">
        <f t="shared" si="112"/>
        <v>19730</v>
      </c>
      <c r="I238" s="1278">
        <f t="shared" si="112"/>
        <v>19730</v>
      </c>
      <c r="J238" s="1389">
        <f t="shared" si="113"/>
        <v>1</v>
      </c>
      <c r="K238" s="1277">
        <f t="shared" si="124"/>
        <v>0</v>
      </c>
      <c r="L238" s="1278">
        <f t="shared" si="124"/>
        <v>5134</v>
      </c>
      <c r="M238" s="1278">
        <f t="shared" si="124"/>
        <v>5134</v>
      </c>
      <c r="N238" s="1389">
        <f t="shared" si="114"/>
        <v>1</v>
      </c>
      <c r="O238" s="953"/>
      <c r="P238" s="954"/>
      <c r="Q238" s="954"/>
      <c r="R238" s="1349" t="str">
        <f t="shared" si="115"/>
        <v>-</v>
      </c>
      <c r="S238" s="955"/>
      <c r="T238" s="956"/>
      <c r="U238" s="954"/>
      <c r="V238" s="1349" t="str">
        <f t="shared" si="116"/>
        <v>-</v>
      </c>
      <c r="W238" s="955"/>
      <c r="X238" s="956">
        <v>5133</v>
      </c>
      <c r="Y238" s="954">
        <v>5133</v>
      </c>
      <c r="Z238" s="1349">
        <f t="shared" si="117"/>
        <v>1</v>
      </c>
      <c r="AA238" s="955"/>
      <c r="AB238" s="956"/>
      <c r="AC238" s="954"/>
      <c r="AD238" s="1349" t="str">
        <f t="shared" si="118"/>
        <v>-</v>
      </c>
      <c r="AE238" s="955"/>
      <c r="AF238" s="956">
        <v>1</v>
      </c>
      <c r="AG238" s="954">
        <v>1</v>
      </c>
      <c r="AH238" s="1349">
        <f t="shared" si="119"/>
        <v>1</v>
      </c>
      <c r="AI238" s="1277">
        <f t="shared" si="125"/>
        <v>0</v>
      </c>
      <c r="AJ238" s="1278">
        <f t="shared" si="125"/>
        <v>14596</v>
      </c>
      <c r="AK238" s="1278">
        <f t="shared" si="125"/>
        <v>14596</v>
      </c>
      <c r="AL238" s="1389">
        <f t="shared" si="120"/>
        <v>1</v>
      </c>
      <c r="AM238" s="955"/>
      <c r="AN238" s="956">
        <f>7262+5512</f>
        <v>12774</v>
      </c>
      <c r="AO238" s="954">
        <f>7262+5512</f>
        <v>12774</v>
      </c>
      <c r="AP238" s="1349">
        <f t="shared" si="121"/>
        <v>1</v>
      </c>
      <c r="AQ238" s="955"/>
      <c r="AR238" s="956">
        <v>1822</v>
      </c>
      <c r="AS238" s="954">
        <v>1822</v>
      </c>
      <c r="AT238" s="1349">
        <f t="shared" si="122"/>
        <v>1</v>
      </c>
      <c r="AU238" s="955"/>
      <c r="AV238" s="956"/>
      <c r="AW238" s="954"/>
      <c r="AX238" s="1349" t="str">
        <f t="shared" si="123"/>
        <v>-</v>
      </c>
      <c r="AY238" s="464"/>
    </row>
    <row r="239" spans="1:51" s="470" customFormat="1">
      <c r="A239" s="504">
        <f t="shared" si="126"/>
        <v>66</v>
      </c>
      <c r="B239" s="792">
        <v>7</v>
      </c>
      <c r="C239" s="939" t="s">
        <v>1278</v>
      </c>
      <c r="D239" s="902" t="s">
        <v>1279</v>
      </c>
      <c r="E239" s="940" t="s">
        <v>1218</v>
      </c>
      <c r="F239" s="903" t="s">
        <v>1280</v>
      </c>
      <c r="G239" s="1277">
        <f>+K239+AI239</f>
        <v>0</v>
      </c>
      <c r="H239" s="1278">
        <f>+L239+AJ239</f>
        <v>61</v>
      </c>
      <c r="I239" s="1278">
        <f>+M239+AK239</f>
        <v>61</v>
      </c>
      <c r="J239" s="1389">
        <f t="shared" si="113"/>
        <v>1</v>
      </c>
      <c r="K239" s="1277">
        <f>+O239+S239+W239+AA239+AE239</f>
        <v>0</v>
      </c>
      <c r="L239" s="1278">
        <f>+P239+T239+X239+AB239+AF239</f>
        <v>61</v>
      </c>
      <c r="M239" s="1278">
        <f>+Q239+U239+Y239+AC239+AG239</f>
        <v>61</v>
      </c>
      <c r="N239" s="1389">
        <f t="shared" si="114"/>
        <v>1</v>
      </c>
      <c r="O239" s="953"/>
      <c r="P239" s="954"/>
      <c r="Q239" s="954"/>
      <c r="R239" s="1349" t="str">
        <f t="shared" si="115"/>
        <v>-</v>
      </c>
      <c r="S239" s="955"/>
      <c r="T239" s="956"/>
      <c r="U239" s="954"/>
      <c r="V239" s="1349" t="str">
        <f t="shared" si="116"/>
        <v>-</v>
      </c>
      <c r="W239" s="955"/>
      <c r="X239" s="956">
        <v>61</v>
      </c>
      <c r="Y239" s="954">
        <v>61</v>
      </c>
      <c r="Z239" s="1349">
        <f t="shared" si="117"/>
        <v>1</v>
      </c>
      <c r="AA239" s="955"/>
      <c r="AB239" s="956"/>
      <c r="AC239" s="954"/>
      <c r="AD239" s="1349" t="str">
        <f t="shared" si="118"/>
        <v>-</v>
      </c>
      <c r="AE239" s="955"/>
      <c r="AF239" s="956"/>
      <c r="AG239" s="954"/>
      <c r="AH239" s="1349" t="str">
        <f t="shared" si="119"/>
        <v>-</v>
      </c>
      <c r="AI239" s="1277">
        <f>+AM239+AQ239+AU239</f>
        <v>0</v>
      </c>
      <c r="AJ239" s="1278">
        <f>+AN239+AR239+AV239</f>
        <v>0</v>
      </c>
      <c r="AK239" s="1278">
        <f>+AO239+AS239+AW239</f>
        <v>0</v>
      </c>
      <c r="AL239" s="1389" t="str">
        <f t="shared" si="120"/>
        <v>-</v>
      </c>
      <c r="AM239" s="955"/>
      <c r="AN239" s="956"/>
      <c r="AO239" s="954"/>
      <c r="AP239" s="1349" t="str">
        <f t="shared" si="121"/>
        <v>-</v>
      </c>
      <c r="AQ239" s="955"/>
      <c r="AR239" s="956"/>
      <c r="AS239" s="954"/>
      <c r="AT239" s="1349" t="str">
        <f t="shared" si="122"/>
        <v>-</v>
      </c>
      <c r="AU239" s="955"/>
      <c r="AV239" s="956"/>
      <c r="AW239" s="954"/>
      <c r="AX239" s="1349" t="str">
        <f t="shared" si="123"/>
        <v>-</v>
      </c>
      <c r="AY239" s="464"/>
    </row>
    <row r="240" spans="1:51" s="470" customFormat="1">
      <c r="A240" s="504">
        <f t="shared" si="126"/>
        <v>67</v>
      </c>
      <c r="B240" s="792">
        <v>7</v>
      </c>
      <c r="C240" s="939" t="s">
        <v>1281</v>
      </c>
      <c r="D240" s="902" t="s">
        <v>1282</v>
      </c>
      <c r="E240" s="940" t="s">
        <v>1218</v>
      </c>
      <c r="F240" s="903" t="s">
        <v>1287</v>
      </c>
      <c r="G240" s="1277">
        <f t="shared" si="112"/>
        <v>0</v>
      </c>
      <c r="H240" s="1278">
        <f t="shared" si="112"/>
        <v>59879</v>
      </c>
      <c r="I240" s="1278">
        <f t="shared" si="112"/>
        <v>59879</v>
      </c>
      <c r="J240" s="1389">
        <f t="shared" si="113"/>
        <v>1</v>
      </c>
      <c r="K240" s="1277">
        <f t="shared" si="124"/>
        <v>0</v>
      </c>
      <c r="L240" s="1278">
        <f t="shared" si="124"/>
        <v>59879</v>
      </c>
      <c r="M240" s="1278">
        <f t="shared" si="124"/>
        <v>59879</v>
      </c>
      <c r="N240" s="1389">
        <f t="shared" si="114"/>
        <v>1</v>
      </c>
      <c r="O240" s="953"/>
      <c r="P240" s="954">
        <v>25020</v>
      </c>
      <c r="Q240" s="954">
        <v>25020</v>
      </c>
      <c r="R240" s="1349">
        <f t="shared" si="115"/>
        <v>1</v>
      </c>
      <c r="S240" s="955"/>
      <c r="T240" s="956">
        <v>4042</v>
      </c>
      <c r="U240" s="954">
        <v>4042</v>
      </c>
      <c r="V240" s="1349">
        <f t="shared" si="116"/>
        <v>1</v>
      </c>
      <c r="W240" s="955"/>
      <c r="X240" s="956">
        <v>21467</v>
      </c>
      <c r="Y240" s="954">
        <v>21467</v>
      </c>
      <c r="Z240" s="1349">
        <f t="shared" si="117"/>
        <v>1</v>
      </c>
      <c r="AA240" s="955"/>
      <c r="AB240" s="956"/>
      <c r="AC240" s="954"/>
      <c r="AD240" s="1349" t="str">
        <f t="shared" si="118"/>
        <v>-</v>
      </c>
      <c r="AE240" s="955"/>
      <c r="AF240" s="956">
        <v>9350</v>
      </c>
      <c r="AG240" s="954">
        <v>9350</v>
      </c>
      <c r="AH240" s="1349">
        <f t="shared" si="119"/>
        <v>1</v>
      </c>
      <c r="AI240" s="1277">
        <f t="shared" si="125"/>
        <v>0</v>
      </c>
      <c r="AJ240" s="1278">
        <f t="shared" si="125"/>
        <v>0</v>
      </c>
      <c r="AK240" s="1278">
        <f t="shared" si="125"/>
        <v>0</v>
      </c>
      <c r="AL240" s="1389" t="str">
        <f t="shared" si="120"/>
        <v>-</v>
      </c>
      <c r="AM240" s="955"/>
      <c r="AN240" s="956"/>
      <c r="AO240" s="954"/>
      <c r="AP240" s="1349" t="str">
        <f t="shared" si="121"/>
        <v>-</v>
      </c>
      <c r="AQ240" s="955"/>
      <c r="AR240" s="956"/>
      <c r="AS240" s="954"/>
      <c r="AT240" s="1349" t="str">
        <f t="shared" si="122"/>
        <v>-</v>
      </c>
      <c r="AU240" s="955"/>
      <c r="AV240" s="956"/>
      <c r="AW240" s="954"/>
      <c r="AX240" s="1349" t="str">
        <f t="shared" si="123"/>
        <v>-</v>
      </c>
      <c r="AY240" s="464"/>
    </row>
    <row r="241" spans="1:54" s="470" customFormat="1">
      <c r="A241" s="504">
        <f t="shared" si="126"/>
        <v>68</v>
      </c>
      <c r="B241" s="792">
        <v>7</v>
      </c>
      <c r="C241" s="939" t="s">
        <v>1283</v>
      </c>
      <c r="D241" s="902" t="s">
        <v>1284</v>
      </c>
      <c r="E241" s="940" t="s">
        <v>1285</v>
      </c>
      <c r="F241" s="903" t="s">
        <v>1286</v>
      </c>
      <c r="G241" s="1277">
        <f>+K241+AI241</f>
        <v>0</v>
      </c>
      <c r="H241" s="1278">
        <f>+L241+AJ241</f>
        <v>73411</v>
      </c>
      <c r="I241" s="1278">
        <f>+M241+AK241</f>
        <v>73411</v>
      </c>
      <c r="J241" s="1389">
        <f t="shared" si="113"/>
        <v>1</v>
      </c>
      <c r="K241" s="1277">
        <f>+O241+S241+W241+AA241+AE241</f>
        <v>0</v>
      </c>
      <c r="L241" s="1278">
        <f>+P241+T241+X241+AB241+AF241</f>
        <v>65766</v>
      </c>
      <c r="M241" s="1278">
        <f>+Q241+U241+Y241+AC241+AG241</f>
        <v>65766</v>
      </c>
      <c r="N241" s="1389">
        <f t="shared" si="114"/>
        <v>1</v>
      </c>
      <c r="O241" s="953"/>
      <c r="P241" s="954">
        <v>22008</v>
      </c>
      <c r="Q241" s="954">
        <v>22008</v>
      </c>
      <c r="R241" s="1349">
        <f t="shared" si="115"/>
        <v>1</v>
      </c>
      <c r="S241" s="955"/>
      <c r="T241" s="956">
        <v>3291</v>
      </c>
      <c r="U241" s="954">
        <v>3291</v>
      </c>
      <c r="V241" s="1349">
        <f t="shared" si="116"/>
        <v>1</v>
      </c>
      <c r="W241" s="955"/>
      <c r="X241" s="956">
        <v>39787</v>
      </c>
      <c r="Y241" s="954">
        <v>39787</v>
      </c>
      <c r="Z241" s="1349">
        <f t="shared" si="117"/>
        <v>1</v>
      </c>
      <c r="AA241" s="955"/>
      <c r="AB241" s="956"/>
      <c r="AC241" s="954"/>
      <c r="AD241" s="1349" t="str">
        <f t="shared" si="118"/>
        <v>-</v>
      </c>
      <c r="AE241" s="955"/>
      <c r="AF241" s="956">
        <v>680</v>
      </c>
      <c r="AG241" s="954">
        <v>680</v>
      </c>
      <c r="AH241" s="1349">
        <f t="shared" si="119"/>
        <v>1</v>
      </c>
      <c r="AI241" s="1277">
        <f>+AM241+AQ241+AU241</f>
        <v>0</v>
      </c>
      <c r="AJ241" s="1278">
        <f>+AN241+AR241+AV241</f>
        <v>7645</v>
      </c>
      <c r="AK241" s="1278">
        <f>+AO241+AS241+AW241</f>
        <v>7645</v>
      </c>
      <c r="AL241" s="1389">
        <f t="shared" si="120"/>
        <v>1</v>
      </c>
      <c r="AM241" s="955"/>
      <c r="AN241" s="956">
        <v>2008</v>
      </c>
      <c r="AO241" s="954">
        <v>2008</v>
      </c>
      <c r="AP241" s="1349">
        <f t="shared" si="121"/>
        <v>1</v>
      </c>
      <c r="AQ241" s="955"/>
      <c r="AR241" s="956">
        <v>5637</v>
      </c>
      <c r="AS241" s="954">
        <v>5637</v>
      </c>
      <c r="AT241" s="1349">
        <f t="shared" si="122"/>
        <v>1</v>
      </c>
      <c r="AU241" s="955"/>
      <c r="AV241" s="956"/>
      <c r="AW241" s="954"/>
      <c r="AX241" s="1349" t="str">
        <f t="shared" si="123"/>
        <v>-</v>
      </c>
      <c r="AY241" s="464"/>
    </row>
    <row r="242" spans="1:54" s="470" customFormat="1">
      <c r="A242" s="504">
        <f t="shared" si="126"/>
        <v>69</v>
      </c>
      <c r="B242" s="792">
        <v>7</v>
      </c>
      <c r="C242" s="939" t="s">
        <v>1033</v>
      </c>
      <c r="D242" s="902" t="s">
        <v>1288</v>
      </c>
      <c r="E242" s="940" t="s">
        <v>1218</v>
      </c>
      <c r="F242" s="903" t="s">
        <v>1289</v>
      </c>
      <c r="G242" s="1277">
        <f t="shared" si="112"/>
        <v>0</v>
      </c>
      <c r="H242" s="1278">
        <f t="shared" si="112"/>
        <v>86827</v>
      </c>
      <c r="I242" s="1278">
        <f t="shared" si="112"/>
        <v>86827</v>
      </c>
      <c r="J242" s="1389">
        <f t="shared" si="113"/>
        <v>1</v>
      </c>
      <c r="K242" s="1277">
        <f t="shared" si="124"/>
        <v>0</v>
      </c>
      <c r="L242" s="1278">
        <f t="shared" si="124"/>
        <v>86773</v>
      </c>
      <c r="M242" s="1278">
        <f t="shared" si="124"/>
        <v>86773</v>
      </c>
      <c r="N242" s="1389">
        <f t="shared" si="114"/>
        <v>1</v>
      </c>
      <c r="O242" s="953"/>
      <c r="P242" s="954">
        <v>53589</v>
      </c>
      <c r="Q242" s="954">
        <v>53589</v>
      </c>
      <c r="R242" s="1349">
        <f t="shared" si="115"/>
        <v>1</v>
      </c>
      <c r="S242" s="955"/>
      <c r="T242" s="956">
        <v>7221</v>
      </c>
      <c r="U242" s="954">
        <v>7221</v>
      </c>
      <c r="V242" s="1349">
        <f t="shared" si="116"/>
        <v>1</v>
      </c>
      <c r="W242" s="955"/>
      <c r="X242" s="956">
        <v>25963</v>
      </c>
      <c r="Y242" s="954">
        <v>25963</v>
      </c>
      <c r="Z242" s="1349">
        <f t="shared" si="117"/>
        <v>1</v>
      </c>
      <c r="AA242" s="955"/>
      <c r="AB242" s="956"/>
      <c r="AC242" s="954"/>
      <c r="AD242" s="1349" t="str">
        <f t="shared" si="118"/>
        <v>-</v>
      </c>
      <c r="AE242" s="955"/>
      <c r="AF242" s="956"/>
      <c r="AG242" s="954"/>
      <c r="AH242" s="1349" t="str">
        <f t="shared" si="119"/>
        <v>-</v>
      </c>
      <c r="AI242" s="1277">
        <f t="shared" si="125"/>
        <v>0</v>
      </c>
      <c r="AJ242" s="1278">
        <f t="shared" si="125"/>
        <v>54</v>
      </c>
      <c r="AK242" s="1278">
        <f t="shared" si="125"/>
        <v>54</v>
      </c>
      <c r="AL242" s="1389">
        <f t="shared" si="120"/>
        <v>1</v>
      </c>
      <c r="AM242" s="955"/>
      <c r="AN242" s="956">
        <v>54</v>
      </c>
      <c r="AO242" s="954">
        <v>54</v>
      </c>
      <c r="AP242" s="1349">
        <f t="shared" si="121"/>
        <v>1</v>
      </c>
      <c r="AQ242" s="955"/>
      <c r="AR242" s="956"/>
      <c r="AS242" s="954"/>
      <c r="AT242" s="1349" t="str">
        <f t="shared" si="122"/>
        <v>-</v>
      </c>
      <c r="AU242" s="955"/>
      <c r="AV242" s="956"/>
      <c r="AW242" s="954"/>
      <c r="AX242" s="1349" t="str">
        <f t="shared" si="123"/>
        <v>-</v>
      </c>
      <c r="AY242" s="464"/>
    </row>
    <row r="243" spans="1:54" s="470" customFormat="1">
      <c r="A243" s="504">
        <f t="shared" si="126"/>
        <v>70</v>
      </c>
      <c r="B243" s="792">
        <v>7</v>
      </c>
      <c r="C243" s="939" t="s">
        <v>1247</v>
      </c>
      <c r="D243" s="902" t="s">
        <v>1245</v>
      </c>
      <c r="E243" s="940" t="s">
        <v>1218</v>
      </c>
      <c r="F243" s="903" t="s">
        <v>1290</v>
      </c>
      <c r="G243" s="1277">
        <f>+K243+AI243</f>
        <v>0</v>
      </c>
      <c r="H243" s="1278">
        <f>+L243+AJ243</f>
        <v>0</v>
      </c>
      <c r="I243" s="1278">
        <f>+M243+AK243</f>
        <v>0</v>
      </c>
      <c r="J243" s="1389" t="str">
        <f t="shared" si="113"/>
        <v>-</v>
      </c>
      <c r="K243" s="1277">
        <f>+O243+S243+W243+AA243+AE243</f>
        <v>0</v>
      </c>
      <c r="L243" s="1278">
        <f>+P243+T243+X243+AB243+AF243</f>
        <v>0</v>
      </c>
      <c r="M243" s="1278">
        <f>+Q243+U243+Y243+AC243+AG243</f>
        <v>0</v>
      </c>
      <c r="N243" s="1389" t="str">
        <f t="shared" si="114"/>
        <v>-</v>
      </c>
      <c r="O243" s="953"/>
      <c r="P243" s="954"/>
      <c r="Q243" s="954"/>
      <c r="R243" s="1349" t="str">
        <f t="shared" si="115"/>
        <v>-</v>
      </c>
      <c r="S243" s="955"/>
      <c r="T243" s="956"/>
      <c r="U243" s="954"/>
      <c r="V243" s="1349" t="str">
        <f t="shared" si="116"/>
        <v>-</v>
      </c>
      <c r="W243" s="955"/>
      <c r="X243" s="956"/>
      <c r="Y243" s="954"/>
      <c r="Z243" s="1349" t="str">
        <f t="shared" si="117"/>
        <v>-</v>
      </c>
      <c r="AA243" s="955"/>
      <c r="AB243" s="956"/>
      <c r="AC243" s="954"/>
      <c r="AD243" s="1349" t="str">
        <f t="shared" si="118"/>
        <v>-</v>
      </c>
      <c r="AE243" s="955"/>
      <c r="AF243" s="956"/>
      <c r="AG243" s="954"/>
      <c r="AH243" s="1349" t="str">
        <f t="shared" si="119"/>
        <v>-</v>
      </c>
      <c r="AI243" s="1277">
        <f>+AM243+AQ243+AU243</f>
        <v>0</v>
      </c>
      <c r="AJ243" s="1278">
        <f>+AN243+AR243+AV243</f>
        <v>0</v>
      </c>
      <c r="AK243" s="1278">
        <f>+AO243+AS243+AW243</f>
        <v>0</v>
      </c>
      <c r="AL243" s="1389" t="str">
        <f t="shared" si="120"/>
        <v>-</v>
      </c>
      <c r="AM243" s="955"/>
      <c r="AN243" s="956"/>
      <c r="AO243" s="954"/>
      <c r="AP243" s="1349" t="str">
        <f t="shared" si="121"/>
        <v>-</v>
      </c>
      <c r="AQ243" s="955"/>
      <c r="AR243" s="956"/>
      <c r="AS243" s="954"/>
      <c r="AT243" s="1349" t="str">
        <f t="shared" si="122"/>
        <v>-</v>
      </c>
      <c r="AU243" s="955"/>
      <c r="AV243" s="956"/>
      <c r="AW243" s="954"/>
      <c r="AX243" s="1349" t="str">
        <f t="shared" si="123"/>
        <v>-</v>
      </c>
      <c r="AY243" s="464"/>
    </row>
    <row r="244" spans="1:54" s="470" customFormat="1">
      <c r="A244" s="504">
        <f t="shared" si="126"/>
        <v>71</v>
      </c>
      <c r="B244" s="792">
        <v>7</v>
      </c>
      <c r="C244" s="939" t="s">
        <v>1291</v>
      </c>
      <c r="D244" s="902" t="s">
        <v>1293</v>
      </c>
      <c r="E244" s="940" t="s">
        <v>1218</v>
      </c>
      <c r="F244" s="903" t="s">
        <v>1292</v>
      </c>
      <c r="G244" s="1277">
        <f t="shared" si="112"/>
        <v>0</v>
      </c>
      <c r="H244" s="1278">
        <f t="shared" si="112"/>
        <v>83181</v>
      </c>
      <c r="I244" s="1278">
        <f t="shared" si="112"/>
        <v>83181</v>
      </c>
      <c r="J244" s="1389">
        <f t="shared" si="113"/>
        <v>1</v>
      </c>
      <c r="K244" s="1277">
        <f t="shared" si="124"/>
        <v>0</v>
      </c>
      <c r="L244" s="1278">
        <f t="shared" si="124"/>
        <v>1378</v>
      </c>
      <c r="M244" s="1278">
        <f t="shared" si="124"/>
        <v>1378</v>
      </c>
      <c r="N244" s="1389">
        <f t="shared" si="114"/>
        <v>1</v>
      </c>
      <c r="O244" s="953"/>
      <c r="P244" s="954"/>
      <c r="Q244" s="954"/>
      <c r="R244" s="1349" t="str">
        <f t="shared" si="115"/>
        <v>-</v>
      </c>
      <c r="S244" s="955"/>
      <c r="T244" s="956"/>
      <c r="U244" s="954"/>
      <c r="V244" s="1349" t="str">
        <f t="shared" si="116"/>
        <v>-</v>
      </c>
      <c r="W244" s="955"/>
      <c r="X244" s="956">
        <v>1378</v>
      </c>
      <c r="Y244" s="954">
        <v>1378</v>
      </c>
      <c r="Z244" s="1349">
        <f t="shared" si="117"/>
        <v>1</v>
      </c>
      <c r="AA244" s="955"/>
      <c r="AB244" s="956"/>
      <c r="AC244" s="954"/>
      <c r="AD244" s="1349" t="str">
        <f t="shared" si="118"/>
        <v>-</v>
      </c>
      <c r="AE244" s="955"/>
      <c r="AF244" s="956"/>
      <c r="AG244" s="954"/>
      <c r="AH244" s="1349" t="str">
        <f t="shared" si="119"/>
        <v>-</v>
      </c>
      <c r="AI244" s="1277">
        <f t="shared" si="125"/>
        <v>0</v>
      </c>
      <c r="AJ244" s="1278">
        <f t="shared" si="125"/>
        <v>81803</v>
      </c>
      <c r="AK244" s="1278">
        <f t="shared" si="125"/>
        <v>81803</v>
      </c>
      <c r="AL244" s="1389">
        <f t="shared" si="120"/>
        <v>1</v>
      </c>
      <c r="AM244" s="955"/>
      <c r="AN244" s="956"/>
      <c r="AO244" s="954"/>
      <c r="AP244" s="1349" t="str">
        <f t="shared" si="121"/>
        <v>-</v>
      </c>
      <c r="AQ244" s="955"/>
      <c r="AR244" s="956">
        <v>81803</v>
      </c>
      <c r="AS244" s="954">
        <v>81803</v>
      </c>
      <c r="AT244" s="1349">
        <f t="shared" si="122"/>
        <v>1</v>
      </c>
      <c r="AU244" s="955"/>
      <c r="AV244" s="956"/>
      <c r="AW244" s="954"/>
      <c r="AX244" s="1349" t="str">
        <f t="shared" si="123"/>
        <v>-</v>
      </c>
      <c r="AY244" s="464"/>
    </row>
    <row r="245" spans="1:54" s="470" customFormat="1">
      <c r="A245" s="504">
        <f t="shared" si="126"/>
        <v>72</v>
      </c>
      <c r="B245" s="792">
        <v>7</v>
      </c>
      <c r="C245" s="939" t="s">
        <v>1252</v>
      </c>
      <c r="D245" s="902" t="s">
        <v>1253</v>
      </c>
      <c r="E245" s="940" t="s">
        <v>1218</v>
      </c>
      <c r="F245" s="903" t="s">
        <v>1294</v>
      </c>
      <c r="G245" s="1277">
        <f>+K245+AI245</f>
        <v>0</v>
      </c>
      <c r="H245" s="1278">
        <f>+L245+AJ245</f>
        <v>80</v>
      </c>
      <c r="I245" s="1278">
        <f>+M245+AK245</f>
        <v>80</v>
      </c>
      <c r="J245" s="1389">
        <f t="shared" si="113"/>
        <v>1</v>
      </c>
      <c r="K245" s="1277">
        <f>+O245+S245+W245+AA245+AE245</f>
        <v>0</v>
      </c>
      <c r="L245" s="1278">
        <f>+P245+T245+X245+AB245+AF245</f>
        <v>80</v>
      </c>
      <c r="M245" s="1278">
        <f>+Q245+U245+Y245+AC245+AG245</f>
        <v>80</v>
      </c>
      <c r="N245" s="1389">
        <f t="shared" si="114"/>
        <v>1</v>
      </c>
      <c r="O245" s="953"/>
      <c r="P245" s="954"/>
      <c r="Q245" s="954"/>
      <c r="R245" s="1349" t="str">
        <f t="shared" si="115"/>
        <v>-</v>
      </c>
      <c r="S245" s="955"/>
      <c r="T245" s="956"/>
      <c r="U245" s="954"/>
      <c r="V245" s="1349" t="str">
        <f t="shared" si="116"/>
        <v>-</v>
      </c>
      <c r="W245" s="955"/>
      <c r="X245" s="956">
        <v>80</v>
      </c>
      <c r="Y245" s="954">
        <v>80</v>
      </c>
      <c r="Z245" s="1349">
        <f t="shared" si="117"/>
        <v>1</v>
      </c>
      <c r="AA245" s="955"/>
      <c r="AB245" s="956"/>
      <c r="AC245" s="954"/>
      <c r="AD245" s="1349" t="str">
        <f t="shared" si="118"/>
        <v>-</v>
      </c>
      <c r="AE245" s="955"/>
      <c r="AF245" s="956"/>
      <c r="AG245" s="954"/>
      <c r="AH245" s="1349" t="str">
        <f t="shared" si="119"/>
        <v>-</v>
      </c>
      <c r="AI245" s="1277">
        <f>+AM245+AQ245+AU245</f>
        <v>0</v>
      </c>
      <c r="AJ245" s="1278">
        <f>+AN245+AR245+AV245</f>
        <v>0</v>
      </c>
      <c r="AK245" s="1278">
        <f>+AO245+AS245+AW245</f>
        <v>0</v>
      </c>
      <c r="AL245" s="1389" t="str">
        <f t="shared" si="120"/>
        <v>-</v>
      </c>
      <c r="AM245" s="955"/>
      <c r="AN245" s="956"/>
      <c r="AO245" s="954"/>
      <c r="AP245" s="1349" t="str">
        <f t="shared" si="121"/>
        <v>-</v>
      </c>
      <c r="AQ245" s="955"/>
      <c r="AR245" s="956"/>
      <c r="AS245" s="954"/>
      <c r="AT245" s="1349" t="str">
        <f t="shared" si="122"/>
        <v>-</v>
      </c>
      <c r="AU245" s="955"/>
      <c r="AV245" s="956"/>
      <c r="AW245" s="954"/>
      <c r="AX245" s="1349" t="str">
        <f t="shared" si="123"/>
        <v>-</v>
      </c>
      <c r="AY245" s="464"/>
    </row>
    <row r="246" spans="1:54" s="470" customFormat="1">
      <c r="A246" s="504">
        <f t="shared" si="126"/>
        <v>73</v>
      </c>
      <c r="B246" s="792">
        <v>7</v>
      </c>
      <c r="C246" s="939" t="s">
        <v>1281</v>
      </c>
      <c r="D246" s="902" t="s">
        <v>1295</v>
      </c>
      <c r="E246" s="940" t="s">
        <v>1218</v>
      </c>
      <c r="F246" s="903" t="s">
        <v>1296</v>
      </c>
      <c r="G246" s="1277">
        <f t="shared" si="112"/>
        <v>0</v>
      </c>
      <c r="H246" s="1278">
        <f t="shared" si="112"/>
        <v>553</v>
      </c>
      <c r="I246" s="1278">
        <f t="shared" si="112"/>
        <v>553</v>
      </c>
      <c r="J246" s="1389">
        <f t="shared" si="113"/>
        <v>1</v>
      </c>
      <c r="K246" s="1277">
        <f t="shared" si="124"/>
        <v>0</v>
      </c>
      <c r="L246" s="1278">
        <f t="shared" si="124"/>
        <v>297</v>
      </c>
      <c r="M246" s="1278">
        <f t="shared" si="124"/>
        <v>297</v>
      </c>
      <c r="N246" s="1389">
        <f t="shared" si="114"/>
        <v>1</v>
      </c>
      <c r="O246" s="953"/>
      <c r="P246" s="954"/>
      <c r="Q246" s="954"/>
      <c r="R246" s="1349" t="str">
        <f t="shared" si="115"/>
        <v>-</v>
      </c>
      <c r="S246" s="955"/>
      <c r="T246" s="956"/>
      <c r="U246" s="954"/>
      <c r="V246" s="1349" t="str">
        <f t="shared" si="116"/>
        <v>-</v>
      </c>
      <c r="W246" s="955"/>
      <c r="X246" s="956">
        <v>297</v>
      </c>
      <c r="Y246" s="954">
        <v>297</v>
      </c>
      <c r="Z246" s="1349">
        <f t="shared" si="117"/>
        <v>1</v>
      </c>
      <c r="AA246" s="955"/>
      <c r="AB246" s="956"/>
      <c r="AC246" s="954"/>
      <c r="AD246" s="1349" t="str">
        <f t="shared" si="118"/>
        <v>-</v>
      </c>
      <c r="AE246" s="955"/>
      <c r="AF246" s="956"/>
      <c r="AG246" s="954"/>
      <c r="AH246" s="1349" t="str">
        <f t="shared" si="119"/>
        <v>-</v>
      </c>
      <c r="AI246" s="1277">
        <f t="shared" si="125"/>
        <v>0</v>
      </c>
      <c r="AJ246" s="1278">
        <f t="shared" si="125"/>
        <v>256</v>
      </c>
      <c r="AK246" s="1278">
        <f t="shared" si="125"/>
        <v>256</v>
      </c>
      <c r="AL246" s="1389">
        <f t="shared" si="120"/>
        <v>1</v>
      </c>
      <c r="AM246" s="955"/>
      <c r="AN246" s="956">
        <v>256</v>
      </c>
      <c r="AO246" s="954">
        <v>256</v>
      </c>
      <c r="AP246" s="1349">
        <f t="shared" si="121"/>
        <v>1</v>
      </c>
      <c r="AQ246" s="955"/>
      <c r="AR246" s="956"/>
      <c r="AS246" s="954"/>
      <c r="AT246" s="1349" t="str">
        <f t="shared" si="122"/>
        <v>-</v>
      </c>
      <c r="AU246" s="955"/>
      <c r="AV246" s="956"/>
      <c r="AW246" s="954"/>
      <c r="AX246" s="1349" t="str">
        <f t="shared" si="123"/>
        <v>-</v>
      </c>
      <c r="AY246" s="464"/>
    </row>
    <row r="247" spans="1:54" s="470" customFormat="1">
      <c r="A247" s="504">
        <f t="shared" si="126"/>
        <v>74</v>
      </c>
      <c r="B247" s="791">
        <v>7</v>
      </c>
      <c r="C247" s="347" t="s">
        <v>1089</v>
      </c>
      <c r="D247" s="896" t="s">
        <v>2785</v>
      </c>
      <c r="E247" s="937" t="s">
        <v>1218</v>
      </c>
      <c r="F247" s="899" t="s">
        <v>2787</v>
      </c>
      <c r="G247" s="1277">
        <f t="shared" ref="G247:I248" si="133">+K247+AI247</f>
        <v>0</v>
      </c>
      <c r="H247" s="1278">
        <f t="shared" si="133"/>
        <v>85065</v>
      </c>
      <c r="I247" s="1278">
        <f t="shared" si="133"/>
        <v>85065</v>
      </c>
      <c r="J247" s="1390">
        <f>IF(ISERROR(I247/H247),"-",I247/H247)</f>
        <v>1</v>
      </c>
      <c r="K247" s="1277">
        <f t="shared" ref="K247:M248" si="134">+O247+S247+W247+AA247+AE247</f>
        <v>0</v>
      </c>
      <c r="L247" s="1278">
        <f t="shared" si="134"/>
        <v>3808</v>
      </c>
      <c r="M247" s="1278">
        <f t="shared" si="134"/>
        <v>3808</v>
      </c>
      <c r="N247" s="1390">
        <f>IF(ISERROR(M247/L247),"-",M247/L247)</f>
        <v>1</v>
      </c>
      <c r="O247" s="955"/>
      <c r="P247" s="956"/>
      <c r="Q247" s="956"/>
      <c r="R247" s="1357" t="str">
        <f>IF(ISERROR(Q247/P247),"-",Q247/P247)</f>
        <v>-</v>
      </c>
      <c r="S247" s="955"/>
      <c r="T247" s="956"/>
      <c r="U247" s="956"/>
      <c r="V247" s="1357" t="str">
        <f>IF(ISERROR(U247/T247),"-",U247/T247)</f>
        <v>-</v>
      </c>
      <c r="W247" s="955"/>
      <c r="X247" s="956">
        <f>3695+113</f>
        <v>3808</v>
      </c>
      <c r="Y247" s="956">
        <f>3695+113</f>
        <v>3808</v>
      </c>
      <c r="Z247" s="1357">
        <f>IF(ISERROR(Y247/X247),"-",Y247/X247)</f>
        <v>1</v>
      </c>
      <c r="AA247" s="955"/>
      <c r="AB247" s="956"/>
      <c r="AC247" s="956"/>
      <c r="AD247" s="1357" t="str">
        <f>IF(ISERROR(AC247/AB247),"-",AC247/AB247)</f>
        <v>-</v>
      </c>
      <c r="AE247" s="955"/>
      <c r="AF247" s="956"/>
      <c r="AG247" s="956"/>
      <c r="AH247" s="1357" t="str">
        <f>IF(ISERROR(AG247/AF247),"-",AG247/AF247)</f>
        <v>-</v>
      </c>
      <c r="AI247" s="1277">
        <f t="shared" ref="AI247:AK248" si="135">+AM247+AQ247+AU247</f>
        <v>0</v>
      </c>
      <c r="AJ247" s="1278">
        <f t="shared" si="135"/>
        <v>81257</v>
      </c>
      <c r="AK247" s="1278">
        <f t="shared" si="135"/>
        <v>81257</v>
      </c>
      <c r="AL247" s="1390">
        <f>IF(ISERROR(AK247/AJ247),"-",AK247/AJ247)</f>
        <v>1</v>
      </c>
      <c r="AM247" s="955"/>
      <c r="AN247" s="956">
        <f>66405+26+14826</f>
        <v>81257</v>
      </c>
      <c r="AO247" s="956">
        <f>66405+26+14826</f>
        <v>81257</v>
      </c>
      <c r="AP247" s="1357">
        <f>IF(ISERROR(AO247/AN247),"-",AO247/AN247)</f>
        <v>1</v>
      </c>
      <c r="AQ247" s="955"/>
      <c r="AR247" s="956"/>
      <c r="AS247" s="956"/>
      <c r="AT247" s="1357" t="str">
        <f>IF(ISERROR(AS247/AR247),"-",AS247/AR247)</f>
        <v>-</v>
      </c>
      <c r="AU247" s="955"/>
      <c r="AV247" s="956"/>
      <c r="AW247" s="956"/>
      <c r="AX247" s="1357" t="str">
        <f>IF(ISERROR(AW247/AV247),"-",AW247/AV247)</f>
        <v>-</v>
      </c>
      <c r="AY247" s="464"/>
    </row>
    <row r="248" spans="1:54" s="470" customFormat="1" ht="12.75" thickBot="1">
      <c r="A248" s="505">
        <f t="shared" si="126"/>
        <v>75</v>
      </c>
      <c r="B248" s="798">
        <v>8</v>
      </c>
      <c r="C248" s="882" t="s">
        <v>671</v>
      </c>
      <c r="D248" s="497" t="s">
        <v>670</v>
      </c>
      <c r="E248" s="877" t="s">
        <v>1218</v>
      </c>
      <c r="F248" s="1759" t="s">
        <v>635</v>
      </c>
      <c r="G248" s="1273">
        <f t="shared" si="133"/>
        <v>2500</v>
      </c>
      <c r="H248" s="1274">
        <f t="shared" si="133"/>
        <v>966</v>
      </c>
      <c r="I248" s="1274">
        <f t="shared" si="133"/>
        <v>966</v>
      </c>
      <c r="J248" s="1391">
        <f t="shared" si="113"/>
        <v>1</v>
      </c>
      <c r="K248" s="1273">
        <f t="shared" si="134"/>
        <v>2500</v>
      </c>
      <c r="L248" s="1274">
        <f t="shared" si="134"/>
        <v>966</v>
      </c>
      <c r="M248" s="1274">
        <f t="shared" si="134"/>
        <v>966</v>
      </c>
      <c r="N248" s="1391">
        <f t="shared" si="114"/>
        <v>1</v>
      </c>
      <c r="O248" s="953"/>
      <c r="P248" s="954"/>
      <c r="Q248" s="954"/>
      <c r="R248" s="1385" t="str">
        <f t="shared" si="115"/>
        <v>-</v>
      </c>
      <c r="S248" s="953"/>
      <c r="T248" s="954"/>
      <c r="U248" s="954"/>
      <c r="V248" s="1385" t="str">
        <f t="shared" si="116"/>
        <v>-</v>
      </c>
      <c r="W248" s="953">
        <v>2500</v>
      </c>
      <c r="X248" s="954">
        <v>966</v>
      </c>
      <c r="Y248" s="954">
        <v>966</v>
      </c>
      <c r="Z248" s="1385">
        <f t="shared" si="117"/>
        <v>1</v>
      </c>
      <c r="AA248" s="953"/>
      <c r="AB248" s="954"/>
      <c r="AC248" s="954"/>
      <c r="AD248" s="1385" t="str">
        <f t="shared" si="118"/>
        <v>-</v>
      </c>
      <c r="AE248" s="953"/>
      <c r="AF248" s="954"/>
      <c r="AG248" s="954"/>
      <c r="AH248" s="1385" t="str">
        <f t="shared" si="119"/>
        <v>-</v>
      </c>
      <c r="AI248" s="1273">
        <f t="shared" si="135"/>
        <v>0</v>
      </c>
      <c r="AJ248" s="1274">
        <f t="shared" si="135"/>
        <v>0</v>
      </c>
      <c r="AK248" s="1274">
        <f t="shared" si="135"/>
        <v>0</v>
      </c>
      <c r="AL248" s="1391" t="str">
        <f t="shared" si="120"/>
        <v>-</v>
      </c>
      <c r="AM248" s="953"/>
      <c r="AN248" s="954"/>
      <c r="AO248" s="954"/>
      <c r="AP248" s="1385" t="str">
        <f t="shared" si="121"/>
        <v>-</v>
      </c>
      <c r="AQ248" s="953"/>
      <c r="AR248" s="954"/>
      <c r="AS248" s="954"/>
      <c r="AT248" s="1385" t="str">
        <f t="shared" si="122"/>
        <v>-</v>
      </c>
      <c r="AU248" s="953"/>
      <c r="AV248" s="954"/>
      <c r="AW248" s="954"/>
      <c r="AX248" s="1385" t="str">
        <f t="shared" si="123"/>
        <v>-</v>
      </c>
      <c r="AY248" s="464"/>
    </row>
    <row r="249" spans="1:54" ht="12.75" thickBot="1">
      <c r="A249" s="500" t="s">
        <v>587</v>
      </c>
      <c r="B249" s="793"/>
      <c r="C249" s="1862" t="s">
        <v>410</v>
      </c>
      <c r="D249" s="1863"/>
      <c r="E249" s="1863"/>
      <c r="F249" s="1864"/>
      <c r="G249" s="490">
        <f>SUM(G174:G248)</f>
        <v>3170894</v>
      </c>
      <c r="H249" s="491">
        <f>SUM(H174:H248)</f>
        <v>4549498</v>
      </c>
      <c r="I249" s="491">
        <f>SUM(I174:I248)</f>
        <v>1981095</v>
      </c>
      <c r="J249" s="1350">
        <f t="shared" si="113"/>
        <v>0.43545353795078051</v>
      </c>
      <c r="K249" s="490">
        <f>SUM(K174:K248)</f>
        <v>3028636</v>
      </c>
      <c r="L249" s="491">
        <f>SUM(L174:L248)</f>
        <v>3290609</v>
      </c>
      <c r="M249" s="491">
        <f>SUM(M174:M248)</f>
        <v>859677</v>
      </c>
      <c r="N249" s="1350">
        <f t="shared" si="114"/>
        <v>0.26125164065375134</v>
      </c>
      <c r="O249" s="490">
        <f>SUM(O174:O248)</f>
        <v>76485</v>
      </c>
      <c r="P249" s="491">
        <f>SUM(P174:P248)</f>
        <v>268802</v>
      </c>
      <c r="Q249" s="355">
        <f>SUM(Q174:Q248)</f>
        <v>268779</v>
      </c>
      <c r="R249" s="1350">
        <f t="shared" si="115"/>
        <v>0.99991443516045264</v>
      </c>
      <c r="S249" s="490">
        <f>SUM(S174:S248)</f>
        <v>10414</v>
      </c>
      <c r="T249" s="491">
        <f>SUM(T174:T248)</f>
        <v>34247</v>
      </c>
      <c r="U249" s="355">
        <f>SUM(U174:U248)</f>
        <v>34247</v>
      </c>
      <c r="V249" s="1350">
        <f t="shared" si="116"/>
        <v>1</v>
      </c>
      <c r="W249" s="490">
        <f>SUM(W174:W248)</f>
        <v>183775</v>
      </c>
      <c r="X249" s="491">
        <f>SUM(X174:X248)</f>
        <v>516587</v>
      </c>
      <c r="Y249" s="355">
        <f>SUM(Y174:Y248)</f>
        <v>412253</v>
      </c>
      <c r="Z249" s="1350">
        <f t="shared" si="117"/>
        <v>0.79803208365677025</v>
      </c>
      <c r="AA249" s="490">
        <f>SUM(AA174:AA248)</f>
        <v>49355</v>
      </c>
      <c r="AB249" s="491">
        <f>SUM(AB174:AB248)</f>
        <v>48429</v>
      </c>
      <c r="AC249" s="355">
        <f>SUM(AC174:AC248)</f>
        <v>48427</v>
      </c>
      <c r="AD249" s="1350">
        <f t="shared" si="118"/>
        <v>0.999958702430362</v>
      </c>
      <c r="AE249" s="490">
        <f>SUM(AE174:AE248)</f>
        <v>2708607</v>
      </c>
      <c r="AF249" s="491">
        <f>SUM(AF174:AF248)</f>
        <v>2422544</v>
      </c>
      <c r="AG249" s="355">
        <f>SUM(AG174:AG248)</f>
        <v>95971</v>
      </c>
      <c r="AH249" s="1350">
        <f t="shared" si="119"/>
        <v>3.9615792324102263E-2</v>
      </c>
      <c r="AI249" s="490">
        <f>SUM(AI174:AI248)</f>
        <v>142258</v>
      </c>
      <c r="AJ249" s="491">
        <f>SUM(AJ174:AJ248)</f>
        <v>1258889</v>
      </c>
      <c r="AK249" s="491">
        <f>SUM(AK174:AK248)</f>
        <v>1121418</v>
      </c>
      <c r="AL249" s="1350">
        <f t="shared" si="120"/>
        <v>0.89079974485439151</v>
      </c>
      <c r="AM249" s="490">
        <f>SUM(AM174:AM248)</f>
        <v>75000</v>
      </c>
      <c r="AN249" s="491">
        <f>SUM(AN174:AN248)</f>
        <v>719178</v>
      </c>
      <c r="AO249" s="355">
        <f>SUM(AO174:AO248)</f>
        <v>618527</v>
      </c>
      <c r="AP249" s="1350">
        <f t="shared" si="121"/>
        <v>0.86004716495777123</v>
      </c>
      <c r="AQ249" s="490">
        <f>SUM(AQ174:AQ248)</f>
        <v>67258</v>
      </c>
      <c r="AR249" s="491">
        <f>SUM(AR174:AR248)</f>
        <v>539711</v>
      </c>
      <c r="AS249" s="355">
        <f>SUM(AS174:AS248)</f>
        <v>502891</v>
      </c>
      <c r="AT249" s="1350">
        <f t="shared" si="122"/>
        <v>0.93177830357357916</v>
      </c>
      <c r="AU249" s="490">
        <f>SUM(AU174:AU248)</f>
        <v>0</v>
      </c>
      <c r="AV249" s="491">
        <f>SUM(AV174:AV248)</f>
        <v>0</v>
      </c>
      <c r="AW249" s="355">
        <f>SUM(AW174:AW248)</f>
        <v>0</v>
      </c>
      <c r="AX249" s="1350" t="str">
        <f t="shared" si="123"/>
        <v>-</v>
      </c>
      <c r="AY249" s="773"/>
    </row>
    <row r="250" spans="1:54">
      <c r="A250" s="504">
        <f>A248+1</f>
        <v>76</v>
      </c>
      <c r="B250" s="790">
        <v>9</v>
      </c>
      <c r="C250" s="935" t="s">
        <v>1026</v>
      </c>
      <c r="D250" s="900" t="s">
        <v>1025</v>
      </c>
      <c r="E250" s="936" t="s">
        <v>1228</v>
      </c>
      <c r="F250" s="942" t="s">
        <v>1093</v>
      </c>
      <c r="G250" s="1277">
        <f t="shared" ref="G250:I255" si="136">+K250+AI250</f>
        <v>1824</v>
      </c>
      <c r="H250" s="1278">
        <f t="shared" si="136"/>
        <v>2929</v>
      </c>
      <c r="I250" s="1278">
        <f t="shared" si="136"/>
        <v>2929</v>
      </c>
      <c r="J250" s="1389">
        <f t="shared" si="113"/>
        <v>1</v>
      </c>
      <c r="K250" s="1277">
        <f t="shared" ref="K250:M255" si="137">+O250+S250+W250+AA250+AE250</f>
        <v>1824</v>
      </c>
      <c r="L250" s="1278">
        <f t="shared" si="137"/>
        <v>2929</v>
      </c>
      <c r="M250" s="1278">
        <f t="shared" si="137"/>
        <v>2929</v>
      </c>
      <c r="N250" s="1389">
        <f t="shared" si="114"/>
        <v>1</v>
      </c>
      <c r="O250" s="953"/>
      <c r="P250" s="954"/>
      <c r="Q250" s="954"/>
      <c r="R250" s="1349" t="str">
        <f t="shared" si="115"/>
        <v>-</v>
      </c>
      <c r="S250" s="953"/>
      <c r="T250" s="954"/>
      <c r="U250" s="954"/>
      <c r="V250" s="1349" t="str">
        <f t="shared" si="116"/>
        <v>-</v>
      </c>
      <c r="W250" s="953"/>
      <c r="X250" s="954">
        <f>5178-2249</f>
        <v>2929</v>
      </c>
      <c r="Y250" s="954">
        <f>5178-2249</f>
        <v>2929</v>
      </c>
      <c r="Z250" s="1349">
        <f t="shared" si="117"/>
        <v>1</v>
      </c>
      <c r="AA250" s="953">
        <v>1824</v>
      </c>
      <c r="AB250" s="954">
        <v>0</v>
      </c>
      <c r="AC250" s="954"/>
      <c r="AD250" s="1349" t="str">
        <f t="shared" si="118"/>
        <v>-</v>
      </c>
      <c r="AE250" s="953"/>
      <c r="AF250" s="954"/>
      <c r="AG250" s="954"/>
      <c r="AH250" s="1349" t="str">
        <f t="shared" si="119"/>
        <v>-</v>
      </c>
      <c r="AI250" s="1277">
        <f t="shared" ref="AI250:AK255" si="138">+AM250+AQ250+AU250</f>
        <v>0</v>
      </c>
      <c r="AJ250" s="1278">
        <f t="shared" si="138"/>
        <v>0</v>
      </c>
      <c r="AK250" s="1278">
        <f t="shared" si="138"/>
        <v>0</v>
      </c>
      <c r="AL250" s="1389" t="str">
        <f t="shared" si="120"/>
        <v>-</v>
      </c>
      <c r="AM250" s="953"/>
      <c r="AN250" s="954"/>
      <c r="AO250" s="954"/>
      <c r="AP250" s="1349" t="str">
        <f t="shared" si="121"/>
        <v>-</v>
      </c>
      <c r="AQ250" s="953"/>
      <c r="AR250" s="954"/>
      <c r="AS250" s="954"/>
      <c r="AT250" s="1349" t="str">
        <f t="shared" si="122"/>
        <v>-</v>
      </c>
      <c r="AU250" s="953"/>
      <c r="AV250" s="954"/>
      <c r="AW250" s="954"/>
      <c r="AX250" s="1349" t="str">
        <f t="shared" si="123"/>
        <v>-</v>
      </c>
      <c r="AY250" s="464"/>
    </row>
    <row r="251" spans="1:54">
      <c r="A251" s="504">
        <f>+A250+1</f>
        <v>77</v>
      </c>
      <c r="B251" s="791">
        <v>10</v>
      </c>
      <c r="C251" s="938" t="s">
        <v>734</v>
      </c>
      <c r="D251" s="896" t="s">
        <v>735</v>
      </c>
      <c r="E251" s="937" t="s">
        <v>1218</v>
      </c>
      <c r="F251" s="943" t="s">
        <v>656</v>
      </c>
      <c r="G251" s="1277">
        <f t="shared" si="136"/>
        <v>0</v>
      </c>
      <c r="H251" s="1278">
        <f t="shared" si="136"/>
        <v>0</v>
      </c>
      <c r="I251" s="1278">
        <f t="shared" si="136"/>
        <v>0</v>
      </c>
      <c r="J251" s="1389" t="str">
        <f t="shared" ref="J251:J259" si="139">IF(ISERROR(I251/H251),"-",I251/H251)</f>
        <v>-</v>
      </c>
      <c r="K251" s="1277">
        <f t="shared" si="137"/>
        <v>0</v>
      </c>
      <c r="L251" s="1278">
        <f t="shared" si="137"/>
        <v>0</v>
      </c>
      <c r="M251" s="1278">
        <f t="shared" si="137"/>
        <v>0</v>
      </c>
      <c r="N251" s="1389" t="str">
        <f t="shared" ref="N251:N259" si="140">IF(ISERROR(M251/L251),"-",M251/L251)</f>
        <v>-</v>
      </c>
      <c r="O251" s="953"/>
      <c r="P251" s="954"/>
      <c r="Q251" s="954"/>
      <c r="R251" s="1349" t="str">
        <f t="shared" ref="R251:R259" si="141">IF(ISERROR(Q251/P251),"-",Q251/P251)</f>
        <v>-</v>
      </c>
      <c r="S251" s="955"/>
      <c r="T251" s="956"/>
      <c r="U251" s="954"/>
      <c r="V251" s="1349" t="str">
        <f t="shared" ref="V251:V259" si="142">IF(ISERROR(U251/T251),"-",U251/T251)</f>
        <v>-</v>
      </c>
      <c r="W251" s="955"/>
      <c r="X251" s="956"/>
      <c r="Y251" s="954"/>
      <c r="Z251" s="1349" t="str">
        <f t="shared" ref="Z251:Z259" si="143">IF(ISERROR(Y251/X251),"-",Y251/X251)</f>
        <v>-</v>
      </c>
      <c r="AA251" s="955"/>
      <c r="AB251" s="956"/>
      <c r="AC251" s="954"/>
      <c r="AD251" s="1349" t="str">
        <f t="shared" ref="AD251:AD259" si="144">IF(ISERROR(AC251/AB251),"-",AC251/AB251)</f>
        <v>-</v>
      </c>
      <c r="AE251" s="955"/>
      <c r="AF251" s="956"/>
      <c r="AG251" s="954"/>
      <c r="AH251" s="1349" t="str">
        <f t="shared" ref="AH251:AH259" si="145">IF(ISERROR(AG251/AF251),"-",AG251/AF251)</f>
        <v>-</v>
      </c>
      <c r="AI251" s="1277">
        <f t="shared" si="138"/>
        <v>0</v>
      </c>
      <c r="AJ251" s="1278">
        <f t="shared" si="138"/>
        <v>0</v>
      </c>
      <c r="AK251" s="1278">
        <f t="shared" si="138"/>
        <v>0</v>
      </c>
      <c r="AL251" s="1389" t="str">
        <f t="shared" ref="AL251:AL259" si="146">IF(ISERROR(AK251/AJ251),"-",AK251/AJ251)</f>
        <v>-</v>
      </c>
      <c r="AM251" s="955"/>
      <c r="AN251" s="956"/>
      <c r="AO251" s="954"/>
      <c r="AP251" s="1349" t="str">
        <f t="shared" ref="AP251:AP259" si="147">IF(ISERROR(AO251/AN251),"-",AO251/AN251)</f>
        <v>-</v>
      </c>
      <c r="AQ251" s="955"/>
      <c r="AR251" s="956"/>
      <c r="AS251" s="954"/>
      <c r="AT251" s="1349" t="str">
        <f t="shared" ref="AT251:AT259" si="148">IF(ISERROR(AS251/AR251),"-",AS251/AR251)</f>
        <v>-</v>
      </c>
      <c r="AU251" s="955"/>
      <c r="AV251" s="956"/>
      <c r="AW251" s="954"/>
      <c r="AX251" s="1349" t="str">
        <f t="shared" ref="AX251:AX259" si="149">IF(ISERROR(AW251/AV251),"-",AW251/AV251)</f>
        <v>-</v>
      </c>
      <c r="AY251" s="464"/>
    </row>
    <row r="252" spans="1:54">
      <c r="A252" s="504">
        <f t="shared" si="126"/>
        <v>78</v>
      </c>
      <c r="B252" s="790">
        <v>10</v>
      </c>
      <c r="C252" s="935" t="s">
        <v>733</v>
      </c>
      <c r="D252" s="900" t="s">
        <v>1018</v>
      </c>
      <c r="E252" s="937" t="s">
        <v>1230</v>
      </c>
      <c r="F252" s="944" t="s">
        <v>655</v>
      </c>
      <c r="G252" s="1277">
        <f t="shared" si="136"/>
        <v>345250</v>
      </c>
      <c r="H252" s="1278">
        <f t="shared" si="136"/>
        <v>66017</v>
      </c>
      <c r="I252" s="1278">
        <f t="shared" si="136"/>
        <v>66017</v>
      </c>
      <c r="J252" s="1389">
        <f t="shared" si="139"/>
        <v>1</v>
      </c>
      <c r="K252" s="1277">
        <f t="shared" si="137"/>
        <v>0</v>
      </c>
      <c r="L252" s="1278">
        <f t="shared" si="137"/>
        <v>3412</v>
      </c>
      <c r="M252" s="1278">
        <f t="shared" si="137"/>
        <v>3412</v>
      </c>
      <c r="N252" s="1389">
        <f t="shared" si="140"/>
        <v>1</v>
      </c>
      <c r="O252" s="953"/>
      <c r="P252" s="954"/>
      <c r="Q252" s="954"/>
      <c r="R252" s="1349" t="str">
        <f t="shared" si="141"/>
        <v>-</v>
      </c>
      <c r="S252" s="955"/>
      <c r="T252" s="956"/>
      <c r="U252" s="954"/>
      <c r="V252" s="1349" t="str">
        <f t="shared" si="142"/>
        <v>-</v>
      </c>
      <c r="W252" s="955"/>
      <c r="X252" s="956">
        <f>+(320+3092)</f>
        <v>3412</v>
      </c>
      <c r="Y252" s="956">
        <f>+(320+3092)</f>
        <v>3412</v>
      </c>
      <c r="Z252" s="1349">
        <f t="shared" si="143"/>
        <v>1</v>
      </c>
      <c r="AA252" s="955"/>
      <c r="AB252" s="956"/>
      <c r="AC252" s="954"/>
      <c r="AD252" s="1349" t="str">
        <f t="shared" si="144"/>
        <v>-</v>
      </c>
      <c r="AE252" s="955"/>
      <c r="AF252" s="956"/>
      <c r="AG252" s="954"/>
      <c r="AH252" s="1349" t="str">
        <f t="shared" si="145"/>
        <v>-</v>
      </c>
      <c r="AI252" s="1277">
        <f t="shared" si="138"/>
        <v>345250</v>
      </c>
      <c r="AJ252" s="1278">
        <f t="shared" si="138"/>
        <v>62605</v>
      </c>
      <c r="AK252" s="1278">
        <f t="shared" si="138"/>
        <v>62605</v>
      </c>
      <c r="AL252" s="1389">
        <f t="shared" si="146"/>
        <v>1</v>
      </c>
      <c r="AM252" s="955">
        <v>345250</v>
      </c>
      <c r="AN252" s="956">
        <v>62605</v>
      </c>
      <c r="AO252" s="954">
        <v>62605</v>
      </c>
      <c r="AP252" s="1349">
        <f t="shared" si="147"/>
        <v>1</v>
      </c>
      <c r="AQ252" s="955"/>
      <c r="AR252" s="956"/>
      <c r="AS252" s="954"/>
      <c r="AT252" s="1349" t="str">
        <f t="shared" si="148"/>
        <v>-</v>
      </c>
      <c r="AU252" s="955"/>
      <c r="AV252" s="956"/>
      <c r="AW252" s="954"/>
      <c r="AX252" s="1349" t="str">
        <f t="shared" si="149"/>
        <v>-</v>
      </c>
      <c r="AY252" s="464"/>
    </row>
    <row r="253" spans="1:54" s="470" customFormat="1">
      <c r="A253" s="504">
        <f>+A252+1</f>
        <v>79</v>
      </c>
      <c r="B253" s="791">
        <v>10</v>
      </c>
      <c r="C253" s="938" t="s">
        <v>737</v>
      </c>
      <c r="D253" s="896" t="s">
        <v>736</v>
      </c>
      <c r="E253" s="937" t="s">
        <v>1218</v>
      </c>
      <c r="F253" s="944" t="s">
        <v>664</v>
      </c>
      <c r="G253" s="1277">
        <f t="shared" si="136"/>
        <v>1000</v>
      </c>
      <c r="H253" s="1278">
        <f t="shared" si="136"/>
        <v>316</v>
      </c>
      <c r="I253" s="1278">
        <f t="shared" si="136"/>
        <v>216</v>
      </c>
      <c r="J253" s="1389">
        <f t="shared" si="139"/>
        <v>0.68354430379746833</v>
      </c>
      <c r="K253" s="1277">
        <f t="shared" si="137"/>
        <v>1000</v>
      </c>
      <c r="L253" s="1278">
        <f t="shared" si="137"/>
        <v>316</v>
      </c>
      <c r="M253" s="1278">
        <f t="shared" si="137"/>
        <v>216</v>
      </c>
      <c r="N253" s="1389">
        <f t="shared" si="140"/>
        <v>0.68354430379746833</v>
      </c>
      <c r="O253" s="953"/>
      <c r="P253" s="954"/>
      <c r="Q253" s="954"/>
      <c r="R253" s="1349" t="str">
        <f t="shared" si="141"/>
        <v>-</v>
      </c>
      <c r="S253" s="955"/>
      <c r="T253" s="956"/>
      <c r="U253" s="954"/>
      <c r="V253" s="1349" t="str">
        <f t="shared" si="142"/>
        <v>-</v>
      </c>
      <c r="W253" s="955"/>
      <c r="X253" s="956"/>
      <c r="Y253" s="954"/>
      <c r="Z253" s="1349" t="str">
        <f t="shared" si="143"/>
        <v>-</v>
      </c>
      <c r="AA253" s="955"/>
      <c r="AB253" s="956"/>
      <c r="AC253" s="954"/>
      <c r="AD253" s="1349" t="str">
        <f t="shared" si="144"/>
        <v>-</v>
      </c>
      <c r="AE253" s="955">
        <v>1000</v>
      </c>
      <c r="AF253" s="956">
        <f>216+100</f>
        <v>316</v>
      </c>
      <c r="AG253" s="954">
        <v>216</v>
      </c>
      <c r="AH253" s="1349">
        <f t="shared" si="145"/>
        <v>0.68354430379746833</v>
      </c>
      <c r="AI253" s="1277">
        <f t="shared" si="138"/>
        <v>0</v>
      </c>
      <c r="AJ253" s="1278">
        <f t="shared" si="138"/>
        <v>0</v>
      </c>
      <c r="AK253" s="1278">
        <f t="shared" si="138"/>
        <v>0</v>
      </c>
      <c r="AL253" s="1389" t="str">
        <f t="shared" si="146"/>
        <v>-</v>
      </c>
      <c r="AM253" s="955"/>
      <c r="AN253" s="956"/>
      <c r="AO253" s="954"/>
      <c r="AP253" s="1349" t="str">
        <f t="shared" si="147"/>
        <v>-</v>
      </c>
      <c r="AQ253" s="955"/>
      <c r="AR253" s="956"/>
      <c r="AS253" s="954"/>
      <c r="AT253" s="1349" t="str">
        <f t="shared" si="148"/>
        <v>-</v>
      </c>
      <c r="AU253" s="955"/>
      <c r="AV253" s="956"/>
      <c r="AW253" s="954"/>
      <c r="AX253" s="1349" t="str">
        <f t="shared" si="149"/>
        <v>-</v>
      </c>
      <c r="AY253" s="464"/>
      <c r="AZ253" s="295"/>
      <c r="BA253" s="295"/>
      <c r="BB253" s="295"/>
    </row>
    <row r="254" spans="1:54">
      <c r="A254" s="504">
        <f>+A253+1</f>
        <v>80</v>
      </c>
      <c r="B254" s="790">
        <v>10</v>
      </c>
      <c r="C254" s="935" t="s">
        <v>1031</v>
      </c>
      <c r="D254" s="900" t="s">
        <v>1032</v>
      </c>
      <c r="E254" s="937" t="s">
        <v>1218</v>
      </c>
      <c r="F254" s="944" t="s">
        <v>654</v>
      </c>
      <c r="G254" s="1277">
        <f t="shared" si="136"/>
        <v>2000</v>
      </c>
      <c r="H254" s="1278">
        <f t="shared" si="136"/>
        <v>0</v>
      </c>
      <c r="I254" s="1278">
        <f t="shared" si="136"/>
        <v>0</v>
      </c>
      <c r="J254" s="1389" t="str">
        <f t="shared" si="139"/>
        <v>-</v>
      </c>
      <c r="K254" s="1277">
        <f t="shared" si="137"/>
        <v>2000</v>
      </c>
      <c r="L254" s="1278">
        <f t="shared" si="137"/>
        <v>0</v>
      </c>
      <c r="M254" s="1278">
        <f t="shared" si="137"/>
        <v>0</v>
      </c>
      <c r="N254" s="1389" t="str">
        <f t="shared" si="140"/>
        <v>-</v>
      </c>
      <c r="O254" s="953"/>
      <c r="P254" s="954"/>
      <c r="Q254" s="954"/>
      <c r="R254" s="1349" t="str">
        <f t="shared" si="141"/>
        <v>-</v>
      </c>
      <c r="S254" s="955"/>
      <c r="T254" s="956"/>
      <c r="U254" s="954"/>
      <c r="V254" s="1349" t="str">
        <f t="shared" si="142"/>
        <v>-</v>
      </c>
      <c r="W254" s="955">
        <v>2000</v>
      </c>
      <c r="X254" s="956">
        <v>0</v>
      </c>
      <c r="Y254" s="954"/>
      <c r="Z254" s="1349" t="str">
        <f t="shared" si="143"/>
        <v>-</v>
      </c>
      <c r="AA254" s="955"/>
      <c r="AB254" s="956"/>
      <c r="AC254" s="954"/>
      <c r="AD254" s="1349" t="str">
        <f t="shared" si="144"/>
        <v>-</v>
      </c>
      <c r="AE254" s="955"/>
      <c r="AF254" s="956"/>
      <c r="AG254" s="954"/>
      <c r="AH254" s="1349" t="str">
        <f t="shared" si="145"/>
        <v>-</v>
      </c>
      <c r="AI254" s="1277">
        <f t="shared" si="138"/>
        <v>0</v>
      </c>
      <c r="AJ254" s="1278">
        <f t="shared" si="138"/>
        <v>0</v>
      </c>
      <c r="AK254" s="1278">
        <f t="shared" si="138"/>
        <v>0</v>
      </c>
      <c r="AL254" s="1389" t="str">
        <f t="shared" si="146"/>
        <v>-</v>
      </c>
      <c r="AM254" s="955"/>
      <c r="AN254" s="956"/>
      <c r="AO254" s="954"/>
      <c r="AP254" s="1349" t="str">
        <f t="shared" si="147"/>
        <v>-</v>
      </c>
      <c r="AQ254" s="955"/>
      <c r="AR254" s="956"/>
      <c r="AS254" s="954"/>
      <c r="AT254" s="1349" t="str">
        <f t="shared" si="148"/>
        <v>-</v>
      </c>
      <c r="AU254" s="955"/>
      <c r="AV254" s="956"/>
      <c r="AW254" s="954"/>
      <c r="AX254" s="1349" t="str">
        <f t="shared" si="149"/>
        <v>-</v>
      </c>
      <c r="AY254" s="464"/>
    </row>
    <row r="255" spans="1:54" ht="12.75" thickBot="1">
      <c r="A255" s="504">
        <f>+A254+1</f>
        <v>81</v>
      </c>
      <c r="B255" s="791">
        <v>9</v>
      </c>
      <c r="C255" s="938" t="s">
        <v>687</v>
      </c>
      <c r="D255" s="896" t="s">
        <v>688</v>
      </c>
      <c r="E255" s="937" t="s">
        <v>1218</v>
      </c>
      <c r="F255" s="944" t="s">
        <v>686</v>
      </c>
      <c r="G255" s="1277">
        <f t="shared" si="136"/>
        <v>1600</v>
      </c>
      <c r="H255" s="1278">
        <f t="shared" si="136"/>
        <v>305</v>
      </c>
      <c r="I255" s="1278">
        <f t="shared" si="136"/>
        <v>305</v>
      </c>
      <c r="J255" s="1389">
        <f t="shared" si="139"/>
        <v>1</v>
      </c>
      <c r="K255" s="1277">
        <f t="shared" si="137"/>
        <v>1600</v>
      </c>
      <c r="L255" s="1278">
        <f t="shared" si="137"/>
        <v>305</v>
      </c>
      <c r="M255" s="1278">
        <f t="shared" si="137"/>
        <v>305</v>
      </c>
      <c r="N255" s="1389">
        <f t="shared" si="140"/>
        <v>1</v>
      </c>
      <c r="O255" s="953"/>
      <c r="P255" s="954"/>
      <c r="Q255" s="954"/>
      <c r="R255" s="1349" t="str">
        <f t="shared" si="141"/>
        <v>-</v>
      </c>
      <c r="S255" s="955"/>
      <c r="T255" s="956"/>
      <c r="U255" s="954"/>
      <c r="V255" s="1349" t="str">
        <f t="shared" si="142"/>
        <v>-</v>
      </c>
      <c r="W255" s="955"/>
      <c r="X255" s="956"/>
      <c r="Y255" s="954"/>
      <c r="Z255" s="1349" t="str">
        <f t="shared" si="143"/>
        <v>-</v>
      </c>
      <c r="AA255" s="955">
        <v>1600</v>
      </c>
      <c r="AB255" s="956">
        <v>0</v>
      </c>
      <c r="AC255" s="954"/>
      <c r="AD255" s="1349" t="str">
        <f t="shared" si="144"/>
        <v>-</v>
      </c>
      <c r="AE255" s="955"/>
      <c r="AF255" s="956">
        <v>305</v>
      </c>
      <c r="AG255" s="954">
        <v>305</v>
      </c>
      <c r="AH255" s="1349">
        <f t="shared" si="145"/>
        <v>1</v>
      </c>
      <c r="AI255" s="1277">
        <f t="shared" si="138"/>
        <v>0</v>
      </c>
      <c r="AJ255" s="1278">
        <f t="shared" si="138"/>
        <v>0</v>
      </c>
      <c r="AK255" s="1278">
        <f t="shared" si="138"/>
        <v>0</v>
      </c>
      <c r="AL255" s="1389" t="str">
        <f t="shared" si="146"/>
        <v>-</v>
      </c>
      <c r="AM255" s="955"/>
      <c r="AN255" s="956"/>
      <c r="AO255" s="954"/>
      <c r="AP255" s="1349" t="str">
        <f t="shared" si="147"/>
        <v>-</v>
      </c>
      <c r="AQ255" s="955"/>
      <c r="AR255" s="956"/>
      <c r="AS255" s="954"/>
      <c r="AT255" s="1349" t="str">
        <f t="shared" si="148"/>
        <v>-</v>
      </c>
      <c r="AU255" s="955"/>
      <c r="AV255" s="956"/>
      <c r="AW255" s="954"/>
      <c r="AX255" s="1349" t="str">
        <f t="shared" si="149"/>
        <v>-</v>
      </c>
      <c r="AY255" s="464"/>
    </row>
    <row r="256" spans="1:54" ht="12.75" thickBot="1">
      <c r="A256" s="500" t="s">
        <v>588</v>
      </c>
      <c r="B256" s="793"/>
      <c r="C256" s="1862" t="s">
        <v>411</v>
      </c>
      <c r="D256" s="1863"/>
      <c r="E256" s="1863"/>
      <c r="F256" s="1864"/>
      <c r="G256" s="490">
        <f>SUM(G250:G255)</f>
        <v>351674</v>
      </c>
      <c r="H256" s="491">
        <f>SUM(H250:H255)</f>
        <v>69567</v>
      </c>
      <c r="I256" s="491">
        <f>SUM(I250:I255)</f>
        <v>69467</v>
      </c>
      <c r="J256" s="1350">
        <f t="shared" si="139"/>
        <v>0.99856253683499363</v>
      </c>
      <c r="K256" s="490">
        <f>SUM(K250:K255)</f>
        <v>6424</v>
      </c>
      <c r="L256" s="491">
        <f>SUM(L250:L255)</f>
        <v>6962</v>
      </c>
      <c r="M256" s="491">
        <f>SUM(M250:M255)</f>
        <v>6862</v>
      </c>
      <c r="N256" s="1350">
        <f t="shared" si="140"/>
        <v>0.98563631140476871</v>
      </c>
      <c r="O256" s="490">
        <f>SUM(O250:O255)</f>
        <v>0</v>
      </c>
      <c r="P256" s="491">
        <f>SUM(P250:P255)</f>
        <v>0</v>
      </c>
      <c r="Q256" s="355">
        <f>SUM(Q250:Q255)</f>
        <v>0</v>
      </c>
      <c r="R256" s="1350" t="str">
        <f t="shared" si="141"/>
        <v>-</v>
      </c>
      <c r="S256" s="490">
        <f>SUM(S250:S255)</f>
        <v>0</v>
      </c>
      <c r="T256" s="491">
        <f>SUM(T250:T255)</f>
        <v>0</v>
      </c>
      <c r="U256" s="355">
        <f>SUM(U250:U255)</f>
        <v>0</v>
      </c>
      <c r="V256" s="1350" t="str">
        <f t="shared" si="142"/>
        <v>-</v>
      </c>
      <c r="W256" s="490">
        <f>SUM(W250:W255)</f>
        <v>2000</v>
      </c>
      <c r="X256" s="491">
        <f>SUM(X250:X255)</f>
        <v>6341</v>
      </c>
      <c r="Y256" s="355">
        <f>SUM(Y250:Y255)</f>
        <v>6341</v>
      </c>
      <c r="Z256" s="1350">
        <f t="shared" si="143"/>
        <v>1</v>
      </c>
      <c r="AA256" s="490">
        <f>SUM(AA250:AA255)</f>
        <v>3424</v>
      </c>
      <c r="AB256" s="491">
        <f>SUM(AB250:AB255)</f>
        <v>0</v>
      </c>
      <c r="AC256" s="355">
        <f>SUM(AC250:AC255)</f>
        <v>0</v>
      </c>
      <c r="AD256" s="1350" t="str">
        <f t="shared" si="144"/>
        <v>-</v>
      </c>
      <c r="AE256" s="490">
        <f>SUM(AE250:AE255)</f>
        <v>1000</v>
      </c>
      <c r="AF256" s="491">
        <f>SUM(AF250:AF255)</f>
        <v>621</v>
      </c>
      <c r="AG256" s="355">
        <f>SUM(AG250:AG255)</f>
        <v>521</v>
      </c>
      <c r="AH256" s="1350">
        <f t="shared" si="145"/>
        <v>0.83896940418679544</v>
      </c>
      <c r="AI256" s="490">
        <f>SUM(AI250:AI255)</f>
        <v>345250</v>
      </c>
      <c r="AJ256" s="491">
        <f>SUM(AJ250:AJ255)</f>
        <v>62605</v>
      </c>
      <c r="AK256" s="491">
        <f>SUM(AK250:AK255)</f>
        <v>62605</v>
      </c>
      <c r="AL256" s="1350">
        <f t="shared" si="146"/>
        <v>1</v>
      </c>
      <c r="AM256" s="490">
        <f>SUM(AM250:AM255)</f>
        <v>345250</v>
      </c>
      <c r="AN256" s="491">
        <f>SUM(AN250:AN255)</f>
        <v>62605</v>
      </c>
      <c r="AO256" s="355">
        <f>SUM(AO250:AO255)</f>
        <v>62605</v>
      </c>
      <c r="AP256" s="1350">
        <f t="shared" si="147"/>
        <v>1</v>
      </c>
      <c r="AQ256" s="490">
        <f>SUM(AQ250:AQ255)</f>
        <v>0</v>
      </c>
      <c r="AR256" s="491">
        <f>SUM(AR250:AR255)</f>
        <v>0</v>
      </c>
      <c r="AS256" s="355">
        <f>SUM(AS250:AS255)</f>
        <v>0</v>
      </c>
      <c r="AT256" s="1350" t="str">
        <f t="shared" si="148"/>
        <v>-</v>
      </c>
      <c r="AU256" s="490">
        <f>SUM(AU250:AU255)</f>
        <v>0</v>
      </c>
      <c r="AV256" s="491">
        <f>SUM(AV250:AV255)</f>
        <v>0</v>
      </c>
      <c r="AW256" s="355">
        <f>SUM(AW250:AW255)</f>
        <v>0</v>
      </c>
      <c r="AX256" s="1350" t="str">
        <f t="shared" si="149"/>
        <v>-</v>
      </c>
      <c r="AY256" s="773"/>
    </row>
    <row r="257" spans="1:54" ht="12.75" customHeight="1" thickBot="1">
      <c r="A257" s="504">
        <f>+A255+1</f>
        <v>82</v>
      </c>
      <c r="B257" s="791">
        <v>11</v>
      </c>
      <c r="C257" s="938" t="s">
        <v>19</v>
      </c>
      <c r="D257" s="945" t="s">
        <v>19</v>
      </c>
      <c r="E257" s="936" t="s">
        <v>19</v>
      </c>
      <c r="F257" s="945" t="s">
        <v>19</v>
      </c>
      <c r="G257" s="1273">
        <f>+K257+AI257</f>
        <v>0</v>
      </c>
      <c r="H257" s="1274">
        <f>+L257+AJ257</f>
        <v>0</v>
      </c>
      <c r="I257" s="1274">
        <f>+M257+AK257</f>
        <v>0</v>
      </c>
      <c r="J257" s="1389" t="str">
        <f t="shared" si="139"/>
        <v>-</v>
      </c>
      <c r="K257" s="1273">
        <f>+O257+S257+W257+AA257+AE257</f>
        <v>0</v>
      </c>
      <c r="L257" s="1274">
        <f>+P257+T257+X257+AB257+AF257</f>
        <v>0</v>
      </c>
      <c r="M257" s="1274">
        <f>+Q257+U257+Y257+AC257+AG257</f>
        <v>0</v>
      </c>
      <c r="N257" s="1389" t="str">
        <f t="shared" si="140"/>
        <v>-</v>
      </c>
      <c r="O257" s="953"/>
      <c r="P257" s="954"/>
      <c r="Q257" s="954"/>
      <c r="R257" s="1349" t="str">
        <f t="shared" si="141"/>
        <v>-</v>
      </c>
      <c r="S257" s="955"/>
      <c r="T257" s="956"/>
      <c r="U257" s="954"/>
      <c r="V257" s="1349" t="str">
        <f t="shared" si="142"/>
        <v>-</v>
      </c>
      <c r="W257" s="955"/>
      <c r="X257" s="956"/>
      <c r="Y257" s="954"/>
      <c r="Z257" s="1349" t="str">
        <f t="shared" si="143"/>
        <v>-</v>
      </c>
      <c r="AA257" s="955"/>
      <c r="AB257" s="956"/>
      <c r="AC257" s="954"/>
      <c r="AD257" s="1349" t="str">
        <f t="shared" si="144"/>
        <v>-</v>
      </c>
      <c r="AE257" s="955"/>
      <c r="AF257" s="956"/>
      <c r="AG257" s="954"/>
      <c r="AH257" s="1349" t="str">
        <f t="shared" si="145"/>
        <v>-</v>
      </c>
      <c r="AI257" s="1273">
        <f>+AM257+AQ257+AU257</f>
        <v>0</v>
      </c>
      <c r="AJ257" s="1274">
        <f>+AN257+AR257+AV257</f>
        <v>0</v>
      </c>
      <c r="AK257" s="1274">
        <f>+AO257+AS257+AW257</f>
        <v>0</v>
      </c>
      <c r="AL257" s="1389" t="str">
        <f t="shared" si="146"/>
        <v>-</v>
      </c>
      <c r="AM257" s="955"/>
      <c r="AN257" s="956"/>
      <c r="AO257" s="954"/>
      <c r="AP257" s="1349" t="str">
        <f t="shared" si="147"/>
        <v>-</v>
      </c>
      <c r="AQ257" s="955"/>
      <c r="AR257" s="956"/>
      <c r="AS257" s="954"/>
      <c r="AT257" s="1349" t="str">
        <f t="shared" si="148"/>
        <v>-</v>
      </c>
      <c r="AU257" s="955"/>
      <c r="AV257" s="956"/>
      <c r="AW257" s="954"/>
      <c r="AX257" s="1349" t="str">
        <f t="shared" si="149"/>
        <v>-</v>
      </c>
      <c r="AY257" s="464"/>
      <c r="AZ257" s="470"/>
      <c r="BA257" s="470"/>
      <c r="BB257" s="470"/>
    </row>
    <row r="258" spans="1:54" ht="12.75" thickBot="1">
      <c r="A258" s="500" t="s">
        <v>589</v>
      </c>
      <c r="B258" s="793"/>
      <c r="C258" s="1862" t="s">
        <v>412</v>
      </c>
      <c r="D258" s="1863"/>
      <c r="E258" s="1863"/>
      <c r="F258" s="1864"/>
      <c r="G258" s="490">
        <f>SUM(G257:G257)</f>
        <v>0</v>
      </c>
      <c r="H258" s="491">
        <f>SUM(H257:H257)</f>
        <v>0</v>
      </c>
      <c r="I258" s="491">
        <f>SUM(I257:I257)</f>
        <v>0</v>
      </c>
      <c r="J258" s="1350" t="str">
        <f t="shared" si="139"/>
        <v>-</v>
      </c>
      <c r="K258" s="490">
        <f>SUM(K257:K257)</f>
        <v>0</v>
      </c>
      <c r="L258" s="491">
        <f>SUM(L257:L257)</f>
        <v>0</v>
      </c>
      <c r="M258" s="491">
        <f>SUM(M257:M257)</f>
        <v>0</v>
      </c>
      <c r="N258" s="1350" t="str">
        <f t="shared" si="140"/>
        <v>-</v>
      </c>
      <c r="O258" s="490">
        <f>SUM(O257:O257)</f>
        <v>0</v>
      </c>
      <c r="P258" s="491">
        <f>SUM(P257:P257)</f>
        <v>0</v>
      </c>
      <c r="Q258" s="355">
        <f>SUM(Q257:Q257)</f>
        <v>0</v>
      </c>
      <c r="R258" s="1350" t="str">
        <f t="shared" si="141"/>
        <v>-</v>
      </c>
      <c r="S258" s="490">
        <f>SUM(S257:S257)</f>
        <v>0</v>
      </c>
      <c r="T258" s="491">
        <f>SUM(T257:T257)</f>
        <v>0</v>
      </c>
      <c r="U258" s="355">
        <f>SUM(U257:U257)</f>
        <v>0</v>
      </c>
      <c r="V258" s="1350" t="str">
        <f t="shared" si="142"/>
        <v>-</v>
      </c>
      <c r="W258" s="490">
        <f>SUM(W257:W257)</f>
        <v>0</v>
      </c>
      <c r="X258" s="491">
        <f>SUM(X257:X257)</f>
        <v>0</v>
      </c>
      <c r="Y258" s="355">
        <f>SUM(Y257:Y257)</f>
        <v>0</v>
      </c>
      <c r="Z258" s="1350" t="str">
        <f t="shared" si="143"/>
        <v>-</v>
      </c>
      <c r="AA258" s="490">
        <f>SUM(AA257:AA257)</f>
        <v>0</v>
      </c>
      <c r="AB258" s="491">
        <f>SUM(AB257:AB257)</f>
        <v>0</v>
      </c>
      <c r="AC258" s="355">
        <f>SUM(AC257:AC257)</f>
        <v>0</v>
      </c>
      <c r="AD258" s="1350" t="str">
        <f t="shared" si="144"/>
        <v>-</v>
      </c>
      <c r="AE258" s="490">
        <f>SUM(AE257:AE257)</f>
        <v>0</v>
      </c>
      <c r="AF258" s="491">
        <f>SUM(AF257:AF257)</f>
        <v>0</v>
      </c>
      <c r="AG258" s="355">
        <f>SUM(AG257:AG257)</f>
        <v>0</v>
      </c>
      <c r="AH258" s="1350" t="str">
        <f t="shared" si="145"/>
        <v>-</v>
      </c>
      <c r="AI258" s="490">
        <f>SUM(AI257:AI257)</f>
        <v>0</v>
      </c>
      <c r="AJ258" s="491">
        <f>SUM(AJ257:AJ257)</f>
        <v>0</v>
      </c>
      <c r="AK258" s="491">
        <f>SUM(AK257:AK257)</f>
        <v>0</v>
      </c>
      <c r="AL258" s="1350" t="str">
        <f t="shared" si="146"/>
        <v>-</v>
      </c>
      <c r="AM258" s="490">
        <f>SUM(AM257:AM257)</f>
        <v>0</v>
      </c>
      <c r="AN258" s="491">
        <f>SUM(AN257:AN257)</f>
        <v>0</v>
      </c>
      <c r="AO258" s="355">
        <f>SUM(AO257:AO257)</f>
        <v>0</v>
      </c>
      <c r="AP258" s="1350" t="str">
        <f t="shared" si="147"/>
        <v>-</v>
      </c>
      <c r="AQ258" s="490">
        <f>SUM(AQ257:AQ257)</f>
        <v>0</v>
      </c>
      <c r="AR258" s="491">
        <f>SUM(AR257:AR257)</f>
        <v>0</v>
      </c>
      <c r="AS258" s="355">
        <f>SUM(AS257:AS257)</f>
        <v>0</v>
      </c>
      <c r="AT258" s="1350" t="str">
        <f t="shared" si="148"/>
        <v>-</v>
      </c>
      <c r="AU258" s="490">
        <f>SUM(AU257:AU257)</f>
        <v>0</v>
      </c>
      <c r="AV258" s="491">
        <f>SUM(AV257:AV257)</f>
        <v>0</v>
      </c>
      <c r="AW258" s="355">
        <f>SUM(AW257:AW257)</f>
        <v>0</v>
      </c>
      <c r="AX258" s="1350" t="str">
        <f t="shared" si="149"/>
        <v>-</v>
      </c>
      <c r="AY258" s="773"/>
    </row>
    <row r="259" spans="1:54" s="462" customFormat="1" ht="12.75" thickBot="1">
      <c r="A259" s="501" t="s">
        <v>23</v>
      </c>
      <c r="B259" s="794"/>
      <c r="C259" s="1877" t="s">
        <v>413</v>
      </c>
      <c r="D259" s="1878"/>
      <c r="E259" s="1878"/>
      <c r="F259" s="1879"/>
      <c r="G259" s="474">
        <f>+G249+G256+G258</f>
        <v>3522568</v>
      </c>
      <c r="H259" s="475">
        <f>+H249+H256+H258</f>
        <v>4619065</v>
      </c>
      <c r="I259" s="475">
        <f>+I249+I256+I258</f>
        <v>2050562</v>
      </c>
      <c r="J259" s="1386">
        <f t="shared" si="139"/>
        <v>0.44393443261785664</v>
      </c>
      <c r="K259" s="474">
        <f>+K249+K256+K258</f>
        <v>3035060</v>
      </c>
      <c r="L259" s="475">
        <f>+L249+L256+L258</f>
        <v>3297571</v>
      </c>
      <c r="M259" s="475">
        <f>+M249+M256+M258</f>
        <v>866539</v>
      </c>
      <c r="N259" s="1386">
        <f t="shared" si="140"/>
        <v>0.26278099849859182</v>
      </c>
      <c r="O259" s="492">
        <f>+O249+O256+O258</f>
        <v>76485</v>
      </c>
      <c r="P259" s="493">
        <f>+P249+P256+P258</f>
        <v>268802</v>
      </c>
      <c r="Q259" s="475">
        <f>+Q249+Q256+Q258</f>
        <v>268779</v>
      </c>
      <c r="R259" s="1386">
        <f t="shared" si="141"/>
        <v>0.99991443516045264</v>
      </c>
      <c r="S259" s="492">
        <f>+S249+S256+S258</f>
        <v>10414</v>
      </c>
      <c r="T259" s="493">
        <f>+T249+T256+T258</f>
        <v>34247</v>
      </c>
      <c r="U259" s="475">
        <f>+U249+U256+U258</f>
        <v>34247</v>
      </c>
      <c r="V259" s="1386">
        <f t="shared" si="142"/>
        <v>1</v>
      </c>
      <c r="W259" s="492">
        <f>+W249+W256+W258</f>
        <v>185775</v>
      </c>
      <c r="X259" s="493">
        <f>+X249+X256+X258</f>
        <v>522928</v>
      </c>
      <c r="Y259" s="475">
        <f>+Y249+Y256+Y258</f>
        <v>418594</v>
      </c>
      <c r="Z259" s="1386">
        <f t="shared" si="143"/>
        <v>0.8004811369825291</v>
      </c>
      <c r="AA259" s="492">
        <f>+AA249+AA256+AA258</f>
        <v>52779</v>
      </c>
      <c r="AB259" s="493">
        <f>+AB249+AB256+AB258</f>
        <v>48429</v>
      </c>
      <c r="AC259" s="475">
        <f>+AC249+AC256+AC258</f>
        <v>48427</v>
      </c>
      <c r="AD259" s="1386">
        <f t="shared" si="144"/>
        <v>0.999958702430362</v>
      </c>
      <c r="AE259" s="492">
        <f>+AE249+AE256+AE258</f>
        <v>2709607</v>
      </c>
      <c r="AF259" s="493">
        <f>+AF249+AF256+AF258</f>
        <v>2423165</v>
      </c>
      <c r="AG259" s="475">
        <f>+AG249+AG256+AG258</f>
        <v>96492</v>
      </c>
      <c r="AH259" s="1386">
        <f t="shared" si="145"/>
        <v>3.9820647789151793E-2</v>
      </c>
      <c r="AI259" s="474">
        <f>+AI249+AI256+AI258</f>
        <v>487508</v>
      </c>
      <c r="AJ259" s="475">
        <f>+AJ249+AJ256+AJ258</f>
        <v>1321494</v>
      </c>
      <c r="AK259" s="475">
        <f>+AK249+AK256+AK258</f>
        <v>1184023</v>
      </c>
      <c r="AL259" s="1386">
        <f t="shared" si="146"/>
        <v>0.89597304263205135</v>
      </c>
      <c r="AM259" s="492">
        <f>+AM249+AM256+AM258</f>
        <v>420250</v>
      </c>
      <c r="AN259" s="493">
        <f>+AN249+AN256+AN258</f>
        <v>781783</v>
      </c>
      <c r="AO259" s="475">
        <f>+AO249+AO256+AO258</f>
        <v>681132</v>
      </c>
      <c r="AP259" s="1386">
        <f t="shared" si="147"/>
        <v>0.87125455529219742</v>
      </c>
      <c r="AQ259" s="492">
        <f>+AQ249+AQ256+AQ258</f>
        <v>67258</v>
      </c>
      <c r="AR259" s="493">
        <f>+AR249+AR256+AR258</f>
        <v>539711</v>
      </c>
      <c r="AS259" s="475">
        <f>+AS249+AS256+AS258</f>
        <v>502891</v>
      </c>
      <c r="AT259" s="1386">
        <f t="shared" si="148"/>
        <v>0.93177830357357916</v>
      </c>
      <c r="AU259" s="492">
        <f>+AU249+AU256+AU258</f>
        <v>0</v>
      </c>
      <c r="AV259" s="493">
        <f>+AV249+AV256+AV258</f>
        <v>0</v>
      </c>
      <c r="AW259" s="475">
        <f>+AW249+AW256+AW258</f>
        <v>0</v>
      </c>
      <c r="AX259" s="1386" t="str">
        <f t="shared" si="149"/>
        <v>-</v>
      </c>
      <c r="AY259" s="773"/>
      <c r="AZ259" s="295"/>
      <c r="BA259" s="295"/>
      <c r="BB259" s="295"/>
    </row>
    <row r="260" spans="1:54" ht="12.75" thickBot="1">
      <c r="A260" s="785"/>
      <c r="B260" s="795"/>
      <c r="C260" s="880"/>
      <c r="D260" s="498"/>
      <c r="E260" s="875"/>
      <c r="F260" s="476"/>
      <c r="G260" s="477"/>
      <c r="H260" s="478"/>
      <c r="I260" s="478"/>
      <c r="J260" s="917"/>
      <c r="K260" s="477"/>
      <c r="L260" s="478"/>
      <c r="M260" s="478"/>
      <c r="N260" s="917"/>
      <c r="O260" s="477"/>
      <c r="P260" s="478"/>
      <c r="Q260" s="478"/>
      <c r="R260" s="917"/>
      <c r="S260" s="477"/>
      <c r="T260" s="478"/>
      <c r="U260" s="478"/>
      <c r="V260" s="917"/>
      <c r="W260" s="477"/>
      <c r="X260" s="478"/>
      <c r="Y260" s="478"/>
      <c r="Z260" s="917"/>
      <c r="AA260" s="477"/>
      <c r="AB260" s="478"/>
      <c r="AC260" s="478"/>
      <c r="AD260" s="917"/>
      <c r="AE260" s="477"/>
      <c r="AF260" s="478"/>
      <c r="AG260" s="478"/>
      <c r="AH260" s="917"/>
      <c r="AI260" s="477"/>
      <c r="AJ260" s="478"/>
      <c r="AK260" s="478"/>
      <c r="AL260" s="917"/>
      <c r="AM260" s="477"/>
      <c r="AN260" s="478"/>
      <c r="AO260" s="478"/>
      <c r="AP260" s="917"/>
      <c r="AQ260" s="477"/>
      <c r="AR260" s="478"/>
      <c r="AS260" s="478"/>
      <c r="AT260" s="917"/>
      <c r="AU260" s="477"/>
      <c r="AV260" s="478"/>
      <c r="AW260" s="478"/>
      <c r="AX260" s="917"/>
      <c r="AY260" s="773"/>
    </row>
    <row r="261" spans="1:54" s="470" customFormat="1">
      <c r="A261" s="505">
        <f>A257+1</f>
        <v>83</v>
      </c>
      <c r="B261" s="796">
        <v>12</v>
      </c>
      <c r="C261" s="946" t="s">
        <v>667</v>
      </c>
      <c r="D261" s="904" t="s">
        <v>666</v>
      </c>
      <c r="E261" s="947" t="s">
        <v>1218</v>
      </c>
      <c r="F261" s="948" t="s">
        <v>991</v>
      </c>
      <c r="G261" s="1281">
        <f t="shared" ref="G261:I265" si="150">+K261+AI261</f>
        <v>227947</v>
      </c>
      <c r="H261" s="1282">
        <f t="shared" si="150"/>
        <v>251156</v>
      </c>
      <c r="I261" s="1282">
        <f t="shared" si="150"/>
        <v>244044</v>
      </c>
      <c r="J261" s="1389">
        <f t="shared" ref="J261:J279" si="151">IF(ISERROR(I261/H261),"-",I261/H261)</f>
        <v>0.97168293809425221</v>
      </c>
      <c r="K261" s="1281">
        <f t="shared" ref="K261:M265" si="152">+O261+S261+W261+AA261+AE261</f>
        <v>223947</v>
      </c>
      <c r="L261" s="1282">
        <f t="shared" si="152"/>
        <v>247151</v>
      </c>
      <c r="M261" s="1282">
        <f t="shared" si="152"/>
        <v>240039</v>
      </c>
      <c r="N261" s="1389">
        <f t="shared" ref="N261:N279" si="153">IF(ISERROR(M261/L261),"-",M261/L261)</f>
        <v>0.97122406949597617</v>
      </c>
      <c r="O261" s="957">
        <v>168150</v>
      </c>
      <c r="P261" s="958">
        <f>173034+1524+1</f>
        <v>174559</v>
      </c>
      <c r="Q261" s="958">
        <f>173034+1524+1</f>
        <v>174559</v>
      </c>
      <c r="R261" s="1349">
        <f t="shared" ref="R261:R279" si="154">IF(ISERROR(Q261/P261),"-",Q261/P261)</f>
        <v>1</v>
      </c>
      <c r="S261" s="957">
        <v>32584</v>
      </c>
      <c r="T261" s="958">
        <f>32627+255</f>
        <v>32882</v>
      </c>
      <c r="U261" s="958">
        <f>32627+255</f>
        <v>32882</v>
      </c>
      <c r="V261" s="1349">
        <f t="shared" ref="V261:V279" si="155">IF(ISERROR(U261/T261),"-",U261/T261)</f>
        <v>1</v>
      </c>
      <c r="W261" s="957">
        <v>23213</v>
      </c>
      <c r="X261" s="958">
        <f>32598+7112</f>
        <v>39710</v>
      </c>
      <c r="Y261" s="958">
        <f>32193+405</f>
        <v>32598</v>
      </c>
      <c r="Z261" s="1349">
        <f t="shared" ref="Z261:Z279" si="156">IF(ISERROR(Y261/X261),"-",Y261/X261)</f>
        <v>0.82090153613699324</v>
      </c>
      <c r="AA261" s="957"/>
      <c r="AB261" s="958"/>
      <c r="AC261" s="958"/>
      <c r="AD261" s="1349" t="str">
        <f t="shared" ref="AD261:AD279" si="157">IF(ISERROR(AC261/AB261),"-",AC261/AB261)</f>
        <v>-</v>
      </c>
      <c r="AE261" s="957"/>
      <c r="AF261" s="958"/>
      <c r="AG261" s="958"/>
      <c r="AH261" s="1349" t="str">
        <f t="shared" ref="AH261:AH279" si="158">IF(ISERROR(AG261/AF261),"-",AG261/AF261)</f>
        <v>-</v>
      </c>
      <c r="AI261" s="1281">
        <f t="shared" ref="AI261:AK265" si="159">+AM261+AQ261+AU261</f>
        <v>4000</v>
      </c>
      <c r="AJ261" s="1282">
        <f t="shared" si="159"/>
        <v>4005</v>
      </c>
      <c r="AK261" s="1282">
        <f t="shared" si="159"/>
        <v>4005</v>
      </c>
      <c r="AL261" s="1389">
        <f t="shared" ref="AL261:AL279" si="160">IF(ISERROR(AK261/AJ261),"-",AK261/AJ261)</f>
        <v>1</v>
      </c>
      <c r="AM261" s="957">
        <v>4000</v>
      </c>
      <c r="AN261" s="958">
        <v>4005</v>
      </c>
      <c r="AO261" s="958">
        <v>4005</v>
      </c>
      <c r="AP261" s="1349">
        <f t="shared" ref="AP261:AP279" si="161">IF(ISERROR(AO261/AN261),"-",AO261/AN261)</f>
        <v>1</v>
      </c>
      <c r="AQ261" s="957"/>
      <c r="AR261" s="958"/>
      <c r="AS261" s="958"/>
      <c r="AT261" s="1349" t="str">
        <f t="shared" ref="AT261:AT279" si="162">IF(ISERROR(AS261/AR261),"-",AS261/AR261)</f>
        <v>-</v>
      </c>
      <c r="AU261" s="957"/>
      <c r="AV261" s="958"/>
      <c r="AW261" s="958"/>
      <c r="AX261" s="1349" t="str">
        <f t="shared" ref="AX261:AX279" si="163">IF(ISERROR(AW261/AV261),"-",AW261/AV261)</f>
        <v>-</v>
      </c>
      <c r="AY261" s="464"/>
      <c r="AZ261" s="295"/>
      <c r="BA261" s="295"/>
      <c r="BB261" s="295"/>
    </row>
    <row r="262" spans="1:54" s="466" customFormat="1" ht="24">
      <c r="A262" s="504">
        <f>+A261+1</f>
        <v>84</v>
      </c>
      <c r="B262" s="791">
        <v>13</v>
      </c>
      <c r="C262" s="938" t="s">
        <v>1033</v>
      </c>
      <c r="D262" s="896" t="s">
        <v>1248</v>
      </c>
      <c r="E262" s="936" t="s">
        <v>1218</v>
      </c>
      <c r="F262" s="945" t="s">
        <v>1241</v>
      </c>
      <c r="G262" s="1273">
        <f t="shared" si="150"/>
        <v>0</v>
      </c>
      <c r="H262" s="1274">
        <f t="shared" si="150"/>
        <v>32497</v>
      </c>
      <c r="I262" s="1274">
        <f t="shared" si="150"/>
        <v>32497</v>
      </c>
      <c r="J262" s="1389">
        <f t="shared" si="151"/>
        <v>1</v>
      </c>
      <c r="K262" s="1273">
        <f t="shared" si="152"/>
        <v>0</v>
      </c>
      <c r="L262" s="1274">
        <f t="shared" si="152"/>
        <v>32497</v>
      </c>
      <c r="M262" s="1274">
        <f t="shared" si="152"/>
        <v>32497</v>
      </c>
      <c r="N262" s="1389">
        <f t="shared" si="153"/>
        <v>1</v>
      </c>
      <c r="O262" s="955"/>
      <c r="P262" s="956">
        <v>20842</v>
      </c>
      <c r="Q262" s="956">
        <v>20842</v>
      </c>
      <c r="R262" s="1349">
        <f t="shared" si="154"/>
        <v>1</v>
      </c>
      <c r="S262" s="955"/>
      <c r="T262" s="956">
        <v>3338</v>
      </c>
      <c r="U262" s="956">
        <v>3338</v>
      </c>
      <c r="V262" s="1349">
        <f t="shared" si="155"/>
        <v>1</v>
      </c>
      <c r="W262" s="955"/>
      <c r="X262" s="956">
        <v>8317</v>
      </c>
      <c r="Y262" s="956">
        <v>8317</v>
      </c>
      <c r="Z262" s="1349">
        <f t="shared" si="156"/>
        <v>1</v>
      </c>
      <c r="AA262" s="955"/>
      <c r="AB262" s="956"/>
      <c r="AC262" s="956"/>
      <c r="AD262" s="1349" t="str">
        <f t="shared" si="157"/>
        <v>-</v>
      </c>
      <c r="AE262" s="955"/>
      <c r="AF262" s="956"/>
      <c r="AG262" s="956"/>
      <c r="AH262" s="1349" t="str">
        <f t="shared" si="158"/>
        <v>-</v>
      </c>
      <c r="AI262" s="1273">
        <f t="shared" si="159"/>
        <v>0</v>
      </c>
      <c r="AJ262" s="1274">
        <f t="shared" si="159"/>
        <v>0</v>
      </c>
      <c r="AK262" s="1274">
        <f t="shared" si="159"/>
        <v>0</v>
      </c>
      <c r="AL262" s="1389" t="str">
        <f t="shared" si="160"/>
        <v>-</v>
      </c>
      <c r="AM262" s="955"/>
      <c r="AN262" s="956"/>
      <c r="AO262" s="956"/>
      <c r="AP262" s="1349" t="str">
        <f t="shared" si="161"/>
        <v>-</v>
      </c>
      <c r="AQ262" s="955"/>
      <c r="AR262" s="956"/>
      <c r="AS262" s="956"/>
      <c r="AT262" s="1349" t="str">
        <f t="shared" si="162"/>
        <v>-</v>
      </c>
      <c r="AU262" s="955"/>
      <c r="AV262" s="956"/>
      <c r="AW262" s="956"/>
      <c r="AX262" s="1349" t="str">
        <f t="shared" si="163"/>
        <v>-</v>
      </c>
      <c r="AY262" s="464"/>
    </row>
    <row r="263" spans="1:54" s="466" customFormat="1">
      <c r="A263" s="504">
        <f>+A262+1</f>
        <v>85</v>
      </c>
      <c r="B263" s="791">
        <v>14</v>
      </c>
      <c r="C263" s="938" t="s">
        <v>701</v>
      </c>
      <c r="D263" s="896" t="s">
        <v>700</v>
      </c>
      <c r="E263" s="937" t="s">
        <v>1222</v>
      </c>
      <c r="F263" s="943" t="s">
        <v>776</v>
      </c>
      <c r="G263" s="1273">
        <f t="shared" si="150"/>
        <v>60902</v>
      </c>
      <c r="H263" s="1274">
        <f t="shared" si="150"/>
        <v>0</v>
      </c>
      <c r="I263" s="1274">
        <f t="shared" si="150"/>
        <v>0</v>
      </c>
      <c r="J263" s="1389" t="str">
        <f t="shared" si="151"/>
        <v>-</v>
      </c>
      <c r="K263" s="1273">
        <f t="shared" si="152"/>
        <v>60902</v>
      </c>
      <c r="L263" s="1274">
        <f t="shared" si="152"/>
        <v>0</v>
      </c>
      <c r="M263" s="1274">
        <f t="shared" si="152"/>
        <v>0</v>
      </c>
      <c r="N263" s="1389" t="str">
        <f t="shared" si="153"/>
        <v>-</v>
      </c>
      <c r="O263" s="955">
        <v>43621</v>
      </c>
      <c r="P263" s="956">
        <v>0</v>
      </c>
      <c r="Q263" s="956"/>
      <c r="R263" s="1349" t="str">
        <f t="shared" si="154"/>
        <v>-</v>
      </c>
      <c r="S263" s="955">
        <v>7768</v>
      </c>
      <c r="T263" s="956">
        <v>0</v>
      </c>
      <c r="U263" s="956"/>
      <c r="V263" s="1349" t="str">
        <f t="shared" si="155"/>
        <v>-</v>
      </c>
      <c r="W263" s="955">
        <v>9513</v>
      </c>
      <c r="X263" s="956">
        <v>0</v>
      </c>
      <c r="Y263" s="956"/>
      <c r="Z263" s="1349" t="str">
        <f t="shared" si="156"/>
        <v>-</v>
      </c>
      <c r="AA263" s="955"/>
      <c r="AB263" s="956"/>
      <c r="AC263" s="956"/>
      <c r="AD263" s="1349" t="str">
        <f t="shared" si="157"/>
        <v>-</v>
      </c>
      <c r="AE263" s="955"/>
      <c r="AF263" s="956"/>
      <c r="AG263" s="956"/>
      <c r="AH263" s="1349" t="str">
        <f t="shared" si="158"/>
        <v>-</v>
      </c>
      <c r="AI263" s="1273">
        <f t="shared" si="159"/>
        <v>0</v>
      </c>
      <c r="AJ263" s="1274">
        <f t="shared" si="159"/>
        <v>0</v>
      </c>
      <c r="AK263" s="1274">
        <f t="shared" si="159"/>
        <v>0</v>
      </c>
      <c r="AL263" s="1389" t="str">
        <f t="shared" si="160"/>
        <v>-</v>
      </c>
      <c r="AM263" s="955"/>
      <c r="AN263" s="956"/>
      <c r="AO263" s="956"/>
      <c r="AP263" s="1349" t="str">
        <f t="shared" si="161"/>
        <v>-</v>
      </c>
      <c r="AQ263" s="955"/>
      <c r="AR263" s="956"/>
      <c r="AS263" s="956"/>
      <c r="AT263" s="1349" t="str">
        <f t="shared" si="162"/>
        <v>-</v>
      </c>
      <c r="AU263" s="955"/>
      <c r="AV263" s="956"/>
      <c r="AW263" s="956"/>
      <c r="AX263" s="1349" t="str">
        <f t="shared" si="163"/>
        <v>-</v>
      </c>
      <c r="AY263" s="464"/>
    </row>
    <row r="264" spans="1:54" s="466" customFormat="1">
      <c r="A264" s="504">
        <f>+A263+1</f>
        <v>86</v>
      </c>
      <c r="B264" s="791">
        <v>14</v>
      </c>
      <c r="C264" s="938" t="s">
        <v>701</v>
      </c>
      <c r="D264" s="896" t="s">
        <v>700</v>
      </c>
      <c r="E264" s="937" t="s">
        <v>1222</v>
      </c>
      <c r="F264" s="943" t="s">
        <v>1036</v>
      </c>
      <c r="G264" s="1273">
        <f t="shared" si="150"/>
        <v>77223</v>
      </c>
      <c r="H264" s="1274">
        <f t="shared" si="150"/>
        <v>135529</v>
      </c>
      <c r="I264" s="1274">
        <f t="shared" si="150"/>
        <v>135529</v>
      </c>
      <c r="J264" s="1389">
        <f t="shared" si="151"/>
        <v>1</v>
      </c>
      <c r="K264" s="1273">
        <f t="shared" si="152"/>
        <v>77223</v>
      </c>
      <c r="L264" s="1274">
        <f t="shared" si="152"/>
        <v>135529</v>
      </c>
      <c r="M264" s="1274">
        <f t="shared" si="152"/>
        <v>135529</v>
      </c>
      <c r="N264" s="1389">
        <f t="shared" si="153"/>
        <v>1</v>
      </c>
      <c r="O264" s="955">
        <v>62000</v>
      </c>
      <c r="P264" s="956">
        <v>104070</v>
      </c>
      <c r="Q264" s="956">
        <v>104070</v>
      </c>
      <c r="R264" s="1349">
        <f t="shared" si="154"/>
        <v>1</v>
      </c>
      <c r="S264" s="955">
        <v>11032</v>
      </c>
      <c r="T264" s="956">
        <v>19170</v>
      </c>
      <c r="U264" s="956">
        <v>19170</v>
      </c>
      <c r="V264" s="1349">
        <f t="shared" si="155"/>
        <v>1</v>
      </c>
      <c r="W264" s="955">
        <v>4191</v>
      </c>
      <c r="X264" s="956">
        <v>12289</v>
      </c>
      <c r="Y264" s="956">
        <v>12289</v>
      </c>
      <c r="Z264" s="1349">
        <f t="shared" si="156"/>
        <v>1</v>
      </c>
      <c r="AA264" s="955"/>
      <c r="AB264" s="956"/>
      <c r="AC264" s="956"/>
      <c r="AD264" s="1349" t="str">
        <f t="shared" si="157"/>
        <v>-</v>
      </c>
      <c r="AE264" s="955"/>
      <c r="AF264" s="956"/>
      <c r="AG264" s="956"/>
      <c r="AH264" s="1349" t="str">
        <f t="shared" si="158"/>
        <v>-</v>
      </c>
      <c r="AI264" s="1273">
        <f t="shared" si="159"/>
        <v>0</v>
      </c>
      <c r="AJ264" s="1274">
        <f t="shared" si="159"/>
        <v>0</v>
      </c>
      <c r="AK264" s="1274">
        <f t="shared" si="159"/>
        <v>0</v>
      </c>
      <c r="AL264" s="1389" t="str">
        <f t="shared" si="160"/>
        <v>-</v>
      </c>
      <c r="AM264" s="955"/>
      <c r="AN264" s="956"/>
      <c r="AO264" s="956"/>
      <c r="AP264" s="1349" t="str">
        <f t="shared" si="161"/>
        <v>-</v>
      </c>
      <c r="AQ264" s="955"/>
      <c r="AR264" s="956"/>
      <c r="AS264" s="956"/>
      <c r="AT264" s="1349" t="str">
        <f t="shared" si="162"/>
        <v>-</v>
      </c>
      <c r="AU264" s="955"/>
      <c r="AV264" s="956"/>
      <c r="AW264" s="956"/>
      <c r="AX264" s="1349" t="str">
        <f t="shared" si="163"/>
        <v>-</v>
      </c>
      <c r="AY264" s="464"/>
    </row>
    <row r="265" spans="1:54" s="466" customFormat="1" ht="12.75" thickBot="1">
      <c r="A265" s="504">
        <f>+A264+1</f>
        <v>87</v>
      </c>
      <c r="B265" s="791">
        <v>14</v>
      </c>
      <c r="C265" s="938" t="s">
        <v>998</v>
      </c>
      <c r="D265" s="896" t="s">
        <v>999</v>
      </c>
      <c r="E265" s="937" t="s">
        <v>1218</v>
      </c>
      <c r="F265" s="943" t="s">
        <v>991</v>
      </c>
      <c r="G265" s="1273">
        <f t="shared" si="150"/>
        <v>0</v>
      </c>
      <c r="H265" s="1274">
        <f t="shared" si="150"/>
        <v>464</v>
      </c>
      <c r="I265" s="1274">
        <f t="shared" si="150"/>
        <v>464</v>
      </c>
      <c r="J265" s="1389">
        <f t="shared" si="151"/>
        <v>1</v>
      </c>
      <c r="K265" s="1273">
        <f t="shared" si="152"/>
        <v>0</v>
      </c>
      <c r="L265" s="1274">
        <f t="shared" si="152"/>
        <v>464</v>
      </c>
      <c r="M265" s="1274">
        <f t="shared" si="152"/>
        <v>464</v>
      </c>
      <c r="N265" s="1389">
        <f t="shared" si="153"/>
        <v>1</v>
      </c>
      <c r="O265" s="955"/>
      <c r="P265" s="956"/>
      <c r="Q265" s="956"/>
      <c r="R265" s="1349" t="str">
        <f t="shared" si="154"/>
        <v>-</v>
      </c>
      <c r="S265" s="955"/>
      <c r="T265" s="956"/>
      <c r="U265" s="956"/>
      <c r="V265" s="1349" t="str">
        <f t="shared" si="155"/>
        <v>-</v>
      </c>
      <c r="W265" s="955"/>
      <c r="X265" s="956"/>
      <c r="Y265" s="956"/>
      <c r="Z265" s="1349" t="str">
        <f t="shared" si="156"/>
        <v>-</v>
      </c>
      <c r="AA265" s="955"/>
      <c r="AB265" s="956"/>
      <c r="AC265" s="956"/>
      <c r="AD265" s="1349" t="str">
        <f t="shared" si="157"/>
        <v>-</v>
      </c>
      <c r="AE265" s="955"/>
      <c r="AF265" s="956">
        <v>464</v>
      </c>
      <c r="AG265" s="956">
        <v>464</v>
      </c>
      <c r="AH265" s="1349">
        <f t="shared" si="158"/>
        <v>1</v>
      </c>
      <c r="AI265" s="1273">
        <f t="shared" si="159"/>
        <v>0</v>
      </c>
      <c r="AJ265" s="1274">
        <f t="shared" si="159"/>
        <v>0</v>
      </c>
      <c r="AK265" s="1274">
        <f t="shared" si="159"/>
        <v>0</v>
      </c>
      <c r="AL265" s="1389" t="str">
        <f t="shared" si="160"/>
        <v>-</v>
      </c>
      <c r="AM265" s="955"/>
      <c r="AN265" s="956"/>
      <c r="AO265" s="956"/>
      <c r="AP265" s="1349" t="str">
        <f t="shared" si="161"/>
        <v>-</v>
      </c>
      <c r="AQ265" s="955"/>
      <c r="AR265" s="956"/>
      <c r="AS265" s="956"/>
      <c r="AT265" s="1349" t="str">
        <f t="shared" si="162"/>
        <v>-</v>
      </c>
      <c r="AU265" s="955"/>
      <c r="AV265" s="956"/>
      <c r="AW265" s="956"/>
      <c r="AX265" s="1349" t="str">
        <f t="shared" si="163"/>
        <v>-</v>
      </c>
      <c r="AY265" s="464"/>
    </row>
    <row r="266" spans="1:54" s="466" customFormat="1" ht="12.75" thickBot="1">
      <c r="A266" s="500" t="s">
        <v>590</v>
      </c>
      <c r="B266" s="793"/>
      <c r="C266" s="1862" t="s">
        <v>865</v>
      </c>
      <c r="D266" s="1863"/>
      <c r="E266" s="1863"/>
      <c r="F266" s="1864"/>
      <c r="G266" s="490">
        <f>SUM(G261:G265)</f>
        <v>366072</v>
      </c>
      <c r="H266" s="491">
        <f>SUM(H261:H265)</f>
        <v>419646</v>
      </c>
      <c r="I266" s="491">
        <f>SUM(I261:I265)</f>
        <v>412534</v>
      </c>
      <c r="J266" s="1350">
        <f t="shared" si="151"/>
        <v>0.98305238224598823</v>
      </c>
      <c r="K266" s="490">
        <f>SUM(K261:K265)</f>
        <v>362072</v>
      </c>
      <c r="L266" s="491">
        <f>SUM(L261:L265)</f>
        <v>415641</v>
      </c>
      <c r="M266" s="491">
        <f>SUM(M261:M265)</f>
        <v>408529</v>
      </c>
      <c r="N266" s="1350">
        <f t="shared" si="153"/>
        <v>0.98288907975873407</v>
      </c>
      <c r="O266" s="490">
        <f>SUM(O261:O265)</f>
        <v>273771</v>
      </c>
      <c r="P266" s="491">
        <f>SUM(P261:P265)</f>
        <v>299471</v>
      </c>
      <c r="Q266" s="355">
        <f>SUM(Q261:Q265)</f>
        <v>299471</v>
      </c>
      <c r="R266" s="1350">
        <f t="shared" si="154"/>
        <v>1</v>
      </c>
      <c r="S266" s="490">
        <f>SUM(S261:S265)</f>
        <v>51384</v>
      </c>
      <c r="T266" s="491">
        <f>SUM(T261:T265)</f>
        <v>55390</v>
      </c>
      <c r="U266" s="355">
        <f>SUM(U261:U265)</f>
        <v>55390</v>
      </c>
      <c r="V266" s="1350">
        <f t="shared" si="155"/>
        <v>1</v>
      </c>
      <c r="W266" s="490">
        <f>SUM(W261:W265)</f>
        <v>36917</v>
      </c>
      <c r="X266" s="491">
        <f>SUM(X261:X265)</f>
        <v>60316</v>
      </c>
      <c r="Y266" s="355">
        <f>SUM(Y261:Y265)</f>
        <v>53204</v>
      </c>
      <c r="Z266" s="1350">
        <f t="shared" si="156"/>
        <v>0.88208767159625967</v>
      </c>
      <c r="AA266" s="490">
        <f>SUM(AA261:AA265)</f>
        <v>0</v>
      </c>
      <c r="AB266" s="491">
        <f>SUM(AB261:AB265)</f>
        <v>0</v>
      </c>
      <c r="AC266" s="355">
        <f>SUM(AC261:AC265)</f>
        <v>0</v>
      </c>
      <c r="AD266" s="1350" t="str">
        <f t="shared" si="157"/>
        <v>-</v>
      </c>
      <c r="AE266" s="490">
        <f>SUM(AE261:AE265)</f>
        <v>0</v>
      </c>
      <c r="AF266" s="491">
        <f>SUM(AF261:AF265)</f>
        <v>464</v>
      </c>
      <c r="AG266" s="355">
        <f>SUM(AG261:AG265)</f>
        <v>464</v>
      </c>
      <c r="AH266" s="1350">
        <f t="shared" si="158"/>
        <v>1</v>
      </c>
      <c r="AI266" s="490">
        <f>SUM(AI261:AI265)</f>
        <v>4000</v>
      </c>
      <c r="AJ266" s="491">
        <f>SUM(AJ261:AJ265)</f>
        <v>4005</v>
      </c>
      <c r="AK266" s="491">
        <f>SUM(AK261:AK265)</f>
        <v>4005</v>
      </c>
      <c r="AL266" s="1350">
        <f t="shared" si="160"/>
        <v>1</v>
      </c>
      <c r="AM266" s="490">
        <f>SUM(AM261:AM265)</f>
        <v>4000</v>
      </c>
      <c r="AN266" s="491">
        <f>SUM(AN261:AN265)</f>
        <v>4005</v>
      </c>
      <c r="AO266" s="355">
        <f>SUM(AO261:AO265)</f>
        <v>4005</v>
      </c>
      <c r="AP266" s="1350">
        <f t="shared" si="161"/>
        <v>1</v>
      </c>
      <c r="AQ266" s="490">
        <f>SUM(AQ261:AQ265)</f>
        <v>0</v>
      </c>
      <c r="AR266" s="491">
        <f>SUM(AR261:AR265)</f>
        <v>0</v>
      </c>
      <c r="AS266" s="355">
        <f>SUM(AS261:AS265)</f>
        <v>0</v>
      </c>
      <c r="AT266" s="1350" t="str">
        <f t="shared" si="162"/>
        <v>-</v>
      </c>
      <c r="AU266" s="490">
        <f>SUM(AU261:AU265)</f>
        <v>0</v>
      </c>
      <c r="AV266" s="491">
        <f>SUM(AV261:AV265)</f>
        <v>0</v>
      </c>
      <c r="AW266" s="355">
        <f>SUM(AW261:AW265)</f>
        <v>0</v>
      </c>
      <c r="AX266" s="1350" t="str">
        <f t="shared" si="163"/>
        <v>-</v>
      </c>
      <c r="AY266" s="773"/>
    </row>
    <row r="267" spans="1:54" s="466" customFormat="1">
      <c r="A267" s="504">
        <f>+A265+1</f>
        <v>88</v>
      </c>
      <c r="B267" s="791">
        <v>15</v>
      </c>
      <c r="C267" s="938" t="s">
        <v>667</v>
      </c>
      <c r="D267" s="896" t="s">
        <v>666</v>
      </c>
      <c r="E267" s="937" t="s">
        <v>1231</v>
      </c>
      <c r="F267" s="943" t="s">
        <v>416</v>
      </c>
      <c r="G267" s="1277">
        <f t="shared" ref="G267:I269" si="164">+K267+AI267</f>
        <v>33600</v>
      </c>
      <c r="H267" s="1278">
        <f t="shared" si="164"/>
        <v>41971</v>
      </c>
      <c r="I267" s="1278">
        <f t="shared" si="164"/>
        <v>41971</v>
      </c>
      <c r="J267" s="1389">
        <f t="shared" si="151"/>
        <v>1</v>
      </c>
      <c r="K267" s="1277">
        <f>+O267+S267+W267+AE267</f>
        <v>33600</v>
      </c>
      <c r="L267" s="1278">
        <f>+P267+T267+X267+AF267</f>
        <v>39177</v>
      </c>
      <c r="M267" s="1278">
        <f>+Q267+U267+Y267+AG267</f>
        <v>39177</v>
      </c>
      <c r="N267" s="1389">
        <f t="shared" si="153"/>
        <v>1</v>
      </c>
      <c r="O267" s="953">
        <v>9229</v>
      </c>
      <c r="P267" s="954">
        <v>9232</v>
      </c>
      <c r="Q267" s="956">
        <v>9232</v>
      </c>
      <c r="R267" s="1349">
        <f t="shared" si="154"/>
        <v>1</v>
      </c>
      <c r="S267" s="953">
        <v>1643</v>
      </c>
      <c r="T267" s="954">
        <v>1235</v>
      </c>
      <c r="U267" s="956">
        <v>1235</v>
      </c>
      <c r="V267" s="1349">
        <f t="shared" si="155"/>
        <v>1</v>
      </c>
      <c r="W267" s="953">
        <v>22728</v>
      </c>
      <c r="X267" s="954">
        <v>28710</v>
      </c>
      <c r="Y267" s="956">
        <v>28710</v>
      </c>
      <c r="Z267" s="1349">
        <f t="shared" si="156"/>
        <v>1</v>
      </c>
      <c r="AA267" s="953"/>
      <c r="AB267" s="954"/>
      <c r="AC267" s="956"/>
      <c r="AD267" s="1349" t="str">
        <f t="shared" si="157"/>
        <v>-</v>
      </c>
      <c r="AE267" s="953"/>
      <c r="AF267" s="954"/>
      <c r="AG267" s="956"/>
      <c r="AH267" s="1349" t="str">
        <f t="shared" si="158"/>
        <v>-</v>
      </c>
      <c r="AI267" s="1277">
        <f t="shared" ref="AI267:AK269" si="165">+AM267+AQ267+AU267</f>
        <v>0</v>
      </c>
      <c r="AJ267" s="1278">
        <f t="shared" si="165"/>
        <v>2794</v>
      </c>
      <c r="AK267" s="1278">
        <f t="shared" si="165"/>
        <v>2794</v>
      </c>
      <c r="AL267" s="1389">
        <f t="shared" si="160"/>
        <v>1</v>
      </c>
      <c r="AM267" s="953"/>
      <c r="AN267" s="954">
        <v>2794</v>
      </c>
      <c r="AO267" s="956">
        <v>2794</v>
      </c>
      <c r="AP267" s="1349">
        <f t="shared" si="161"/>
        <v>1</v>
      </c>
      <c r="AQ267" s="953"/>
      <c r="AR267" s="954"/>
      <c r="AS267" s="956"/>
      <c r="AT267" s="1349" t="str">
        <f t="shared" si="162"/>
        <v>-</v>
      </c>
      <c r="AU267" s="953"/>
      <c r="AV267" s="954"/>
      <c r="AW267" s="956"/>
      <c r="AX267" s="1349" t="str">
        <f t="shared" si="163"/>
        <v>-</v>
      </c>
      <c r="AY267" s="464"/>
      <c r="AZ267" s="462"/>
      <c r="BA267" s="462"/>
      <c r="BB267" s="462"/>
    </row>
    <row r="268" spans="1:54" s="466" customFormat="1">
      <c r="A268" s="504">
        <f>+A267+1</f>
        <v>89</v>
      </c>
      <c r="B268" s="791">
        <v>16</v>
      </c>
      <c r="C268" s="938" t="s">
        <v>1069</v>
      </c>
      <c r="D268" s="896" t="s">
        <v>732</v>
      </c>
      <c r="E268" s="937" t="s">
        <v>1218</v>
      </c>
      <c r="F268" s="943" t="s">
        <v>647</v>
      </c>
      <c r="G268" s="1273">
        <f t="shared" si="164"/>
        <v>6648</v>
      </c>
      <c r="H268" s="1274">
        <f t="shared" si="164"/>
        <v>0</v>
      </c>
      <c r="I268" s="1274">
        <f t="shared" si="164"/>
        <v>0</v>
      </c>
      <c r="J268" s="1389" t="str">
        <f t="shared" si="151"/>
        <v>-</v>
      </c>
      <c r="K268" s="1273">
        <f>+O268+S268+W268+AA268+AE268</f>
        <v>6648</v>
      </c>
      <c r="L268" s="1274">
        <f>+P268+T268+X268+AB268+AF268</f>
        <v>0</v>
      </c>
      <c r="M268" s="1274">
        <f>+Q268+U268+Y268+AC268+AG268</f>
        <v>0</v>
      </c>
      <c r="N268" s="1389" t="str">
        <f t="shared" si="153"/>
        <v>-</v>
      </c>
      <c r="O268" s="955">
        <v>5403</v>
      </c>
      <c r="P268" s="956">
        <v>0</v>
      </c>
      <c r="Q268" s="956"/>
      <c r="R268" s="1349" t="str">
        <f t="shared" si="154"/>
        <v>-</v>
      </c>
      <c r="S268" s="955">
        <v>864</v>
      </c>
      <c r="T268" s="956">
        <v>0</v>
      </c>
      <c r="U268" s="956"/>
      <c r="V268" s="1349" t="str">
        <f t="shared" si="155"/>
        <v>-</v>
      </c>
      <c r="W268" s="955">
        <v>381</v>
      </c>
      <c r="X268" s="956">
        <v>0</v>
      </c>
      <c r="Y268" s="956"/>
      <c r="Z268" s="1349" t="str">
        <f t="shared" si="156"/>
        <v>-</v>
      </c>
      <c r="AA268" s="955"/>
      <c r="AB268" s="956"/>
      <c r="AC268" s="956"/>
      <c r="AD268" s="1349" t="str">
        <f t="shared" si="157"/>
        <v>-</v>
      </c>
      <c r="AE268" s="955"/>
      <c r="AF268" s="956"/>
      <c r="AG268" s="956"/>
      <c r="AH268" s="1349" t="str">
        <f t="shared" si="158"/>
        <v>-</v>
      </c>
      <c r="AI268" s="1273">
        <f t="shared" si="165"/>
        <v>0</v>
      </c>
      <c r="AJ268" s="1274">
        <f t="shared" si="165"/>
        <v>0</v>
      </c>
      <c r="AK268" s="1274">
        <f t="shared" si="165"/>
        <v>0</v>
      </c>
      <c r="AL268" s="1389" t="str">
        <f t="shared" si="160"/>
        <v>-</v>
      </c>
      <c r="AM268" s="955"/>
      <c r="AN268" s="956"/>
      <c r="AO268" s="956"/>
      <c r="AP268" s="1349" t="str">
        <f t="shared" si="161"/>
        <v>-</v>
      </c>
      <c r="AQ268" s="955"/>
      <c r="AR268" s="956"/>
      <c r="AS268" s="956"/>
      <c r="AT268" s="1349" t="str">
        <f t="shared" si="162"/>
        <v>-</v>
      </c>
      <c r="AU268" s="955"/>
      <c r="AV268" s="956"/>
      <c r="AW268" s="956"/>
      <c r="AX268" s="1349" t="str">
        <f t="shared" si="163"/>
        <v>-</v>
      </c>
      <c r="AY268" s="464"/>
    </row>
    <row r="269" spans="1:54" s="466" customFormat="1" ht="12.75" thickBot="1">
      <c r="A269" s="504">
        <f>+A268+1</f>
        <v>90</v>
      </c>
      <c r="B269" s="791">
        <v>17</v>
      </c>
      <c r="C269" s="938" t="s">
        <v>734</v>
      </c>
      <c r="D269" s="896" t="s">
        <v>735</v>
      </c>
      <c r="E269" s="937" t="s">
        <v>1218</v>
      </c>
      <c r="F269" s="943" t="s">
        <v>660</v>
      </c>
      <c r="G269" s="1277">
        <f t="shared" si="164"/>
        <v>0</v>
      </c>
      <c r="H269" s="1278">
        <f t="shared" si="164"/>
        <v>0</v>
      </c>
      <c r="I269" s="1278">
        <f t="shared" si="164"/>
        <v>0</v>
      </c>
      <c r="J269" s="1389" t="str">
        <f t="shared" si="151"/>
        <v>-</v>
      </c>
      <c r="K269" s="1277">
        <f>+O269+S269+W269+AE269</f>
        <v>0</v>
      </c>
      <c r="L269" s="1278">
        <f>+P269+T269+X269+AF269</f>
        <v>0</v>
      </c>
      <c r="M269" s="1278">
        <f>+Q269+U269+Y269+AG269</f>
        <v>0</v>
      </c>
      <c r="N269" s="1389" t="str">
        <f t="shared" si="153"/>
        <v>-</v>
      </c>
      <c r="O269" s="955"/>
      <c r="P269" s="956"/>
      <c r="Q269" s="956"/>
      <c r="R269" s="1349" t="str">
        <f t="shared" si="154"/>
        <v>-</v>
      </c>
      <c r="S269" s="955"/>
      <c r="T269" s="956"/>
      <c r="U269" s="956"/>
      <c r="V269" s="1349" t="str">
        <f t="shared" si="155"/>
        <v>-</v>
      </c>
      <c r="W269" s="955"/>
      <c r="X269" s="956"/>
      <c r="Y269" s="956"/>
      <c r="Z269" s="1349" t="str">
        <f t="shared" si="156"/>
        <v>-</v>
      </c>
      <c r="AA269" s="955"/>
      <c r="AB269" s="956"/>
      <c r="AC269" s="956"/>
      <c r="AD269" s="1349" t="str">
        <f t="shared" si="157"/>
        <v>-</v>
      </c>
      <c r="AE269" s="955"/>
      <c r="AF269" s="956"/>
      <c r="AG269" s="956"/>
      <c r="AH269" s="1349" t="str">
        <f t="shared" si="158"/>
        <v>-</v>
      </c>
      <c r="AI269" s="1277">
        <f t="shared" si="165"/>
        <v>0</v>
      </c>
      <c r="AJ269" s="1278">
        <f t="shared" si="165"/>
        <v>0</v>
      </c>
      <c r="AK269" s="1278">
        <f t="shared" si="165"/>
        <v>0</v>
      </c>
      <c r="AL269" s="1389" t="str">
        <f t="shared" si="160"/>
        <v>-</v>
      </c>
      <c r="AM269" s="955"/>
      <c r="AN269" s="956"/>
      <c r="AO269" s="956"/>
      <c r="AP269" s="1349" t="str">
        <f t="shared" si="161"/>
        <v>-</v>
      </c>
      <c r="AQ269" s="955"/>
      <c r="AR269" s="956"/>
      <c r="AS269" s="956"/>
      <c r="AT269" s="1349" t="str">
        <f t="shared" si="162"/>
        <v>-</v>
      </c>
      <c r="AU269" s="955"/>
      <c r="AV269" s="956"/>
      <c r="AW269" s="956"/>
      <c r="AX269" s="1349" t="str">
        <f t="shared" si="163"/>
        <v>-</v>
      </c>
      <c r="AY269" s="464"/>
      <c r="AZ269" s="295"/>
      <c r="BA269" s="295"/>
      <c r="BB269" s="295"/>
    </row>
    <row r="270" spans="1:54" s="470" customFormat="1" ht="12.75" thickBot="1">
      <c r="A270" s="500" t="s">
        <v>632</v>
      </c>
      <c r="B270" s="793"/>
      <c r="C270" s="1862" t="s">
        <v>866</v>
      </c>
      <c r="D270" s="1863"/>
      <c r="E270" s="1863"/>
      <c r="F270" s="1864"/>
      <c r="G270" s="490">
        <f>SUM(G267:G269)</f>
        <v>40248</v>
      </c>
      <c r="H270" s="491">
        <f>SUM(H267:H269)</f>
        <v>41971</v>
      </c>
      <c r="I270" s="491">
        <f>SUM(I267:I269)</f>
        <v>41971</v>
      </c>
      <c r="J270" s="1350">
        <f t="shared" si="151"/>
        <v>1</v>
      </c>
      <c r="K270" s="490">
        <f>SUM(K267:K269)</f>
        <v>40248</v>
      </c>
      <c r="L270" s="491">
        <f>SUM(L267:L269)</f>
        <v>39177</v>
      </c>
      <c r="M270" s="491">
        <f>SUM(M267:M269)</f>
        <v>39177</v>
      </c>
      <c r="N270" s="1350">
        <f t="shared" si="153"/>
        <v>1</v>
      </c>
      <c r="O270" s="490">
        <f>SUM(O267:O269)</f>
        <v>14632</v>
      </c>
      <c r="P270" s="491">
        <f>SUM(P267:P269)</f>
        <v>9232</v>
      </c>
      <c r="Q270" s="355">
        <f>SUM(Q267:Q269)</f>
        <v>9232</v>
      </c>
      <c r="R270" s="1350">
        <f t="shared" si="154"/>
        <v>1</v>
      </c>
      <c r="S270" s="490">
        <f>SUM(S267:S269)</f>
        <v>2507</v>
      </c>
      <c r="T270" s="491">
        <f>SUM(T267:T269)</f>
        <v>1235</v>
      </c>
      <c r="U270" s="355">
        <f>SUM(U267:U269)</f>
        <v>1235</v>
      </c>
      <c r="V270" s="1350">
        <f t="shared" si="155"/>
        <v>1</v>
      </c>
      <c r="W270" s="490">
        <f>SUM(W267:W269)</f>
        <v>23109</v>
      </c>
      <c r="X270" s="491">
        <f>SUM(X267:X269)</f>
        <v>28710</v>
      </c>
      <c r="Y270" s="355">
        <f>SUM(Y267:Y269)</f>
        <v>28710</v>
      </c>
      <c r="Z270" s="1350">
        <f t="shared" si="156"/>
        <v>1</v>
      </c>
      <c r="AA270" s="490">
        <f>SUM(AA267:AA269)</f>
        <v>0</v>
      </c>
      <c r="AB270" s="491">
        <f>SUM(AB267:AB269)</f>
        <v>0</v>
      </c>
      <c r="AC270" s="355">
        <f>SUM(AC267:AC269)</f>
        <v>0</v>
      </c>
      <c r="AD270" s="1350" t="str">
        <f t="shared" si="157"/>
        <v>-</v>
      </c>
      <c r="AE270" s="490">
        <f>SUM(AE267:AE269)</f>
        <v>0</v>
      </c>
      <c r="AF270" s="491">
        <f>SUM(AF267:AF269)</f>
        <v>0</v>
      </c>
      <c r="AG270" s="355">
        <f>SUM(AG267:AG269)</f>
        <v>0</v>
      </c>
      <c r="AH270" s="1350" t="str">
        <f t="shared" si="158"/>
        <v>-</v>
      </c>
      <c r="AI270" s="490">
        <f>SUM(AI267:AI269)</f>
        <v>0</v>
      </c>
      <c r="AJ270" s="491">
        <f>SUM(AJ267:AJ269)</f>
        <v>2794</v>
      </c>
      <c r="AK270" s="491">
        <f>SUM(AK267:AK269)</f>
        <v>2794</v>
      </c>
      <c r="AL270" s="1350">
        <f t="shared" si="160"/>
        <v>1</v>
      </c>
      <c r="AM270" s="490">
        <f>SUM(AM267:AM269)</f>
        <v>0</v>
      </c>
      <c r="AN270" s="491">
        <f>SUM(AN267:AN269)</f>
        <v>2794</v>
      </c>
      <c r="AO270" s="355">
        <f>SUM(AO267:AO269)</f>
        <v>2794</v>
      </c>
      <c r="AP270" s="1350">
        <f t="shared" si="161"/>
        <v>1</v>
      </c>
      <c r="AQ270" s="490">
        <f>SUM(AQ267:AQ269)</f>
        <v>0</v>
      </c>
      <c r="AR270" s="491">
        <f>SUM(AR267:AR269)</f>
        <v>0</v>
      </c>
      <c r="AS270" s="355">
        <f>SUM(AS267:AS269)</f>
        <v>0</v>
      </c>
      <c r="AT270" s="1350" t="str">
        <f t="shared" si="162"/>
        <v>-</v>
      </c>
      <c r="AU270" s="490">
        <f>SUM(AU267:AU269)</f>
        <v>0</v>
      </c>
      <c r="AV270" s="491">
        <f>SUM(AV267:AV269)</f>
        <v>0</v>
      </c>
      <c r="AW270" s="355">
        <f>SUM(AW267:AW269)</f>
        <v>0</v>
      </c>
      <c r="AX270" s="1350" t="str">
        <f t="shared" si="163"/>
        <v>-</v>
      </c>
      <c r="AY270" s="773"/>
      <c r="AZ270" s="462"/>
      <c r="BA270" s="462"/>
      <c r="BB270" s="462"/>
    </row>
    <row r="271" spans="1:54" s="470" customFormat="1">
      <c r="A271" s="504">
        <f>+A269+1</f>
        <v>91</v>
      </c>
      <c r="B271" s="790">
        <v>18</v>
      </c>
      <c r="C271" s="935" t="s">
        <v>741</v>
      </c>
      <c r="D271" s="900" t="s">
        <v>740</v>
      </c>
      <c r="E271" s="936" t="s">
        <v>1218</v>
      </c>
      <c r="F271" s="949" t="s">
        <v>658</v>
      </c>
      <c r="G271" s="1281">
        <f t="shared" ref="G271:I277" si="166">+K271+AI271</f>
        <v>0</v>
      </c>
      <c r="H271" s="1282">
        <f t="shared" si="166"/>
        <v>0</v>
      </c>
      <c r="I271" s="1282">
        <f t="shared" si="166"/>
        <v>0</v>
      </c>
      <c r="J271" s="1389" t="str">
        <f t="shared" si="151"/>
        <v>-</v>
      </c>
      <c r="K271" s="1281">
        <f t="shared" ref="K271:M277" si="167">+O271+S271+W271+AA271+AE271</f>
        <v>0</v>
      </c>
      <c r="L271" s="1282">
        <f t="shared" si="167"/>
        <v>0</v>
      </c>
      <c r="M271" s="1282">
        <f t="shared" si="167"/>
        <v>0</v>
      </c>
      <c r="N271" s="1389" t="str">
        <f t="shared" si="153"/>
        <v>-</v>
      </c>
      <c r="O271" s="957"/>
      <c r="P271" s="958"/>
      <c r="Q271" s="954"/>
      <c r="R271" s="1349" t="str">
        <f t="shared" si="154"/>
        <v>-</v>
      </c>
      <c r="S271" s="957"/>
      <c r="T271" s="958"/>
      <c r="U271" s="954"/>
      <c r="V271" s="1349" t="str">
        <f t="shared" si="155"/>
        <v>-</v>
      </c>
      <c r="W271" s="957"/>
      <c r="X271" s="958"/>
      <c r="Y271" s="954"/>
      <c r="Z271" s="1349" t="str">
        <f t="shared" si="156"/>
        <v>-</v>
      </c>
      <c r="AA271" s="957"/>
      <c r="AB271" s="958"/>
      <c r="AC271" s="954"/>
      <c r="AD271" s="1349" t="str">
        <f t="shared" si="157"/>
        <v>-</v>
      </c>
      <c r="AE271" s="957"/>
      <c r="AF271" s="958"/>
      <c r="AG271" s="954"/>
      <c r="AH271" s="1349" t="str">
        <f t="shared" si="158"/>
        <v>-</v>
      </c>
      <c r="AI271" s="1281">
        <f t="shared" ref="AI271:AK277" si="168">+AM271+AQ271+AU271</f>
        <v>0</v>
      </c>
      <c r="AJ271" s="1282">
        <f t="shared" si="168"/>
        <v>0</v>
      </c>
      <c r="AK271" s="1282">
        <f t="shared" si="168"/>
        <v>0</v>
      </c>
      <c r="AL271" s="1389" t="str">
        <f t="shared" si="160"/>
        <v>-</v>
      </c>
      <c r="AM271" s="957"/>
      <c r="AN271" s="958"/>
      <c r="AO271" s="954"/>
      <c r="AP271" s="1349" t="str">
        <f t="shared" si="161"/>
        <v>-</v>
      </c>
      <c r="AQ271" s="957"/>
      <c r="AR271" s="958"/>
      <c r="AS271" s="954"/>
      <c r="AT271" s="1349" t="str">
        <f t="shared" si="162"/>
        <v>-</v>
      </c>
      <c r="AU271" s="957"/>
      <c r="AV271" s="958"/>
      <c r="AW271" s="954"/>
      <c r="AX271" s="1349" t="str">
        <f t="shared" si="163"/>
        <v>-</v>
      </c>
      <c r="AY271" s="464"/>
      <c r="AZ271" s="295"/>
      <c r="BA271" s="295"/>
      <c r="BB271" s="295"/>
    </row>
    <row r="272" spans="1:54" s="466" customFormat="1">
      <c r="A272" s="504">
        <f t="shared" ref="A272:A277" si="169">+A271+1</f>
        <v>92</v>
      </c>
      <c r="B272" s="790">
        <v>18</v>
      </c>
      <c r="C272" s="935" t="s">
        <v>741</v>
      </c>
      <c r="D272" s="900" t="s">
        <v>740</v>
      </c>
      <c r="E272" s="936" t="s">
        <v>1218</v>
      </c>
      <c r="F272" s="949" t="s">
        <v>659</v>
      </c>
      <c r="G272" s="1273">
        <f t="shared" si="166"/>
        <v>0</v>
      </c>
      <c r="H272" s="1274">
        <f t="shared" si="166"/>
        <v>0</v>
      </c>
      <c r="I272" s="1274">
        <f t="shared" si="166"/>
        <v>0</v>
      </c>
      <c r="J272" s="1389" t="str">
        <f t="shared" si="151"/>
        <v>-</v>
      </c>
      <c r="K272" s="1273">
        <f t="shared" si="167"/>
        <v>0</v>
      </c>
      <c r="L272" s="1274">
        <f t="shared" si="167"/>
        <v>0</v>
      </c>
      <c r="M272" s="1274">
        <f t="shared" si="167"/>
        <v>0</v>
      </c>
      <c r="N272" s="1389" t="str">
        <f t="shared" si="153"/>
        <v>-</v>
      </c>
      <c r="O272" s="955"/>
      <c r="P272" s="956"/>
      <c r="Q272" s="954"/>
      <c r="R272" s="1349" t="str">
        <f t="shared" si="154"/>
        <v>-</v>
      </c>
      <c r="S272" s="955"/>
      <c r="T272" s="956"/>
      <c r="U272" s="954"/>
      <c r="V272" s="1349" t="str">
        <f t="shared" si="155"/>
        <v>-</v>
      </c>
      <c r="W272" s="955"/>
      <c r="X272" s="956"/>
      <c r="Y272" s="954"/>
      <c r="Z272" s="1349" t="str">
        <f t="shared" si="156"/>
        <v>-</v>
      </c>
      <c r="AA272" s="955"/>
      <c r="AB272" s="956"/>
      <c r="AC272" s="954"/>
      <c r="AD272" s="1349" t="str">
        <f t="shared" si="157"/>
        <v>-</v>
      </c>
      <c r="AE272" s="955"/>
      <c r="AF272" s="956"/>
      <c r="AG272" s="954"/>
      <c r="AH272" s="1349" t="str">
        <f t="shared" si="158"/>
        <v>-</v>
      </c>
      <c r="AI272" s="1273">
        <f t="shared" si="168"/>
        <v>0</v>
      </c>
      <c r="AJ272" s="1274">
        <f t="shared" si="168"/>
        <v>0</v>
      </c>
      <c r="AK272" s="1274">
        <f t="shared" si="168"/>
        <v>0</v>
      </c>
      <c r="AL272" s="1389" t="str">
        <f t="shared" si="160"/>
        <v>-</v>
      </c>
      <c r="AM272" s="955"/>
      <c r="AN272" s="956"/>
      <c r="AO272" s="954"/>
      <c r="AP272" s="1349" t="str">
        <f t="shared" si="161"/>
        <v>-</v>
      </c>
      <c r="AQ272" s="955"/>
      <c r="AR272" s="956"/>
      <c r="AS272" s="954"/>
      <c r="AT272" s="1349" t="str">
        <f t="shared" si="162"/>
        <v>-</v>
      </c>
      <c r="AU272" s="955"/>
      <c r="AV272" s="956"/>
      <c r="AW272" s="954"/>
      <c r="AX272" s="1349" t="str">
        <f t="shared" si="163"/>
        <v>-</v>
      </c>
      <c r="AY272" s="464"/>
    </row>
    <row r="273" spans="1:54" s="466" customFormat="1">
      <c r="A273" s="504">
        <f t="shared" si="169"/>
        <v>93</v>
      </c>
      <c r="B273" s="790">
        <v>18</v>
      </c>
      <c r="C273" s="935" t="s">
        <v>741</v>
      </c>
      <c r="D273" s="900" t="s">
        <v>740</v>
      </c>
      <c r="E273" s="936" t="s">
        <v>1218</v>
      </c>
      <c r="F273" s="949" t="s">
        <v>738</v>
      </c>
      <c r="G273" s="1273">
        <f t="shared" si="166"/>
        <v>0</v>
      </c>
      <c r="H273" s="1274">
        <f t="shared" si="166"/>
        <v>0</v>
      </c>
      <c r="I273" s="1274">
        <f t="shared" si="166"/>
        <v>0</v>
      </c>
      <c r="J273" s="1389" t="str">
        <f t="shared" si="151"/>
        <v>-</v>
      </c>
      <c r="K273" s="1273">
        <f t="shared" si="167"/>
        <v>0</v>
      </c>
      <c r="L273" s="1274">
        <f t="shared" si="167"/>
        <v>0</v>
      </c>
      <c r="M273" s="1274">
        <f t="shared" si="167"/>
        <v>0</v>
      </c>
      <c r="N273" s="1389" t="str">
        <f t="shared" si="153"/>
        <v>-</v>
      </c>
      <c r="O273" s="955"/>
      <c r="P273" s="956"/>
      <c r="Q273" s="954"/>
      <c r="R273" s="1349" t="str">
        <f t="shared" si="154"/>
        <v>-</v>
      </c>
      <c r="S273" s="955"/>
      <c r="T273" s="956"/>
      <c r="U273" s="954"/>
      <c r="V273" s="1349" t="str">
        <f t="shared" si="155"/>
        <v>-</v>
      </c>
      <c r="W273" s="955"/>
      <c r="X273" s="956"/>
      <c r="Y273" s="954"/>
      <c r="Z273" s="1349" t="str">
        <f t="shared" si="156"/>
        <v>-</v>
      </c>
      <c r="AA273" s="955"/>
      <c r="AB273" s="956"/>
      <c r="AC273" s="954"/>
      <c r="AD273" s="1349" t="str">
        <f t="shared" si="157"/>
        <v>-</v>
      </c>
      <c r="AE273" s="955"/>
      <c r="AF273" s="956"/>
      <c r="AG273" s="954"/>
      <c r="AH273" s="1349" t="str">
        <f t="shared" si="158"/>
        <v>-</v>
      </c>
      <c r="AI273" s="1273">
        <f t="shared" si="168"/>
        <v>0</v>
      </c>
      <c r="AJ273" s="1274">
        <f t="shared" si="168"/>
        <v>0</v>
      </c>
      <c r="AK273" s="1274">
        <f t="shared" si="168"/>
        <v>0</v>
      </c>
      <c r="AL273" s="1389" t="str">
        <f t="shared" si="160"/>
        <v>-</v>
      </c>
      <c r="AM273" s="955"/>
      <c r="AN273" s="956"/>
      <c r="AO273" s="954"/>
      <c r="AP273" s="1349" t="str">
        <f t="shared" si="161"/>
        <v>-</v>
      </c>
      <c r="AQ273" s="955"/>
      <c r="AR273" s="956"/>
      <c r="AS273" s="954"/>
      <c r="AT273" s="1349" t="str">
        <f t="shared" si="162"/>
        <v>-</v>
      </c>
      <c r="AU273" s="955"/>
      <c r="AV273" s="956"/>
      <c r="AW273" s="954"/>
      <c r="AX273" s="1349" t="str">
        <f t="shared" si="163"/>
        <v>-</v>
      </c>
      <c r="AY273" s="464"/>
    </row>
    <row r="274" spans="1:54" s="466" customFormat="1">
      <c r="A274" s="504">
        <f t="shared" si="169"/>
        <v>94</v>
      </c>
      <c r="B274" s="790">
        <v>18</v>
      </c>
      <c r="C274" s="935" t="s">
        <v>741</v>
      </c>
      <c r="D274" s="900" t="s">
        <v>740</v>
      </c>
      <c r="E274" s="936" t="s">
        <v>1218</v>
      </c>
      <c r="F274" s="949" t="s">
        <v>739</v>
      </c>
      <c r="G274" s="1273">
        <f t="shared" si="166"/>
        <v>0</v>
      </c>
      <c r="H274" s="1274">
        <f t="shared" si="166"/>
        <v>0</v>
      </c>
      <c r="I274" s="1274">
        <f t="shared" si="166"/>
        <v>0</v>
      </c>
      <c r="J274" s="1389" t="str">
        <f t="shared" si="151"/>
        <v>-</v>
      </c>
      <c r="K274" s="1273">
        <f t="shared" si="167"/>
        <v>0</v>
      </c>
      <c r="L274" s="1274">
        <f t="shared" si="167"/>
        <v>0</v>
      </c>
      <c r="M274" s="1274">
        <f t="shared" si="167"/>
        <v>0</v>
      </c>
      <c r="N274" s="1389" t="str">
        <f t="shared" si="153"/>
        <v>-</v>
      </c>
      <c r="O274" s="955"/>
      <c r="P274" s="956"/>
      <c r="Q274" s="954"/>
      <c r="R274" s="1349" t="str">
        <f t="shared" si="154"/>
        <v>-</v>
      </c>
      <c r="S274" s="955"/>
      <c r="T274" s="956"/>
      <c r="U274" s="954"/>
      <c r="V274" s="1349" t="str">
        <f t="shared" si="155"/>
        <v>-</v>
      </c>
      <c r="W274" s="955"/>
      <c r="X274" s="956"/>
      <c r="Y274" s="954"/>
      <c r="Z274" s="1349" t="str">
        <f t="shared" si="156"/>
        <v>-</v>
      </c>
      <c r="AA274" s="955"/>
      <c r="AB274" s="956"/>
      <c r="AC274" s="954"/>
      <c r="AD274" s="1349" t="str">
        <f t="shared" si="157"/>
        <v>-</v>
      </c>
      <c r="AE274" s="955"/>
      <c r="AF274" s="956"/>
      <c r="AG274" s="954"/>
      <c r="AH274" s="1349" t="str">
        <f t="shared" si="158"/>
        <v>-</v>
      </c>
      <c r="AI274" s="1273">
        <f t="shared" si="168"/>
        <v>0</v>
      </c>
      <c r="AJ274" s="1274">
        <f t="shared" si="168"/>
        <v>0</v>
      </c>
      <c r="AK274" s="1274">
        <f t="shared" si="168"/>
        <v>0</v>
      </c>
      <c r="AL274" s="1389" t="str">
        <f t="shared" si="160"/>
        <v>-</v>
      </c>
      <c r="AM274" s="955"/>
      <c r="AN274" s="956"/>
      <c r="AO274" s="954"/>
      <c r="AP274" s="1349" t="str">
        <f t="shared" si="161"/>
        <v>-</v>
      </c>
      <c r="AQ274" s="955"/>
      <c r="AR274" s="956"/>
      <c r="AS274" s="954"/>
      <c r="AT274" s="1349" t="str">
        <f t="shared" si="162"/>
        <v>-</v>
      </c>
      <c r="AU274" s="955"/>
      <c r="AV274" s="956"/>
      <c r="AW274" s="954"/>
      <c r="AX274" s="1349" t="str">
        <f t="shared" si="163"/>
        <v>-</v>
      </c>
      <c r="AY274" s="464"/>
    </row>
    <row r="275" spans="1:54" s="466" customFormat="1">
      <c r="A275" s="504">
        <f t="shared" si="169"/>
        <v>95</v>
      </c>
      <c r="B275" s="790">
        <v>18</v>
      </c>
      <c r="C275" s="935" t="s">
        <v>673</v>
      </c>
      <c r="D275" s="900" t="s">
        <v>672</v>
      </c>
      <c r="E275" s="936" t="s">
        <v>1218</v>
      </c>
      <c r="F275" s="949" t="s">
        <v>636</v>
      </c>
      <c r="G275" s="1273">
        <f t="shared" si="166"/>
        <v>0</v>
      </c>
      <c r="H275" s="1274">
        <f t="shared" si="166"/>
        <v>0</v>
      </c>
      <c r="I275" s="1274">
        <f t="shared" si="166"/>
        <v>0</v>
      </c>
      <c r="J275" s="1389" t="str">
        <f t="shared" si="151"/>
        <v>-</v>
      </c>
      <c r="K275" s="1273">
        <f t="shared" si="167"/>
        <v>0</v>
      </c>
      <c r="L275" s="1274">
        <f t="shared" si="167"/>
        <v>0</v>
      </c>
      <c r="M275" s="1274">
        <f t="shared" si="167"/>
        <v>0</v>
      </c>
      <c r="N275" s="1389" t="str">
        <f t="shared" si="153"/>
        <v>-</v>
      </c>
      <c r="O275" s="955"/>
      <c r="P275" s="956"/>
      <c r="Q275" s="954"/>
      <c r="R275" s="1349" t="str">
        <f t="shared" si="154"/>
        <v>-</v>
      </c>
      <c r="S275" s="955"/>
      <c r="T275" s="956"/>
      <c r="U275" s="954"/>
      <c r="V275" s="1349" t="str">
        <f t="shared" si="155"/>
        <v>-</v>
      </c>
      <c r="W275" s="955"/>
      <c r="X275" s="956"/>
      <c r="Y275" s="954"/>
      <c r="Z275" s="1349" t="str">
        <f t="shared" si="156"/>
        <v>-</v>
      </c>
      <c r="AA275" s="955"/>
      <c r="AB275" s="956"/>
      <c r="AC275" s="954"/>
      <c r="AD275" s="1349" t="str">
        <f t="shared" si="157"/>
        <v>-</v>
      </c>
      <c r="AE275" s="955"/>
      <c r="AF275" s="956"/>
      <c r="AG275" s="954"/>
      <c r="AH275" s="1349" t="str">
        <f t="shared" si="158"/>
        <v>-</v>
      </c>
      <c r="AI275" s="1273">
        <f t="shared" si="168"/>
        <v>0</v>
      </c>
      <c r="AJ275" s="1274">
        <f t="shared" si="168"/>
        <v>0</v>
      </c>
      <c r="AK275" s="1274">
        <f t="shared" si="168"/>
        <v>0</v>
      </c>
      <c r="AL275" s="1389" t="str">
        <f t="shared" si="160"/>
        <v>-</v>
      </c>
      <c r="AM275" s="955"/>
      <c r="AN275" s="956"/>
      <c r="AO275" s="954"/>
      <c r="AP275" s="1349" t="str">
        <f t="shared" si="161"/>
        <v>-</v>
      </c>
      <c r="AQ275" s="955"/>
      <c r="AR275" s="956"/>
      <c r="AS275" s="954"/>
      <c r="AT275" s="1349" t="str">
        <f t="shared" si="162"/>
        <v>-</v>
      </c>
      <c r="AU275" s="955"/>
      <c r="AV275" s="956"/>
      <c r="AW275" s="954"/>
      <c r="AX275" s="1349" t="str">
        <f t="shared" si="163"/>
        <v>-</v>
      </c>
      <c r="AY275" s="464"/>
    </row>
    <row r="276" spans="1:54" s="466" customFormat="1">
      <c r="A276" s="504">
        <f t="shared" si="169"/>
        <v>96</v>
      </c>
      <c r="B276" s="790">
        <v>18</v>
      </c>
      <c r="C276" s="935" t="s">
        <v>992</v>
      </c>
      <c r="D276" s="900" t="s">
        <v>993</v>
      </c>
      <c r="E276" s="936" t="s">
        <v>1218</v>
      </c>
      <c r="F276" s="949" t="s">
        <v>994</v>
      </c>
      <c r="G276" s="1273">
        <f t="shared" si="166"/>
        <v>0</v>
      </c>
      <c r="H276" s="1274">
        <f t="shared" si="166"/>
        <v>0</v>
      </c>
      <c r="I276" s="1274">
        <f t="shared" si="166"/>
        <v>0</v>
      </c>
      <c r="J276" s="1389" t="str">
        <f t="shared" si="151"/>
        <v>-</v>
      </c>
      <c r="K276" s="1273">
        <f t="shared" si="167"/>
        <v>0</v>
      </c>
      <c r="L276" s="1274">
        <f t="shared" si="167"/>
        <v>0</v>
      </c>
      <c r="M276" s="1274">
        <f t="shared" si="167"/>
        <v>0</v>
      </c>
      <c r="N276" s="1389" t="str">
        <f t="shared" si="153"/>
        <v>-</v>
      </c>
      <c r="O276" s="955"/>
      <c r="P276" s="956"/>
      <c r="Q276" s="954"/>
      <c r="R276" s="1349" t="str">
        <f t="shared" si="154"/>
        <v>-</v>
      </c>
      <c r="S276" s="955"/>
      <c r="T276" s="956"/>
      <c r="U276" s="954"/>
      <c r="V276" s="1349" t="str">
        <f t="shared" si="155"/>
        <v>-</v>
      </c>
      <c r="W276" s="955"/>
      <c r="X276" s="956"/>
      <c r="Y276" s="954"/>
      <c r="Z276" s="1349" t="str">
        <f t="shared" si="156"/>
        <v>-</v>
      </c>
      <c r="AA276" s="955"/>
      <c r="AB276" s="956"/>
      <c r="AC276" s="954"/>
      <c r="AD276" s="1349" t="str">
        <f t="shared" si="157"/>
        <v>-</v>
      </c>
      <c r="AE276" s="955"/>
      <c r="AF276" s="956"/>
      <c r="AG276" s="954"/>
      <c r="AH276" s="1349" t="str">
        <f t="shared" si="158"/>
        <v>-</v>
      </c>
      <c r="AI276" s="1273">
        <f t="shared" si="168"/>
        <v>0</v>
      </c>
      <c r="AJ276" s="1274">
        <f t="shared" si="168"/>
        <v>0</v>
      </c>
      <c r="AK276" s="1274">
        <f t="shared" si="168"/>
        <v>0</v>
      </c>
      <c r="AL276" s="1389" t="str">
        <f t="shared" si="160"/>
        <v>-</v>
      </c>
      <c r="AM276" s="955"/>
      <c r="AN276" s="956"/>
      <c r="AO276" s="954"/>
      <c r="AP276" s="1349" t="str">
        <f t="shared" si="161"/>
        <v>-</v>
      </c>
      <c r="AQ276" s="955"/>
      <c r="AR276" s="956"/>
      <c r="AS276" s="954"/>
      <c r="AT276" s="1349" t="str">
        <f t="shared" si="162"/>
        <v>-</v>
      </c>
      <c r="AU276" s="955"/>
      <c r="AV276" s="956"/>
      <c r="AW276" s="954"/>
      <c r="AX276" s="1349" t="str">
        <f t="shared" si="163"/>
        <v>-</v>
      </c>
      <c r="AY276" s="464"/>
    </row>
    <row r="277" spans="1:54" s="470" customFormat="1" ht="12.75" thickBot="1">
      <c r="A277" s="504">
        <f t="shared" si="169"/>
        <v>97</v>
      </c>
      <c r="B277" s="790">
        <v>18</v>
      </c>
      <c r="C277" s="935" t="s">
        <v>1002</v>
      </c>
      <c r="D277" s="900" t="s">
        <v>1001</v>
      </c>
      <c r="E277" s="936" t="s">
        <v>1218</v>
      </c>
      <c r="F277" s="949" t="s">
        <v>994</v>
      </c>
      <c r="G277" s="1279">
        <f t="shared" si="166"/>
        <v>0</v>
      </c>
      <c r="H277" s="1280">
        <f t="shared" si="166"/>
        <v>0</v>
      </c>
      <c r="I277" s="1280">
        <f t="shared" si="166"/>
        <v>0</v>
      </c>
      <c r="J277" s="1389" t="str">
        <f t="shared" si="151"/>
        <v>-</v>
      </c>
      <c r="K277" s="1279">
        <f t="shared" si="167"/>
        <v>0</v>
      </c>
      <c r="L277" s="1280">
        <f t="shared" si="167"/>
        <v>0</v>
      </c>
      <c r="M277" s="1280">
        <f t="shared" si="167"/>
        <v>0</v>
      </c>
      <c r="N277" s="1389" t="str">
        <f t="shared" si="153"/>
        <v>-</v>
      </c>
      <c r="O277" s="469"/>
      <c r="P277" s="468"/>
      <c r="Q277" s="954"/>
      <c r="R277" s="1349" t="str">
        <f t="shared" si="154"/>
        <v>-</v>
      </c>
      <c r="S277" s="469"/>
      <c r="T277" s="468"/>
      <c r="U277" s="954"/>
      <c r="V277" s="1349" t="str">
        <f t="shared" si="155"/>
        <v>-</v>
      </c>
      <c r="W277" s="469"/>
      <c r="X277" s="468"/>
      <c r="Y277" s="954"/>
      <c r="Z277" s="1349" t="str">
        <f t="shared" si="156"/>
        <v>-</v>
      </c>
      <c r="AA277" s="469"/>
      <c r="AB277" s="468"/>
      <c r="AC277" s="954"/>
      <c r="AD277" s="1349" t="str">
        <f t="shared" si="157"/>
        <v>-</v>
      </c>
      <c r="AE277" s="469"/>
      <c r="AF277" s="468"/>
      <c r="AG277" s="954"/>
      <c r="AH277" s="1349" t="str">
        <f t="shared" si="158"/>
        <v>-</v>
      </c>
      <c r="AI277" s="1279">
        <f t="shared" si="168"/>
        <v>0</v>
      </c>
      <c r="AJ277" s="1280">
        <f t="shared" si="168"/>
        <v>0</v>
      </c>
      <c r="AK277" s="1280">
        <f t="shared" si="168"/>
        <v>0</v>
      </c>
      <c r="AL277" s="1389" t="str">
        <f t="shared" si="160"/>
        <v>-</v>
      </c>
      <c r="AM277" s="469"/>
      <c r="AN277" s="468"/>
      <c r="AO277" s="954"/>
      <c r="AP277" s="1349" t="str">
        <f t="shared" si="161"/>
        <v>-</v>
      </c>
      <c r="AQ277" s="469"/>
      <c r="AR277" s="468"/>
      <c r="AS277" s="954"/>
      <c r="AT277" s="1349" t="str">
        <f t="shared" si="162"/>
        <v>-</v>
      </c>
      <c r="AU277" s="469"/>
      <c r="AV277" s="468"/>
      <c r="AW277" s="954"/>
      <c r="AX277" s="1349" t="str">
        <f t="shared" si="163"/>
        <v>-</v>
      </c>
      <c r="AY277" s="464"/>
      <c r="AZ277" s="295"/>
      <c r="BA277" s="295"/>
      <c r="BB277" s="295"/>
    </row>
    <row r="278" spans="1:54" s="470" customFormat="1" ht="12.75" thickBot="1">
      <c r="A278" s="500" t="s">
        <v>746</v>
      </c>
      <c r="B278" s="793"/>
      <c r="C278" s="1862" t="s">
        <v>867</v>
      </c>
      <c r="D278" s="1863"/>
      <c r="E278" s="1863"/>
      <c r="F278" s="1864"/>
      <c r="G278" s="490">
        <f>SUM(G277)</f>
        <v>0</v>
      </c>
      <c r="H278" s="491">
        <f>SUM(H277)</f>
        <v>0</v>
      </c>
      <c r="I278" s="491">
        <f>SUM(I277)</f>
        <v>0</v>
      </c>
      <c r="J278" s="1350" t="str">
        <f t="shared" si="151"/>
        <v>-</v>
      </c>
      <c r="K278" s="490">
        <f>SUM(K277)</f>
        <v>0</v>
      </c>
      <c r="L278" s="491">
        <f>SUM(L277)</f>
        <v>0</v>
      </c>
      <c r="M278" s="491">
        <f>SUM(M277)</f>
        <v>0</v>
      </c>
      <c r="N278" s="1350" t="str">
        <f t="shared" si="153"/>
        <v>-</v>
      </c>
      <c r="O278" s="490">
        <f>SUM(O277)</f>
        <v>0</v>
      </c>
      <c r="P278" s="491">
        <f>SUM(P277)</f>
        <v>0</v>
      </c>
      <c r="Q278" s="355">
        <f>SUM(Q271:Q277)</f>
        <v>0</v>
      </c>
      <c r="R278" s="1350" t="str">
        <f t="shared" si="154"/>
        <v>-</v>
      </c>
      <c r="S278" s="490">
        <f>SUM(S277)</f>
        <v>0</v>
      </c>
      <c r="T278" s="491">
        <f>SUM(T277)</f>
        <v>0</v>
      </c>
      <c r="U278" s="355">
        <f>SUM(U271:U277)</f>
        <v>0</v>
      </c>
      <c r="V278" s="1350" t="str">
        <f t="shared" si="155"/>
        <v>-</v>
      </c>
      <c r="W278" s="490">
        <f>SUM(W277)</f>
        <v>0</v>
      </c>
      <c r="X278" s="491">
        <f>SUM(X277)</f>
        <v>0</v>
      </c>
      <c r="Y278" s="355">
        <f>SUM(Y271:Y277)</f>
        <v>0</v>
      </c>
      <c r="Z278" s="1350" t="str">
        <f t="shared" si="156"/>
        <v>-</v>
      </c>
      <c r="AA278" s="490">
        <f>SUM(AA277)</f>
        <v>0</v>
      </c>
      <c r="AB278" s="491">
        <f>SUM(AB277)</f>
        <v>0</v>
      </c>
      <c r="AC278" s="355">
        <f>SUM(AC271:AC277)</f>
        <v>0</v>
      </c>
      <c r="AD278" s="1350" t="str">
        <f t="shared" si="157"/>
        <v>-</v>
      </c>
      <c r="AE278" s="490">
        <f>SUM(AE277)</f>
        <v>0</v>
      </c>
      <c r="AF278" s="491">
        <f>SUM(AF277)</f>
        <v>0</v>
      </c>
      <c r="AG278" s="355">
        <f>SUM(AG271:AG277)</f>
        <v>0</v>
      </c>
      <c r="AH278" s="1350" t="str">
        <f t="shared" si="158"/>
        <v>-</v>
      </c>
      <c r="AI278" s="490">
        <f>SUM(AI277)</f>
        <v>0</v>
      </c>
      <c r="AJ278" s="491">
        <f>SUM(AJ277)</f>
        <v>0</v>
      </c>
      <c r="AK278" s="491">
        <f>SUM(AK277)</f>
        <v>0</v>
      </c>
      <c r="AL278" s="1350" t="str">
        <f t="shared" si="160"/>
        <v>-</v>
      </c>
      <c r="AM278" s="490">
        <f>SUM(AM277)</f>
        <v>0</v>
      </c>
      <c r="AN278" s="491">
        <f>SUM(AN277)</f>
        <v>0</v>
      </c>
      <c r="AO278" s="355">
        <f>SUM(AO271:AO277)</f>
        <v>0</v>
      </c>
      <c r="AP278" s="1350" t="str">
        <f t="shared" si="161"/>
        <v>-</v>
      </c>
      <c r="AQ278" s="490">
        <f>SUM(AQ277)</f>
        <v>0</v>
      </c>
      <c r="AR278" s="491">
        <f>SUM(AR277)</f>
        <v>0</v>
      </c>
      <c r="AS278" s="355">
        <f>SUM(AS271:AS277)</f>
        <v>0</v>
      </c>
      <c r="AT278" s="1350" t="str">
        <f t="shared" si="162"/>
        <v>-</v>
      </c>
      <c r="AU278" s="490">
        <f>SUM(AU277)</f>
        <v>0</v>
      </c>
      <c r="AV278" s="491">
        <f>SUM(AV277)</f>
        <v>0</v>
      </c>
      <c r="AW278" s="355">
        <f>SUM(AW271:AW277)</f>
        <v>0</v>
      </c>
      <c r="AX278" s="1350" t="str">
        <f t="shared" si="163"/>
        <v>-</v>
      </c>
      <c r="AY278" s="773"/>
    </row>
    <row r="279" spans="1:54" s="470" customFormat="1" ht="12.75" thickBot="1">
      <c r="A279" s="501" t="s">
        <v>22</v>
      </c>
      <c r="B279" s="794"/>
      <c r="C279" s="1877" t="s">
        <v>868</v>
      </c>
      <c r="D279" s="1878"/>
      <c r="E279" s="1878"/>
      <c r="F279" s="1879"/>
      <c r="G279" s="492">
        <f>+G266+G270+G278</f>
        <v>406320</v>
      </c>
      <c r="H279" s="493">
        <f>+H266+H270+H278</f>
        <v>461617</v>
      </c>
      <c r="I279" s="493">
        <f>+I266+I270+I278</f>
        <v>454505</v>
      </c>
      <c r="J279" s="1386">
        <f t="shared" si="151"/>
        <v>0.98459328837542814</v>
      </c>
      <c r="K279" s="492">
        <f>+K266+K270+K278</f>
        <v>402320</v>
      </c>
      <c r="L279" s="493">
        <f>+L266+L270+L278</f>
        <v>454818</v>
      </c>
      <c r="M279" s="493">
        <f>+M266+M270+M278</f>
        <v>447706</v>
      </c>
      <c r="N279" s="1386">
        <f t="shared" si="153"/>
        <v>0.98436297595961464</v>
      </c>
      <c r="O279" s="492">
        <f>+O266+O270+O278</f>
        <v>288403</v>
      </c>
      <c r="P279" s="493">
        <f>+P266+P270+P278</f>
        <v>308703</v>
      </c>
      <c r="Q279" s="475">
        <f>+Q266+Q270+Q278</f>
        <v>308703</v>
      </c>
      <c r="R279" s="1386">
        <f t="shared" si="154"/>
        <v>1</v>
      </c>
      <c r="S279" s="492">
        <f>+S266+S270+S278</f>
        <v>53891</v>
      </c>
      <c r="T279" s="493">
        <f>+T266+T270+T278</f>
        <v>56625</v>
      </c>
      <c r="U279" s="475">
        <f>+U266+U270+U278</f>
        <v>56625</v>
      </c>
      <c r="V279" s="1386">
        <f t="shared" si="155"/>
        <v>1</v>
      </c>
      <c r="W279" s="492">
        <f>+W266+W270+W278</f>
        <v>60026</v>
      </c>
      <c r="X279" s="493">
        <f>+X266+X270+X278</f>
        <v>89026</v>
      </c>
      <c r="Y279" s="475">
        <f>+Y266+Y270+Y278</f>
        <v>81914</v>
      </c>
      <c r="Z279" s="1386">
        <f t="shared" si="156"/>
        <v>0.92011322534989781</v>
      </c>
      <c r="AA279" s="492">
        <f>+AA266+AA270+AA278</f>
        <v>0</v>
      </c>
      <c r="AB279" s="493">
        <f>+AB266+AB270+AB278</f>
        <v>0</v>
      </c>
      <c r="AC279" s="475">
        <f>+AC266+AC270+AC278</f>
        <v>0</v>
      </c>
      <c r="AD279" s="1386" t="str">
        <f t="shared" si="157"/>
        <v>-</v>
      </c>
      <c r="AE279" s="492">
        <f>+AE266+AE270+AE278</f>
        <v>0</v>
      </c>
      <c r="AF279" s="493">
        <f>+AF266+AF270+AF278</f>
        <v>464</v>
      </c>
      <c r="AG279" s="475">
        <f>+AG266+AG270+AG278</f>
        <v>464</v>
      </c>
      <c r="AH279" s="1386">
        <f t="shared" si="158"/>
        <v>1</v>
      </c>
      <c r="AI279" s="492">
        <f>+AI266+AI270+AI278</f>
        <v>4000</v>
      </c>
      <c r="AJ279" s="493">
        <f>+AJ266+AJ270+AJ278</f>
        <v>6799</v>
      </c>
      <c r="AK279" s="493">
        <f>+AK266+AK270+AK278</f>
        <v>6799</v>
      </c>
      <c r="AL279" s="1386">
        <f t="shared" si="160"/>
        <v>1</v>
      </c>
      <c r="AM279" s="492">
        <f>+AM266+AM270+AM278</f>
        <v>4000</v>
      </c>
      <c r="AN279" s="493">
        <f>+AN266+AN270+AN278</f>
        <v>6799</v>
      </c>
      <c r="AO279" s="475">
        <f>+AO266+AO270+AO278</f>
        <v>6799</v>
      </c>
      <c r="AP279" s="1386">
        <f t="shared" si="161"/>
        <v>1</v>
      </c>
      <c r="AQ279" s="492">
        <f>+AQ266+AQ270+AQ278</f>
        <v>0</v>
      </c>
      <c r="AR279" s="493">
        <f>+AR266+AR270+AR278</f>
        <v>0</v>
      </c>
      <c r="AS279" s="475">
        <f>+AS266+AS270+AS278</f>
        <v>0</v>
      </c>
      <c r="AT279" s="1386" t="str">
        <f t="shared" si="162"/>
        <v>-</v>
      </c>
      <c r="AU279" s="492">
        <f>+AU266+AU270+AU278</f>
        <v>0</v>
      </c>
      <c r="AV279" s="493">
        <f>+AV266+AV270+AV278</f>
        <v>0</v>
      </c>
      <c r="AW279" s="475">
        <f>+AW266+AW270+AW278</f>
        <v>0</v>
      </c>
      <c r="AX279" s="1386" t="str">
        <f t="shared" si="163"/>
        <v>-</v>
      </c>
      <c r="AY279" s="773"/>
      <c r="AZ279" s="466"/>
      <c r="BA279" s="466"/>
      <c r="BB279" s="466"/>
    </row>
    <row r="280" spans="1:54" s="470" customFormat="1" ht="12.75" thickBot="1">
      <c r="A280" s="500"/>
      <c r="B280" s="797"/>
      <c r="C280" s="881"/>
      <c r="D280" s="499"/>
      <c r="E280" s="876"/>
      <c r="F280" s="471"/>
      <c r="G280" s="490"/>
      <c r="H280" s="491"/>
      <c r="I280" s="491"/>
      <c r="J280" s="917"/>
      <c r="K280" s="490"/>
      <c r="L280" s="491"/>
      <c r="M280" s="491"/>
      <c r="N280" s="917"/>
      <c r="O280" s="472"/>
      <c r="P280" s="355"/>
      <c r="Q280" s="355"/>
      <c r="R280" s="917"/>
      <c r="S280" s="472"/>
      <c r="T280" s="355"/>
      <c r="U280" s="355"/>
      <c r="V280" s="917"/>
      <c r="W280" s="472"/>
      <c r="X280" s="355"/>
      <c r="Y280" s="355"/>
      <c r="Z280" s="917"/>
      <c r="AA280" s="472"/>
      <c r="AB280" s="355"/>
      <c r="AC280" s="355"/>
      <c r="AD280" s="917"/>
      <c r="AE280" s="472"/>
      <c r="AF280" s="355"/>
      <c r="AG280" s="355"/>
      <c r="AH280" s="917"/>
      <c r="AI280" s="490"/>
      <c r="AJ280" s="491"/>
      <c r="AK280" s="491"/>
      <c r="AL280" s="917"/>
      <c r="AM280" s="472"/>
      <c r="AN280" s="355"/>
      <c r="AO280" s="355"/>
      <c r="AP280" s="917"/>
      <c r="AQ280" s="472"/>
      <c r="AR280" s="355"/>
      <c r="AS280" s="355"/>
      <c r="AT280" s="917"/>
      <c r="AU280" s="472"/>
      <c r="AV280" s="355"/>
      <c r="AW280" s="355"/>
      <c r="AX280" s="917"/>
      <c r="AY280" s="465"/>
      <c r="AZ280" s="466"/>
      <c r="BA280" s="466"/>
      <c r="BB280" s="466"/>
    </row>
    <row r="281" spans="1:54">
      <c r="A281" s="504">
        <f>+A277+1</f>
        <v>98</v>
      </c>
      <c r="B281" s="790">
        <v>19</v>
      </c>
      <c r="C281" s="935" t="s">
        <v>1072</v>
      </c>
      <c r="D281" s="900" t="s">
        <v>1073</v>
      </c>
      <c r="E281" s="936" t="s">
        <v>1218</v>
      </c>
      <c r="F281" s="949" t="s">
        <v>1074</v>
      </c>
      <c r="G281" s="1277">
        <f t="shared" ref="G281:I286" si="170">+K281+AI281</f>
        <v>290740</v>
      </c>
      <c r="H281" s="1278">
        <f t="shared" si="170"/>
        <v>302997</v>
      </c>
      <c r="I281" s="1278">
        <f t="shared" si="170"/>
        <v>283384</v>
      </c>
      <c r="J281" s="1389">
        <f t="shared" ref="J281:J292" si="171">IF(ISERROR(I281/H281),"-",I281/H281)</f>
        <v>0.93526998617148027</v>
      </c>
      <c r="K281" s="1277">
        <f t="shared" ref="K281:M286" si="172">+O281+S281+W281+AA281+AE281</f>
        <v>289640</v>
      </c>
      <c r="L281" s="1278">
        <f t="shared" si="172"/>
        <v>302722</v>
      </c>
      <c r="M281" s="1278">
        <f t="shared" si="172"/>
        <v>283109</v>
      </c>
      <c r="N281" s="1389">
        <f t="shared" ref="N281:N292" si="173">IF(ISERROR(M281/L281),"-",M281/L281)</f>
        <v>0.93521118385845758</v>
      </c>
      <c r="O281" s="953">
        <v>219940</v>
      </c>
      <c r="P281" s="954">
        <f>216515+11393</f>
        <v>227908</v>
      </c>
      <c r="Q281" s="954">
        <v>216515</v>
      </c>
      <c r="R281" s="1349">
        <f t="shared" ref="R281:R292" si="174">IF(ISERROR(Q281/P281),"-",Q281/P281)</f>
        <v>0.95001053056496476</v>
      </c>
      <c r="S281" s="953">
        <v>43809</v>
      </c>
      <c r="T281" s="954">
        <f>41981+8220</f>
        <v>50201</v>
      </c>
      <c r="U281" s="954">
        <v>41981</v>
      </c>
      <c r="V281" s="1349">
        <f t="shared" ref="V281:V292" si="175">IF(ISERROR(U281/T281),"-",U281/T281)</f>
        <v>0.83625824186769193</v>
      </c>
      <c r="W281" s="953">
        <v>25891</v>
      </c>
      <c r="X281" s="954">
        <v>24613</v>
      </c>
      <c r="Y281" s="954">
        <f>34+24579</f>
        <v>24613</v>
      </c>
      <c r="Z281" s="1349">
        <f t="shared" ref="Z281:Z292" si="176">IF(ISERROR(Y281/X281),"-",Y281/X281)</f>
        <v>1</v>
      </c>
      <c r="AA281" s="953"/>
      <c r="AB281" s="954"/>
      <c r="AC281" s="954"/>
      <c r="AD281" s="1349" t="str">
        <f t="shared" ref="AD281:AD292" si="177">IF(ISERROR(AC281/AB281),"-",AC281/AB281)</f>
        <v>-</v>
      </c>
      <c r="AE281" s="953"/>
      <c r="AF281" s="954"/>
      <c r="AG281" s="954"/>
      <c r="AH281" s="1349" t="str">
        <f t="shared" ref="AH281:AH292" si="178">IF(ISERROR(AG281/AF281),"-",AG281/AF281)</f>
        <v>-</v>
      </c>
      <c r="AI281" s="1277">
        <f t="shared" ref="AI281:AK286" si="179">+AM281+AQ281+AU281</f>
        <v>1100</v>
      </c>
      <c r="AJ281" s="1278">
        <f t="shared" si="179"/>
        <v>275</v>
      </c>
      <c r="AK281" s="1278">
        <f t="shared" si="179"/>
        <v>275</v>
      </c>
      <c r="AL281" s="1389">
        <f t="shared" ref="AL281:AL292" si="180">IF(ISERROR(AK281/AJ281),"-",AK281/AJ281)</f>
        <v>1</v>
      </c>
      <c r="AM281" s="953">
        <v>1100</v>
      </c>
      <c r="AN281" s="954">
        <v>275</v>
      </c>
      <c r="AO281" s="954">
        <v>275</v>
      </c>
      <c r="AP281" s="1349">
        <f t="shared" ref="AP281:AP292" si="181">IF(ISERROR(AO281/AN281),"-",AO281/AN281)</f>
        <v>1</v>
      </c>
      <c r="AQ281" s="953"/>
      <c r="AR281" s="954"/>
      <c r="AS281" s="954"/>
      <c r="AT281" s="1349" t="str">
        <f t="shared" ref="AT281:AT292" si="182">IF(ISERROR(AS281/AR281),"-",AS281/AR281)</f>
        <v>-</v>
      </c>
      <c r="AU281" s="953"/>
      <c r="AV281" s="954"/>
      <c r="AW281" s="954"/>
      <c r="AX281" s="1349" t="str">
        <f t="shared" ref="AX281:AX292" si="183">IF(ISERROR(AW281/AV281),"-",AW281/AV281)</f>
        <v>-</v>
      </c>
      <c r="AY281" s="464"/>
    </row>
    <row r="282" spans="1:54">
      <c r="A282" s="504">
        <f>+A281+1</f>
        <v>99</v>
      </c>
      <c r="B282" s="790">
        <v>20</v>
      </c>
      <c r="C282" s="935" t="s">
        <v>1075</v>
      </c>
      <c r="D282" s="900" t="s">
        <v>1076</v>
      </c>
      <c r="E282" s="936" t="s">
        <v>1232</v>
      </c>
      <c r="F282" s="949" t="s">
        <v>1081</v>
      </c>
      <c r="G282" s="1277">
        <f t="shared" si="170"/>
        <v>30260</v>
      </c>
      <c r="H282" s="1278">
        <f t="shared" si="170"/>
        <v>21613</v>
      </c>
      <c r="I282" s="1278">
        <f t="shared" si="170"/>
        <v>21613</v>
      </c>
      <c r="J282" s="1389">
        <f t="shared" si="171"/>
        <v>1</v>
      </c>
      <c r="K282" s="1277">
        <f t="shared" si="172"/>
        <v>30260</v>
      </c>
      <c r="L282" s="1278">
        <f t="shared" si="172"/>
        <v>21613</v>
      </c>
      <c r="M282" s="1278">
        <f t="shared" si="172"/>
        <v>21613</v>
      </c>
      <c r="N282" s="1389">
        <f t="shared" si="173"/>
        <v>1</v>
      </c>
      <c r="O282" s="953"/>
      <c r="P282" s="954"/>
      <c r="Q282" s="954"/>
      <c r="R282" s="1349" t="str">
        <f t="shared" si="174"/>
        <v>-</v>
      </c>
      <c r="S282" s="955"/>
      <c r="T282" s="956"/>
      <c r="U282" s="954"/>
      <c r="V282" s="1349" t="str">
        <f t="shared" si="175"/>
        <v>-</v>
      </c>
      <c r="W282" s="955">
        <v>30260</v>
      </c>
      <c r="X282" s="956">
        <v>21613</v>
      </c>
      <c r="Y282" s="954">
        <v>21613</v>
      </c>
      <c r="Z282" s="1349">
        <f t="shared" si="176"/>
        <v>1</v>
      </c>
      <c r="AA282" s="955"/>
      <c r="AB282" s="956"/>
      <c r="AC282" s="954"/>
      <c r="AD282" s="1349" t="str">
        <f t="shared" si="177"/>
        <v>-</v>
      </c>
      <c r="AE282" s="955"/>
      <c r="AF282" s="956"/>
      <c r="AG282" s="954"/>
      <c r="AH282" s="1349" t="str">
        <f t="shared" si="178"/>
        <v>-</v>
      </c>
      <c r="AI282" s="1277">
        <f t="shared" si="179"/>
        <v>0</v>
      </c>
      <c r="AJ282" s="1278">
        <f t="shared" si="179"/>
        <v>0</v>
      </c>
      <c r="AK282" s="1278">
        <f t="shared" si="179"/>
        <v>0</v>
      </c>
      <c r="AL282" s="1389" t="str">
        <f t="shared" si="180"/>
        <v>-</v>
      </c>
      <c r="AM282" s="955"/>
      <c r="AN282" s="956"/>
      <c r="AO282" s="954"/>
      <c r="AP282" s="1349" t="str">
        <f t="shared" si="181"/>
        <v>-</v>
      </c>
      <c r="AQ282" s="955"/>
      <c r="AR282" s="956"/>
      <c r="AS282" s="954"/>
      <c r="AT282" s="1349" t="str">
        <f t="shared" si="182"/>
        <v>-</v>
      </c>
      <c r="AU282" s="955"/>
      <c r="AV282" s="956"/>
      <c r="AW282" s="954"/>
      <c r="AX282" s="1349" t="str">
        <f t="shared" si="183"/>
        <v>-</v>
      </c>
      <c r="AY282" s="464"/>
    </row>
    <row r="283" spans="1:54">
      <c r="A283" s="504">
        <f>+A282+1</f>
        <v>100</v>
      </c>
      <c r="B283" s="790">
        <v>20</v>
      </c>
      <c r="C283" s="935" t="s">
        <v>1075</v>
      </c>
      <c r="D283" s="900" t="s">
        <v>1076</v>
      </c>
      <c r="E283" s="936" t="s">
        <v>1233</v>
      </c>
      <c r="F283" s="949" t="s">
        <v>1082</v>
      </c>
      <c r="G283" s="1277">
        <f t="shared" si="170"/>
        <v>60171</v>
      </c>
      <c r="H283" s="1278">
        <f t="shared" si="170"/>
        <v>60298</v>
      </c>
      <c r="I283" s="1278">
        <f t="shared" si="170"/>
        <v>55996</v>
      </c>
      <c r="J283" s="1389">
        <f t="shared" si="171"/>
        <v>0.92865435006136188</v>
      </c>
      <c r="K283" s="1277">
        <f t="shared" si="172"/>
        <v>60171</v>
      </c>
      <c r="L283" s="1278">
        <f t="shared" si="172"/>
        <v>60298</v>
      </c>
      <c r="M283" s="1278">
        <f t="shared" si="172"/>
        <v>55996</v>
      </c>
      <c r="N283" s="1389">
        <f t="shared" si="173"/>
        <v>0.92865435006136188</v>
      </c>
      <c r="O283" s="953"/>
      <c r="P283" s="954"/>
      <c r="Q283" s="954"/>
      <c r="R283" s="1349" t="str">
        <f t="shared" si="174"/>
        <v>-</v>
      </c>
      <c r="S283" s="955"/>
      <c r="T283" s="956"/>
      <c r="U283" s="954"/>
      <c r="V283" s="1349" t="str">
        <f t="shared" si="175"/>
        <v>-</v>
      </c>
      <c r="W283" s="955">
        <v>60171</v>
      </c>
      <c r="X283" s="956">
        <f>55996+4302</f>
        <v>60298</v>
      </c>
      <c r="Y283" s="954">
        <f>77609-21613</f>
        <v>55996</v>
      </c>
      <c r="Z283" s="1349">
        <f t="shared" si="176"/>
        <v>0.92865435006136188</v>
      </c>
      <c r="AA283" s="955"/>
      <c r="AB283" s="956"/>
      <c r="AC283" s="954"/>
      <c r="AD283" s="1349" t="str">
        <f t="shared" si="177"/>
        <v>-</v>
      </c>
      <c r="AE283" s="955"/>
      <c r="AF283" s="956"/>
      <c r="AG283" s="954"/>
      <c r="AH283" s="1349" t="str">
        <f t="shared" si="178"/>
        <v>-</v>
      </c>
      <c r="AI283" s="1277">
        <f t="shared" si="179"/>
        <v>0</v>
      </c>
      <c r="AJ283" s="1278">
        <f t="shared" si="179"/>
        <v>0</v>
      </c>
      <c r="AK283" s="1278">
        <f t="shared" si="179"/>
        <v>0</v>
      </c>
      <c r="AL283" s="1389" t="str">
        <f t="shared" si="180"/>
        <v>-</v>
      </c>
      <c r="AM283" s="955"/>
      <c r="AN283" s="956"/>
      <c r="AO283" s="954"/>
      <c r="AP283" s="1349" t="str">
        <f t="shared" si="181"/>
        <v>-</v>
      </c>
      <c r="AQ283" s="955"/>
      <c r="AR283" s="956"/>
      <c r="AS283" s="954"/>
      <c r="AT283" s="1349" t="str">
        <f t="shared" si="182"/>
        <v>-</v>
      </c>
      <c r="AU283" s="955"/>
      <c r="AV283" s="956"/>
      <c r="AW283" s="954"/>
      <c r="AX283" s="1349" t="str">
        <f t="shared" si="183"/>
        <v>-</v>
      </c>
      <c r="AY283" s="464"/>
    </row>
    <row r="284" spans="1:54" s="470" customFormat="1">
      <c r="A284" s="504">
        <f>+A283+1</f>
        <v>101</v>
      </c>
      <c r="B284" s="790">
        <v>21</v>
      </c>
      <c r="C284" s="935" t="s">
        <v>1077</v>
      </c>
      <c r="D284" s="900" t="s">
        <v>1167</v>
      </c>
      <c r="E284" s="936" t="s">
        <v>1234</v>
      </c>
      <c r="F284" s="949" t="s">
        <v>573</v>
      </c>
      <c r="G284" s="1277">
        <f t="shared" si="170"/>
        <v>44662</v>
      </c>
      <c r="H284" s="1278">
        <f t="shared" si="170"/>
        <v>49168</v>
      </c>
      <c r="I284" s="1278">
        <f t="shared" si="170"/>
        <v>49168</v>
      </c>
      <c r="J284" s="1389">
        <f t="shared" si="171"/>
        <v>1</v>
      </c>
      <c r="K284" s="1277">
        <f t="shared" si="172"/>
        <v>44662</v>
      </c>
      <c r="L284" s="1278">
        <f t="shared" si="172"/>
        <v>48763</v>
      </c>
      <c r="M284" s="1278">
        <f t="shared" si="172"/>
        <v>48763</v>
      </c>
      <c r="N284" s="1389">
        <f t="shared" si="173"/>
        <v>1</v>
      </c>
      <c r="O284" s="953">
        <v>33994</v>
      </c>
      <c r="P284" s="954">
        <v>37813</v>
      </c>
      <c r="Q284" s="954">
        <v>37813</v>
      </c>
      <c r="R284" s="1349">
        <f t="shared" si="174"/>
        <v>1</v>
      </c>
      <c r="S284" s="955">
        <v>5975</v>
      </c>
      <c r="T284" s="956">
        <v>7301</v>
      </c>
      <c r="U284" s="954">
        <v>7301</v>
      </c>
      <c r="V284" s="1349">
        <f t="shared" si="175"/>
        <v>1</v>
      </c>
      <c r="W284" s="955">
        <v>4693</v>
      </c>
      <c r="X284" s="956">
        <v>3649</v>
      </c>
      <c r="Y284" s="954">
        <v>3649</v>
      </c>
      <c r="Z284" s="1349">
        <f t="shared" si="176"/>
        <v>1</v>
      </c>
      <c r="AA284" s="955"/>
      <c r="AB284" s="956"/>
      <c r="AC284" s="954"/>
      <c r="AD284" s="1349" t="str">
        <f t="shared" si="177"/>
        <v>-</v>
      </c>
      <c r="AE284" s="955"/>
      <c r="AF284" s="956"/>
      <c r="AG284" s="954"/>
      <c r="AH284" s="1349" t="str">
        <f t="shared" si="178"/>
        <v>-</v>
      </c>
      <c r="AI284" s="1277">
        <f t="shared" si="179"/>
        <v>0</v>
      </c>
      <c r="AJ284" s="1278">
        <f t="shared" si="179"/>
        <v>405</v>
      </c>
      <c r="AK284" s="1278">
        <f t="shared" si="179"/>
        <v>405</v>
      </c>
      <c r="AL284" s="1389">
        <f t="shared" si="180"/>
        <v>1</v>
      </c>
      <c r="AM284" s="955"/>
      <c r="AN284" s="956">
        <v>405</v>
      </c>
      <c r="AO284" s="954">
        <v>405</v>
      </c>
      <c r="AP284" s="1349">
        <f t="shared" si="181"/>
        <v>1</v>
      </c>
      <c r="AQ284" s="955"/>
      <c r="AR284" s="956"/>
      <c r="AS284" s="954"/>
      <c r="AT284" s="1349" t="str">
        <f t="shared" si="182"/>
        <v>-</v>
      </c>
      <c r="AU284" s="955"/>
      <c r="AV284" s="956"/>
      <c r="AW284" s="954"/>
      <c r="AX284" s="1349" t="str">
        <f t="shared" si="183"/>
        <v>-</v>
      </c>
      <c r="AY284" s="464"/>
      <c r="AZ284" s="295"/>
      <c r="BA284" s="295"/>
      <c r="BB284" s="295"/>
    </row>
    <row r="285" spans="1:54">
      <c r="A285" s="504">
        <f>+A284+1</f>
        <v>102</v>
      </c>
      <c r="B285" s="790">
        <v>20</v>
      </c>
      <c r="C285" s="935" t="s">
        <v>1078</v>
      </c>
      <c r="D285" s="900" t="s">
        <v>1079</v>
      </c>
      <c r="E285" s="936" t="s">
        <v>1235</v>
      </c>
      <c r="F285" s="949" t="s">
        <v>1080</v>
      </c>
      <c r="G285" s="1277">
        <f t="shared" si="170"/>
        <v>3484</v>
      </c>
      <c r="H285" s="1278">
        <f t="shared" si="170"/>
        <v>3056</v>
      </c>
      <c r="I285" s="1278">
        <f t="shared" si="170"/>
        <v>3056</v>
      </c>
      <c r="J285" s="1389">
        <f t="shared" si="171"/>
        <v>1</v>
      </c>
      <c r="K285" s="1277">
        <f t="shared" si="172"/>
        <v>3484</v>
      </c>
      <c r="L285" s="1278">
        <f t="shared" si="172"/>
        <v>3056</v>
      </c>
      <c r="M285" s="1278">
        <f t="shared" si="172"/>
        <v>3056</v>
      </c>
      <c r="N285" s="1389">
        <f t="shared" si="173"/>
        <v>1</v>
      </c>
      <c r="O285" s="953"/>
      <c r="P285" s="954"/>
      <c r="Q285" s="954"/>
      <c r="R285" s="1349" t="str">
        <f t="shared" si="174"/>
        <v>-</v>
      </c>
      <c r="S285" s="955"/>
      <c r="T285" s="956"/>
      <c r="U285" s="954"/>
      <c r="V285" s="1349" t="str">
        <f t="shared" si="175"/>
        <v>-</v>
      </c>
      <c r="W285" s="955">
        <v>3484</v>
      </c>
      <c r="X285" s="956">
        <v>3056</v>
      </c>
      <c r="Y285" s="954">
        <v>3056</v>
      </c>
      <c r="Z285" s="1349">
        <f t="shared" si="176"/>
        <v>1</v>
      </c>
      <c r="AA285" s="955"/>
      <c r="AB285" s="956"/>
      <c r="AC285" s="954"/>
      <c r="AD285" s="1349" t="str">
        <f t="shared" si="177"/>
        <v>-</v>
      </c>
      <c r="AE285" s="955"/>
      <c r="AF285" s="956"/>
      <c r="AG285" s="954"/>
      <c r="AH285" s="1349" t="str">
        <f t="shared" si="178"/>
        <v>-</v>
      </c>
      <c r="AI285" s="1277">
        <f t="shared" si="179"/>
        <v>0</v>
      </c>
      <c r="AJ285" s="1278">
        <f t="shared" si="179"/>
        <v>0</v>
      </c>
      <c r="AK285" s="1278">
        <f t="shared" si="179"/>
        <v>0</v>
      </c>
      <c r="AL285" s="1389" t="str">
        <f t="shared" si="180"/>
        <v>-</v>
      </c>
      <c r="AM285" s="955"/>
      <c r="AN285" s="956"/>
      <c r="AO285" s="954"/>
      <c r="AP285" s="1349" t="str">
        <f t="shared" si="181"/>
        <v>-</v>
      </c>
      <c r="AQ285" s="955"/>
      <c r="AR285" s="956"/>
      <c r="AS285" s="954"/>
      <c r="AT285" s="1349" t="str">
        <f t="shared" si="182"/>
        <v>-</v>
      </c>
      <c r="AU285" s="955"/>
      <c r="AV285" s="956"/>
      <c r="AW285" s="954"/>
      <c r="AX285" s="1349" t="str">
        <f t="shared" si="183"/>
        <v>-</v>
      </c>
      <c r="AY285" s="464"/>
    </row>
    <row r="286" spans="1:54" ht="12.75" thickBot="1">
      <c r="A286" s="504">
        <f>+A285+1</f>
        <v>103</v>
      </c>
      <c r="B286" s="790">
        <v>19</v>
      </c>
      <c r="C286" s="935" t="s">
        <v>998</v>
      </c>
      <c r="D286" s="900" t="s">
        <v>999</v>
      </c>
      <c r="E286" s="936" t="s">
        <v>1218</v>
      </c>
      <c r="F286" s="949" t="s">
        <v>1074</v>
      </c>
      <c r="G286" s="1277">
        <f t="shared" si="170"/>
        <v>0</v>
      </c>
      <c r="H286" s="1278">
        <f t="shared" si="170"/>
        <v>315</v>
      </c>
      <c r="I286" s="1278">
        <f t="shared" si="170"/>
        <v>315</v>
      </c>
      <c r="J286" s="1389">
        <f t="shared" si="171"/>
        <v>1</v>
      </c>
      <c r="K286" s="1277">
        <f t="shared" si="172"/>
        <v>0</v>
      </c>
      <c r="L286" s="1278">
        <f t="shared" si="172"/>
        <v>315</v>
      </c>
      <c r="M286" s="1278">
        <f t="shared" si="172"/>
        <v>315</v>
      </c>
      <c r="N286" s="1389">
        <f t="shared" si="173"/>
        <v>1</v>
      </c>
      <c r="O286" s="953"/>
      <c r="P286" s="954"/>
      <c r="Q286" s="954"/>
      <c r="R286" s="1349" t="str">
        <f t="shared" si="174"/>
        <v>-</v>
      </c>
      <c r="S286" s="955"/>
      <c r="T286" s="956"/>
      <c r="U286" s="954"/>
      <c r="V286" s="1349" t="str">
        <f t="shared" si="175"/>
        <v>-</v>
      </c>
      <c r="W286" s="955"/>
      <c r="X286" s="956"/>
      <c r="Y286" s="954"/>
      <c r="Z286" s="1349" t="str">
        <f t="shared" si="176"/>
        <v>-</v>
      </c>
      <c r="AA286" s="955"/>
      <c r="AB286" s="956"/>
      <c r="AC286" s="954"/>
      <c r="AD286" s="1349" t="str">
        <f t="shared" si="177"/>
        <v>-</v>
      </c>
      <c r="AE286" s="955"/>
      <c r="AF286" s="956">
        <v>315</v>
      </c>
      <c r="AG286" s="954">
        <v>315</v>
      </c>
      <c r="AH286" s="1349">
        <f t="shared" si="178"/>
        <v>1</v>
      </c>
      <c r="AI286" s="1277">
        <f t="shared" si="179"/>
        <v>0</v>
      </c>
      <c r="AJ286" s="1278">
        <f t="shared" si="179"/>
        <v>0</v>
      </c>
      <c r="AK286" s="1278">
        <f t="shared" si="179"/>
        <v>0</v>
      </c>
      <c r="AL286" s="1389" t="str">
        <f t="shared" si="180"/>
        <v>-</v>
      </c>
      <c r="AM286" s="955"/>
      <c r="AN286" s="956"/>
      <c r="AO286" s="954"/>
      <c r="AP286" s="1349" t="str">
        <f t="shared" si="181"/>
        <v>-</v>
      </c>
      <c r="AQ286" s="955"/>
      <c r="AR286" s="956"/>
      <c r="AS286" s="954"/>
      <c r="AT286" s="1349" t="str">
        <f t="shared" si="182"/>
        <v>-</v>
      </c>
      <c r="AU286" s="955"/>
      <c r="AV286" s="956"/>
      <c r="AW286" s="954"/>
      <c r="AX286" s="1349" t="str">
        <f t="shared" si="183"/>
        <v>-</v>
      </c>
      <c r="AY286" s="464"/>
    </row>
    <row r="287" spans="1:54" ht="12.75" customHeight="1" thickBot="1">
      <c r="A287" s="500" t="s">
        <v>747</v>
      </c>
      <c r="B287" s="793"/>
      <c r="C287" s="1880" t="s">
        <v>417</v>
      </c>
      <c r="D287" s="1881"/>
      <c r="E287" s="1881"/>
      <c r="F287" s="1882"/>
      <c r="G287" s="490">
        <f>SUM(G281:G286)</f>
        <v>429317</v>
      </c>
      <c r="H287" s="491">
        <f>SUM(H281:H286)</f>
        <v>437447</v>
      </c>
      <c r="I287" s="491">
        <f>SUM(I281:I286)</f>
        <v>413532</v>
      </c>
      <c r="J287" s="1350">
        <f t="shared" si="171"/>
        <v>0.94533052004014195</v>
      </c>
      <c r="K287" s="490">
        <f>SUM(K281:K286)</f>
        <v>428217</v>
      </c>
      <c r="L287" s="491">
        <f>SUM(L281:L286)</f>
        <v>436767</v>
      </c>
      <c r="M287" s="491">
        <f>SUM(M281:M286)</f>
        <v>412852</v>
      </c>
      <c r="N287" s="1350">
        <f t="shared" si="173"/>
        <v>0.94524540544500846</v>
      </c>
      <c r="O287" s="472">
        <f>SUM(O281:O286)</f>
        <v>253934</v>
      </c>
      <c r="P287" s="355">
        <f>SUM(P281:P286)</f>
        <v>265721</v>
      </c>
      <c r="Q287" s="355">
        <f>SUM(Q281:Q286)</f>
        <v>254328</v>
      </c>
      <c r="R287" s="1350">
        <f t="shared" si="174"/>
        <v>0.95712420170027956</v>
      </c>
      <c r="S287" s="472">
        <f>SUM(S281:S286)</f>
        <v>49784</v>
      </c>
      <c r="T287" s="355">
        <f>SUM(T281:T286)</f>
        <v>57502</v>
      </c>
      <c r="U287" s="355">
        <f>SUM(U281:U286)</f>
        <v>49282</v>
      </c>
      <c r="V287" s="1350">
        <f t="shared" si="175"/>
        <v>0.85704845048867861</v>
      </c>
      <c r="W287" s="472">
        <f>SUM(W281:W286)</f>
        <v>124499</v>
      </c>
      <c r="X287" s="355">
        <f>SUM(X281:X286)</f>
        <v>113229</v>
      </c>
      <c r="Y287" s="355">
        <f>SUM(Y281:Y286)</f>
        <v>108927</v>
      </c>
      <c r="Z287" s="1350">
        <f t="shared" si="176"/>
        <v>0.96200619982513313</v>
      </c>
      <c r="AA287" s="472">
        <f>SUM(AA281:AA286)</f>
        <v>0</v>
      </c>
      <c r="AB287" s="355">
        <f>SUM(AB281:AB286)</f>
        <v>0</v>
      </c>
      <c r="AC287" s="355">
        <f>SUM(AC281:AC286)</f>
        <v>0</v>
      </c>
      <c r="AD287" s="1350" t="str">
        <f t="shared" si="177"/>
        <v>-</v>
      </c>
      <c r="AE287" s="472">
        <f>SUM(AE281:AE286)</f>
        <v>0</v>
      </c>
      <c r="AF287" s="355">
        <f>SUM(AF281:AF286)</f>
        <v>315</v>
      </c>
      <c r="AG287" s="355">
        <f>SUM(AG281:AG286)</f>
        <v>315</v>
      </c>
      <c r="AH287" s="1350">
        <f t="shared" si="178"/>
        <v>1</v>
      </c>
      <c r="AI287" s="490">
        <f>SUM(AI281:AI286)</f>
        <v>1100</v>
      </c>
      <c r="AJ287" s="491">
        <f>SUM(AJ281:AJ286)</f>
        <v>680</v>
      </c>
      <c r="AK287" s="491">
        <f>SUM(AK281:AK286)</f>
        <v>680</v>
      </c>
      <c r="AL287" s="1350">
        <f t="shared" si="180"/>
        <v>1</v>
      </c>
      <c r="AM287" s="472">
        <f>SUM(AM281:AM286)</f>
        <v>1100</v>
      </c>
      <c r="AN287" s="355">
        <f>SUM(AN281:AN286)</f>
        <v>680</v>
      </c>
      <c r="AO287" s="355">
        <f>SUM(AO281:AO286)</f>
        <v>680</v>
      </c>
      <c r="AP287" s="1350">
        <f t="shared" si="181"/>
        <v>1</v>
      </c>
      <c r="AQ287" s="472">
        <f>SUM(AQ281:AQ286)</f>
        <v>0</v>
      </c>
      <c r="AR287" s="355">
        <f>SUM(AR281:AR286)</f>
        <v>0</v>
      </c>
      <c r="AS287" s="355">
        <f>SUM(AS281:AS286)</f>
        <v>0</v>
      </c>
      <c r="AT287" s="1350" t="str">
        <f t="shared" si="182"/>
        <v>-</v>
      </c>
      <c r="AU287" s="472">
        <f>SUM(AU281:AU286)</f>
        <v>0</v>
      </c>
      <c r="AV287" s="355">
        <f>SUM(AV281:AV286)</f>
        <v>0</v>
      </c>
      <c r="AW287" s="355">
        <f>SUM(AW281:AW286)</f>
        <v>0</v>
      </c>
      <c r="AX287" s="1350" t="str">
        <f t="shared" si="183"/>
        <v>-</v>
      </c>
      <c r="AY287" s="465"/>
      <c r="AZ287" s="470"/>
      <c r="BA287" s="470"/>
      <c r="BB287" s="470"/>
    </row>
    <row r="288" spans="1:54" ht="12.75" customHeight="1" thickBot="1">
      <c r="A288" s="506">
        <f>+A286+1</f>
        <v>104</v>
      </c>
      <c r="B288" s="798">
        <v>22</v>
      </c>
      <c r="C288" s="882" t="s">
        <v>19</v>
      </c>
      <c r="D288" s="950" t="s">
        <v>19</v>
      </c>
      <c r="E288" s="877" t="s">
        <v>19</v>
      </c>
      <c r="F288" s="950" t="s">
        <v>19</v>
      </c>
      <c r="G288" s="1283">
        <f>+K288+AI288</f>
        <v>0</v>
      </c>
      <c r="H288" s="1284">
        <f>+L288+AJ288</f>
        <v>0</v>
      </c>
      <c r="I288" s="1284">
        <f>+M288+AK288</f>
        <v>0</v>
      </c>
      <c r="J288" s="1389" t="str">
        <f t="shared" si="171"/>
        <v>-</v>
      </c>
      <c r="K288" s="1283">
        <f>+O288+S288+W288+AA288+AE288</f>
        <v>0</v>
      </c>
      <c r="L288" s="1284">
        <f>+P288+T288+X288+AB288+AF288</f>
        <v>0</v>
      </c>
      <c r="M288" s="1284">
        <f>+Q288+U288+Y288+AC288+AG288</f>
        <v>0</v>
      </c>
      <c r="N288" s="1389" t="str">
        <f t="shared" si="173"/>
        <v>-</v>
      </c>
      <c r="O288" s="469"/>
      <c r="P288" s="468"/>
      <c r="Q288" s="468"/>
      <c r="R288" s="1349" t="str">
        <f t="shared" si="174"/>
        <v>-</v>
      </c>
      <c r="S288" s="469"/>
      <c r="T288" s="468"/>
      <c r="U288" s="468"/>
      <c r="V288" s="1349" t="str">
        <f t="shared" si="175"/>
        <v>-</v>
      </c>
      <c r="W288" s="469"/>
      <c r="X288" s="468"/>
      <c r="Y288" s="468"/>
      <c r="Z288" s="1349" t="str">
        <f t="shared" si="176"/>
        <v>-</v>
      </c>
      <c r="AA288" s="469"/>
      <c r="AB288" s="468"/>
      <c r="AC288" s="468"/>
      <c r="AD288" s="1349" t="str">
        <f t="shared" si="177"/>
        <v>-</v>
      </c>
      <c r="AE288" s="469"/>
      <c r="AF288" s="468"/>
      <c r="AG288" s="468"/>
      <c r="AH288" s="1349" t="str">
        <f t="shared" si="178"/>
        <v>-</v>
      </c>
      <c r="AI288" s="1283">
        <f>+AM288+AQ288+AU288</f>
        <v>0</v>
      </c>
      <c r="AJ288" s="1284">
        <f>+AN288+AR288+AV288</f>
        <v>0</v>
      </c>
      <c r="AK288" s="1284">
        <f>+AO288+AS288+AW288</f>
        <v>0</v>
      </c>
      <c r="AL288" s="1389" t="str">
        <f t="shared" si="180"/>
        <v>-</v>
      </c>
      <c r="AM288" s="469"/>
      <c r="AN288" s="468"/>
      <c r="AO288" s="468"/>
      <c r="AP288" s="1349" t="str">
        <f t="shared" si="181"/>
        <v>-</v>
      </c>
      <c r="AQ288" s="469"/>
      <c r="AR288" s="468"/>
      <c r="AS288" s="468"/>
      <c r="AT288" s="1349" t="str">
        <f t="shared" si="182"/>
        <v>-</v>
      </c>
      <c r="AU288" s="469"/>
      <c r="AV288" s="468"/>
      <c r="AW288" s="468"/>
      <c r="AX288" s="1349" t="str">
        <f t="shared" si="183"/>
        <v>-</v>
      </c>
      <c r="AY288" s="464"/>
      <c r="AZ288" s="470"/>
      <c r="BA288" s="470"/>
      <c r="BB288" s="470"/>
    </row>
    <row r="289" spans="1:54" s="462" customFormat="1" ht="12.75" customHeight="1" thickBot="1">
      <c r="A289" s="820" t="s">
        <v>748</v>
      </c>
      <c r="B289" s="793"/>
      <c r="C289" s="1880" t="s">
        <v>418</v>
      </c>
      <c r="D289" s="1881"/>
      <c r="E289" s="1881"/>
      <c r="F289" s="1882"/>
      <c r="G289" s="490">
        <f>SUM(G288)</f>
        <v>0</v>
      </c>
      <c r="H289" s="491">
        <f>SUM(H288)</f>
        <v>0</v>
      </c>
      <c r="I289" s="491">
        <f>SUM(I288)</f>
        <v>0</v>
      </c>
      <c r="J289" s="1350" t="str">
        <f t="shared" si="171"/>
        <v>-</v>
      </c>
      <c r="K289" s="490">
        <f>SUM(K288)</f>
        <v>0</v>
      </c>
      <c r="L289" s="491">
        <f>SUM(L288)</f>
        <v>0</v>
      </c>
      <c r="M289" s="491">
        <f>SUM(M288)</f>
        <v>0</v>
      </c>
      <c r="N289" s="1350" t="str">
        <f t="shared" si="173"/>
        <v>-</v>
      </c>
      <c r="O289" s="472">
        <f>SUM(O288)</f>
        <v>0</v>
      </c>
      <c r="P289" s="355">
        <f>SUM(P288)</f>
        <v>0</v>
      </c>
      <c r="Q289" s="355">
        <f>SUM(Q288)</f>
        <v>0</v>
      </c>
      <c r="R289" s="1350" t="str">
        <f t="shared" si="174"/>
        <v>-</v>
      </c>
      <c r="S289" s="472">
        <f>SUM(S288)</f>
        <v>0</v>
      </c>
      <c r="T289" s="355">
        <f>SUM(T288)</f>
        <v>0</v>
      </c>
      <c r="U289" s="355">
        <f>SUM(U288)</f>
        <v>0</v>
      </c>
      <c r="V289" s="1350" t="str">
        <f t="shared" si="175"/>
        <v>-</v>
      </c>
      <c r="W289" s="472">
        <f>SUM(W288)</f>
        <v>0</v>
      </c>
      <c r="X289" s="355">
        <f>SUM(X288)</f>
        <v>0</v>
      </c>
      <c r="Y289" s="355">
        <f>SUM(Y288)</f>
        <v>0</v>
      </c>
      <c r="Z289" s="1350" t="str">
        <f t="shared" si="176"/>
        <v>-</v>
      </c>
      <c r="AA289" s="472">
        <f>SUM(AA288)</f>
        <v>0</v>
      </c>
      <c r="AB289" s="355">
        <f>SUM(AB288)</f>
        <v>0</v>
      </c>
      <c r="AC289" s="355">
        <f>SUM(AC288)</f>
        <v>0</v>
      </c>
      <c r="AD289" s="1350" t="str">
        <f t="shared" si="177"/>
        <v>-</v>
      </c>
      <c r="AE289" s="472">
        <f>SUM(AE288)</f>
        <v>0</v>
      </c>
      <c r="AF289" s="355">
        <f>SUM(AF288)</f>
        <v>0</v>
      </c>
      <c r="AG289" s="355">
        <f>SUM(AG288)</f>
        <v>0</v>
      </c>
      <c r="AH289" s="1350" t="str">
        <f t="shared" si="178"/>
        <v>-</v>
      </c>
      <c r="AI289" s="490">
        <f>SUM(AI288)</f>
        <v>0</v>
      </c>
      <c r="AJ289" s="491">
        <f>SUM(AJ288)</f>
        <v>0</v>
      </c>
      <c r="AK289" s="491">
        <f>SUM(AK288)</f>
        <v>0</v>
      </c>
      <c r="AL289" s="1350" t="str">
        <f t="shared" si="180"/>
        <v>-</v>
      </c>
      <c r="AM289" s="472">
        <f>SUM(AM288)</f>
        <v>0</v>
      </c>
      <c r="AN289" s="355">
        <f>SUM(AN288)</f>
        <v>0</v>
      </c>
      <c r="AO289" s="355">
        <f>SUM(AO288)</f>
        <v>0</v>
      </c>
      <c r="AP289" s="1350" t="str">
        <f t="shared" si="181"/>
        <v>-</v>
      </c>
      <c r="AQ289" s="472">
        <f>SUM(AQ288)</f>
        <v>0</v>
      </c>
      <c r="AR289" s="355">
        <f>SUM(AR288)</f>
        <v>0</v>
      </c>
      <c r="AS289" s="355">
        <f>SUM(AS288)</f>
        <v>0</v>
      </c>
      <c r="AT289" s="1350" t="str">
        <f t="shared" si="182"/>
        <v>-</v>
      </c>
      <c r="AU289" s="472">
        <f>SUM(AU288)</f>
        <v>0</v>
      </c>
      <c r="AV289" s="355">
        <f>SUM(AV288)</f>
        <v>0</v>
      </c>
      <c r="AW289" s="355">
        <f>SUM(AW288)</f>
        <v>0</v>
      </c>
      <c r="AX289" s="1350" t="str">
        <f t="shared" si="183"/>
        <v>-</v>
      </c>
      <c r="AY289" s="465"/>
      <c r="AZ289" s="470"/>
      <c r="BA289" s="470"/>
      <c r="BB289" s="470"/>
    </row>
    <row r="290" spans="1:54" ht="12.75" customHeight="1" thickBot="1">
      <c r="A290" s="506">
        <f>+A288+1</f>
        <v>105</v>
      </c>
      <c r="B290" s="798">
        <v>23</v>
      </c>
      <c r="C290" s="882" t="s">
        <v>19</v>
      </c>
      <c r="D290" s="950" t="s">
        <v>19</v>
      </c>
      <c r="E290" s="877" t="s">
        <v>19</v>
      </c>
      <c r="F290" s="950" t="s">
        <v>19</v>
      </c>
      <c r="G290" s="1283">
        <f>+K290+AI290</f>
        <v>0</v>
      </c>
      <c r="H290" s="1284">
        <f>+L290+AJ290</f>
        <v>0</v>
      </c>
      <c r="I290" s="1284">
        <f>+M290+AK290</f>
        <v>0</v>
      </c>
      <c r="J290" s="1389" t="str">
        <f t="shared" si="171"/>
        <v>-</v>
      </c>
      <c r="K290" s="1283">
        <f>+O290+S290+W290+AA290+AE290</f>
        <v>0</v>
      </c>
      <c r="L290" s="1284">
        <f>+P290+T290+X290+AB290+AF290</f>
        <v>0</v>
      </c>
      <c r="M290" s="1284">
        <f>+Q290+U290+Y290+AC290+AG290</f>
        <v>0</v>
      </c>
      <c r="N290" s="1389" t="str">
        <f t="shared" si="173"/>
        <v>-</v>
      </c>
      <c r="O290" s="469"/>
      <c r="P290" s="468"/>
      <c r="Q290" s="468"/>
      <c r="R290" s="1349" t="str">
        <f t="shared" si="174"/>
        <v>-</v>
      </c>
      <c r="S290" s="469"/>
      <c r="T290" s="468"/>
      <c r="U290" s="468"/>
      <c r="V290" s="1349" t="str">
        <f t="shared" si="175"/>
        <v>-</v>
      </c>
      <c r="W290" s="469"/>
      <c r="X290" s="468"/>
      <c r="Y290" s="468"/>
      <c r="Z290" s="1349" t="str">
        <f t="shared" si="176"/>
        <v>-</v>
      </c>
      <c r="AA290" s="469"/>
      <c r="AB290" s="468"/>
      <c r="AC290" s="468"/>
      <c r="AD290" s="1349" t="str">
        <f t="shared" si="177"/>
        <v>-</v>
      </c>
      <c r="AE290" s="469"/>
      <c r="AF290" s="468"/>
      <c r="AG290" s="468"/>
      <c r="AH290" s="1349" t="str">
        <f t="shared" si="178"/>
        <v>-</v>
      </c>
      <c r="AI290" s="1283">
        <f>+AM290+AQ290+AU290</f>
        <v>0</v>
      </c>
      <c r="AJ290" s="1284">
        <f>+AN290+AR290+AV290</f>
        <v>0</v>
      </c>
      <c r="AK290" s="1284">
        <f>+AO290+AS290+AW290</f>
        <v>0</v>
      </c>
      <c r="AL290" s="1389" t="str">
        <f t="shared" si="180"/>
        <v>-</v>
      </c>
      <c r="AM290" s="469"/>
      <c r="AN290" s="468"/>
      <c r="AO290" s="468"/>
      <c r="AP290" s="1349" t="str">
        <f t="shared" si="181"/>
        <v>-</v>
      </c>
      <c r="AQ290" s="469"/>
      <c r="AR290" s="468"/>
      <c r="AS290" s="468"/>
      <c r="AT290" s="1349" t="str">
        <f t="shared" si="182"/>
        <v>-</v>
      </c>
      <c r="AU290" s="469"/>
      <c r="AV290" s="468"/>
      <c r="AW290" s="468"/>
      <c r="AX290" s="1349" t="str">
        <f t="shared" si="183"/>
        <v>-</v>
      </c>
      <c r="AY290" s="464"/>
      <c r="AZ290" s="470"/>
      <c r="BA290" s="470"/>
      <c r="BB290" s="470"/>
    </row>
    <row r="291" spans="1:54" s="462" customFormat="1" ht="12.75" customHeight="1" thickBot="1">
      <c r="A291" s="500" t="s">
        <v>749</v>
      </c>
      <c r="B291" s="793"/>
      <c r="C291" s="1880" t="s">
        <v>766</v>
      </c>
      <c r="D291" s="1881"/>
      <c r="E291" s="1881"/>
      <c r="F291" s="1882"/>
      <c r="G291" s="490">
        <f>SUM(G290)</f>
        <v>0</v>
      </c>
      <c r="H291" s="491">
        <f>SUM(H290)</f>
        <v>0</v>
      </c>
      <c r="I291" s="491">
        <f>SUM(I290)</f>
        <v>0</v>
      </c>
      <c r="J291" s="1350" t="str">
        <f t="shared" si="171"/>
        <v>-</v>
      </c>
      <c r="K291" s="490">
        <f>SUM(K290)</f>
        <v>0</v>
      </c>
      <c r="L291" s="491">
        <f>SUM(L290)</f>
        <v>0</v>
      </c>
      <c r="M291" s="491">
        <f>SUM(M290)</f>
        <v>0</v>
      </c>
      <c r="N291" s="1350" t="str">
        <f t="shared" si="173"/>
        <v>-</v>
      </c>
      <c r="O291" s="472">
        <f>SUM(O290)</f>
        <v>0</v>
      </c>
      <c r="P291" s="355">
        <f>SUM(P290)</f>
        <v>0</v>
      </c>
      <c r="Q291" s="355">
        <f>SUM(Q290)</f>
        <v>0</v>
      </c>
      <c r="R291" s="1350" t="str">
        <f t="shared" si="174"/>
        <v>-</v>
      </c>
      <c r="S291" s="472">
        <f>SUM(S290)</f>
        <v>0</v>
      </c>
      <c r="T291" s="355">
        <f>SUM(T290)</f>
        <v>0</v>
      </c>
      <c r="U291" s="355">
        <f>SUM(U290)</f>
        <v>0</v>
      </c>
      <c r="V291" s="1350" t="str">
        <f t="shared" si="175"/>
        <v>-</v>
      </c>
      <c r="W291" s="472">
        <f>SUM(W290)</f>
        <v>0</v>
      </c>
      <c r="X291" s="355">
        <f>SUM(X290)</f>
        <v>0</v>
      </c>
      <c r="Y291" s="355">
        <f>SUM(Y290)</f>
        <v>0</v>
      </c>
      <c r="Z291" s="1350" t="str">
        <f t="shared" si="176"/>
        <v>-</v>
      </c>
      <c r="AA291" s="472">
        <f>SUM(AA290)</f>
        <v>0</v>
      </c>
      <c r="AB291" s="355">
        <f>SUM(AB290)</f>
        <v>0</v>
      </c>
      <c r="AC291" s="355">
        <f>SUM(AC290)</f>
        <v>0</v>
      </c>
      <c r="AD291" s="1350" t="str">
        <f t="shared" si="177"/>
        <v>-</v>
      </c>
      <c r="AE291" s="472">
        <f>SUM(AE290)</f>
        <v>0</v>
      </c>
      <c r="AF291" s="355">
        <f>SUM(AF290)</f>
        <v>0</v>
      </c>
      <c r="AG291" s="355">
        <f>SUM(AG290)</f>
        <v>0</v>
      </c>
      <c r="AH291" s="1350" t="str">
        <f t="shared" si="178"/>
        <v>-</v>
      </c>
      <c r="AI291" s="490">
        <f>SUM(AI290)</f>
        <v>0</v>
      </c>
      <c r="AJ291" s="491">
        <f>SUM(AJ290)</f>
        <v>0</v>
      </c>
      <c r="AK291" s="491">
        <f>SUM(AK290)</f>
        <v>0</v>
      </c>
      <c r="AL291" s="1350" t="str">
        <f t="shared" si="180"/>
        <v>-</v>
      </c>
      <c r="AM291" s="472">
        <f>SUM(AM290)</f>
        <v>0</v>
      </c>
      <c r="AN291" s="355">
        <f>SUM(AN290)</f>
        <v>0</v>
      </c>
      <c r="AO291" s="355">
        <f>SUM(AO290)</f>
        <v>0</v>
      </c>
      <c r="AP291" s="1350" t="str">
        <f t="shared" si="181"/>
        <v>-</v>
      </c>
      <c r="AQ291" s="472">
        <f>SUM(AQ290)</f>
        <v>0</v>
      </c>
      <c r="AR291" s="355">
        <f>SUM(AR290)</f>
        <v>0</v>
      </c>
      <c r="AS291" s="355">
        <f>SUM(AS290)</f>
        <v>0</v>
      </c>
      <c r="AT291" s="1350" t="str">
        <f t="shared" si="182"/>
        <v>-</v>
      </c>
      <c r="AU291" s="472">
        <f>SUM(AU290)</f>
        <v>0</v>
      </c>
      <c r="AV291" s="355">
        <f>SUM(AV290)</f>
        <v>0</v>
      </c>
      <c r="AW291" s="355">
        <f>SUM(AW290)</f>
        <v>0</v>
      </c>
      <c r="AX291" s="1350" t="str">
        <f t="shared" si="183"/>
        <v>-</v>
      </c>
      <c r="AY291" s="465"/>
      <c r="AZ291" s="470"/>
      <c r="BA291" s="470"/>
      <c r="BB291" s="470"/>
    </row>
    <row r="292" spans="1:54" s="462" customFormat="1" ht="12.75" customHeight="1" thickBot="1">
      <c r="A292" s="501" t="s">
        <v>21</v>
      </c>
      <c r="B292" s="794"/>
      <c r="C292" s="1874" t="s">
        <v>419</v>
      </c>
      <c r="D292" s="1875"/>
      <c r="E292" s="1875"/>
      <c r="F292" s="1876"/>
      <c r="G292" s="474">
        <f>+G287+G289+G291</f>
        <v>429317</v>
      </c>
      <c r="H292" s="475">
        <f>+H287+H289+H291</f>
        <v>437447</v>
      </c>
      <c r="I292" s="475">
        <f>+I287+I289+I291</f>
        <v>413532</v>
      </c>
      <c r="J292" s="1386">
        <f t="shared" si="171"/>
        <v>0.94533052004014195</v>
      </c>
      <c r="K292" s="474">
        <f>+K287+K289+K291</f>
        <v>428217</v>
      </c>
      <c r="L292" s="475">
        <f>+L287+L289+L291</f>
        <v>436767</v>
      </c>
      <c r="M292" s="475">
        <f>+M287+M289+M291</f>
        <v>412852</v>
      </c>
      <c r="N292" s="1386">
        <f t="shared" si="173"/>
        <v>0.94524540544500846</v>
      </c>
      <c r="O292" s="474">
        <f>+O287+O289+O291</f>
        <v>253934</v>
      </c>
      <c r="P292" s="475">
        <f>+P287+P289+P291</f>
        <v>265721</v>
      </c>
      <c r="Q292" s="485">
        <f>+Q287+Q289+Q291</f>
        <v>254328</v>
      </c>
      <c r="R292" s="1386">
        <f t="shared" si="174"/>
        <v>0.95712420170027956</v>
      </c>
      <c r="S292" s="474">
        <f>+S287+S289+S291</f>
        <v>49784</v>
      </c>
      <c r="T292" s="475">
        <f>+T287+T289+T291</f>
        <v>57502</v>
      </c>
      <c r="U292" s="485">
        <f>+U287+U289+U291</f>
        <v>49282</v>
      </c>
      <c r="V292" s="1386">
        <f t="shared" si="175"/>
        <v>0.85704845048867861</v>
      </c>
      <c r="W292" s="474">
        <f>+W287+W289+W291</f>
        <v>124499</v>
      </c>
      <c r="X292" s="475">
        <f>+X287+X289+X291</f>
        <v>113229</v>
      </c>
      <c r="Y292" s="485">
        <f>+Y287+Y289+Y291</f>
        <v>108927</v>
      </c>
      <c r="Z292" s="1386">
        <f t="shared" si="176"/>
        <v>0.96200619982513313</v>
      </c>
      <c r="AA292" s="474">
        <f>+AA287+AA289+AA291</f>
        <v>0</v>
      </c>
      <c r="AB292" s="475">
        <f>+AB287+AB289+AB291</f>
        <v>0</v>
      </c>
      <c r="AC292" s="485">
        <f>+AC287+AC289+AC291</f>
        <v>0</v>
      </c>
      <c r="AD292" s="1386" t="str">
        <f t="shared" si="177"/>
        <v>-</v>
      </c>
      <c r="AE292" s="474">
        <f>+AE287+AE289+AE291</f>
        <v>0</v>
      </c>
      <c r="AF292" s="475">
        <f>+AF287+AF289+AF291</f>
        <v>315</v>
      </c>
      <c r="AG292" s="485">
        <f>+AG287+AG289+AG291</f>
        <v>315</v>
      </c>
      <c r="AH292" s="1386">
        <f t="shared" si="178"/>
        <v>1</v>
      </c>
      <c r="AI292" s="474">
        <f>+AI287+AI289+AI291</f>
        <v>1100</v>
      </c>
      <c r="AJ292" s="475">
        <f>+AJ287+AJ289+AJ291</f>
        <v>680</v>
      </c>
      <c r="AK292" s="475">
        <f>+AK287+AK289+AK291</f>
        <v>680</v>
      </c>
      <c r="AL292" s="1386">
        <f t="shared" si="180"/>
        <v>1</v>
      </c>
      <c r="AM292" s="474">
        <f>+AM287+AM289+AM291</f>
        <v>1100</v>
      </c>
      <c r="AN292" s="475">
        <f>+AN287+AN289+AN291</f>
        <v>680</v>
      </c>
      <c r="AO292" s="485">
        <f>+AO287+AO289+AO291</f>
        <v>680</v>
      </c>
      <c r="AP292" s="1386">
        <f t="shared" si="181"/>
        <v>1</v>
      </c>
      <c r="AQ292" s="474">
        <f>+AQ287+AQ289+AQ291</f>
        <v>0</v>
      </c>
      <c r="AR292" s="475">
        <f>+AR287+AR289+AR291</f>
        <v>0</v>
      </c>
      <c r="AS292" s="485">
        <f>+AS287+AS289+AS291</f>
        <v>0</v>
      </c>
      <c r="AT292" s="1386" t="str">
        <f t="shared" si="182"/>
        <v>-</v>
      </c>
      <c r="AU292" s="474">
        <f>+AU287+AU289+AU291</f>
        <v>0</v>
      </c>
      <c r="AV292" s="475">
        <f>+AV287+AV289+AV291</f>
        <v>0</v>
      </c>
      <c r="AW292" s="485">
        <f>+AW287+AW289+AW291</f>
        <v>0</v>
      </c>
      <c r="AX292" s="1386" t="str">
        <f t="shared" si="183"/>
        <v>-</v>
      </c>
      <c r="AY292" s="773"/>
      <c r="AZ292" s="470"/>
      <c r="BA292" s="470"/>
      <c r="BB292" s="470"/>
    </row>
    <row r="293" spans="1:54" s="462" customFormat="1" ht="12.75" thickBot="1">
      <c r="A293" s="500"/>
      <c r="B293" s="797"/>
      <c r="C293" s="881"/>
      <c r="D293" s="499"/>
      <c r="E293" s="876"/>
      <c r="F293" s="471"/>
      <c r="G293" s="490"/>
      <c r="H293" s="491"/>
      <c r="I293" s="491"/>
      <c r="J293" s="917"/>
      <c r="K293" s="490"/>
      <c r="L293" s="491"/>
      <c r="M293" s="491"/>
      <c r="N293" s="917"/>
      <c r="O293" s="481"/>
      <c r="P293" s="482"/>
      <c r="Q293" s="355"/>
      <c r="R293" s="917"/>
      <c r="S293" s="481"/>
      <c r="T293" s="482"/>
      <c r="U293" s="355"/>
      <c r="V293" s="917"/>
      <c r="W293" s="481"/>
      <c r="X293" s="482"/>
      <c r="Y293" s="355"/>
      <c r="Z293" s="917"/>
      <c r="AA293" s="481"/>
      <c r="AB293" s="482"/>
      <c r="AC293" s="355"/>
      <c r="AD293" s="917"/>
      <c r="AE293" s="481"/>
      <c r="AF293" s="482"/>
      <c r="AG293" s="355"/>
      <c r="AH293" s="917"/>
      <c r="AI293" s="490"/>
      <c r="AJ293" s="491"/>
      <c r="AK293" s="491"/>
      <c r="AL293" s="917"/>
      <c r="AM293" s="481"/>
      <c r="AN293" s="482"/>
      <c r="AO293" s="355"/>
      <c r="AP293" s="917"/>
      <c r="AQ293" s="481"/>
      <c r="AR293" s="482"/>
      <c r="AS293" s="355"/>
      <c r="AT293" s="917"/>
      <c r="AU293" s="481"/>
      <c r="AV293" s="482"/>
      <c r="AW293" s="355"/>
      <c r="AX293" s="917"/>
      <c r="AY293" s="465"/>
      <c r="AZ293" s="295"/>
      <c r="BA293" s="295"/>
      <c r="BB293" s="295"/>
    </row>
    <row r="294" spans="1:54">
      <c r="A294" s="504">
        <f>+A290+1</f>
        <v>106</v>
      </c>
      <c r="B294" s="790">
        <v>24</v>
      </c>
      <c r="C294" s="935" t="s">
        <v>1083</v>
      </c>
      <c r="D294" s="900" t="s">
        <v>1084</v>
      </c>
      <c r="E294" s="936" t="s">
        <v>1218</v>
      </c>
      <c r="F294" s="949" t="s">
        <v>1084</v>
      </c>
      <c r="G294" s="1277">
        <f t="shared" ref="G294:I300" si="184">+K294+AI294</f>
        <v>1365</v>
      </c>
      <c r="H294" s="1278">
        <f t="shared" si="184"/>
        <v>1684</v>
      </c>
      <c r="I294" s="1278">
        <f t="shared" si="184"/>
        <v>1684</v>
      </c>
      <c r="J294" s="1389">
        <f t="shared" ref="J294:J306" si="185">IF(ISERROR(I294/H294),"-",I294/H294)</f>
        <v>1</v>
      </c>
      <c r="K294" s="1277">
        <f t="shared" ref="K294:M300" si="186">+O294+S294+W294+AA294+AE294</f>
        <v>1365</v>
      </c>
      <c r="L294" s="1278">
        <f t="shared" si="186"/>
        <v>1684</v>
      </c>
      <c r="M294" s="1278">
        <f t="shared" si="186"/>
        <v>1684</v>
      </c>
      <c r="N294" s="1389">
        <f t="shared" ref="N294:N306" si="187">IF(ISERROR(M294/L294),"-",M294/L294)</f>
        <v>1</v>
      </c>
      <c r="O294" s="953"/>
      <c r="P294" s="954"/>
      <c r="Q294" s="954"/>
      <c r="R294" s="1349" t="str">
        <f t="shared" ref="R294:R306" si="188">IF(ISERROR(Q294/P294),"-",Q294/P294)</f>
        <v>-</v>
      </c>
      <c r="S294" s="953"/>
      <c r="T294" s="954"/>
      <c r="U294" s="954"/>
      <c r="V294" s="1349" t="str">
        <f t="shared" ref="V294:V306" si="189">IF(ISERROR(U294/T294),"-",U294/T294)</f>
        <v>-</v>
      </c>
      <c r="W294" s="953">
        <v>1365</v>
      </c>
      <c r="X294" s="954">
        <v>1684</v>
      </c>
      <c r="Y294" s="954">
        <v>1684</v>
      </c>
      <c r="Z294" s="1349">
        <f t="shared" ref="Z294:Z306" si="190">IF(ISERROR(Y294/X294),"-",Y294/X294)</f>
        <v>1</v>
      </c>
      <c r="AA294" s="953"/>
      <c r="AB294" s="954"/>
      <c r="AC294" s="954"/>
      <c r="AD294" s="1349" t="str">
        <f t="shared" ref="AD294:AD306" si="191">IF(ISERROR(AC294/AB294),"-",AC294/AB294)</f>
        <v>-</v>
      </c>
      <c r="AE294" s="953"/>
      <c r="AF294" s="954"/>
      <c r="AG294" s="954"/>
      <c r="AH294" s="1349" t="str">
        <f t="shared" ref="AH294:AH306" si="192">IF(ISERROR(AG294/AF294),"-",AG294/AF294)</f>
        <v>-</v>
      </c>
      <c r="AI294" s="1277">
        <f t="shared" ref="AI294:AK300" si="193">+AM294+AQ294+AU294</f>
        <v>0</v>
      </c>
      <c r="AJ294" s="1278">
        <f t="shared" si="193"/>
        <v>0</v>
      </c>
      <c r="AK294" s="1278">
        <f t="shared" si="193"/>
        <v>0</v>
      </c>
      <c r="AL294" s="1389" t="str">
        <f t="shared" ref="AL294:AL306" si="194">IF(ISERROR(AK294/AJ294),"-",AK294/AJ294)</f>
        <v>-</v>
      </c>
      <c r="AM294" s="953"/>
      <c r="AN294" s="954"/>
      <c r="AO294" s="954"/>
      <c r="AP294" s="1349" t="str">
        <f t="shared" ref="AP294:AP306" si="195">IF(ISERROR(AO294/AN294),"-",AO294/AN294)</f>
        <v>-</v>
      </c>
      <c r="AQ294" s="953"/>
      <c r="AR294" s="954"/>
      <c r="AS294" s="954"/>
      <c r="AT294" s="1349" t="str">
        <f t="shared" ref="AT294:AT306" si="196">IF(ISERROR(AS294/AR294),"-",AS294/AR294)</f>
        <v>-</v>
      </c>
      <c r="AU294" s="953"/>
      <c r="AV294" s="954"/>
      <c r="AW294" s="954"/>
      <c r="AX294" s="1349" t="str">
        <f t="shared" ref="AX294:AX306" si="197">IF(ISERROR(AW294/AV294),"-",AW294/AV294)</f>
        <v>-</v>
      </c>
      <c r="AY294" s="464"/>
    </row>
    <row r="295" spans="1:54">
      <c r="A295" s="504">
        <f t="shared" ref="A295:A300" si="198">+A294+1</f>
        <v>107</v>
      </c>
      <c r="B295" s="790">
        <v>25</v>
      </c>
      <c r="C295" s="935" t="s">
        <v>1086</v>
      </c>
      <c r="D295" s="900" t="s">
        <v>1085</v>
      </c>
      <c r="E295" s="936" t="s">
        <v>1218</v>
      </c>
      <c r="F295" s="949" t="s">
        <v>1085</v>
      </c>
      <c r="G295" s="1277">
        <f t="shared" si="184"/>
        <v>17190</v>
      </c>
      <c r="H295" s="1278">
        <f t="shared" si="184"/>
        <v>16437</v>
      </c>
      <c r="I295" s="1278">
        <f t="shared" si="184"/>
        <v>15683</v>
      </c>
      <c r="J295" s="1389">
        <f t="shared" si="185"/>
        <v>0.95412788221694955</v>
      </c>
      <c r="K295" s="1277">
        <f t="shared" si="186"/>
        <v>16872</v>
      </c>
      <c r="L295" s="1278">
        <f t="shared" si="186"/>
        <v>16437</v>
      </c>
      <c r="M295" s="1278">
        <f t="shared" si="186"/>
        <v>15683</v>
      </c>
      <c r="N295" s="1389">
        <f t="shared" si="187"/>
        <v>0.95412788221694955</v>
      </c>
      <c r="O295" s="953">
        <v>10966</v>
      </c>
      <c r="P295" s="954">
        <f>10631+355</f>
        <v>10986</v>
      </c>
      <c r="Q295" s="954">
        <v>10631</v>
      </c>
      <c r="R295" s="1349">
        <f t="shared" si="188"/>
        <v>0.96768614600400504</v>
      </c>
      <c r="S295" s="955">
        <v>1897</v>
      </c>
      <c r="T295" s="956">
        <f>1800+122</f>
        <v>1922</v>
      </c>
      <c r="U295" s="954">
        <f>1799+1</f>
        <v>1800</v>
      </c>
      <c r="V295" s="1349">
        <f t="shared" si="189"/>
        <v>0.93652445369406867</v>
      </c>
      <c r="W295" s="955">
        <v>4009</v>
      </c>
      <c r="X295" s="954">
        <f>3252+277</f>
        <v>3529</v>
      </c>
      <c r="Y295" s="954">
        <v>3252</v>
      </c>
      <c r="Z295" s="1349">
        <f t="shared" si="190"/>
        <v>0.92150750920940772</v>
      </c>
      <c r="AA295" s="955"/>
      <c r="AB295" s="956"/>
      <c r="AC295" s="954"/>
      <c r="AD295" s="1349" t="str">
        <f t="shared" si="191"/>
        <v>-</v>
      </c>
      <c r="AE295" s="955"/>
      <c r="AF295" s="956"/>
      <c r="AG295" s="954"/>
      <c r="AH295" s="1349" t="str">
        <f t="shared" si="192"/>
        <v>-</v>
      </c>
      <c r="AI295" s="1277">
        <f t="shared" si="193"/>
        <v>318</v>
      </c>
      <c r="AJ295" s="1278">
        <f t="shared" si="193"/>
        <v>0</v>
      </c>
      <c r="AK295" s="1278">
        <f t="shared" si="193"/>
        <v>0</v>
      </c>
      <c r="AL295" s="1389" t="str">
        <f t="shared" si="194"/>
        <v>-</v>
      </c>
      <c r="AM295" s="955">
        <v>318</v>
      </c>
      <c r="AN295" s="956">
        <v>0</v>
      </c>
      <c r="AO295" s="954"/>
      <c r="AP295" s="1349" t="str">
        <f t="shared" si="195"/>
        <v>-</v>
      </c>
      <c r="AQ295" s="955"/>
      <c r="AR295" s="956"/>
      <c r="AS295" s="954"/>
      <c r="AT295" s="1349" t="str">
        <f t="shared" si="196"/>
        <v>-</v>
      </c>
      <c r="AU295" s="955"/>
      <c r="AV295" s="956"/>
      <c r="AW295" s="954"/>
      <c r="AX295" s="1349" t="str">
        <f t="shared" si="197"/>
        <v>-</v>
      </c>
      <c r="AY295" s="464"/>
    </row>
    <row r="296" spans="1:54">
      <c r="A296" s="504">
        <f t="shared" si="198"/>
        <v>108</v>
      </c>
      <c r="B296" s="790">
        <v>26</v>
      </c>
      <c r="C296" s="935" t="s">
        <v>1088</v>
      </c>
      <c r="D296" s="900" t="s">
        <v>1087</v>
      </c>
      <c r="E296" s="936" t="s">
        <v>1236</v>
      </c>
      <c r="F296" s="949" t="s">
        <v>1091</v>
      </c>
      <c r="G296" s="1277">
        <f t="shared" si="184"/>
        <v>8505</v>
      </c>
      <c r="H296" s="1278">
        <f t="shared" si="184"/>
        <v>8079</v>
      </c>
      <c r="I296" s="1278">
        <f t="shared" si="184"/>
        <v>8079</v>
      </c>
      <c r="J296" s="1389">
        <f t="shared" si="185"/>
        <v>1</v>
      </c>
      <c r="K296" s="1277">
        <f t="shared" si="186"/>
        <v>6117</v>
      </c>
      <c r="L296" s="1278">
        <f t="shared" si="186"/>
        <v>8079</v>
      </c>
      <c r="M296" s="1278">
        <f t="shared" si="186"/>
        <v>8079</v>
      </c>
      <c r="N296" s="1389">
        <f t="shared" si="187"/>
        <v>1</v>
      </c>
      <c r="O296" s="953">
        <v>3217</v>
      </c>
      <c r="P296" s="954">
        <v>5084</v>
      </c>
      <c r="Q296" s="954">
        <v>5084</v>
      </c>
      <c r="R296" s="1349">
        <f t="shared" si="188"/>
        <v>1</v>
      </c>
      <c r="S296" s="955">
        <v>570</v>
      </c>
      <c r="T296" s="956">
        <v>862</v>
      </c>
      <c r="U296" s="954">
        <v>862</v>
      </c>
      <c r="V296" s="1349">
        <f t="shared" si="189"/>
        <v>1</v>
      </c>
      <c r="W296" s="955">
        <v>2330</v>
      </c>
      <c r="X296" s="954">
        <f>2113+20</f>
        <v>2133</v>
      </c>
      <c r="Y296" s="954">
        <f>2113+20</f>
        <v>2133</v>
      </c>
      <c r="Z296" s="1349">
        <f t="shared" si="190"/>
        <v>1</v>
      </c>
      <c r="AA296" s="955"/>
      <c r="AB296" s="956"/>
      <c r="AC296" s="954"/>
      <c r="AD296" s="1349" t="str">
        <f t="shared" si="191"/>
        <v>-</v>
      </c>
      <c r="AE296" s="955"/>
      <c r="AF296" s="956"/>
      <c r="AG296" s="954"/>
      <c r="AH296" s="1349" t="str">
        <f t="shared" si="192"/>
        <v>-</v>
      </c>
      <c r="AI296" s="1277">
        <f t="shared" si="193"/>
        <v>2388</v>
      </c>
      <c r="AJ296" s="1278">
        <f t="shared" si="193"/>
        <v>0</v>
      </c>
      <c r="AK296" s="1278">
        <f t="shared" si="193"/>
        <v>0</v>
      </c>
      <c r="AL296" s="1389" t="str">
        <f t="shared" si="194"/>
        <v>-</v>
      </c>
      <c r="AM296" s="955">
        <v>2388</v>
      </c>
      <c r="AN296" s="956">
        <v>0</v>
      </c>
      <c r="AO296" s="954"/>
      <c r="AP296" s="1349" t="str">
        <f t="shared" si="195"/>
        <v>-</v>
      </c>
      <c r="AQ296" s="955"/>
      <c r="AR296" s="956"/>
      <c r="AS296" s="954"/>
      <c r="AT296" s="1349" t="str">
        <f t="shared" si="196"/>
        <v>-</v>
      </c>
      <c r="AU296" s="955"/>
      <c r="AV296" s="956"/>
      <c r="AW296" s="954"/>
      <c r="AX296" s="1349" t="str">
        <f t="shared" si="197"/>
        <v>-</v>
      </c>
      <c r="AY296" s="464"/>
    </row>
    <row r="297" spans="1:54" s="470" customFormat="1">
      <c r="A297" s="504">
        <f t="shared" si="198"/>
        <v>109</v>
      </c>
      <c r="B297" s="790">
        <v>25</v>
      </c>
      <c r="C297" s="935" t="s">
        <v>1089</v>
      </c>
      <c r="D297" s="900" t="s">
        <v>1090</v>
      </c>
      <c r="E297" s="936" t="s">
        <v>1237</v>
      </c>
      <c r="F297" s="949" t="s">
        <v>1092</v>
      </c>
      <c r="G297" s="1277">
        <f t="shared" si="184"/>
        <v>33070</v>
      </c>
      <c r="H297" s="1278">
        <f t="shared" si="184"/>
        <v>17213</v>
      </c>
      <c r="I297" s="1278">
        <f t="shared" si="184"/>
        <v>14467</v>
      </c>
      <c r="J297" s="1389">
        <f t="shared" si="185"/>
        <v>0.84046941265322717</v>
      </c>
      <c r="K297" s="1277">
        <f t="shared" si="186"/>
        <v>25404</v>
      </c>
      <c r="L297" s="1278">
        <f t="shared" si="186"/>
        <v>14167</v>
      </c>
      <c r="M297" s="1278">
        <f t="shared" si="186"/>
        <v>14167</v>
      </c>
      <c r="N297" s="1389">
        <f t="shared" si="187"/>
        <v>1</v>
      </c>
      <c r="O297" s="953">
        <v>11638</v>
      </c>
      <c r="P297" s="954">
        <v>8157</v>
      </c>
      <c r="Q297" s="954">
        <v>8157</v>
      </c>
      <c r="R297" s="1349">
        <f t="shared" si="188"/>
        <v>1</v>
      </c>
      <c r="S297" s="955">
        <v>2067</v>
      </c>
      <c r="T297" s="956">
        <v>1722</v>
      </c>
      <c r="U297" s="954">
        <v>1722</v>
      </c>
      <c r="V297" s="1349">
        <f t="shared" si="189"/>
        <v>1</v>
      </c>
      <c r="W297" s="955">
        <v>11699</v>
      </c>
      <c r="X297" s="954">
        <v>4288</v>
      </c>
      <c r="Y297" s="954">
        <v>4288</v>
      </c>
      <c r="Z297" s="1349">
        <f t="shared" si="190"/>
        <v>1</v>
      </c>
      <c r="AA297" s="955"/>
      <c r="AB297" s="956"/>
      <c r="AC297" s="954"/>
      <c r="AD297" s="1349" t="str">
        <f t="shared" si="191"/>
        <v>-</v>
      </c>
      <c r="AE297" s="955"/>
      <c r="AF297" s="956"/>
      <c r="AG297" s="954"/>
      <c r="AH297" s="1349" t="str">
        <f t="shared" si="192"/>
        <v>-</v>
      </c>
      <c r="AI297" s="1277">
        <f t="shared" si="193"/>
        <v>7666</v>
      </c>
      <c r="AJ297" s="1278">
        <f t="shared" si="193"/>
        <v>3046</v>
      </c>
      <c r="AK297" s="1278">
        <f t="shared" si="193"/>
        <v>300</v>
      </c>
      <c r="AL297" s="1389">
        <f t="shared" si="194"/>
        <v>9.8489822718319103E-2</v>
      </c>
      <c r="AM297" s="955">
        <v>7666</v>
      </c>
      <c r="AN297" s="956">
        <f>300+2746</f>
        <v>3046</v>
      </c>
      <c r="AO297" s="954">
        <v>300</v>
      </c>
      <c r="AP297" s="1349">
        <f t="shared" si="195"/>
        <v>9.8489822718319103E-2</v>
      </c>
      <c r="AQ297" s="955"/>
      <c r="AR297" s="956"/>
      <c r="AS297" s="954"/>
      <c r="AT297" s="1349" t="str">
        <f t="shared" si="196"/>
        <v>-</v>
      </c>
      <c r="AU297" s="955"/>
      <c r="AV297" s="956"/>
      <c r="AW297" s="954"/>
      <c r="AX297" s="1349" t="str">
        <f t="shared" si="197"/>
        <v>-</v>
      </c>
      <c r="AY297" s="464"/>
      <c r="AZ297" s="295"/>
      <c r="BA297" s="295"/>
      <c r="BB297" s="295"/>
    </row>
    <row r="298" spans="1:54" s="466" customFormat="1">
      <c r="A298" s="504">
        <f t="shared" si="198"/>
        <v>110</v>
      </c>
      <c r="B298" s="790">
        <v>18</v>
      </c>
      <c r="C298" s="935" t="s">
        <v>741</v>
      </c>
      <c r="D298" s="900" t="s">
        <v>2785</v>
      </c>
      <c r="E298" s="936" t="s">
        <v>1237</v>
      </c>
      <c r="F298" s="949" t="s">
        <v>2784</v>
      </c>
      <c r="G298" s="1273">
        <f>+K298+AI298</f>
        <v>0</v>
      </c>
      <c r="H298" s="1274">
        <f>+L298+AJ298</f>
        <v>0</v>
      </c>
      <c r="I298" s="1274">
        <f>+M298+AK298</f>
        <v>0</v>
      </c>
      <c r="J298" s="1389" t="str">
        <f>IF(ISERROR(I298/H298),"-",I298/H298)</f>
        <v>-</v>
      </c>
      <c r="K298" s="1273">
        <f>+O298+S298+W298+AA298+AE298</f>
        <v>0</v>
      </c>
      <c r="L298" s="1274">
        <f>+P298+T298+X298+AB298+AF298</f>
        <v>0</v>
      </c>
      <c r="M298" s="1274">
        <f>+Q298+U298+Y298+AC298+AG298</f>
        <v>0</v>
      </c>
      <c r="N298" s="1389" t="str">
        <f>IF(ISERROR(M298/L298),"-",M298/L298)</f>
        <v>-</v>
      </c>
      <c r="O298" s="955"/>
      <c r="P298" s="956"/>
      <c r="Q298" s="954"/>
      <c r="R298" s="1349" t="str">
        <f>IF(ISERROR(Q298/P298),"-",Q298/P298)</f>
        <v>-</v>
      </c>
      <c r="S298" s="955"/>
      <c r="T298" s="956"/>
      <c r="U298" s="954"/>
      <c r="V298" s="1349" t="str">
        <f>IF(ISERROR(U298/T298),"-",U298/T298)</f>
        <v>-</v>
      </c>
      <c r="W298" s="955"/>
      <c r="X298" s="956"/>
      <c r="Y298" s="954"/>
      <c r="Z298" s="1349" t="str">
        <f>IF(ISERROR(Y298/X298),"-",Y298/X298)</f>
        <v>-</v>
      </c>
      <c r="AA298" s="955"/>
      <c r="AB298" s="956"/>
      <c r="AC298" s="954"/>
      <c r="AD298" s="1349" t="str">
        <f>IF(ISERROR(AC298/AB298),"-",AC298/AB298)</f>
        <v>-</v>
      </c>
      <c r="AE298" s="955"/>
      <c r="AF298" s="956"/>
      <c r="AG298" s="954"/>
      <c r="AH298" s="1349" t="str">
        <f>IF(ISERROR(AG298/AF298),"-",AG298/AF298)</f>
        <v>-</v>
      </c>
      <c r="AI298" s="1273">
        <f>+AM298+AQ298+AU298</f>
        <v>0</v>
      </c>
      <c r="AJ298" s="1274">
        <f>+AN298+AR298+AV298</f>
        <v>0</v>
      </c>
      <c r="AK298" s="1274">
        <f>+AO298+AS298+AW298</f>
        <v>0</v>
      </c>
      <c r="AL298" s="1389" t="str">
        <f>IF(ISERROR(AK298/AJ298),"-",AK298/AJ298)</f>
        <v>-</v>
      </c>
      <c r="AM298" s="955"/>
      <c r="AN298" s="956"/>
      <c r="AO298" s="954"/>
      <c r="AP298" s="1349" t="str">
        <f>IF(ISERROR(AO298/AN298),"-",AO298/AN298)</f>
        <v>-</v>
      </c>
      <c r="AQ298" s="955"/>
      <c r="AR298" s="956"/>
      <c r="AS298" s="954"/>
      <c r="AT298" s="1349" t="str">
        <f>IF(ISERROR(AS298/AR298),"-",AS298/AR298)</f>
        <v>-</v>
      </c>
      <c r="AU298" s="955"/>
      <c r="AV298" s="956"/>
      <c r="AW298" s="954"/>
      <c r="AX298" s="1349" t="str">
        <f>IF(ISERROR(AW298/AV298),"-",AW298/AV298)</f>
        <v>-</v>
      </c>
      <c r="AY298" s="464"/>
    </row>
    <row r="299" spans="1:54" s="466" customFormat="1">
      <c r="A299" s="504">
        <f t="shared" si="198"/>
        <v>111</v>
      </c>
      <c r="B299" s="790">
        <v>18</v>
      </c>
      <c r="C299" s="935" t="s">
        <v>741</v>
      </c>
      <c r="D299" s="900" t="s">
        <v>2785</v>
      </c>
      <c r="E299" s="936" t="s">
        <v>1237</v>
      </c>
      <c r="F299" s="949" t="s">
        <v>2786</v>
      </c>
      <c r="G299" s="1273">
        <f t="shared" si="184"/>
        <v>0</v>
      </c>
      <c r="H299" s="1274">
        <f t="shared" si="184"/>
        <v>0</v>
      </c>
      <c r="I299" s="1274">
        <f t="shared" si="184"/>
        <v>0</v>
      </c>
      <c r="J299" s="1389" t="str">
        <f t="shared" si="185"/>
        <v>-</v>
      </c>
      <c r="K299" s="1273">
        <f t="shared" si="186"/>
        <v>0</v>
      </c>
      <c r="L299" s="1274">
        <f t="shared" si="186"/>
        <v>0</v>
      </c>
      <c r="M299" s="1274">
        <f t="shared" si="186"/>
        <v>0</v>
      </c>
      <c r="N299" s="1389" t="str">
        <f t="shared" si="187"/>
        <v>-</v>
      </c>
      <c r="O299" s="955"/>
      <c r="P299" s="956"/>
      <c r="Q299" s="954"/>
      <c r="R299" s="1349" t="str">
        <f t="shared" si="188"/>
        <v>-</v>
      </c>
      <c r="S299" s="955"/>
      <c r="T299" s="956"/>
      <c r="U299" s="954"/>
      <c r="V299" s="1349" t="str">
        <f t="shared" si="189"/>
        <v>-</v>
      </c>
      <c r="W299" s="955"/>
      <c r="X299" s="956"/>
      <c r="Y299" s="954"/>
      <c r="Z299" s="1349" t="str">
        <f t="shared" si="190"/>
        <v>-</v>
      </c>
      <c r="AA299" s="955"/>
      <c r="AB299" s="956"/>
      <c r="AC299" s="954"/>
      <c r="AD299" s="1349" t="str">
        <f t="shared" si="191"/>
        <v>-</v>
      </c>
      <c r="AE299" s="955"/>
      <c r="AF299" s="956"/>
      <c r="AG299" s="954"/>
      <c r="AH299" s="1349" t="str">
        <f t="shared" si="192"/>
        <v>-</v>
      </c>
      <c r="AI299" s="1273">
        <f t="shared" si="193"/>
        <v>0</v>
      </c>
      <c r="AJ299" s="1274">
        <f t="shared" si="193"/>
        <v>0</v>
      </c>
      <c r="AK299" s="1274">
        <f t="shared" si="193"/>
        <v>0</v>
      </c>
      <c r="AL299" s="1389" t="str">
        <f t="shared" si="194"/>
        <v>-</v>
      </c>
      <c r="AM299" s="955"/>
      <c r="AN299" s="956"/>
      <c r="AO299" s="954"/>
      <c r="AP299" s="1349" t="str">
        <f t="shared" si="195"/>
        <v>-</v>
      </c>
      <c r="AQ299" s="955"/>
      <c r="AR299" s="956"/>
      <c r="AS299" s="954"/>
      <c r="AT299" s="1349" t="str">
        <f t="shared" si="196"/>
        <v>-</v>
      </c>
      <c r="AU299" s="955"/>
      <c r="AV299" s="956"/>
      <c r="AW299" s="954"/>
      <c r="AX299" s="1349" t="str">
        <f t="shared" si="197"/>
        <v>-</v>
      </c>
      <c r="AY299" s="464"/>
    </row>
    <row r="300" spans="1:54" s="470" customFormat="1" ht="12.75" thickBot="1">
      <c r="A300" s="504">
        <f t="shared" si="198"/>
        <v>112</v>
      </c>
      <c r="B300" s="790">
        <v>25</v>
      </c>
      <c r="C300" s="935" t="s">
        <v>998</v>
      </c>
      <c r="D300" s="900" t="s">
        <v>999</v>
      </c>
      <c r="E300" s="936" t="s">
        <v>1218</v>
      </c>
      <c r="F300" s="949" t="s">
        <v>1085</v>
      </c>
      <c r="G300" s="1277">
        <f t="shared" si="184"/>
        <v>0</v>
      </c>
      <c r="H300" s="1278">
        <f t="shared" si="184"/>
        <v>332</v>
      </c>
      <c r="I300" s="1278">
        <f t="shared" si="184"/>
        <v>332</v>
      </c>
      <c r="J300" s="1389">
        <f t="shared" si="185"/>
        <v>1</v>
      </c>
      <c r="K300" s="1277">
        <f t="shared" si="186"/>
        <v>0</v>
      </c>
      <c r="L300" s="1278">
        <f t="shared" si="186"/>
        <v>332</v>
      </c>
      <c r="M300" s="1278">
        <f t="shared" si="186"/>
        <v>332</v>
      </c>
      <c r="N300" s="1389">
        <f t="shared" si="187"/>
        <v>1</v>
      </c>
      <c r="O300" s="953"/>
      <c r="P300" s="954"/>
      <c r="Q300" s="954"/>
      <c r="R300" s="1349" t="str">
        <f t="shared" si="188"/>
        <v>-</v>
      </c>
      <c r="S300" s="955"/>
      <c r="T300" s="956"/>
      <c r="U300" s="954"/>
      <c r="V300" s="1349" t="str">
        <f t="shared" si="189"/>
        <v>-</v>
      </c>
      <c r="W300" s="955"/>
      <c r="X300" s="956"/>
      <c r="Y300" s="954"/>
      <c r="Z300" s="1349" t="str">
        <f t="shared" si="190"/>
        <v>-</v>
      </c>
      <c r="AA300" s="955"/>
      <c r="AB300" s="956"/>
      <c r="AC300" s="954"/>
      <c r="AD300" s="1349" t="str">
        <f t="shared" si="191"/>
        <v>-</v>
      </c>
      <c r="AE300" s="955"/>
      <c r="AF300" s="956">
        <v>332</v>
      </c>
      <c r="AG300" s="954">
        <v>332</v>
      </c>
      <c r="AH300" s="1349">
        <f t="shared" si="192"/>
        <v>1</v>
      </c>
      <c r="AI300" s="1277">
        <f t="shared" si="193"/>
        <v>0</v>
      </c>
      <c r="AJ300" s="1278">
        <f t="shared" si="193"/>
        <v>0</v>
      </c>
      <c r="AK300" s="1278">
        <f t="shared" si="193"/>
        <v>0</v>
      </c>
      <c r="AL300" s="1389" t="str">
        <f t="shared" si="194"/>
        <v>-</v>
      </c>
      <c r="AM300" s="955"/>
      <c r="AN300" s="956"/>
      <c r="AO300" s="954"/>
      <c r="AP300" s="1349" t="str">
        <f t="shared" si="195"/>
        <v>-</v>
      </c>
      <c r="AQ300" s="955"/>
      <c r="AR300" s="956"/>
      <c r="AS300" s="954"/>
      <c r="AT300" s="1349" t="str">
        <f t="shared" si="196"/>
        <v>-</v>
      </c>
      <c r="AU300" s="955"/>
      <c r="AV300" s="956"/>
      <c r="AW300" s="954"/>
      <c r="AX300" s="1349" t="str">
        <f t="shared" si="197"/>
        <v>-</v>
      </c>
      <c r="AY300" s="464"/>
      <c r="AZ300" s="295"/>
      <c r="BA300" s="295"/>
      <c r="BB300" s="295"/>
    </row>
    <row r="301" spans="1:54" s="462" customFormat="1" ht="12.75" customHeight="1" thickBot="1">
      <c r="A301" s="500" t="s">
        <v>750</v>
      </c>
      <c r="B301" s="793"/>
      <c r="C301" s="1880" t="s">
        <v>420</v>
      </c>
      <c r="D301" s="1881"/>
      <c r="E301" s="1881"/>
      <c r="F301" s="1882"/>
      <c r="G301" s="490">
        <f>SUM(G294:G300)</f>
        <v>60130</v>
      </c>
      <c r="H301" s="491">
        <f>SUM(H294:H300)</f>
        <v>43745</v>
      </c>
      <c r="I301" s="491">
        <f>SUM(I294:I300)</f>
        <v>40245</v>
      </c>
      <c r="J301" s="1350">
        <f t="shared" si="185"/>
        <v>0.9199908560978397</v>
      </c>
      <c r="K301" s="490">
        <f>SUM(K294:K300)</f>
        <v>49758</v>
      </c>
      <c r="L301" s="491">
        <f>SUM(L294:L300)</f>
        <v>40699</v>
      </c>
      <c r="M301" s="491">
        <f>SUM(M294:M300)</f>
        <v>39945</v>
      </c>
      <c r="N301" s="1350">
        <f t="shared" si="187"/>
        <v>0.98147374628369244</v>
      </c>
      <c r="O301" s="472">
        <f>SUM(O294:O300)</f>
        <v>25821</v>
      </c>
      <c r="P301" s="355">
        <f>SUM(P294:P300)</f>
        <v>24227</v>
      </c>
      <c r="Q301" s="355">
        <f>SUM(Q294:Q300)</f>
        <v>23872</v>
      </c>
      <c r="R301" s="1350">
        <f t="shared" si="188"/>
        <v>0.98534692698229254</v>
      </c>
      <c r="S301" s="472">
        <f>SUM(S294:S300)</f>
        <v>4534</v>
      </c>
      <c r="T301" s="355">
        <f>SUM(T294:T300)</f>
        <v>4506</v>
      </c>
      <c r="U301" s="355">
        <f>SUM(U294:U300)</f>
        <v>4384</v>
      </c>
      <c r="V301" s="1350">
        <f t="shared" si="189"/>
        <v>0.97292498890368395</v>
      </c>
      <c r="W301" s="472">
        <f>SUM(W294:W300)</f>
        <v>19403</v>
      </c>
      <c r="X301" s="355">
        <f>SUM(X294:X300)</f>
        <v>11634</v>
      </c>
      <c r="Y301" s="355">
        <f>SUM(Y294:Y300)</f>
        <v>11357</v>
      </c>
      <c r="Z301" s="1350">
        <f t="shared" si="190"/>
        <v>0.97619047619047616</v>
      </c>
      <c r="AA301" s="472">
        <f>SUM(AA294:AA300)</f>
        <v>0</v>
      </c>
      <c r="AB301" s="355">
        <f>SUM(AB294:AB300)</f>
        <v>0</v>
      </c>
      <c r="AC301" s="355">
        <f>SUM(AC294:AC300)</f>
        <v>0</v>
      </c>
      <c r="AD301" s="1350" t="str">
        <f t="shared" si="191"/>
        <v>-</v>
      </c>
      <c r="AE301" s="472">
        <f>SUM(AE294:AE300)</f>
        <v>0</v>
      </c>
      <c r="AF301" s="355">
        <f>SUM(AF294:AF300)</f>
        <v>332</v>
      </c>
      <c r="AG301" s="355">
        <f>SUM(AG294:AG300)</f>
        <v>332</v>
      </c>
      <c r="AH301" s="1350">
        <f t="shared" si="192"/>
        <v>1</v>
      </c>
      <c r="AI301" s="490">
        <f>SUM(AI294:AI300)</f>
        <v>10372</v>
      </c>
      <c r="AJ301" s="491">
        <f>SUM(AJ294:AJ300)</f>
        <v>3046</v>
      </c>
      <c r="AK301" s="491">
        <f>SUM(AK294:AK300)</f>
        <v>300</v>
      </c>
      <c r="AL301" s="1350">
        <f t="shared" si="194"/>
        <v>9.8489822718319103E-2</v>
      </c>
      <c r="AM301" s="472">
        <f>SUM(AM294:AM300)</f>
        <v>10372</v>
      </c>
      <c r="AN301" s="355">
        <f>SUM(AN294:AN300)</f>
        <v>3046</v>
      </c>
      <c r="AO301" s="355">
        <f>SUM(AO294:AO300)</f>
        <v>300</v>
      </c>
      <c r="AP301" s="1350">
        <f t="shared" si="195"/>
        <v>9.8489822718319103E-2</v>
      </c>
      <c r="AQ301" s="472">
        <f>SUM(AQ294:AQ300)</f>
        <v>0</v>
      </c>
      <c r="AR301" s="355">
        <f>SUM(AR294:AR300)</f>
        <v>0</v>
      </c>
      <c r="AS301" s="355">
        <f>SUM(AS294:AS300)</f>
        <v>0</v>
      </c>
      <c r="AT301" s="1350" t="str">
        <f t="shared" si="196"/>
        <v>-</v>
      </c>
      <c r="AU301" s="472">
        <f>SUM(AU294:AU300)</f>
        <v>0</v>
      </c>
      <c r="AV301" s="355">
        <f>SUM(AV294:AV300)</f>
        <v>0</v>
      </c>
      <c r="AW301" s="355">
        <f>SUM(AW294:AW300)</f>
        <v>0</v>
      </c>
      <c r="AX301" s="1350" t="str">
        <f t="shared" si="197"/>
        <v>-</v>
      </c>
      <c r="AY301" s="465"/>
      <c r="AZ301" s="295"/>
      <c r="BA301" s="295"/>
      <c r="BB301" s="295"/>
    </row>
    <row r="302" spans="1:54" ht="12.75" customHeight="1" thickBot="1">
      <c r="A302" s="506">
        <f>A300+1</f>
        <v>113</v>
      </c>
      <c r="B302" s="798">
        <v>27</v>
      </c>
      <c r="C302" s="882" t="s">
        <v>19</v>
      </c>
      <c r="D302" s="497" t="s">
        <v>19</v>
      </c>
      <c r="E302" s="877" t="s">
        <v>19</v>
      </c>
      <c r="F302" s="951" t="s">
        <v>19</v>
      </c>
      <c r="G302" s="1283">
        <f>+K302+AI302</f>
        <v>0</v>
      </c>
      <c r="H302" s="1284">
        <f>+L302+AJ302</f>
        <v>0</v>
      </c>
      <c r="I302" s="1284">
        <f>+M302+AK302</f>
        <v>0</v>
      </c>
      <c r="J302" s="1389" t="str">
        <f t="shared" si="185"/>
        <v>-</v>
      </c>
      <c r="K302" s="1283">
        <f>+O302+S302+W302+AA302+AE302</f>
        <v>0</v>
      </c>
      <c r="L302" s="1284">
        <f>+P302+T302+X302+AB302+AF302</f>
        <v>0</v>
      </c>
      <c r="M302" s="1284">
        <f>+Q302+U302+Y302+AC302+AG302</f>
        <v>0</v>
      </c>
      <c r="N302" s="1389" t="str">
        <f t="shared" si="187"/>
        <v>-</v>
      </c>
      <c r="O302" s="469"/>
      <c r="P302" s="468"/>
      <c r="Q302" s="468"/>
      <c r="R302" s="1349" t="str">
        <f t="shared" si="188"/>
        <v>-</v>
      </c>
      <c r="S302" s="469"/>
      <c r="T302" s="468"/>
      <c r="U302" s="468"/>
      <c r="V302" s="1349" t="str">
        <f t="shared" si="189"/>
        <v>-</v>
      </c>
      <c r="W302" s="469"/>
      <c r="X302" s="468"/>
      <c r="Y302" s="468"/>
      <c r="Z302" s="1349" t="str">
        <f t="shared" si="190"/>
        <v>-</v>
      </c>
      <c r="AA302" s="469"/>
      <c r="AB302" s="468"/>
      <c r="AC302" s="468"/>
      <c r="AD302" s="1349" t="str">
        <f t="shared" si="191"/>
        <v>-</v>
      </c>
      <c r="AE302" s="469"/>
      <c r="AF302" s="468"/>
      <c r="AG302" s="468"/>
      <c r="AH302" s="1349" t="str">
        <f t="shared" si="192"/>
        <v>-</v>
      </c>
      <c r="AI302" s="1283">
        <f>+AM302+AQ302+AU302</f>
        <v>0</v>
      </c>
      <c r="AJ302" s="1284">
        <f>+AN302+AR302+AV302</f>
        <v>0</v>
      </c>
      <c r="AK302" s="1284">
        <f>+AO302+AS302+AW302</f>
        <v>0</v>
      </c>
      <c r="AL302" s="1389" t="str">
        <f t="shared" si="194"/>
        <v>-</v>
      </c>
      <c r="AM302" s="469"/>
      <c r="AN302" s="468"/>
      <c r="AO302" s="468"/>
      <c r="AP302" s="1349" t="str">
        <f t="shared" si="195"/>
        <v>-</v>
      </c>
      <c r="AQ302" s="469"/>
      <c r="AR302" s="468"/>
      <c r="AS302" s="468"/>
      <c r="AT302" s="1349" t="str">
        <f t="shared" si="196"/>
        <v>-</v>
      </c>
      <c r="AU302" s="469"/>
      <c r="AV302" s="468"/>
      <c r="AW302" s="468"/>
      <c r="AX302" s="1349" t="str">
        <f t="shared" si="197"/>
        <v>-</v>
      </c>
      <c r="AY302" s="464"/>
      <c r="AZ302" s="470"/>
      <c r="BA302" s="470"/>
      <c r="BB302" s="470"/>
    </row>
    <row r="303" spans="1:54" s="462" customFormat="1" ht="12.75" customHeight="1" thickBot="1">
      <c r="A303" s="500" t="s">
        <v>633</v>
      </c>
      <c r="B303" s="793"/>
      <c r="C303" s="1880" t="s">
        <v>752</v>
      </c>
      <c r="D303" s="1881"/>
      <c r="E303" s="1881"/>
      <c r="F303" s="1882"/>
      <c r="G303" s="490">
        <f>SUM(G302)</f>
        <v>0</v>
      </c>
      <c r="H303" s="491">
        <f>SUM(H302)</f>
        <v>0</v>
      </c>
      <c r="I303" s="491">
        <f>SUM(I302)</f>
        <v>0</v>
      </c>
      <c r="J303" s="1350" t="str">
        <f t="shared" si="185"/>
        <v>-</v>
      </c>
      <c r="K303" s="490">
        <f>SUM(K302)</f>
        <v>0</v>
      </c>
      <c r="L303" s="491">
        <f>SUM(L302)</f>
        <v>0</v>
      </c>
      <c r="M303" s="491">
        <f>SUM(M302)</f>
        <v>0</v>
      </c>
      <c r="N303" s="1350" t="str">
        <f t="shared" si="187"/>
        <v>-</v>
      </c>
      <c r="O303" s="472">
        <f>SUM(O302)</f>
        <v>0</v>
      </c>
      <c r="P303" s="355">
        <f>SUM(P302)</f>
        <v>0</v>
      </c>
      <c r="Q303" s="355">
        <f>SUM(Q302)</f>
        <v>0</v>
      </c>
      <c r="R303" s="1350" t="str">
        <f t="shared" si="188"/>
        <v>-</v>
      </c>
      <c r="S303" s="472">
        <f>SUM(S302)</f>
        <v>0</v>
      </c>
      <c r="T303" s="355">
        <f>SUM(T302)</f>
        <v>0</v>
      </c>
      <c r="U303" s="355">
        <f>SUM(U302)</f>
        <v>0</v>
      </c>
      <c r="V303" s="1350" t="str">
        <f t="shared" si="189"/>
        <v>-</v>
      </c>
      <c r="W303" s="472">
        <f>SUM(W302)</f>
        <v>0</v>
      </c>
      <c r="X303" s="355">
        <f>SUM(X302)</f>
        <v>0</v>
      </c>
      <c r="Y303" s="355">
        <f>SUM(Y302)</f>
        <v>0</v>
      </c>
      <c r="Z303" s="1350" t="str">
        <f t="shared" si="190"/>
        <v>-</v>
      </c>
      <c r="AA303" s="472">
        <f>SUM(AA302)</f>
        <v>0</v>
      </c>
      <c r="AB303" s="355">
        <f>SUM(AB302)</f>
        <v>0</v>
      </c>
      <c r="AC303" s="355">
        <f>SUM(AC302)</f>
        <v>0</v>
      </c>
      <c r="AD303" s="1350" t="str">
        <f t="shared" si="191"/>
        <v>-</v>
      </c>
      <c r="AE303" s="472">
        <f>SUM(AE302)</f>
        <v>0</v>
      </c>
      <c r="AF303" s="355">
        <f>SUM(AF302)</f>
        <v>0</v>
      </c>
      <c r="AG303" s="355">
        <f>SUM(AG302)</f>
        <v>0</v>
      </c>
      <c r="AH303" s="1350" t="str">
        <f t="shared" si="192"/>
        <v>-</v>
      </c>
      <c r="AI303" s="490">
        <f>SUM(AI302)</f>
        <v>0</v>
      </c>
      <c r="AJ303" s="491">
        <f>SUM(AJ302)</f>
        <v>0</v>
      </c>
      <c r="AK303" s="491">
        <f>SUM(AK302)</f>
        <v>0</v>
      </c>
      <c r="AL303" s="1350" t="str">
        <f t="shared" si="194"/>
        <v>-</v>
      </c>
      <c r="AM303" s="472">
        <f>SUM(AM302)</f>
        <v>0</v>
      </c>
      <c r="AN303" s="355">
        <f>SUM(AN302)</f>
        <v>0</v>
      </c>
      <c r="AO303" s="355">
        <f>SUM(AO302)</f>
        <v>0</v>
      </c>
      <c r="AP303" s="1350" t="str">
        <f t="shared" si="195"/>
        <v>-</v>
      </c>
      <c r="AQ303" s="472">
        <f>SUM(AQ302)</f>
        <v>0</v>
      </c>
      <c r="AR303" s="355">
        <f>SUM(AR302)</f>
        <v>0</v>
      </c>
      <c r="AS303" s="355">
        <f>SUM(AS302)</f>
        <v>0</v>
      </c>
      <c r="AT303" s="1350" t="str">
        <f t="shared" si="196"/>
        <v>-</v>
      </c>
      <c r="AU303" s="472">
        <f>SUM(AU302)</f>
        <v>0</v>
      </c>
      <c r="AV303" s="355">
        <f>SUM(AV302)</f>
        <v>0</v>
      </c>
      <c r="AW303" s="355">
        <f>SUM(AW302)</f>
        <v>0</v>
      </c>
      <c r="AX303" s="1350" t="str">
        <f t="shared" si="197"/>
        <v>-</v>
      </c>
      <c r="AY303" s="465"/>
    </row>
    <row r="304" spans="1:54" ht="12.75" customHeight="1" thickBot="1">
      <c r="A304" s="506">
        <f>+A302+1</f>
        <v>114</v>
      </c>
      <c r="B304" s="798">
        <v>28</v>
      </c>
      <c r="C304" s="882" t="s">
        <v>19</v>
      </c>
      <c r="D304" s="497" t="s">
        <v>19</v>
      </c>
      <c r="E304" s="877" t="s">
        <v>19</v>
      </c>
      <c r="F304" s="951" t="s">
        <v>19</v>
      </c>
      <c r="G304" s="1283">
        <f>+K304+AI304</f>
        <v>0</v>
      </c>
      <c r="H304" s="1284">
        <f>+L304+AJ304</f>
        <v>0</v>
      </c>
      <c r="I304" s="1284">
        <f>+M304+AK304</f>
        <v>0</v>
      </c>
      <c r="J304" s="1389" t="str">
        <f t="shared" si="185"/>
        <v>-</v>
      </c>
      <c r="K304" s="1283">
        <f>+O304+S304+W304+AA304+AE304</f>
        <v>0</v>
      </c>
      <c r="L304" s="1284">
        <f>+P304+T304+X304+AB304+AF304</f>
        <v>0</v>
      </c>
      <c r="M304" s="1284">
        <f>+Q304+U304+Y304+AC304+AG304</f>
        <v>0</v>
      </c>
      <c r="N304" s="1389" t="str">
        <f t="shared" si="187"/>
        <v>-</v>
      </c>
      <c r="O304" s="469"/>
      <c r="P304" s="468"/>
      <c r="Q304" s="468"/>
      <c r="R304" s="1349" t="str">
        <f t="shared" si="188"/>
        <v>-</v>
      </c>
      <c r="S304" s="469"/>
      <c r="T304" s="468"/>
      <c r="U304" s="468"/>
      <c r="V304" s="1349" t="str">
        <f t="shared" si="189"/>
        <v>-</v>
      </c>
      <c r="W304" s="469"/>
      <c r="X304" s="468"/>
      <c r="Y304" s="468"/>
      <c r="Z304" s="1349" t="str">
        <f t="shared" si="190"/>
        <v>-</v>
      </c>
      <c r="AA304" s="469"/>
      <c r="AB304" s="468"/>
      <c r="AC304" s="468"/>
      <c r="AD304" s="1349" t="str">
        <f t="shared" si="191"/>
        <v>-</v>
      </c>
      <c r="AE304" s="469"/>
      <c r="AF304" s="468"/>
      <c r="AG304" s="468"/>
      <c r="AH304" s="1349" t="str">
        <f t="shared" si="192"/>
        <v>-</v>
      </c>
      <c r="AI304" s="1283">
        <f>+AM304+AQ304+AU304</f>
        <v>0</v>
      </c>
      <c r="AJ304" s="1284">
        <f>+AN304+AR304+AV304</f>
        <v>0</v>
      </c>
      <c r="AK304" s="1284">
        <f>+AO304+AS304+AW304</f>
        <v>0</v>
      </c>
      <c r="AL304" s="1389" t="str">
        <f t="shared" si="194"/>
        <v>-</v>
      </c>
      <c r="AM304" s="469"/>
      <c r="AN304" s="468"/>
      <c r="AO304" s="468"/>
      <c r="AP304" s="1349" t="str">
        <f t="shared" si="195"/>
        <v>-</v>
      </c>
      <c r="AQ304" s="469"/>
      <c r="AR304" s="468"/>
      <c r="AS304" s="468"/>
      <c r="AT304" s="1349" t="str">
        <f t="shared" si="196"/>
        <v>-</v>
      </c>
      <c r="AU304" s="469"/>
      <c r="AV304" s="468"/>
      <c r="AW304" s="468"/>
      <c r="AX304" s="1349" t="str">
        <f t="shared" si="197"/>
        <v>-</v>
      </c>
      <c r="AY304" s="464"/>
      <c r="AZ304" s="470"/>
      <c r="BA304" s="470"/>
      <c r="BB304" s="470"/>
    </row>
    <row r="305" spans="1:54" s="462" customFormat="1" ht="12.75" customHeight="1" thickBot="1">
      <c r="A305" s="500" t="s">
        <v>751</v>
      </c>
      <c r="B305" s="793"/>
      <c r="C305" s="1880" t="s">
        <v>767</v>
      </c>
      <c r="D305" s="1881"/>
      <c r="E305" s="1881"/>
      <c r="F305" s="1882"/>
      <c r="G305" s="490">
        <f>SUM(G304)</f>
        <v>0</v>
      </c>
      <c r="H305" s="491">
        <f>SUM(H304)</f>
        <v>0</v>
      </c>
      <c r="I305" s="491">
        <f>SUM(I304)</f>
        <v>0</v>
      </c>
      <c r="J305" s="1350" t="str">
        <f t="shared" si="185"/>
        <v>-</v>
      </c>
      <c r="K305" s="490">
        <f>SUM(K304)</f>
        <v>0</v>
      </c>
      <c r="L305" s="491">
        <f>SUM(L304)</f>
        <v>0</v>
      </c>
      <c r="M305" s="491">
        <f>SUM(M304)</f>
        <v>0</v>
      </c>
      <c r="N305" s="1350" t="str">
        <f t="shared" si="187"/>
        <v>-</v>
      </c>
      <c r="O305" s="472">
        <f>SUM(O304)</f>
        <v>0</v>
      </c>
      <c r="P305" s="355">
        <f>SUM(P304)</f>
        <v>0</v>
      </c>
      <c r="Q305" s="355">
        <f>SUM(Q304)</f>
        <v>0</v>
      </c>
      <c r="R305" s="1350" t="str">
        <f t="shared" si="188"/>
        <v>-</v>
      </c>
      <c r="S305" s="472">
        <f>SUM(S304)</f>
        <v>0</v>
      </c>
      <c r="T305" s="355">
        <f>SUM(T304)</f>
        <v>0</v>
      </c>
      <c r="U305" s="355">
        <f>SUM(U304)</f>
        <v>0</v>
      </c>
      <c r="V305" s="1350" t="str">
        <f t="shared" si="189"/>
        <v>-</v>
      </c>
      <c r="W305" s="472">
        <f>SUM(W304)</f>
        <v>0</v>
      </c>
      <c r="X305" s="355">
        <f>SUM(X304)</f>
        <v>0</v>
      </c>
      <c r="Y305" s="355">
        <f>SUM(Y304)</f>
        <v>0</v>
      </c>
      <c r="Z305" s="1350" t="str">
        <f t="shared" si="190"/>
        <v>-</v>
      </c>
      <c r="AA305" s="472">
        <f>SUM(AA304)</f>
        <v>0</v>
      </c>
      <c r="AB305" s="355">
        <f>SUM(AB304)</f>
        <v>0</v>
      </c>
      <c r="AC305" s="355">
        <f>SUM(AC304)</f>
        <v>0</v>
      </c>
      <c r="AD305" s="1350" t="str">
        <f t="shared" si="191"/>
        <v>-</v>
      </c>
      <c r="AE305" s="472">
        <f>SUM(AE304)</f>
        <v>0</v>
      </c>
      <c r="AF305" s="355">
        <f>SUM(AF304)</f>
        <v>0</v>
      </c>
      <c r="AG305" s="355">
        <f>SUM(AG304)</f>
        <v>0</v>
      </c>
      <c r="AH305" s="1350" t="str">
        <f t="shared" si="192"/>
        <v>-</v>
      </c>
      <c r="AI305" s="490">
        <f>SUM(AI304)</f>
        <v>0</v>
      </c>
      <c r="AJ305" s="491">
        <f>SUM(AJ304)</f>
        <v>0</v>
      </c>
      <c r="AK305" s="491">
        <f>SUM(AK304)</f>
        <v>0</v>
      </c>
      <c r="AL305" s="1350" t="str">
        <f t="shared" si="194"/>
        <v>-</v>
      </c>
      <c r="AM305" s="472">
        <f>SUM(AM304)</f>
        <v>0</v>
      </c>
      <c r="AN305" s="355">
        <f>SUM(AN304)</f>
        <v>0</v>
      </c>
      <c r="AO305" s="355">
        <f>SUM(AO304)</f>
        <v>0</v>
      </c>
      <c r="AP305" s="1350" t="str">
        <f t="shared" si="195"/>
        <v>-</v>
      </c>
      <c r="AQ305" s="472">
        <f>SUM(AQ304)</f>
        <v>0</v>
      </c>
      <c r="AR305" s="355">
        <f>SUM(AR304)</f>
        <v>0</v>
      </c>
      <c r="AS305" s="355">
        <f>SUM(AS304)</f>
        <v>0</v>
      </c>
      <c r="AT305" s="1350" t="str">
        <f t="shared" si="196"/>
        <v>-</v>
      </c>
      <c r="AU305" s="472">
        <f>SUM(AU304)</f>
        <v>0</v>
      </c>
      <c r="AV305" s="355">
        <f>SUM(AV304)</f>
        <v>0</v>
      </c>
      <c r="AW305" s="355">
        <f>SUM(AW304)</f>
        <v>0</v>
      </c>
      <c r="AX305" s="1350" t="str">
        <f t="shared" si="197"/>
        <v>-</v>
      </c>
      <c r="AY305" s="465"/>
    </row>
    <row r="306" spans="1:54" s="470" customFormat="1" ht="12.75" customHeight="1" thickBot="1">
      <c r="A306" s="501" t="s">
        <v>20</v>
      </c>
      <c r="B306" s="794"/>
      <c r="C306" s="1874" t="s">
        <v>422</v>
      </c>
      <c r="D306" s="1875"/>
      <c r="E306" s="1875"/>
      <c r="F306" s="1876"/>
      <c r="G306" s="474">
        <f>+G301+G303+G305</f>
        <v>60130</v>
      </c>
      <c r="H306" s="475">
        <f>+H301+H303+H305</f>
        <v>43745</v>
      </c>
      <c r="I306" s="475">
        <f>+I301+I303+I305</f>
        <v>40245</v>
      </c>
      <c r="J306" s="1386">
        <f t="shared" si="185"/>
        <v>0.9199908560978397</v>
      </c>
      <c r="K306" s="474">
        <f>+K301+K303+K305</f>
        <v>49758</v>
      </c>
      <c r="L306" s="475">
        <f>+L301+L303+L305</f>
        <v>40699</v>
      </c>
      <c r="M306" s="475">
        <f>+M301+M303+M305</f>
        <v>39945</v>
      </c>
      <c r="N306" s="1386">
        <f t="shared" si="187"/>
        <v>0.98147374628369244</v>
      </c>
      <c r="O306" s="474">
        <f>+O301+O303+O305</f>
        <v>25821</v>
      </c>
      <c r="P306" s="475">
        <f>+P301+P303+P305</f>
        <v>24227</v>
      </c>
      <c r="Q306" s="485">
        <f>+Q301+Q303+Q305</f>
        <v>23872</v>
      </c>
      <c r="R306" s="1386">
        <f t="shared" si="188"/>
        <v>0.98534692698229254</v>
      </c>
      <c r="S306" s="474">
        <f>+S301+S303+S305</f>
        <v>4534</v>
      </c>
      <c r="T306" s="475">
        <f>+T301+T303+T305</f>
        <v>4506</v>
      </c>
      <c r="U306" s="485">
        <f>+U301+U303+U305</f>
        <v>4384</v>
      </c>
      <c r="V306" s="1386">
        <f t="shared" si="189"/>
        <v>0.97292498890368395</v>
      </c>
      <c r="W306" s="474">
        <f>+W301+W303+W305</f>
        <v>19403</v>
      </c>
      <c r="X306" s="475">
        <f>+X301+X303+X305</f>
        <v>11634</v>
      </c>
      <c r="Y306" s="485">
        <f>+Y301+Y303+Y305</f>
        <v>11357</v>
      </c>
      <c r="Z306" s="1386">
        <f t="shared" si="190"/>
        <v>0.97619047619047616</v>
      </c>
      <c r="AA306" s="474">
        <f>+AA301+AA303+AA305</f>
        <v>0</v>
      </c>
      <c r="AB306" s="475">
        <f>+AB301+AB303+AB305</f>
        <v>0</v>
      </c>
      <c r="AC306" s="485">
        <f>+AC301+AC303+AC305</f>
        <v>0</v>
      </c>
      <c r="AD306" s="1386" t="str">
        <f t="shared" si="191"/>
        <v>-</v>
      </c>
      <c r="AE306" s="474">
        <f>+AE301+AE303+AE305</f>
        <v>0</v>
      </c>
      <c r="AF306" s="475">
        <f>+AF301+AF303+AF305</f>
        <v>332</v>
      </c>
      <c r="AG306" s="485">
        <f>+AG301+AG303+AG305</f>
        <v>332</v>
      </c>
      <c r="AH306" s="1386">
        <f t="shared" si="192"/>
        <v>1</v>
      </c>
      <c r="AI306" s="474">
        <f>+AI301+AI303+AI305</f>
        <v>10372</v>
      </c>
      <c r="AJ306" s="475">
        <f>+AJ301+AJ303+AJ305</f>
        <v>3046</v>
      </c>
      <c r="AK306" s="475">
        <f>+AK301+AK303+AK305</f>
        <v>300</v>
      </c>
      <c r="AL306" s="1386">
        <f t="shared" si="194"/>
        <v>9.8489822718319103E-2</v>
      </c>
      <c r="AM306" s="474">
        <f>+AM301+AM303+AM305</f>
        <v>10372</v>
      </c>
      <c r="AN306" s="475">
        <f>+AN301+AN303+AN305</f>
        <v>3046</v>
      </c>
      <c r="AO306" s="485">
        <f>+AO301+AO303+AO305</f>
        <v>300</v>
      </c>
      <c r="AP306" s="1386">
        <f t="shared" si="195"/>
        <v>9.8489822718319103E-2</v>
      </c>
      <c r="AQ306" s="474">
        <f>+AQ301+AQ303+AQ305</f>
        <v>0</v>
      </c>
      <c r="AR306" s="475">
        <f>+AR301+AR303+AR305</f>
        <v>0</v>
      </c>
      <c r="AS306" s="485">
        <f>+AS301+AS303+AS305</f>
        <v>0</v>
      </c>
      <c r="AT306" s="1386" t="str">
        <f t="shared" si="196"/>
        <v>-</v>
      </c>
      <c r="AU306" s="474">
        <f>+AU301+AU303+AU305</f>
        <v>0</v>
      </c>
      <c r="AV306" s="475">
        <f>+AV301+AV303+AV305</f>
        <v>0</v>
      </c>
      <c r="AW306" s="485">
        <f>+AW301+AW303+AW305</f>
        <v>0</v>
      </c>
      <c r="AX306" s="1386" t="str">
        <f t="shared" si="197"/>
        <v>-</v>
      </c>
      <c r="AY306" s="773"/>
      <c r="AZ306" s="462"/>
      <c r="BA306" s="462"/>
      <c r="BB306" s="462"/>
    </row>
    <row r="307" spans="1:54" ht="12.75" thickBot="1">
      <c r="A307" s="500"/>
      <c r="B307" s="797"/>
      <c r="C307" s="881"/>
      <c r="D307" s="499"/>
      <c r="E307" s="876"/>
      <c r="F307" s="471"/>
      <c r="G307" s="490"/>
      <c r="H307" s="491"/>
      <c r="I307" s="491"/>
      <c r="J307" s="917"/>
      <c r="K307" s="490"/>
      <c r="L307" s="491"/>
      <c r="M307" s="491"/>
      <c r="N307" s="917"/>
      <c r="O307" s="821"/>
      <c r="P307" s="822"/>
      <c r="Q307" s="355"/>
      <c r="R307" s="917"/>
      <c r="S307" s="821"/>
      <c r="T307" s="822"/>
      <c r="U307" s="355"/>
      <c r="V307" s="917"/>
      <c r="W307" s="821"/>
      <c r="X307" s="822"/>
      <c r="Y307" s="355"/>
      <c r="Z307" s="917"/>
      <c r="AA307" s="821"/>
      <c r="AB307" s="822"/>
      <c r="AC307" s="355"/>
      <c r="AD307" s="917"/>
      <c r="AE307" s="821"/>
      <c r="AF307" s="822"/>
      <c r="AG307" s="355"/>
      <c r="AH307" s="917"/>
      <c r="AI307" s="490"/>
      <c r="AJ307" s="491"/>
      <c r="AK307" s="491"/>
      <c r="AL307" s="917"/>
      <c r="AM307" s="821"/>
      <c r="AN307" s="822"/>
      <c r="AO307" s="355"/>
      <c r="AP307" s="917"/>
      <c r="AQ307" s="821"/>
      <c r="AR307" s="822"/>
      <c r="AS307" s="355"/>
      <c r="AT307" s="917"/>
      <c r="AU307" s="821"/>
      <c r="AV307" s="822"/>
      <c r="AW307" s="355"/>
      <c r="AX307" s="917"/>
      <c r="AY307" s="464"/>
      <c r="AZ307" s="462"/>
      <c r="BA307" s="462"/>
      <c r="BB307" s="462"/>
    </row>
    <row r="308" spans="1:54" ht="12.75" customHeight="1" thickBot="1">
      <c r="A308" s="504">
        <f>A304+1</f>
        <v>115</v>
      </c>
      <c r="B308" s="791">
        <v>29</v>
      </c>
      <c r="C308" s="935" t="s">
        <v>19</v>
      </c>
      <c r="D308" s="900" t="s">
        <v>19</v>
      </c>
      <c r="E308" s="936" t="s">
        <v>19</v>
      </c>
      <c r="F308" s="949" t="s">
        <v>19</v>
      </c>
      <c r="G308" s="1273">
        <f>+K308+AI308</f>
        <v>0</v>
      </c>
      <c r="H308" s="1274">
        <f>+L308+AJ308</f>
        <v>0</v>
      </c>
      <c r="I308" s="1274">
        <f>+M308+AK308</f>
        <v>0</v>
      </c>
      <c r="J308" s="1389" t="str">
        <f t="shared" ref="J308:J315" si="199">IF(ISERROR(I308/H308),"-",I308/H308)</f>
        <v>-</v>
      </c>
      <c r="K308" s="1273">
        <f>+O308+S308+W308+AA308+AE308</f>
        <v>0</v>
      </c>
      <c r="L308" s="1274">
        <f>+P308+T308+X308+AB308+AF308</f>
        <v>0</v>
      </c>
      <c r="M308" s="1274">
        <f>+Q308+U308+Y308+AC308+AG308</f>
        <v>0</v>
      </c>
      <c r="N308" s="1389" t="str">
        <f t="shared" ref="N308:N315" si="200">IF(ISERROR(M308/L308),"-",M308/L308)</f>
        <v>-</v>
      </c>
      <c r="O308" s="953"/>
      <c r="P308" s="954"/>
      <c r="Q308" s="954"/>
      <c r="R308" s="1349" t="str">
        <f t="shared" ref="R308:R315" si="201">IF(ISERROR(Q308/P308),"-",Q308/P308)</f>
        <v>-</v>
      </c>
      <c r="S308" s="953"/>
      <c r="T308" s="954"/>
      <c r="U308" s="954"/>
      <c r="V308" s="1349" t="str">
        <f t="shared" ref="V308:V315" si="202">IF(ISERROR(U308/T308),"-",U308/T308)</f>
        <v>-</v>
      </c>
      <c r="W308" s="953"/>
      <c r="X308" s="954"/>
      <c r="Y308" s="954"/>
      <c r="Z308" s="1349" t="str">
        <f t="shared" ref="Z308:Z315" si="203">IF(ISERROR(Y308/X308),"-",Y308/X308)</f>
        <v>-</v>
      </c>
      <c r="AA308" s="953"/>
      <c r="AB308" s="954"/>
      <c r="AC308" s="954"/>
      <c r="AD308" s="1349" t="str">
        <f t="shared" ref="AD308:AD315" si="204">IF(ISERROR(AC308/AB308),"-",AC308/AB308)</f>
        <v>-</v>
      </c>
      <c r="AE308" s="953"/>
      <c r="AF308" s="954"/>
      <c r="AG308" s="954"/>
      <c r="AH308" s="1349" t="str">
        <f t="shared" ref="AH308:AH315" si="205">IF(ISERROR(AG308/AF308),"-",AG308/AF308)</f>
        <v>-</v>
      </c>
      <c r="AI308" s="1273">
        <f>+AM308+AQ308+AU308</f>
        <v>0</v>
      </c>
      <c r="AJ308" s="1274">
        <f>+AN308+AR308+AV308</f>
        <v>0</v>
      </c>
      <c r="AK308" s="1274">
        <f>+AO308+AS308+AW308</f>
        <v>0</v>
      </c>
      <c r="AL308" s="1389" t="str">
        <f t="shared" ref="AL308:AL315" si="206">IF(ISERROR(AK308/AJ308),"-",AK308/AJ308)</f>
        <v>-</v>
      </c>
      <c r="AM308" s="953"/>
      <c r="AN308" s="954"/>
      <c r="AO308" s="954"/>
      <c r="AP308" s="1349" t="str">
        <f t="shared" ref="AP308:AP315" si="207">IF(ISERROR(AO308/AN308),"-",AO308/AN308)</f>
        <v>-</v>
      </c>
      <c r="AQ308" s="953"/>
      <c r="AR308" s="954"/>
      <c r="AS308" s="954"/>
      <c r="AT308" s="1349" t="str">
        <f t="shared" ref="AT308:AT315" si="208">IF(ISERROR(AS308/AR308),"-",AS308/AR308)</f>
        <v>-</v>
      </c>
      <c r="AU308" s="953"/>
      <c r="AV308" s="954"/>
      <c r="AW308" s="954"/>
      <c r="AX308" s="1349" t="str">
        <f t="shared" ref="AX308:AX315" si="209">IF(ISERROR(AW308/AV308),"-",AW308/AV308)</f>
        <v>-</v>
      </c>
      <c r="AY308" s="464"/>
      <c r="AZ308" s="470"/>
      <c r="BA308" s="470"/>
      <c r="BB308" s="470"/>
    </row>
    <row r="309" spans="1:54" s="462" customFormat="1" ht="12.75" customHeight="1" thickBot="1">
      <c r="A309" s="500" t="s">
        <v>881</v>
      </c>
      <c r="B309" s="793"/>
      <c r="C309" s="1880" t="s">
        <v>856</v>
      </c>
      <c r="D309" s="1881"/>
      <c r="E309" s="1881"/>
      <c r="F309" s="1882"/>
      <c r="G309" s="490">
        <f>SUM(G308)</f>
        <v>0</v>
      </c>
      <c r="H309" s="491">
        <f>SUM(H308)</f>
        <v>0</v>
      </c>
      <c r="I309" s="491">
        <f>SUM(I308)</f>
        <v>0</v>
      </c>
      <c r="J309" s="1350" t="str">
        <f t="shared" si="199"/>
        <v>-</v>
      </c>
      <c r="K309" s="490">
        <f>SUM(K308)</f>
        <v>0</v>
      </c>
      <c r="L309" s="491">
        <f>SUM(L308)</f>
        <v>0</v>
      </c>
      <c r="M309" s="491">
        <f>SUM(M308)</f>
        <v>0</v>
      </c>
      <c r="N309" s="1350" t="str">
        <f t="shared" si="200"/>
        <v>-</v>
      </c>
      <c r="O309" s="472">
        <f>SUM(O308)</f>
        <v>0</v>
      </c>
      <c r="P309" s="355">
        <f>SUM(P308)</f>
        <v>0</v>
      </c>
      <c r="Q309" s="355">
        <f>SUM(Q308)</f>
        <v>0</v>
      </c>
      <c r="R309" s="1350" t="str">
        <f t="shared" si="201"/>
        <v>-</v>
      </c>
      <c r="S309" s="472">
        <f>SUM(S308)</f>
        <v>0</v>
      </c>
      <c r="T309" s="355">
        <f>SUM(T308)</f>
        <v>0</v>
      </c>
      <c r="U309" s="355">
        <f>SUM(U308)</f>
        <v>0</v>
      </c>
      <c r="V309" s="1350" t="str">
        <f t="shared" si="202"/>
        <v>-</v>
      </c>
      <c r="W309" s="472">
        <f>SUM(W308)</f>
        <v>0</v>
      </c>
      <c r="X309" s="355">
        <f>SUM(X308)</f>
        <v>0</v>
      </c>
      <c r="Y309" s="355">
        <f>SUM(Y308)</f>
        <v>0</v>
      </c>
      <c r="Z309" s="1350" t="str">
        <f t="shared" si="203"/>
        <v>-</v>
      </c>
      <c r="AA309" s="472">
        <f>SUM(AA308)</f>
        <v>0</v>
      </c>
      <c r="AB309" s="355">
        <f>SUM(AB308)</f>
        <v>0</v>
      </c>
      <c r="AC309" s="355">
        <f>SUM(AC308)</f>
        <v>0</v>
      </c>
      <c r="AD309" s="1350" t="str">
        <f t="shared" si="204"/>
        <v>-</v>
      </c>
      <c r="AE309" s="472">
        <f>SUM(AE308)</f>
        <v>0</v>
      </c>
      <c r="AF309" s="355">
        <f>SUM(AF308)</f>
        <v>0</v>
      </c>
      <c r="AG309" s="355">
        <f>SUM(AG308)</f>
        <v>0</v>
      </c>
      <c r="AH309" s="1350" t="str">
        <f t="shared" si="205"/>
        <v>-</v>
      </c>
      <c r="AI309" s="490">
        <f>SUM(AI308)</f>
        <v>0</v>
      </c>
      <c r="AJ309" s="491">
        <f>SUM(AJ308)</f>
        <v>0</v>
      </c>
      <c r="AK309" s="491">
        <f>SUM(AK308)</f>
        <v>0</v>
      </c>
      <c r="AL309" s="1350" t="str">
        <f t="shared" si="206"/>
        <v>-</v>
      </c>
      <c r="AM309" s="472">
        <f>SUM(AM308)</f>
        <v>0</v>
      </c>
      <c r="AN309" s="355">
        <f>SUM(AN308)</f>
        <v>0</v>
      </c>
      <c r="AO309" s="355">
        <f>SUM(AO308)</f>
        <v>0</v>
      </c>
      <c r="AP309" s="1350" t="str">
        <f t="shared" si="207"/>
        <v>-</v>
      </c>
      <c r="AQ309" s="472">
        <f>SUM(AQ308)</f>
        <v>0</v>
      </c>
      <c r="AR309" s="355">
        <f>SUM(AR308)</f>
        <v>0</v>
      </c>
      <c r="AS309" s="355">
        <f>SUM(AS308)</f>
        <v>0</v>
      </c>
      <c r="AT309" s="1350" t="str">
        <f t="shared" si="208"/>
        <v>-</v>
      </c>
      <c r="AU309" s="472">
        <f>SUM(AU308)</f>
        <v>0</v>
      </c>
      <c r="AV309" s="355">
        <f>SUM(AV308)</f>
        <v>0</v>
      </c>
      <c r="AW309" s="355">
        <f>SUM(AW308)</f>
        <v>0</v>
      </c>
      <c r="AX309" s="1350" t="str">
        <f t="shared" si="209"/>
        <v>-</v>
      </c>
      <c r="AY309" s="465"/>
      <c r="AZ309" s="295"/>
      <c r="BA309" s="295"/>
      <c r="BB309" s="295"/>
    </row>
    <row r="310" spans="1:54" ht="12.75" customHeight="1">
      <c r="A310" s="843">
        <f>A308+1</f>
        <v>116</v>
      </c>
      <c r="B310" s="796">
        <v>30</v>
      </c>
      <c r="C310" s="946" t="s">
        <v>1069</v>
      </c>
      <c r="D310" s="904" t="s">
        <v>1070</v>
      </c>
      <c r="E310" s="947" t="s">
        <v>1218</v>
      </c>
      <c r="F310" s="952" t="s">
        <v>1070</v>
      </c>
      <c r="G310" s="1281">
        <f t="shared" ref="G310:I311" si="210">+K310+AI310</f>
        <v>12779</v>
      </c>
      <c r="H310" s="1282">
        <f t="shared" si="210"/>
        <v>10644</v>
      </c>
      <c r="I310" s="1282">
        <f t="shared" si="210"/>
        <v>10644</v>
      </c>
      <c r="J310" s="1389">
        <f t="shared" si="199"/>
        <v>1</v>
      </c>
      <c r="K310" s="1281">
        <f t="shared" ref="K310:M311" si="211">+O310+S310+W310+AA310+AE310</f>
        <v>11779</v>
      </c>
      <c r="L310" s="1282">
        <f t="shared" si="211"/>
        <v>10644</v>
      </c>
      <c r="M310" s="1282">
        <f t="shared" si="211"/>
        <v>10644</v>
      </c>
      <c r="N310" s="1389">
        <f t="shared" si="200"/>
        <v>1</v>
      </c>
      <c r="O310" s="957">
        <v>9352</v>
      </c>
      <c r="P310" s="958">
        <v>7666</v>
      </c>
      <c r="Q310" s="958">
        <v>7666</v>
      </c>
      <c r="R310" s="1349">
        <f t="shared" si="201"/>
        <v>1</v>
      </c>
      <c r="S310" s="957">
        <v>1371</v>
      </c>
      <c r="T310" s="958">
        <v>1324</v>
      </c>
      <c r="U310" s="958">
        <v>1324</v>
      </c>
      <c r="V310" s="1349">
        <f t="shared" si="202"/>
        <v>1</v>
      </c>
      <c r="W310" s="957">
        <v>1056</v>
      </c>
      <c r="X310" s="958">
        <v>1654</v>
      </c>
      <c r="Y310" s="958">
        <v>1654</v>
      </c>
      <c r="Z310" s="1349">
        <f t="shared" si="203"/>
        <v>1</v>
      </c>
      <c r="AA310" s="957"/>
      <c r="AB310" s="958"/>
      <c r="AC310" s="958"/>
      <c r="AD310" s="1349" t="str">
        <f t="shared" si="204"/>
        <v>-</v>
      </c>
      <c r="AE310" s="957"/>
      <c r="AF310" s="958"/>
      <c r="AG310" s="958"/>
      <c r="AH310" s="1349" t="str">
        <f t="shared" si="205"/>
        <v>-</v>
      </c>
      <c r="AI310" s="1281">
        <f t="shared" ref="AI310:AK311" si="212">+AM310+AQ310+AU310</f>
        <v>1000</v>
      </c>
      <c r="AJ310" s="1282">
        <f t="shared" si="212"/>
        <v>0</v>
      </c>
      <c r="AK310" s="1282">
        <f t="shared" si="212"/>
        <v>0</v>
      </c>
      <c r="AL310" s="1389" t="str">
        <f t="shared" si="206"/>
        <v>-</v>
      </c>
      <c r="AM310" s="957">
        <v>1000</v>
      </c>
      <c r="AN310" s="958">
        <v>0</v>
      </c>
      <c r="AO310" s="958"/>
      <c r="AP310" s="1349" t="str">
        <f t="shared" si="207"/>
        <v>-</v>
      </c>
      <c r="AQ310" s="957"/>
      <c r="AR310" s="958"/>
      <c r="AS310" s="958"/>
      <c r="AT310" s="1349" t="str">
        <f t="shared" si="208"/>
        <v>-</v>
      </c>
      <c r="AU310" s="957"/>
      <c r="AV310" s="958"/>
      <c r="AW310" s="958"/>
      <c r="AX310" s="1349" t="str">
        <f t="shared" si="209"/>
        <v>-</v>
      </c>
      <c r="AY310" s="464"/>
      <c r="AZ310" s="470"/>
      <c r="BA310" s="470"/>
      <c r="BB310" s="470"/>
    </row>
    <row r="311" spans="1:54" ht="12.75" customHeight="1" thickBot="1">
      <c r="A311" s="506">
        <f>A310+1</f>
        <v>117</v>
      </c>
      <c r="B311" s="798">
        <v>30</v>
      </c>
      <c r="C311" s="935" t="s">
        <v>998</v>
      </c>
      <c r="D311" s="497" t="s">
        <v>999</v>
      </c>
      <c r="E311" s="877" t="s">
        <v>1218</v>
      </c>
      <c r="F311" s="951" t="s">
        <v>1070</v>
      </c>
      <c r="G311" s="1283">
        <f t="shared" si="210"/>
        <v>8014</v>
      </c>
      <c r="H311" s="1284">
        <f t="shared" si="210"/>
        <v>25</v>
      </c>
      <c r="I311" s="1284">
        <f t="shared" si="210"/>
        <v>25</v>
      </c>
      <c r="J311" s="1389">
        <f t="shared" si="199"/>
        <v>1</v>
      </c>
      <c r="K311" s="1283">
        <f t="shared" si="211"/>
        <v>8014</v>
      </c>
      <c r="L311" s="1284">
        <f t="shared" si="211"/>
        <v>25</v>
      </c>
      <c r="M311" s="1284">
        <f t="shared" si="211"/>
        <v>25</v>
      </c>
      <c r="N311" s="1389">
        <f t="shared" si="200"/>
        <v>1</v>
      </c>
      <c r="O311" s="469"/>
      <c r="P311" s="468"/>
      <c r="Q311" s="468"/>
      <c r="R311" s="1349" t="str">
        <f t="shared" si="201"/>
        <v>-</v>
      </c>
      <c r="S311" s="469"/>
      <c r="T311" s="468"/>
      <c r="U311" s="468"/>
      <c r="V311" s="1349" t="str">
        <f t="shared" si="202"/>
        <v>-</v>
      </c>
      <c r="W311" s="469"/>
      <c r="X311" s="468"/>
      <c r="Y311" s="468"/>
      <c r="Z311" s="1349" t="str">
        <f t="shared" si="203"/>
        <v>-</v>
      </c>
      <c r="AA311" s="469"/>
      <c r="AB311" s="468"/>
      <c r="AC311" s="468"/>
      <c r="AD311" s="1349" t="str">
        <f t="shared" si="204"/>
        <v>-</v>
      </c>
      <c r="AE311" s="469">
        <v>8014</v>
      </c>
      <c r="AF311" s="468">
        <v>25</v>
      </c>
      <c r="AG311" s="468">
        <v>25</v>
      </c>
      <c r="AH311" s="1349">
        <f t="shared" si="205"/>
        <v>1</v>
      </c>
      <c r="AI311" s="1283">
        <f t="shared" si="212"/>
        <v>0</v>
      </c>
      <c r="AJ311" s="1284">
        <f t="shared" si="212"/>
        <v>0</v>
      </c>
      <c r="AK311" s="1284">
        <f t="shared" si="212"/>
        <v>0</v>
      </c>
      <c r="AL311" s="1389" t="str">
        <f t="shared" si="206"/>
        <v>-</v>
      </c>
      <c r="AM311" s="469"/>
      <c r="AN311" s="468"/>
      <c r="AO311" s="468"/>
      <c r="AP311" s="1349" t="str">
        <f t="shared" si="207"/>
        <v>-</v>
      </c>
      <c r="AQ311" s="469"/>
      <c r="AR311" s="468"/>
      <c r="AS311" s="468"/>
      <c r="AT311" s="1349" t="str">
        <f t="shared" si="208"/>
        <v>-</v>
      </c>
      <c r="AU311" s="469"/>
      <c r="AV311" s="468"/>
      <c r="AW311" s="468"/>
      <c r="AX311" s="1349" t="str">
        <f t="shared" si="209"/>
        <v>-</v>
      </c>
      <c r="AY311" s="464"/>
      <c r="AZ311" s="470"/>
      <c r="BA311" s="470"/>
      <c r="BB311" s="470"/>
    </row>
    <row r="312" spans="1:54" s="462" customFormat="1" ht="12.75" customHeight="1" thickBot="1">
      <c r="A312" s="500" t="s">
        <v>882</v>
      </c>
      <c r="B312" s="793"/>
      <c r="C312" s="1880" t="s">
        <v>857</v>
      </c>
      <c r="D312" s="1881"/>
      <c r="E312" s="1881"/>
      <c r="F312" s="1882"/>
      <c r="G312" s="490">
        <f>SUM(G310:G311)</f>
        <v>20793</v>
      </c>
      <c r="H312" s="491">
        <f>SUM(H310:H311)</f>
        <v>10669</v>
      </c>
      <c r="I312" s="491">
        <f>SUM(I310:I311)</f>
        <v>10669</v>
      </c>
      <c r="J312" s="1350">
        <f t="shared" si="199"/>
        <v>1</v>
      </c>
      <c r="K312" s="490">
        <f>SUM(K310:K311)</f>
        <v>19793</v>
      </c>
      <c r="L312" s="491">
        <f>SUM(L310:L311)</f>
        <v>10669</v>
      </c>
      <c r="M312" s="491">
        <f>SUM(M310:M311)</f>
        <v>10669</v>
      </c>
      <c r="N312" s="1350">
        <f t="shared" si="200"/>
        <v>1</v>
      </c>
      <c r="O312" s="472">
        <f>SUM(O310:O311)</f>
        <v>9352</v>
      </c>
      <c r="P312" s="355">
        <f>SUM(P310:P311)</f>
        <v>7666</v>
      </c>
      <c r="Q312" s="355">
        <f>SUM(Q310:Q311)</f>
        <v>7666</v>
      </c>
      <c r="R312" s="1350">
        <f t="shared" si="201"/>
        <v>1</v>
      </c>
      <c r="S312" s="472">
        <f>SUM(S310:S311)</f>
        <v>1371</v>
      </c>
      <c r="T312" s="355">
        <f>SUM(T310:T311)</f>
        <v>1324</v>
      </c>
      <c r="U312" s="355">
        <f>SUM(U310:U311)</f>
        <v>1324</v>
      </c>
      <c r="V312" s="1350">
        <f t="shared" si="202"/>
        <v>1</v>
      </c>
      <c r="W312" s="472">
        <f>SUM(W310:W311)</f>
        <v>1056</v>
      </c>
      <c r="X312" s="355">
        <f>SUM(X310:X311)</f>
        <v>1654</v>
      </c>
      <c r="Y312" s="355">
        <f>SUM(Y310:Y311)</f>
        <v>1654</v>
      </c>
      <c r="Z312" s="1350">
        <f t="shared" si="203"/>
        <v>1</v>
      </c>
      <c r="AA312" s="472">
        <f>SUM(AA310:AA311)</f>
        <v>0</v>
      </c>
      <c r="AB312" s="355">
        <f>SUM(AB310:AB311)</f>
        <v>0</v>
      </c>
      <c r="AC312" s="355">
        <f>SUM(AC310:AC311)</f>
        <v>0</v>
      </c>
      <c r="AD312" s="1350" t="str">
        <f t="shared" si="204"/>
        <v>-</v>
      </c>
      <c r="AE312" s="472">
        <f>SUM(AE310:AE311)</f>
        <v>8014</v>
      </c>
      <c r="AF312" s="355">
        <f>SUM(AF310:AF311)</f>
        <v>25</v>
      </c>
      <c r="AG312" s="355">
        <f>SUM(AG310:AG311)</f>
        <v>25</v>
      </c>
      <c r="AH312" s="1350">
        <f t="shared" si="205"/>
        <v>1</v>
      </c>
      <c r="AI312" s="490">
        <f>SUM(AI310:AI311)</f>
        <v>1000</v>
      </c>
      <c r="AJ312" s="491">
        <f>SUM(AJ310:AJ311)</f>
        <v>0</v>
      </c>
      <c r="AK312" s="491">
        <f>SUM(AK310:AK311)</f>
        <v>0</v>
      </c>
      <c r="AL312" s="1350" t="str">
        <f t="shared" si="206"/>
        <v>-</v>
      </c>
      <c r="AM312" s="472">
        <f>SUM(AM310:AM311)</f>
        <v>1000</v>
      </c>
      <c r="AN312" s="355">
        <f>SUM(AN310:AN311)</f>
        <v>0</v>
      </c>
      <c r="AO312" s="355">
        <f>SUM(AO310:AO311)</f>
        <v>0</v>
      </c>
      <c r="AP312" s="1350" t="str">
        <f t="shared" si="207"/>
        <v>-</v>
      </c>
      <c r="AQ312" s="472">
        <f>SUM(AQ310:AQ311)</f>
        <v>0</v>
      </c>
      <c r="AR312" s="355">
        <f>SUM(AR310:AR311)</f>
        <v>0</v>
      </c>
      <c r="AS312" s="355">
        <f>SUM(AS310:AS311)</f>
        <v>0</v>
      </c>
      <c r="AT312" s="1350" t="str">
        <f t="shared" si="208"/>
        <v>-</v>
      </c>
      <c r="AU312" s="472">
        <f>SUM(AU310:AU311)</f>
        <v>0</v>
      </c>
      <c r="AV312" s="355">
        <f>SUM(AV310:AV311)</f>
        <v>0</v>
      </c>
      <c r="AW312" s="355">
        <f>SUM(AW310:AW311)</f>
        <v>0</v>
      </c>
      <c r="AX312" s="1350" t="str">
        <f t="shared" si="209"/>
        <v>-</v>
      </c>
      <c r="AY312" s="465"/>
    </row>
    <row r="313" spans="1:54" ht="12.75" customHeight="1" thickBot="1">
      <c r="A313" s="506">
        <f>+A311+1</f>
        <v>118</v>
      </c>
      <c r="B313" s="798">
        <v>31</v>
      </c>
      <c r="C313" s="882" t="s">
        <v>19</v>
      </c>
      <c r="D313" s="497" t="s">
        <v>19</v>
      </c>
      <c r="E313" s="877" t="s">
        <v>19</v>
      </c>
      <c r="F313" s="951" t="s">
        <v>19</v>
      </c>
      <c r="G313" s="1283">
        <f>+K313+AI313</f>
        <v>0</v>
      </c>
      <c r="H313" s="1284">
        <f>+L313+AJ313</f>
        <v>0</v>
      </c>
      <c r="I313" s="1284">
        <f>+M313+AK313</f>
        <v>0</v>
      </c>
      <c r="J313" s="1389" t="str">
        <f t="shared" si="199"/>
        <v>-</v>
      </c>
      <c r="K313" s="1283">
        <f>+O313+S313+W313+AA313+AE313</f>
        <v>0</v>
      </c>
      <c r="L313" s="1284">
        <f>+P313+T313+X313+AB313+AF313</f>
        <v>0</v>
      </c>
      <c r="M313" s="1284">
        <f>+Q313+U313+Y313+AC313+AG313</f>
        <v>0</v>
      </c>
      <c r="N313" s="1389" t="str">
        <f t="shared" si="200"/>
        <v>-</v>
      </c>
      <c r="O313" s="469"/>
      <c r="P313" s="468"/>
      <c r="Q313" s="468"/>
      <c r="R313" s="1349" t="str">
        <f t="shared" si="201"/>
        <v>-</v>
      </c>
      <c r="S313" s="469"/>
      <c r="T313" s="468"/>
      <c r="U313" s="468"/>
      <c r="V313" s="1349" t="str">
        <f t="shared" si="202"/>
        <v>-</v>
      </c>
      <c r="W313" s="469"/>
      <c r="X313" s="468"/>
      <c r="Y313" s="468"/>
      <c r="Z313" s="1349" t="str">
        <f t="shared" si="203"/>
        <v>-</v>
      </c>
      <c r="AA313" s="469"/>
      <c r="AB313" s="468"/>
      <c r="AC313" s="468"/>
      <c r="AD313" s="1349" t="str">
        <f t="shared" si="204"/>
        <v>-</v>
      </c>
      <c r="AE313" s="469"/>
      <c r="AF313" s="468"/>
      <c r="AG313" s="468"/>
      <c r="AH313" s="1349" t="str">
        <f t="shared" si="205"/>
        <v>-</v>
      </c>
      <c r="AI313" s="1283">
        <f>+AM313+AQ313+AU313</f>
        <v>0</v>
      </c>
      <c r="AJ313" s="1284">
        <f>+AN313+AR313+AV313</f>
        <v>0</v>
      </c>
      <c r="AK313" s="1284">
        <f>+AO313+AS313+AW313</f>
        <v>0</v>
      </c>
      <c r="AL313" s="1389" t="str">
        <f t="shared" si="206"/>
        <v>-</v>
      </c>
      <c r="AM313" s="469"/>
      <c r="AN313" s="468"/>
      <c r="AO313" s="468"/>
      <c r="AP313" s="1349" t="str">
        <f t="shared" si="207"/>
        <v>-</v>
      </c>
      <c r="AQ313" s="469"/>
      <c r="AR313" s="468"/>
      <c r="AS313" s="468"/>
      <c r="AT313" s="1349" t="str">
        <f t="shared" si="208"/>
        <v>-</v>
      </c>
      <c r="AU313" s="469"/>
      <c r="AV313" s="468"/>
      <c r="AW313" s="468"/>
      <c r="AX313" s="1349" t="str">
        <f t="shared" si="209"/>
        <v>-</v>
      </c>
      <c r="AY313" s="464"/>
      <c r="AZ313" s="470"/>
      <c r="BA313" s="470"/>
      <c r="BB313" s="470"/>
    </row>
    <row r="314" spans="1:54" s="462" customFormat="1" ht="12.75" customHeight="1" thickBot="1">
      <c r="A314" s="500" t="s">
        <v>883</v>
      </c>
      <c r="B314" s="793"/>
      <c r="C314" s="1880" t="s">
        <v>884</v>
      </c>
      <c r="D314" s="1881"/>
      <c r="E314" s="1881"/>
      <c r="F314" s="1882"/>
      <c r="G314" s="490">
        <f>SUM(G313)</f>
        <v>0</v>
      </c>
      <c r="H314" s="491">
        <f>SUM(H313)</f>
        <v>0</v>
      </c>
      <c r="I314" s="491">
        <f>SUM(I313)</f>
        <v>0</v>
      </c>
      <c r="J314" s="1350" t="str">
        <f t="shared" si="199"/>
        <v>-</v>
      </c>
      <c r="K314" s="490">
        <f>SUM(K313)</f>
        <v>0</v>
      </c>
      <c r="L314" s="491">
        <f>SUM(L313)</f>
        <v>0</v>
      </c>
      <c r="M314" s="491">
        <f>SUM(M313)</f>
        <v>0</v>
      </c>
      <c r="N314" s="1350" t="str">
        <f t="shared" si="200"/>
        <v>-</v>
      </c>
      <c r="O314" s="472">
        <f>SUM(O313)</f>
        <v>0</v>
      </c>
      <c r="P314" s="355">
        <f>SUM(P313)</f>
        <v>0</v>
      </c>
      <c r="Q314" s="355">
        <f>SUM(Q313)</f>
        <v>0</v>
      </c>
      <c r="R314" s="1350" t="str">
        <f t="shared" si="201"/>
        <v>-</v>
      </c>
      <c r="S314" s="472">
        <f>SUM(S313)</f>
        <v>0</v>
      </c>
      <c r="T314" s="355">
        <f>SUM(T313)</f>
        <v>0</v>
      </c>
      <c r="U314" s="355">
        <f>SUM(U313)</f>
        <v>0</v>
      </c>
      <c r="V314" s="1350" t="str">
        <f t="shared" si="202"/>
        <v>-</v>
      </c>
      <c r="W314" s="472">
        <f>SUM(W313)</f>
        <v>0</v>
      </c>
      <c r="X314" s="355">
        <f>SUM(X313)</f>
        <v>0</v>
      </c>
      <c r="Y314" s="355">
        <f>SUM(Y313)</f>
        <v>0</v>
      </c>
      <c r="Z314" s="1350" t="str">
        <f t="shared" si="203"/>
        <v>-</v>
      </c>
      <c r="AA314" s="472">
        <f>SUM(AA313)</f>
        <v>0</v>
      </c>
      <c r="AB314" s="355">
        <f>SUM(AB313)</f>
        <v>0</v>
      </c>
      <c r="AC314" s="355">
        <f>SUM(AC313)</f>
        <v>0</v>
      </c>
      <c r="AD314" s="1350" t="str">
        <f t="shared" si="204"/>
        <v>-</v>
      </c>
      <c r="AE314" s="472">
        <f>SUM(AE313)</f>
        <v>0</v>
      </c>
      <c r="AF314" s="355">
        <f>SUM(AF313)</f>
        <v>0</v>
      </c>
      <c r="AG314" s="355">
        <f>SUM(AG313)</f>
        <v>0</v>
      </c>
      <c r="AH314" s="1350" t="str">
        <f t="shared" si="205"/>
        <v>-</v>
      </c>
      <c r="AI314" s="490">
        <f>SUM(AI313)</f>
        <v>0</v>
      </c>
      <c r="AJ314" s="491">
        <f>SUM(AJ313)</f>
        <v>0</v>
      </c>
      <c r="AK314" s="491">
        <f>SUM(AK313)</f>
        <v>0</v>
      </c>
      <c r="AL314" s="1350" t="str">
        <f t="shared" si="206"/>
        <v>-</v>
      </c>
      <c r="AM314" s="472">
        <f>SUM(AM313)</f>
        <v>0</v>
      </c>
      <c r="AN314" s="355">
        <f>SUM(AN313)</f>
        <v>0</v>
      </c>
      <c r="AO314" s="355">
        <f>SUM(AO313)</f>
        <v>0</v>
      </c>
      <c r="AP314" s="1350" t="str">
        <f t="shared" si="207"/>
        <v>-</v>
      </c>
      <c r="AQ314" s="472">
        <f>SUM(AQ313)</f>
        <v>0</v>
      </c>
      <c r="AR314" s="355">
        <f>SUM(AR313)</f>
        <v>0</v>
      </c>
      <c r="AS314" s="355">
        <f>SUM(AS313)</f>
        <v>0</v>
      </c>
      <c r="AT314" s="1350" t="str">
        <f t="shared" si="208"/>
        <v>-</v>
      </c>
      <c r="AU314" s="472">
        <f>SUM(AU313)</f>
        <v>0</v>
      </c>
      <c r="AV314" s="355">
        <f>SUM(AV313)</f>
        <v>0</v>
      </c>
      <c r="AW314" s="355">
        <f>SUM(AW313)</f>
        <v>0</v>
      </c>
      <c r="AX314" s="1350" t="str">
        <f t="shared" si="209"/>
        <v>-</v>
      </c>
      <c r="AY314" s="465"/>
    </row>
    <row r="315" spans="1:54" s="470" customFormat="1" ht="12.75" customHeight="1" thickBot="1">
      <c r="A315" s="501" t="s">
        <v>552</v>
      </c>
      <c r="B315" s="794"/>
      <c r="C315" s="1874" t="s">
        <v>858</v>
      </c>
      <c r="D315" s="1875"/>
      <c r="E315" s="1875"/>
      <c r="F315" s="1876"/>
      <c r="G315" s="474">
        <f>+G309+G312+G314</f>
        <v>20793</v>
      </c>
      <c r="H315" s="475">
        <f>+H309+H312+H314</f>
        <v>10669</v>
      </c>
      <c r="I315" s="475">
        <f>+I309+I312+I314</f>
        <v>10669</v>
      </c>
      <c r="J315" s="1386">
        <f t="shared" si="199"/>
        <v>1</v>
      </c>
      <c r="K315" s="474">
        <f>+K309+K312+K314</f>
        <v>19793</v>
      </c>
      <c r="L315" s="475">
        <f>+L309+L312+L314</f>
        <v>10669</v>
      </c>
      <c r="M315" s="475">
        <f>+M309+M312+M314</f>
        <v>10669</v>
      </c>
      <c r="N315" s="1386">
        <f t="shared" si="200"/>
        <v>1</v>
      </c>
      <c r="O315" s="474">
        <f>+O309+O312+O314</f>
        <v>9352</v>
      </c>
      <c r="P315" s="475">
        <f>+P309+P312+P314</f>
        <v>7666</v>
      </c>
      <c r="Q315" s="485">
        <f>+Q309+Q312+Q314</f>
        <v>7666</v>
      </c>
      <c r="R315" s="1386">
        <f t="shared" si="201"/>
        <v>1</v>
      </c>
      <c r="S315" s="474">
        <f>+S309+S312+S314</f>
        <v>1371</v>
      </c>
      <c r="T315" s="475">
        <f>+T309+T312+T314</f>
        <v>1324</v>
      </c>
      <c r="U315" s="485">
        <f>+U309+U312+U314</f>
        <v>1324</v>
      </c>
      <c r="V315" s="1386">
        <f t="shared" si="202"/>
        <v>1</v>
      </c>
      <c r="W315" s="474">
        <f>+W309+W312+W314</f>
        <v>1056</v>
      </c>
      <c r="X315" s="475">
        <f>+X309+X312+X314</f>
        <v>1654</v>
      </c>
      <c r="Y315" s="485">
        <f>+Y309+Y312+Y314</f>
        <v>1654</v>
      </c>
      <c r="Z315" s="1386">
        <f t="shared" si="203"/>
        <v>1</v>
      </c>
      <c r="AA315" s="474">
        <f>+AA309+AA312+AA314</f>
        <v>0</v>
      </c>
      <c r="AB315" s="475">
        <f>+AB309+AB312+AB314</f>
        <v>0</v>
      </c>
      <c r="AC315" s="485">
        <f>+AC309+AC312+AC314</f>
        <v>0</v>
      </c>
      <c r="AD315" s="1386" t="str">
        <f t="shared" si="204"/>
        <v>-</v>
      </c>
      <c r="AE315" s="474">
        <f>+AE309+AE312+AE314</f>
        <v>8014</v>
      </c>
      <c r="AF315" s="475">
        <f>+AF309+AF312+AF314</f>
        <v>25</v>
      </c>
      <c r="AG315" s="485">
        <f>+AG309+AG312+AG314</f>
        <v>25</v>
      </c>
      <c r="AH315" s="1386">
        <f t="shared" si="205"/>
        <v>1</v>
      </c>
      <c r="AI315" s="474">
        <f>+AI309+AI312+AI314</f>
        <v>1000</v>
      </c>
      <c r="AJ315" s="475">
        <f>+AJ309+AJ312+AJ314</f>
        <v>0</v>
      </c>
      <c r="AK315" s="475">
        <f>+AK309+AK312+AK314</f>
        <v>0</v>
      </c>
      <c r="AL315" s="1386" t="str">
        <f t="shared" si="206"/>
        <v>-</v>
      </c>
      <c r="AM315" s="474">
        <f>+AM309+AM312+AM314</f>
        <v>1000</v>
      </c>
      <c r="AN315" s="475">
        <f>+AN309+AN312+AN314</f>
        <v>0</v>
      </c>
      <c r="AO315" s="485">
        <f>+AO309+AO312+AO314</f>
        <v>0</v>
      </c>
      <c r="AP315" s="1386" t="str">
        <f t="shared" si="207"/>
        <v>-</v>
      </c>
      <c r="AQ315" s="474">
        <f>+AQ309+AQ312+AQ314</f>
        <v>0</v>
      </c>
      <c r="AR315" s="475">
        <f>+AR309+AR312+AR314</f>
        <v>0</v>
      </c>
      <c r="AS315" s="485">
        <f>+AS309+AS312+AS314</f>
        <v>0</v>
      </c>
      <c r="AT315" s="1386" t="str">
        <f t="shared" si="208"/>
        <v>-</v>
      </c>
      <c r="AU315" s="474">
        <f>+AU309+AU312+AU314</f>
        <v>0</v>
      </c>
      <c r="AV315" s="475">
        <f>+AV309+AV312+AV314</f>
        <v>0</v>
      </c>
      <c r="AW315" s="485">
        <f>+AW309+AW312+AW314</f>
        <v>0</v>
      </c>
      <c r="AX315" s="1386" t="str">
        <f t="shared" si="209"/>
        <v>-</v>
      </c>
      <c r="AY315" s="773"/>
      <c r="AZ315" s="462"/>
      <c r="BA315" s="462"/>
      <c r="BB315" s="462"/>
    </row>
    <row r="316" spans="1:54" s="462" customFormat="1" ht="12.75" thickBot="1">
      <c r="A316" s="500"/>
      <c r="B316" s="797"/>
      <c r="C316" s="881"/>
      <c r="D316" s="499"/>
      <c r="E316" s="876"/>
      <c r="F316" s="471"/>
      <c r="G316" s="490"/>
      <c r="H316" s="491"/>
      <c r="I316" s="491"/>
      <c r="J316" s="917"/>
      <c r="K316" s="490"/>
      <c r="L316" s="491"/>
      <c r="M316" s="491"/>
      <c r="N316" s="917"/>
      <c r="O316" s="481"/>
      <c r="P316" s="482"/>
      <c r="Q316" s="355"/>
      <c r="R316" s="917"/>
      <c r="S316" s="481"/>
      <c r="T316" s="482"/>
      <c r="U316" s="355"/>
      <c r="V316" s="917"/>
      <c r="W316" s="481"/>
      <c r="X316" s="482"/>
      <c r="Y316" s="355"/>
      <c r="Z316" s="917"/>
      <c r="AA316" s="481"/>
      <c r="AB316" s="482"/>
      <c r="AC316" s="355"/>
      <c r="AD316" s="917"/>
      <c r="AE316" s="481"/>
      <c r="AF316" s="482"/>
      <c r="AG316" s="355"/>
      <c r="AH316" s="917"/>
      <c r="AI316" s="490"/>
      <c r="AJ316" s="491"/>
      <c r="AK316" s="491"/>
      <c r="AL316" s="917"/>
      <c r="AM316" s="481"/>
      <c r="AN316" s="482"/>
      <c r="AO316" s="355"/>
      <c r="AP316" s="917"/>
      <c r="AQ316" s="481"/>
      <c r="AR316" s="482"/>
      <c r="AS316" s="355"/>
      <c r="AT316" s="917"/>
      <c r="AU316" s="481"/>
      <c r="AV316" s="482"/>
      <c r="AW316" s="355"/>
      <c r="AX316" s="917"/>
      <c r="AY316" s="465"/>
      <c r="AZ316" s="295"/>
      <c r="BA316" s="295"/>
      <c r="BB316" s="295"/>
    </row>
    <row r="317" spans="1:54">
      <c r="A317" s="504">
        <f>+A313+1</f>
        <v>119</v>
      </c>
      <c r="B317" s="790">
        <v>32</v>
      </c>
      <c r="C317" s="935" t="s">
        <v>1019</v>
      </c>
      <c r="D317" s="900" t="s">
        <v>1020</v>
      </c>
      <c r="E317" s="936" t="s">
        <v>1238</v>
      </c>
      <c r="F317" s="949" t="s">
        <v>1021</v>
      </c>
      <c r="G317" s="1277">
        <f t="shared" ref="G317:I321" si="213">+K317+AI317</f>
        <v>0</v>
      </c>
      <c r="H317" s="1278">
        <f t="shared" si="213"/>
        <v>0</v>
      </c>
      <c r="I317" s="1278">
        <f t="shared" si="213"/>
        <v>0</v>
      </c>
      <c r="J317" s="1389" t="str">
        <f t="shared" ref="J317:J327" si="214">IF(ISERROR(I317/H317),"-",I317/H317)</f>
        <v>-</v>
      </c>
      <c r="K317" s="1277">
        <f t="shared" ref="K317:M321" si="215">+O317+S317+W317+AA317+AE317</f>
        <v>0</v>
      </c>
      <c r="L317" s="1278">
        <f t="shared" si="215"/>
        <v>0</v>
      </c>
      <c r="M317" s="1278">
        <f t="shared" si="215"/>
        <v>0</v>
      </c>
      <c r="N317" s="1389" t="str">
        <f t="shared" ref="N317:N327" si="216">IF(ISERROR(M317/L317),"-",M317/L317)</f>
        <v>-</v>
      </c>
      <c r="O317" s="953"/>
      <c r="P317" s="954"/>
      <c r="Q317" s="954"/>
      <c r="R317" s="1349" t="str">
        <f t="shared" ref="R317:R327" si="217">IF(ISERROR(Q317/P317),"-",Q317/P317)</f>
        <v>-</v>
      </c>
      <c r="S317" s="953"/>
      <c r="T317" s="954"/>
      <c r="U317" s="954"/>
      <c r="V317" s="1349" t="str">
        <f t="shared" ref="V317:V327" si="218">IF(ISERROR(U317/T317),"-",U317/T317)</f>
        <v>-</v>
      </c>
      <c r="W317" s="953"/>
      <c r="X317" s="954"/>
      <c r="Y317" s="954"/>
      <c r="Z317" s="1349" t="str">
        <f t="shared" ref="Z317:Z327" si="219">IF(ISERROR(Y317/X317),"-",Y317/X317)</f>
        <v>-</v>
      </c>
      <c r="AA317" s="953"/>
      <c r="AB317" s="954"/>
      <c r="AC317" s="954"/>
      <c r="AD317" s="1349" t="str">
        <f t="shared" ref="AD317:AD327" si="220">IF(ISERROR(AC317/AB317),"-",AC317/AB317)</f>
        <v>-</v>
      </c>
      <c r="AE317" s="953"/>
      <c r="AF317" s="954"/>
      <c r="AG317" s="954"/>
      <c r="AH317" s="1349" t="str">
        <f t="shared" ref="AH317:AH327" si="221">IF(ISERROR(AG317/AF317),"-",AG317/AF317)</f>
        <v>-</v>
      </c>
      <c r="AI317" s="1277">
        <f t="shared" ref="AI317:AK321" si="222">+AM317+AQ317+AU317</f>
        <v>0</v>
      </c>
      <c r="AJ317" s="1278">
        <f t="shared" si="222"/>
        <v>0</v>
      </c>
      <c r="AK317" s="1278">
        <f t="shared" si="222"/>
        <v>0</v>
      </c>
      <c r="AL317" s="1389" t="str">
        <f t="shared" ref="AL317:AL327" si="223">IF(ISERROR(AK317/AJ317),"-",AK317/AJ317)</f>
        <v>-</v>
      </c>
      <c r="AM317" s="953"/>
      <c r="AN317" s="954"/>
      <c r="AO317" s="954"/>
      <c r="AP317" s="1349" t="str">
        <f t="shared" ref="AP317:AP327" si="224">IF(ISERROR(AO317/AN317),"-",AO317/AN317)</f>
        <v>-</v>
      </c>
      <c r="AQ317" s="953"/>
      <c r="AR317" s="954"/>
      <c r="AS317" s="954"/>
      <c r="AT317" s="1349" t="str">
        <f t="shared" ref="AT317:AT327" si="225">IF(ISERROR(AS317/AR317),"-",AS317/AR317)</f>
        <v>-</v>
      </c>
      <c r="AU317" s="953"/>
      <c r="AV317" s="954"/>
      <c r="AW317" s="954"/>
      <c r="AX317" s="1349" t="str">
        <f t="shared" ref="AX317:AX327" si="226">IF(ISERROR(AW317/AV317),"-",AW317/AV317)</f>
        <v>-</v>
      </c>
      <c r="AY317" s="464"/>
    </row>
    <row r="318" spans="1:54">
      <c r="A318" s="504">
        <f>+A317+1</f>
        <v>120</v>
      </c>
      <c r="B318" s="790">
        <v>32</v>
      </c>
      <c r="C318" s="935" t="s">
        <v>1019</v>
      </c>
      <c r="D318" s="900" t="s">
        <v>1020</v>
      </c>
      <c r="E318" s="936" t="s">
        <v>1239</v>
      </c>
      <c r="F318" s="949" t="s">
        <v>1022</v>
      </c>
      <c r="G318" s="1277">
        <f t="shared" si="213"/>
        <v>44718</v>
      </c>
      <c r="H318" s="1278">
        <f t="shared" si="213"/>
        <v>34184</v>
      </c>
      <c r="I318" s="1278">
        <f t="shared" si="213"/>
        <v>34184</v>
      </c>
      <c r="J318" s="1389">
        <f t="shared" si="214"/>
        <v>1</v>
      </c>
      <c r="K318" s="1277">
        <f t="shared" si="215"/>
        <v>44718</v>
      </c>
      <c r="L318" s="1278">
        <f t="shared" si="215"/>
        <v>34184</v>
      </c>
      <c r="M318" s="1278">
        <f t="shared" si="215"/>
        <v>34184</v>
      </c>
      <c r="N318" s="1389">
        <f t="shared" si="216"/>
        <v>1</v>
      </c>
      <c r="O318" s="953">
        <v>35576</v>
      </c>
      <c r="P318" s="954">
        <v>28638</v>
      </c>
      <c r="Q318" s="954">
        <v>28638</v>
      </c>
      <c r="R318" s="1349">
        <f t="shared" si="217"/>
        <v>1</v>
      </c>
      <c r="S318" s="955">
        <v>6230</v>
      </c>
      <c r="T318" s="956">
        <v>4792</v>
      </c>
      <c r="U318" s="954">
        <v>4792</v>
      </c>
      <c r="V318" s="1349">
        <f t="shared" si="218"/>
        <v>1</v>
      </c>
      <c r="W318" s="955">
        <v>2912</v>
      </c>
      <c r="X318" s="956">
        <v>754</v>
      </c>
      <c r="Y318" s="954">
        <v>754</v>
      </c>
      <c r="Z318" s="1349">
        <f t="shared" si="219"/>
        <v>1</v>
      </c>
      <c r="AA318" s="955"/>
      <c r="AB318" s="956"/>
      <c r="AC318" s="954"/>
      <c r="AD318" s="1349" t="str">
        <f t="shared" si="220"/>
        <v>-</v>
      </c>
      <c r="AE318" s="955"/>
      <c r="AF318" s="956"/>
      <c r="AG318" s="954"/>
      <c r="AH318" s="1349" t="str">
        <f t="shared" si="221"/>
        <v>-</v>
      </c>
      <c r="AI318" s="1277">
        <f t="shared" si="222"/>
        <v>0</v>
      </c>
      <c r="AJ318" s="1278">
        <f t="shared" si="222"/>
        <v>0</v>
      </c>
      <c r="AK318" s="1278">
        <f t="shared" si="222"/>
        <v>0</v>
      </c>
      <c r="AL318" s="1389" t="str">
        <f t="shared" si="223"/>
        <v>-</v>
      </c>
      <c r="AM318" s="955"/>
      <c r="AN318" s="956"/>
      <c r="AO318" s="954"/>
      <c r="AP318" s="1349" t="str">
        <f t="shared" si="224"/>
        <v>-</v>
      </c>
      <c r="AQ318" s="955"/>
      <c r="AR318" s="956"/>
      <c r="AS318" s="954"/>
      <c r="AT318" s="1349" t="str">
        <f t="shared" si="225"/>
        <v>-</v>
      </c>
      <c r="AU318" s="955"/>
      <c r="AV318" s="956"/>
      <c r="AW318" s="954"/>
      <c r="AX318" s="1349" t="str">
        <f t="shared" si="226"/>
        <v>-</v>
      </c>
      <c r="AY318" s="464"/>
    </row>
    <row r="319" spans="1:54">
      <c r="A319" s="504">
        <f>+A318+1</f>
        <v>121</v>
      </c>
      <c r="B319" s="790">
        <v>32</v>
      </c>
      <c r="C319" s="935" t="s">
        <v>1024</v>
      </c>
      <c r="D319" s="900" t="s">
        <v>1023</v>
      </c>
      <c r="E319" s="936" t="s">
        <v>1238</v>
      </c>
      <c r="F319" s="949" t="s">
        <v>1021</v>
      </c>
      <c r="G319" s="1277">
        <f t="shared" si="213"/>
        <v>38882</v>
      </c>
      <c r="H319" s="1278">
        <f t="shared" si="213"/>
        <v>78021</v>
      </c>
      <c r="I319" s="1278">
        <f t="shared" si="213"/>
        <v>77911</v>
      </c>
      <c r="J319" s="1389">
        <f t="shared" si="214"/>
        <v>0.99859012317196649</v>
      </c>
      <c r="K319" s="1277">
        <f t="shared" si="215"/>
        <v>38882</v>
      </c>
      <c r="L319" s="1278">
        <f t="shared" si="215"/>
        <v>62368</v>
      </c>
      <c r="M319" s="1278">
        <f t="shared" si="215"/>
        <v>62258</v>
      </c>
      <c r="N319" s="1389">
        <f t="shared" si="216"/>
        <v>0.99823627501282708</v>
      </c>
      <c r="O319" s="953">
        <v>25963</v>
      </c>
      <c r="P319" s="954">
        <f>49112+50</f>
        <v>49162</v>
      </c>
      <c r="Q319" s="954">
        <v>49112</v>
      </c>
      <c r="R319" s="1349">
        <f t="shared" si="217"/>
        <v>0.99898295431430784</v>
      </c>
      <c r="S319" s="955">
        <v>4593</v>
      </c>
      <c r="T319" s="956">
        <v>8071</v>
      </c>
      <c r="U319" s="954">
        <f>8072-1</f>
        <v>8071</v>
      </c>
      <c r="V319" s="1349">
        <f t="shared" si="218"/>
        <v>1</v>
      </c>
      <c r="W319" s="955">
        <v>8326</v>
      </c>
      <c r="X319" s="956">
        <f>5075+60</f>
        <v>5135</v>
      </c>
      <c r="Y319" s="954">
        <f>5074+1</f>
        <v>5075</v>
      </c>
      <c r="Z319" s="1349">
        <f t="shared" si="219"/>
        <v>0.98831548198636809</v>
      </c>
      <c r="AA319" s="955"/>
      <c r="AB319" s="956"/>
      <c r="AC319" s="954"/>
      <c r="AD319" s="1349" t="str">
        <f t="shared" si="220"/>
        <v>-</v>
      </c>
      <c r="AE319" s="955"/>
      <c r="AF319" s="956"/>
      <c r="AG319" s="954"/>
      <c r="AH319" s="1349" t="str">
        <f t="shared" si="221"/>
        <v>-</v>
      </c>
      <c r="AI319" s="1277">
        <f t="shared" si="222"/>
        <v>0</v>
      </c>
      <c r="AJ319" s="1278">
        <f t="shared" si="222"/>
        <v>15653</v>
      </c>
      <c r="AK319" s="1278">
        <f t="shared" si="222"/>
        <v>15653</v>
      </c>
      <c r="AL319" s="1389">
        <f t="shared" si="223"/>
        <v>1</v>
      </c>
      <c r="AM319" s="955"/>
      <c r="AN319" s="956">
        <v>15653</v>
      </c>
      <c r="AO319" s="954">
        <v>15653</v>
      </c>
      <c r="AP319" s="1349">
        <f t="shared" si="224"/>
        <v>1</v>
      </c>
      <c r="AQ319" s="955"/>
      <c r="AR319" s="956"/>
      <c r="AS319" s="954"/>
      <c r="AT319" s="1349" t="str">
        <f t="shared" si="225"/>
        <v>-</v>
      </c>
      <c r="AU319" s="955"/>
      <c r="AV319" s="956"/>
      <c r="AW319" s="954"/>
      <c r="AX319" s="1349" t="str">
        <f t="shared" si="226"/>
        <v>-</v>
      </c>
      <c r="AY319" s="464"/>
    </row>
    <row r="320" spans="1:54" s="470" customFormat="1">
      <c r="A320" s="504">
        <f>+A319+1</f>
        <v>122</v>
      </c>
      <c r="B320" s="790">
        <v>32</v>
      </c>
      <c r="C320" s="935" t="s">
        <v>1024</v>
      </c>
      <c r="D320" s="900" t="s">
        <v>1023</v>
      </c>
      <c r="E320" s="936" t="s">
        <v>1239</v>
      </c>
      <c r="F320" s="949" t="s">
        <v>1022</v>
      </c>
      <c r="G320" s="1277">
        <f t="shared" si="213"/>
        <v>0</v>
      </c>
      <c r="H320" s="1278">
        <f t="shared" si="213"/>
        <v>0</v>
      </c>
      <c r="I320" s="1278">
        <f t="shared" si="213"/>
        <v>0</v>
      </c>
      <c r="J320" s="1389" t="str">
        <f t="shared" si="214"/>
        <v>-</v>
      </c>
      <c r="K320" s="1277">
        <f t="shared" si="215"/>
        <v>0</v>
      </c>
      <c r="L320" s="1278">
        <f t="shared" si="215"/>
        <v>0</v>
      </c>
      <c r="M320" s="1278">
        <f t="shared" si="215"/>
        <v>0</v>
      </c>
      <c r="N320" s="1389" t="str">
        <f t="shared" si="216"/>
        <v>-</v>
      </c>
      <c r="O320" s="953"/>
      <c r="P320" s="954"/>
      <c r="Q320" s="954"/>
      <c r="R320" s="1349" t="str">
        <f t="shared" si="217"/>
        <v>-</v>
      </c>
      <c r="S320" s="955"/>
      <c r="T320" s="956"/>
      <c r="U320" s="954"/>
      <c r="V320" s="1349" t="str">
        <f t="shared" si="218"/>
        <v>-</v>
      </c>
      <c r="W320" s="955"/>
      <c r="X320" s="956"/>
      <c r="Y320" s="954"/>
      <c r="Z320" s="1349" t="str">
        <f t="shared" si="219"/>
        <v>-</v>
      </c>
      <c r="AA320" s="955"/>
      <c r="AB320" s="956"/>
      <c r="AC320" s="954"/>
      <c r="AD320" s="1349" t="str">
        <f t="shared" si="220"/>
        <v>-</v>
      </c>
      <c r="AE320" s="955"/>
      <c r="AF320" s="956"/>
      <c r="AG320" s="954"/>
      <c r="AH320" s="1349" t="str">
        <f t="shared" si="221"/>
        <v>-</v>
      </c>
      <c r="AI320" s="1277">
        <f t="shared" si="222"/>
        <v>0</v>
      </c>
      <c r="AJ320" s="1278">
        <f t="shared" si="222"/>
        <v>0</v>
      </c>
      <c r="AK320" s="1278">
        <f t="shared" si="222"/>
        <v>0</v>
      </c>
      <c r="AL320" s="1389" t="str">
        <f t="shared" si="223"/>
        <v>-</v>
      </c>
      <c r="AM320" s="955"/>
      <c r="AN320" s="956"/>
      <c r="AO320" s="954"/>
      <c r="AP320" s="1349" t="str">
        <f t="shared" si="224"/>
        <v>-</v>
      </c>
      <c r="AQ320" s="955"/>
      <c r="AR320" s="956"/>
      <c r="AS320" s="954"/>
      <c r="AT320" s="1349" t="str">
        <f t="shared" si="225"/>
        <v>-</v>
      </c>
      <c r="AU320" s="955"/>
      <c r="AV320" s="956"/>
      <c r="AW320" s="954"/>
      <c r="AX320" s="1349" t="str">
        <f t="shared" si="226"/>
        <v>-</v>
      </c>
      <c r="AY320" s="464"/>
      <c r="AZ320" s="295"/>
      <c r="BA320" s="295"/>
      <c r="BB320" s="295"/>
    </row>
    <row r="321" spans="1:54" s="470" customFormat="1" ht="12.75" thickBot="1">
      <c r="A321" s="504">
        <f>+A320+1</f>
        <v>123</v>
      </c>
      <c r="B321" s="790">
        <v>32</v>
      </c>
      <c r="C321" s="935" t="s">
        <v>998</v>
      </c>
      <c r="D321" s="900" t="s">
        <v>999</v>
      </c>
      <c r="E321" s="936" t="s">
        <v>1238</v>
      </c>
      <c r="F321" s="949" t="s">
        <v>1021</v>
      </c>
      <c r="G321" s="1277">
        <f t="shared" si="213"/>
        <v>0</v>
      </c>
      <c r="H321" s="1278">
        <f t="shared" si="213"/>
        <v>40</v>
      </c>
      <c r="I321" s="1278">
        <f t="shared" si="213"/>
        <v>40</v>
      </c>
      <c r="J321" s="1389">
        <f t="shared" si="214"/>
        <v>1</v>
      </c>
      <c r="K321" s="1277">
        <f t="shared" si="215"/>
        <v>0</v>
      </c>
      <c r="L321" s="1278">
        <f t="shared" si="215"/>
        <v>40</v>
      </c>
      <c r="M321" s="1278">
        <f t="shared" si="215"/>
        <v>40</v>
      </c>
      <c r="N321" s="1389">
        <f t="shared" si="216"/>
        <v>1</v>
      </c>
      <c r="O321" s="953"/>
      <c r="P321" s="954"/>
      <c r="Q321" s="954"/>
      <c r="R321" s="1349" t="str">
        <f t="shared" si="217"/>
        <v>-</v>
      </c>
      <c r="S321" s="955"/>
      <c r="T321" s="956"/>
      <c r="U321" s="954"/>
      <c r="V321" s="1349" t="str">
        <f t="shared" si="218"/>
        <v>-</v>
      </c>
      <c r="W321" s="955"/>
      <c r="X321" s="956"/>
      <c r="Y321" s="954"/>
      <c r="Z321" s="1349" t="str">
        <f t="shared" si="219"/>
        <v>-</v>
      </c>
      <c r="AA321" s="955"/>
      <c r="AB321" s="956"/>
      <c r="AC321" s="954"/>
      <c r="AD321" s="1349" t="str">
        <f t="shared" si="220"/>
        <v>-</v>
      </c>
      <c r="AE321" s="955"/>
      <c r="AF321" s="956">
        <v>40</v>
      </c>
      <c r="AG321" s="954">
        <v>40</v>
      </c>
      <c r="AH321" s="1349">
        <f t="shared" si="221"/>
        <v>1</v>
      </c>
      <c r="AI321" s="1277">
        <f t="shared" si="222"/>
        <v>0</v>
      </c>
      <c r="AJ321" s="1278">
        <f t="shared" si="222"/>
        <v>0</v>
      </c>
      <c r="AK321" s="1278">
        <f t="shared" si="222"/>
        <v>0</v>
      </c>
      <c r="AL321" s="1389" t="str">
        <f t="shared" si="223"/>
        <v>-</v>
      </c>
      <c r="AM321" s="955"/>
      <c r="AN321" s="956"/>
      <c r="AO321" s="954"/>
      <c r="AP321" s="1349" t="str">
        <f t="shared" si="224"/>
        <v>-</v>
      </c>
      <c r="AQ321" s="955"/>
      <c r="AR321" s="956"/>
      <c r="AS321" s="954"/>
      <c r="AT321" s="1349" t="str">
        <f t="shared" si="225"/>
        <v>-</v>
      </c>
      <c r="AU321" s="955"/>
      <c r="AV321" s="956"/>
      <c r="AW321" s="954"/>
      <c r="AX321" s="1349" t="str">
        <f t="shared" si="226"/>
        <v>-</v>
      </c>
      <c r="AY321" s="464"/>
      <c r="AZ321" s="295"/>
      <c r="BA321" s="295"/>
      <c r="BB321" s="295"/>
    </row>
    <row r="322" spans="1:54" s="462" customFormat="1" ht="12.75" customHeight="1" thickBot="1">
      <c r="A322" s="500" t="s">
        <v>1137</v>
      </c>
      <c r="B322" s="793"/>
      <c r="C322" s="1880" t="s">
        <v>1094</v>
      </c>
      <c r="D322" s="1881"/>
      <c r="E322" s="1881"/>
      <c r="F322" s="1882"/>
      <c r="G322" s="490">
        <f>SUM(G317:G321)</f>
        <v>83600</v>
      </c>
      <c r="H322" s="491">
        <f>SUM(H317:H321)</f>
        <v>112245</v>
      </c>
      <c r="I322" s="491">
        <f>SUM(I317:I321)</f>
        <v>112135</v>
      </c>
      <c r="J322" s="1350">
        <f t="shared" si="214"/>
        <v>0.99902000089090826</v>
      </c>
      <c r="K322" s="490">
        <f>SUM(K317:K321)</f>
        <v>83600</v>
      </c>
      <c r="L322" s="491">
        <f>SUM(L317:L321)</f>
        <v>96592</v>
      </c>
      <c r="M322" s="491">
        <f>SUM(M317:M321)</f>
        <v>96482</v>
      </c>
      <c r="N322" s="1350">
        <f t="shared" si="216"/>
        <v>0.99886118933244994</v>
      </c>
      <c r="O322" s="472">
        <f>SUM(O317:O321)</f>
        <v>61539</v>
      </c>
      <c r="P322" s="355">
        <f>SUM(P317:P321)</f>
        <v>77800</v>
      </c>
      <c r="Q322" s="355">
        <f>SUM(Q317:Q321)</f>
        <v>77750</v>
      </c>
      <c r="R322" s="1350">
        <f t="shared" si="217"/>
        <v>0.99935732647814912</v>
      </c>
      <c r="S322" s="472">
        <f>SUM(S317:S321)</f>
        <v>10823</v>
      </c>
      <c r="T322" s="355">
        <f>SUM(T317:T321)</f>
        <v>12863</v>
      </c>
      <c r="U322" s="355">
        <f>SUM(U317:U321)</f>
        <v>12863</v>
      </c>
      <c r="V322" s="1350">
        <f t="shared" si="218"/>
        <v>1</v>
      </c>
      <c r="W322" s="472">
        <f>SUM(W317:W321)</f>
        <v>11238</v>
      </c>
      <c r="X322" s="355">
        <f>SUM(X317:X321)</f>
        <v>5889</v>
      </c>
      <c r="Y322" s="355">
        <f>SUM(Y317:Y321)</f>
        <v>5829</v>
      </c>
      <c r="Z322" s="1350">
        <f t="shared" si="219"/>
        <v>0.98981151299032089</v>
      </c>
      <c r="AA322" s="472">
        <f>SUM(AA317:AA321)</f>
        <v>0</v>
      </c>
      <c r="AB322" s="355">
        <f>SUM(AB317:AB321)</f>
        <v>0</v>
      </c>
      <c r="AC322" s="355">
        <f>SUM(AC317:AC321)</f>
        <v>0</v>
      </c>
      <c r="AD322" s="1350" t="str">
        <f t="shared" si="220"/>
        <v>-</v>
      </c>
      <c r="AE322" s="472">
        <f>SUM(AE317:AE321)</f>
        <v>0</v>
      </c>
      <c r="AF322" s="355">
        <f>SUM(AF317:AF321)</f>
        <v>40</v>
      </c>
      <c r="AG322" s="355">
        <f>SUM(AG317:AG321)</f>
        <v>40</v>
      </c>
      <c r="AH322" s="1350">
        <f t="shared" si="221"/>
        <v>1</v>
      </c>
      <c r="AI322" s="490">
        <f>SUM(AI317:AI321)</f>
        <v>0</v>
      </c>
      <c r="AJ322" s="491">
        <f>SUM(AJ317:AJ321)</f>
        <v>15653</v>
      </c>
      <c r="AK322" s="491">
        <f>SUM(AK317:AK321)</f>
        <v>15653</v>
      </c>
      <c r="AL322" s="1350">
        <f t="shared" si="223"/>
        <v>1</v>
      </c>
      <c r="AM322" s="472">
        <f>SUM(AM317:AM321)</f>
        <v>0</v>
      </c>
      <c r="AN322" s="355">
        <f>SUM(AN317:AN321)</f>
        <v>15653</v>
      </c>
      <c r="AO322" s="355">
        <f>SUM(AO317:AO321)</f>
        <v>15653</v>
      </c>
      <c r="AP322" s="1350">
        <f t="shared" si="224"/>
        <v>1</v>
      </c>
      <c r="AQ322" s="472">
        <f>SUM(AQ317:AQ321)</f>
        <v>0</v>
      </c>
      <c r="AR322" s="355">
        <f>SUM(AR317:AR321)</f>
        <v>0</v>
      </c>
      <c r="AS322" s="355">
        <f>SUM(AS317:AS321)</f>
        <v>0</v>
      </c>
      <c r="AT322" s="1350" t="str">
        <f t="shared" si="225"/>
        <v>-</v>
      </c>
      <c r="AU322" s="472">
        <f>SUM(AU317:AU321)</f>
        <v>0</v>
      </c>
      <c r="AV322" s="355">
        <f>SUM(AV317:AV321)</f>
        <v>0</v>
      </c>
      <c r="AW322" s="355">
        <f>SUM(AW317:AW321)</f>
        <v>0</v>
      </c>
      <c r="AX322" s="1350" t="str">
        <f t="shared" si="226"/>
        <v>-</v>
      </c>
      <c r="AY322" s="465"/>
      <c r="AZ322" s="295"/>
      <c r="BA322" s="295"/>
      <c r="BB322" s="295"/>
    </row>
    <row r="323" spans="1:54" ht="12.75" customHeight="1" thickBot="1">
      <c r="A323" s="506">
        <f>A321+1</f>
        <v>124</v>
      </c>
      <c r="B323" s="798">
        <v>33</v>
      </c>
      <c r="C323" s="882" t="s">
        <v>19</v>
      </c>
      <c r="D323" s="497" t="s">
        <v>19</v>
      </c>
      <c r="E323" s="877" t="s">
        <v>19</v>
      </c>
      <c r="F323" s="951" t="s">
        <v>19</v>
      </c>
      <c r="G323" s="1283">
        <f>+K323+AI323</f>
        <v>0</v>
      </c>
      <c r="H323" s="1284">
        <f>+L323+AJ323</f>
        <v>0</v>
      </c>
      <c r="I323" s="1284">
        <f>+M323+AK323</f>
        <v>0</v>
      </c>
      <c r="J323" s="1389" t="str">
        <f t="shared" si="214"/>
        <v>-</v>
      </c>
      <c r="K323" s="1283">
        <f>+O323+S323+W323+AA323+AE323</f>
        <v>0</v>
      </c>
      <c r="L323" s="1284">
        <f>+P323+T323+X323+AB323+AF323</f>
        <v>0</v>
      </c>
      <c r="M323" s="1284">
        <f>+Q323+U323+Y323+AC323+AG323</f>
        <v>0</v>
      </c>
      <c r="N323" s="1389" t="str">
        <f t="shared" si="216"/>
        <v>-</v>
      </c>
      <c r="O323" s="469"/>
      <c r="P323" s="468"/>
      <c r="Q323" s="468"/>
      <c r="R323" s="1349" t="str">
        <f t="shared" si="217"/>
        <v>-</v>
      </c>
      <c r="S323" s="469"/>
      <c r="T323" s="468"/>
      <c r="U323" s="468"/>
      <c r="V323" s="1349" t="str">
        <f t="shared" si="218"/>
        <v>-</v>
      </c>
      <c r="W323" s="469"/>
      <c r="X323" s="468"/>
      <c r="Y323" s="468"/>
      <c r="Z323" s="1349" t="str">
        <f t="shared" si="219"/>
        <v>-</v>
      </c>
      <c r="AA323" s="469"/>
      <c r="AB323" s="468"/>
      <c r="AC323" s="468"/>
      <c r="AD323" s="1349" t="str">
        <f t="shared" si="220"/>
        <v>-</v>
      </c>
      <c r="AE323" s="469"/>
      <c r="AF323" s="468"/>
      <c r="AG323" s="468"/>
      <c r="AH323" s="1349" t="str">
        <f t="shared" si="221"/>
        <v>-</v>
      </c>
      <c r="AI323" s="1283">
        <f>+AM323+AQ323+AU323</f>
        <v>0</v>
      </c>
      <c r="AJ323" s="1284">
        <f>+AN323+AR323+AV323</f>
        <v>0</v>
      </c>
      <c r="AK323" s="1284">
        <f>+AO323+AS323+AW323</f>
        <v>0</v>
      </c>
      <c r="AL323" s="1389" t="str">
        <f t="shared" si="223"/>
        <v>-</v>
      </c>
      <c r="AM323" s="469"/>
      <c r="AN323" s="468"/>
      <c r="AO323" s="468"/>
      <c r="AP323" s="1349" t="str">
        <f t="shared" si="224"/>
        <v>-</v>
      </c>
      <c r="AQ323" s="469"/>
      <c r="AR323" s="468"/>
      <c r="AS323" s="468"/>
      <c r="AT323" s="1349" t="str">
        <f t="shared" si="225"/>
        <v>-</v>
      </c>
      <c r="AU323" s="469"/>
      <c r="AV323" s="468"/>
      <c r="AW323" s="468"/>
      <c r="AX323" s="1349" t="str">
        <f t="shared" si="226"/>
        <v>-</v>
      </c>
      <c r="AY323" s="464"/>
      <c r="AZ323" s="470"/>
      <c r="BA323" s="470"/>
      <c r="BB323" s="470"/>
    </row>
    <row r="324" spans="1:54" s="462" customFormat="1" ht="12.75" customHeight="1" thickBot="1">
      <c r="A324" s="500" t="s">
        <v>1138</v>
      </c>
      <c r="B324" s="793"/>
      <c r="C324" s="1880" t="s">
        <v>1095</v>
      </c>
      <c r="D324" s="1881"/>
      <c r="E324" s="1881"/>
      <c r="F324" s="1882"/>
      <c r="G324" s="490">
        <f>SUM(G323)</f>
        <v>0</v>
      </c>
      <c r="H324" s="491">
        <f>SUM(H323)</f>
        <v>0</v>
      </c>
      <c r="I324" s="491">
        <f>SUM(I323)</f>
        <v>0</v>
      </c>
      <c r="J324" s="1350" t="str">
        <f t="shared" si="214"/>
        <v>-</v>
      </c>
      <c r="K324" s="490">
        <f>SUM(K323)</f>
        <v>0</v>
      </c>
      <c r="L324" s="491">
        <f>SUM(L323)</f>
        <v>0</v>
      </c>
      <c r="M324" s="491">
        <f>SUM(M323)</f>
        <v>0</v>
      </c>
      <c r="N324" s="1350" t="str">
        <f t="shared" si="216"/>
        <v>-</v>
      </c>
      <c r="O324" s="472">
        <f>SUM(O323)</f>
        <v>0</v>
      </c>
      <c r="P324" s="355">
        <f>SUM(P323)</f>
        <v>0</v>
      </c>
      <c r="Q324" s="355">
        <f>SUM(Q323)</f>
        <v>0</v>
      </c>
      <c r="R324" s="1350" t="str">
        <f t="shared" si="217"/>
        <v>-</v>
      </c>
      <c r="S324" s="472">
        <f>SUM(S323)</f>
        <v>0</v>
      </c>
      <c r="T324" s="355">
        <f>SUM(T323)</f>
        <v>0</v>
      </c>
      <c r="U324" s="355">
        <f>SUM(U323)</f>
        <v>0</v>
      </c>
      <c r="V324" s="1350" t="str">
        <f t="shared" si="218"/>
        <v>-</v>
      </c>
      <c r="W324" s="472">
        <f>SUM(W323)</f>
        <v>0</v>
      </c>
      <c r="X324" s="355">
        <f>SUM(X323)</f>
        <v>0</v>
      </c>
      <c r="Y324" s="355">
        <f>SUM(Y323)</f>
        <v>0</v>
      </c>
      <c r="Z324" s="1350" t="str">
        <f t="shared" si="219"/>
        <v>-</v>
      </c>
      <c r="AA324" s="472">
        <f>SUM(AA323)</f>
        <v>0</v>
      </c>
      <c r="AB324" s="355">
        <f>SUM(AB323)</f>
        <v>0</v>
      </c>
      <c r="AC324" s="355">
        <f>SUM(AC323)</f>
        <v>0</v>
      </c>
      <c r="AD324" s="1350" t="str">
        <f t="shared" si="220"/>
        <v>-</v>
      </c>
      <c r="AE324" s="472">
        <f>SUM(AE323)</f>
        <v>0</v>
      </c>
      <c r="AF324" s="355">
        <f>SUM(AF323)</f>
        <v>0</v>
      </c>
      <c r="AG324" s="355">
        <f>SUM(AG323)</f>
        <v>0</v>
      </c>
      <c r="AH324" s="1350" t="str">
        <f t="shared" si="221"/>
        <v>-</v>
      </c>
      <c r="AI324" s="490">
        <f>SUM(AI323)</f>
        <v>0</v>
      </c>
      <c r="AJ324" s="491">
        <f>SUM(AJ323)</f>
        <v>0</v>
      </c>
      <c r="AK324" s="491">
        <f>SUM(AK323)</f>
        <v>0</v>
      </c>
      <c r="AL324" s="1350" t="str">
        <f t="shared" si="223"/>
        <v>-</v>
      </c>
      <c r="AM324" s="472">
        <f>SUM(AM323)</f>
        <v>0</v>
      </c>
      <c r="AN324" s="355">
        <f>SUM(AN323)</f>
        <v>0</v>
      </c>
      <c r="AO324" s="355">
        <f>SUM(AO323)</f>
        <v>0</v>
      </c>
      <c r="AP324" s="1350" t="str">
        <f t="shared" si="224"/>
        <v>-</v>
      </c>
      <c r="AQ324" s="472">
        <f>SUM(AQ323)</f>
        <v>0</v>
      </c>
      <c r="AR324" s="355">
        <f>SUM(AR323)</f>
        <v>0</v>
      </c>
      <c r="AS324" s="355">
        <f>SUM(AS323)</f>
        <v>0</v>
      </c>
      <c r="AT324" s="1350" t="str">
        <f t="shared" si="225"/>
        <v>-</v>
      </c>
      <c r="AU324" s="472">
        <f>SUM(AU323)</f>
        <v>0</v>
      </c>
      <c r="AV324" s="355">
        <f>SUM(AV323)</f>
        <v>0</v>
      </c>
      <c r="AW324" s="355">
        <f>SUM(AW323)</f>
        <v>0</v>
      </c>
      <c r="AX324" s="1350" t="str">
        <f t="shared" si="226"/>
        <v>-</v>
      </c>
      <c r="AY324" s="465"/>
    </row>
    <row r="325" spans="1:54" ht="12.75" customHeight="1" thickBot="1">
      <c r="A325" s="506">
        <f>+A323+1</f>
        <v>125</v>
      </c>
      <c r="B325" s="798">
        <v>34</v>
      </c>
      <c r="C325" s="882" t="s">
        <v>19</v>
      </c>
      <c r="D325" s="497" t="s">
        <v>19</v>
      </c>
      <c r="E325" s="877" t="s">
        <v>19</v>
      </c>
      <c r="F325" s="951" t="s">
        <v>19</v>
      </c>
      <c r="G325" s="1283">
        <f>+K325+AI325</f>
        <v>0</v>
      </c>
      <c r="H325" s="1284">
        <f>+L325+AJ325</f>
        <v>0</v>
      </c>
      <c r="I325" s="1284">
        <f>+M325+AK325</f>
        <v>0</v>
      </c>
      <c r="J325" s="1389" t="str">
        <f t="shared" si="214"/>
        <v>-</v>
      </c>
      <c r="K325" s="1283">
        <f>+O325+S325+W325+AA325+AE325</f>
        <v>0</v>
      </c>
      <c r="L325" s="1284">
        <f>+P325+T325+X325+AB325+AF325</f>
        <v>0</v>
      </c>
      <c r="M325" s="1284">
        <f>+Q325+U325+Y325+AC325+AG325</f>
        <v>0</v>
      </c>
      <c r="N325" s="1389" t="str">
        <f t="shared" si="216"/>
        <v>-</v>
      </c>
      <c r="O325" s="469"/>
      <c r="P325" s="468"/>
      <c r="Q325" s="468"/>
      <c r="R325" s="1349" t="str">
        <f t="shared" si="217"/>
        <v>-</v>
      </c>
      <c r="S325" s="469"/>
      <c r="T325" s="468"/>
      <c r="U325" s="468"/>
      <c r="V325" s="1349" t="str">
        <f t="shared" si="218"/>
        <v>-</v>
      </c>
      <c r="W325" s="469"/>
      <c r="X325" s="468"/>
      <c r="Y325" s="468"/>
      <c r="Z325" s="1349" t="str">
        <f t="shared" si="219"/>
        <v>-</v>
      </c>
      <c r="AA325" s="469"/>
      <c r="AB325" s="468"/>
      <c r="AC325" s="468"/>
      <c r="AD325" s="1349" t="str">
        <f t="shared" si="220"/>
        <v>-</v>
      </c>
      <c r="AE325" s="469"/>
      <c r="AF325" s="468"/>
      <c r="AG325" s="468"/>
      <c r="AH325" s="1349" t="str">
        <f t="shared" si="221"/>
        <v>-</v>
      </c>
      <c r="AI325" s="1283">
        <f>+AM325+AQ325+AU325</f>
        <v>0</v>
      </c>
      <c r="AJ325" s="1284">
        <f>+AN325+AR325+AV325</f>
        <v>0</v>
      </c>
      <c r="AK325" s="1284">
        <f>+AO325+AS325+AW325</f>
        <v>0</v>
      </c>
      <c r="AL325" s="1389" t="str">
        <f t="shared" si="223"/>
        <v>-</v>
      </c>
      <c r="AM325" s="469"/>
      <c r="AN325" s="468"/>
      <c r="AO325" s="468"/>
      <c r="AP325" s="1349" t="str">
        <f t="shared" si="224"/>
        <v>-</v>
      </c>
      <c r="AQ325" s="469"/>
      <c r="AR325" s="468"/>
      <c r="AS325" s="468"/>
      <c r="AT325" s="1349" t="str">
        <f t="shared" si="225"/>
        <v>-</v>
      </c>
      <c r="AU325" s="469"/>
      <c r="AV325" s="468"/>
      <c r="AW325" s="468"/>
      <c r="AX325" s="1349" t="str">
        <f t="shared" si="226"/>
        <v>-</v>
      </c>
      <c r="AY325" s="464"/>
      <c r="AZ325" s="470"/>
      <c r="BA325" s="470"/>
      <c r="BB325" s="470"/>
    </row>
    <row r="326" spans="1:54" s="462" customFormat="1" ht="12.75" customHeight="1" thickBot="1">
      <c r="A326" s="500" t="s">
        <v>1139</v>
      </c>
      <c r="B326" s="793"/>
      <c r="C326" s="1880" t="s">
        <v>1096</v>
      </c>
      <c r="D326" s="1881"/>
      <c r="E326" s="1881"/>
      <c r="F326" s="1882"/>
      <c r="G326" s="490">
        <f>SUM(G325)</f>
        <v>0</v>
      </c>
      <c r="H326" s="491">
        <f>SUM(H325)</f>
        <v>0</v>
      </c>
      <c r="I326" s="491">
        <f>SUM(I325)</f>
        <v>0</v>
      </c>
      <c r="J326" s="1350" t="str">
        <f t="shared" si="214"/>
        <v>-</v>
      </c>
      <c r="K326" s="490">
        <f>SUM(K325)</f>
        <v>0</v>
      </c>
      <c r="L326" s="491">
        <f>SUM(L325)</f>
        <v>0</v>
      </c>
      <c r="M326" s="491">
        <f>SUM(M325)</f>
        <v>0</v>
      </c>
      <c r="N326" s="1350" t="str">
        <f t="shared" si="216"/>
        <v>-</v>
      </c>
      <c r="O326" s="472">
        <f>SUM(O325)</f>
        <v>0</v>
      </c>
      <c r="P326" s="355">
        <f>SUM(P325)</f>
        <v>0</v>
      </c>
      <c r="Q326" s="355">
        <f>SUM(Q325)</f>
        <v>0</v>
      </c>
      <c r="R326" s="1350" t="str">
        <f t="shared" si="217"/>
        <v>-</v>
      </c>
      <c r="S326" s="472">
        <f>SUM(S325)</f>
        <v>0</v>
      </c>
      <c r="T326" s="355">
        <f>SUM(T325)</f>
        <v>0</v>
      </c>
      <c r="U326" s="355">
        <f>SUM(U325)</f>
        <v>0</v>
      </c>
      <c r="V326" s="1350" t="str">
        <f t="shared" si="218"/>
        <v>-</v>
      </c>
      <c r="W326" s="472">
        <f>SUM(W325)</f>
        <v>0</v>
      </c>
      <c r="X326" s="355">
        <f>SUM(X325)</f>
        <v>0</v>
      </c>
      <c r="Y326" s="355">
        <f>SUM(Y325)</f>
        <v>0</v>
      </c>
      <c r="Z326" s="1350" t="str">
        <f t="shared" si="219"/>
        <v>-</v>
      </c>
      <c r="AA326" s="472">
        <f>SUM(AA325)</f>
        <v>0</v>
      </c>
      <c r="AB326" s="355">
        <f>SUM(AB325)</f>
        <v>0</v>
      </c>
      <c r="AC326" s="355">
        <f>SUM(AC325)</f>
        <v>0</v>
      </c>
      <c r="AD326" s="1350" t="str">
        <f t="shared" si="220"/>
        <v>-</v>
      </c>
      <c r="AE326" s="472">
        <f>SUM(AE325)</f>
        <v>0</v>
      </c>
      <c r="AF326" s="355">
        <f>SUM(AF325)</f>
        <v>0</v>
      </c>
      <c r="AG326" s="355">
        <f>SUM(AG325)</f>
        <v>0</v>
      </c>
      <c r="AH326" s="1350" t="str">
        <f t="shared" si="221"/>
        <v>-</v>
      </c>
      <c r="AI326" s="490">
        <f>SUM(AI325)</f>
        <v>0</v>
      </c>
      <c r="AJ326" s="491">
        <f>SUM(AJ325)</f>
        <v>0</v>
      </c>
      <c r="AK326" s="491">
        <f>SUM(AK325)</f>
        <v>0</v>
      </c>
      <c r="AL326" s="1350" t="str">
        <f t="shared" si="223"/>
        <v>-</v>
      </c>
      <c r="AM326" s="472">
        <f>SUM(AM325)</f>
        <v>0</v>
      </c>
      <c r="AN326" s="355">
        <f>SUM(AN325)</f>
        <v>0</v>
      </c>
      <c r="AO326" s="355">
        <f>SUM(AO325)</f>
        <v>0</v>
      </c>
      <c r="AP326" s="1350" t="str">
        <f t="shared" si="224"/>
        <v>-</v>
      </c>
      <c r="AQ326" s="472">
        <f>SUM(AQ325)</f>
        <v>0</v>
      </c>
      <c r="AR326" s="355">
        <f>SUM(AR325)</f>
        <v>0</v>
      </c>
      <c r="AS326" s="355">
        <f>SUM(AS325)</f>
        <v>0</v>
      </c>
      <c r="AT326" s="1350" t="str">
        <f t="shared" si="225"/>
        <v>-</v>
      </c>
      <c r="AU326" s="472">
        <f>SUM(AU325)</f>
        <v>0</v>
      </c>
      <c r="AV326" s="355">
        <f>SUM(AV325)</f>
        <v>0</v>
      </c>
      <c r="AW326" s="355">
        <f>SUM(AW325)</f>
        <v>0</v>
      </c>
      <c r="AX326" s="1350" t="str">
        <f t="shared" si="226"/>
        <v>-</v>
      </c>
      <c r="AY326" s="465"/>
    </row>
    <row r="327" spans="1:54" s="470" customFormat="1" ht="12.75" customHeight="1" thickBot="1">
      <c r="A327" s="501" t="s">
        <v>42</v>
      </c>
      <c r="B327" s="794"/>
      <c r="C327" s="1874" t="s">
        <v>1097</v>
      </c>
      <c r="D327" s="1875"/>
      <c r="E327" s="1875"/>
      <c r="F327" s="1876"/>
      <c r="G327" s="474">
        <f>+G322+G324+G326</f>
        <v>83600</v>
      </c>
      <c r="H327" s="475">
        <f>+H322+H324+H326</f>
        <v>112245</v>
      </c>
      <c r="I327" s="475">
        <f>+I322+I324+I326</f>
        <v>112135</v>
      </c>
      <c r="J327" s="1386">
        <f t="shared" si="214"/>
        <v>0.99902000089090826</v>
      </c>
      <c r="K327" s="474">
        <f>+K322+K324+K326</f>
        <v>83600</v>
      </c>
      <c r="L327" s="475">
        <f>+L322+L324+L326</f>
        <v>96592</v>
      </c>
      <c r="M327" s="475">
        <f>+M322+M324+M326</f>
        <v>96482</v>
      </c>
      <c r="N327" s="1386">
        <f t="shared" si="216"/>
        <v>0.99886118933244994</v>
      </c>
      <c r="O327" s="474">
        <f>+O322+O324+O326</f>
        <v>61539</v>
      </c>
      <c r="P327" s="475">
        <f>+P322+P324+P326</f>
        <v>77800</v>
      </c>
      <c r="Q327" s="485">
        <f>+Q322+Q324+Q326</f>
        <v>77750</v>
      </c>
      <c r="R327" s="1386">
        <f t="shared" si="217"/>
        <v>0.99935732647814912</v>
      </c>
      <c r="S327" s="474">
        <f>+S322+S324+S326</f>
        <v>10823</v>
      </c>
      <c r="T327" s="475">
        <f>+T322+T324+T326</f>
        <v>12863</v>
      </c>
      <c r="U327" s="485">
        <f>+U322+U324+U326</f>
        <v>12863</v>
      </c>
      <c r="V327" s="1386">
        <f t="shared" si="218"/>
        <v>1</v>
      </c>
      <c r="W327" s="474">
        <f>+W322+W324+W326</f>
        <v>11238</v>
      </c>
      <c r="X327" s="475">
        <f>+X322+X324+X326</f>
        <v>5889</v>
      </c>
      <c r="Y327" s="485">
        <f>+Y322+Y324+Y326</f>
        <v>5829</v>
      </c>
      <c r="Z327" s="1386">
        <f t="shared" si="219"/>
        <v>0.98981151299032089</v>
      </c>
      <c r="AA327" s="474">
        <f>+AA322+AA324+AA326</f>
        <v>0</v>
      </c>
      <c r="AB327" s="475">
        <f>+AB322+AB324+AB326</f>
        <v>0</v>
      </c>
      <c r="AC327" s="485">
        <f>+AC322+AC324+AC326</f>
        <v>0</v>
      </c>
      <c r="AD327" s="1386" t="str">
        <f t="shared" si="220"/>
        <v>-</v>
      </c>
      <c r="AE327" s="474">
        <f>+AE322+AE324+AE326</f>
        <v>0</v>
      </c>
      <c r="AF327" s="475">
        <f>+AF322+AF324+AF326</f>
        <v>40</v>
      </c>
      <c r="AG327" s="485">
        <f>+AG322+AG324+AG326</f>
        <v>40</v>
      </c>
      <c r="AH327" s="1386">
        <f t="shared" si="221"/>
        <v>1</v>
      </c>
      <c r="AI327" s="474">
        <f>+AI322+AI324+AI326</f>
        <v>0</v>
      </c>
      <c r="AJ327" s="475">
        <f>+AJ322+AJ324+AJ326</f>
        <v>15653</v>
      </c>
      <c r="AK327" s="475">
        <f>+AK322+AK324+AK326</f>
        <v>15653</v>
      </c>
      <c r="AL327" s="1386">
        <f t="shared" si="223"/>
        <v>1</v>
      </c>
      <c r="AM327" s="474">
        <f>+AM322+AM324+AM326</f>
        <v>0</v>
      </c>
      <c r="AN327" s="475">
        <f>+AN322+AN324+AN326</f>
        <v>15653</v>
      </c>
      <c r="AO327" s="485">
        <f>+AO322+AO324+AO326</f>
        <v>15653</v>
      </c>
      <c r="AP327" s="1386">
        <f t="shared" si="224"/>
        <v>1</v>
      </c>
      <c r="AQ327" s="474">
        <f>+AQ322+AQ324+AQ326</f>
        <v>0</v>
      </c>
      <c r="AR327" s="475">
        <f>+AR322+AR324+AR326</f>
        <v>0</v>
      </c>
      <c r="AS327" s="485">
        <f>+AS322+AS324+AS326</f>
        <v>0</v>
      </c>
      <c r="AT327" s="1386" t="str">
        <f t="shared" si="225"/>
        <v>-</v>
      </c>
      <c r="AU327" s="474">
        <f>+AU322+AU324+AU326</f>
        <v>0</v>
      </c>
      <c r="AV327" s="475">
        <f>+AV322+AV324+AV326</f>
        <v>0</v>
      </c>
      <c r="AW327" s="485">
        <f>+AW322+AW324+AW326</f>
        <v>0</v>
      </c>
      <c r="AX327" s="1386" t="str">
        <f t="shared" si="226"/>
        <v>-</v>
      </c>
      <c r="AY327" s="773"/>
      <c r="AZ327" s="462"/>
      <c r="BA327" s="462"/>
      <c r="BB327" s="462"/>
    </row>
    <row r="328" spans="1:54" ht="12.75" thickBot="1">
      <c r="A328" s="506"/>
      <c r="B328" s="798"/>
      <c r="C328" s="882"/>
      <c r="D328" s="497"/>
      <c r="E328" s="877"/>
      <c r="F328" s="486"/>
      <c r="G328" s="1283"/>
      <c r="H328" s="1284"/>
      <c r="I328" s="1284"/>
      <c r="J328" s="1387"/>
      <c r="K328" s="1283"/>
      <c r="L328" s="1284"/>
      <c r="M328" s="1284"/>
      <c r="N328" s="1387"/>
      <c r="O328" s="469"/>
      <c r="P328" s="468"/>
      <c r="Q328" s="468"/>
      <c r="R328" s="1387"/>
      <c r="S328" s="469"/>
      <c r="T328" s="468"/>
      <c r="U328" s="468"/>
      <c r="V328" s="1387"/>
      <c r="W328" s="469"/>
      <c r="X328" s="468"/>
      <c r="Y328" s="468"/>
      <c r="Z328" s="1387"/>
      <c r="AA328" s="469"/>
      <c r="AB328" s="468"/>
      <c r="AC328" s="468"/>
      <c r="AD328" s="1387"/>
      <c r="AE328" s="469"/>
      <c r="AF328" s="468"/>
      <c r="AG328" s="468"/>
      <c r="AH328" s="1387"/>
      <c r="AI328" s="1283"/>
      <c r="AJ328" s="1284"/>
      <c r="AK328" s="1284"/>
      <c r="AL328" s="1387"/>
      <c r="AM328" s="469"/>
      <c r="AN328" s="468"/>
      <c r="AO328" s="468"/>
      <c r="AP328" s="1387"/>
      <c r="AQ328" s="469"/>
      <c r="AR328" s="468"/>
      <c r="AS328" s="468"/>
      <c r="AT328" s="1387"/>
      <c r="AU328" s="469"/>
      <c r="AV328" s="468"/>
      <c r="AW328" s="468"/>
      <c r="AX328" s="1387"/>
      <c r="AY328" s="464"/>
      <c r="AZ328" s="462"/>
      <c r="BA328" s="462"/>
      <c r="BB328" s="462"/>
    </row>
    <row r="329" spans="1:54" s="462" customFormat="1" ht="12.75" customHeight="1" thickBot="1">
      <c r="A329" s="501" t="s">
        <v>41</v>
      </c>
      <c r="B329" s="794"/>
      <c r="C329" s="1874" t="s">
        <v>889</v>
      </c>
      <c r="D329" s="1875"/>
      <c r="E329" s="1875"/>
      <c r="F329" s="1876"/>
      <c r="G329" s="487">
        <f>+G259+G279+G292+G306+G315+G327</f>
        <v>4522728</v>
      </c>
      <c r="H329" s="488">
        <f>+H259+H279+H292+H306+H315+H327</f>
        <v>5684788</v>
      </c>
      <c r="I329" s="488">
        <f>+I259+I279+I292+I306+I315+I327</f>
        <v>3081648</v>
      </c>
      <c r="J329" s="1386">
        <f>IF(ISERROR(I329/H329),"-",I329/H329)</f>
        <v>0.54208670578392726</v>
      </c>
      <c r="K329" s="487">
        <f>+K259+K279+K292+K306+K315+K327</f>
        <v>4018748</v>
      </c>
      <c r="L329" s="488">
        <f>+L259+L279+L292+L306+L315+L327</f>
        <v>4337116</v>
      </c>
      <c r="M329" s="488">
        <f>+M259+M279+M292+M306+M315+M327</f>
        <v>1874193</v>
      </c>
      <c r="N329" s="1386">
        <f>IF(ISERROR(M329/L329),"-",M329/L329)</f>
        <v>0.43212886166752285</v>
      </c>
      <c r="O329" s="487">
        <f>+O259+O279+O292+O306+O315+O327</f>
        <v>715534</v>
      </c>
      <c r="P329" s="488">
        <f>+P259+P279+P292+P306+P315+P327</f>
        <v>952919</v>
      </c>
      <c r="Q329" s="488">
        <f>+Q259+Q279+Q292+Q306+Q315+Q327</f>
        <v>941098</v>
      </c>
      <c r="R329" s="1386">
        <f>IF(ISERROR(Q329/P329),"-",Q329/P329)</f>
        <v>0.98759495822834886</v>
      </c>
      <c r="S329" s="487">
        <f>+S259+S279+S292+S306+S315+S327</f>
        <v>130817</v>
      </c>
      <c r="T329" s="488">
        <f>+T259+T279+T292+T306+T315+T327</f>
        <v>167067</v>
      </c>
      <c r="U329" s="488">
        <f>+U259+U279+U292+U306+U315+U327</f>
        <v>158725</v>
      </c>
      <c r="V329" s="1386">
        <f>IF(ISERROR(U329/T329),"-",U329/T329)</f>
        <v>0.95006793681576851</v>
      </c>
      <c r="W329" s="487">
        <f>+W259+W279+W292+W306+W315+W327</f>
        <v>401997</v>
      </c>
      <c r="X329" s="488">
        <f>+X259+X279+X292+X306+X315+X327</f>
        <v>744360</v>
      </c>
      <c r="Y329" s="488">
        <f>+Y259+Y279+Y292+Y306+Y315+Y327</f>
        <v>628275</v>
      </c>
      <c r="Z329" s="1386">
        <f>IF(ISERROR(Y329/X329),"-",Y329/X329)</f>
        <v>0.8440472352087699</v>
      </c>
      <c r="AA329" s="487">
        <f>+AA259+AA279+AA292+AA306+AA315+AA327</f>
        <v>52779</v>
      </c>
      <c r="AB329" s="488">
        <f>+AB259+AB279+AB292+AB306+AB315+AB327</f>
        <v>48429</v>
      </c>
      <c r="AC329" s="488">
        <f>+AC259+AC279+AC292+AC306+AC315+AC327</f>
        <v>48427</v>
      </c>
      <c r="AD329" s="1386">
        <f>IF(ISERROR(AC329/AB329),"-",AC329/AB329)</f>
        <v>0.999958702430362</v>
      </c>
      <c r="AE329" s="487">
        <f>+AE259+AE279+AE292+AE306+AE315+AE327</f>
        <v>2717621</v>
      </c>
      <c r="AF329" s="488">
        <f>+AF259+AF279+AF292+AF306+AF315+AF327</f>
        <v>2424341</v>
      </c>
      <c r="AG329" s="488">
        <f>+AG259+AG279+AG292+AG306+AG315+AG327</f>
        <v>97668</v>
      </c>
      <c r="AH329" s="1386">
        <f>IF(ISERROR(AG329/AF329),"-",AG329/AF329)</f>
        <v>4.0286411853777994E-2</v>
      </c>
      <c r="AI329" s="487">
        <f>+AI259+AI279+AI292+AI306+AI315+AI327</f>
        <v>503980</v>
      </c>
      <c r="AJ329" s="488">
        <f>+AJ259+AJ279+AJ292+AJ306+AJ315+AJ327</f>
        <v>1347672</v>
      </c>
      <c r="AK329" s="488">
        <f>+AK259+AK279+AK292+AK306+AK315+AK327</f>
        <v>1207455</v>
      </c>
      <c r="AL329" s="1386">
        <f>IF(ISERROR(AK329/AJ329),"-",AK329/AJ329)</f>
        <v>0.89595613769522553</v>
      </c>
      <c r="AM329" s="487">
        <f>+AM259+AM279+AM292+AM306+AM315+AM327</f>
        <v>436722</v>
      </c>
      <c r="AN329" s="488">
        <f>+AN259+AN279+AN292+AN306+AN315+AN327</f>
        <v>807961</v>
      </c>
      <c r="AO329" s="488">
        <f>+AO259+AO279+AO292+AO306+AO315+AO327</f>
        <v>704564</v>
      </c>
      <c r="AP329" s="1386">
        <f>IF(ISERROR(AO329/AN329),"-",AO329/AN329)</f>
        <v>0.87202723893851308</v>
      </c>
      <c r="AQ329" s="487">
        <f>+AQ259+AQ279+AQ292+AQ306+AQ315+AQ327</f>
        <v>67258</v>
      </c>
      <c r="AR329" s="488">
        <f>+AR259+AR279+AR292+AR306+AR315+AR327</f>
        <v>539711</v>
      </c>
      <c r="AS329" s="488">
        <f>+AS259+AS279+AS292+AS306+AS315+AS327</f>
        <v>502891</v>
      </c>
      <c r="AT329" s="1386">
        <f>IF(ISERROR(AS329/AR329),"-",AS329/AR329)</f>
        <v>0.93177830357357916</v>
      </c>
      <c r="AU329" s="487">
        <f>+AU259+AU279+AU292+AU306+AU315+AU327</f>
        <v>0</v>
      </c>
      <c r="AV329" s="488">
        <f>+AV259+AV279+AV292+AV306+AV315+AV327</f>
        <v>0</v>
      </c>
      <c r="AW329" s="488">
        <f>+AW259+AW279+AW292+AW306+AW315+AW327</f>
        <v>0</v>
      </c>
      <c r="AX329" s="1386" t="str">
        <f>IF(ISERROR(AW329/AV329),"-",AW329/AV329)</f>
        <v>-</v>
      </c>
      <c r="AY329" s="780"/>
    </row>
    <row r="330" spans="1:54" hidden="1"/>
    <row r="331" spans="1:54" hidden="1">
      <c r="A331" s="295"/>
      <c r="B331" s="786"/>
      <c r="C331" s="874"/>
      <c r="D331" s="295"/>
      <c r="G331" s="295"/>
      <c r="H331" s="295"/>
      <c r="I331" s="295"/>
      <c r="J331" s="295"/>
      <c r="K331" s="295"/>
      <c r="L331" s="295"/>
      <c r="M331" s="295"/>
      <c r="N331" s="295"/>
      <c r="O331" s="295">
        <f>+'1.mell._Össz_Mérleg2020'!C11</f>
        <v>992226</v>
      </c>
      <c r="P331" s="295">
        <f>+'1.mell._Össz_Mérleg2020'!D11</f>
        <v>1347690</v>
      </c>
      <c r="Q331" s="295">
        <f>+'1.mell._Össz_Mérleg2020'!E11</f>
        <v>1347690</v>
      </c>
      <c r="R331" s="295">
        <f>+'1.mell._Össz_Mérleg2020'!F11</f>
        <v>1</v>
      </c>
      <c r="S331" s="295">
        <f>+'1.mell._Össz_Mérleg2020'!C25</f>
        <v>414105</v>
      </c>
      <c r="T331" s="295">
        <f>+'1.mell._Össz_Mérleg2020'!D25</f>
        <v>538391</v>
      </c>
      <c r="U331" s="295">
        <f>+'1.mell._Össz_Mérleg2020'!E25</f>
        <v>370140</v>
      </c>
      <c r="V331" s="295">
        <f>+'1.mell._Össz_Mérleg2020'!F25</f>
        <v>0.68749291871520879</v>
      </c>
      <c r="W331" s="295">
        <f>+'1.mell._Össz_Mérleg2020'!C32</f>
        <v>186868</v>
      </c>
      <c r="X331" s="295">
        <f>+'1.mell._Össz_Mérleg2020'!D32</f>
        <v>169713</v>
      </c>
      <c r="Y331" s="295">
        <f>+'1.mell._Össz_Mérleg2020'!E32</f>
        <v>153866</v>
      </c>
      <c r="Z331" s="295">
        <f>+'1.mell._Össz_Mérleg2020'!F32</f>
        <v>0.90662471348688667</v>
      </c>
      <c r="AA331" s="295">
        <f>+'1.mell._Össz_Mérleg2020'!C44</f>
        <v>0</v>
      </c>
      <c r="AB331" s="295">
        <f>+'1.mell._Össz_Mérleg2020'!D44</f>
        <v>19952</v>
      </c>
      <c r="AC331" s="295">
        <f>+'1.mell._Össz_Mérleg2020'!E44</f>
        <v>4745</v>
      </c>
      <c r="AD331" s="295">
        <f>+'1.mell._Össz_Mérleg2020'!F44</f>
        <v>0.23782076984763431</v>
      </c>
      <c r="AI331" s="295">
        <f>+'1.mell._Össz_Mérleg2020'!C51</f>
        <v>32276</v>
      </c>
      <c r="AJ331" s="295">
        <f>+'1.mell._Össz_Mérleg2020'!D51</f>
        <v>219051</v>
      </c>
      <c r="AK331" s="295">
        <f>+'1.mell._Össz_Mérleg2020'!E51</f>
        <v>219051</v>
      </c>
      <c r="AL331" s="295">
        <f>+'1.mell._Össz_Mérleg2020'!F51</f>
        <v>1</v>
      </c>
      <c r="AM331" s="295">
        <f>+'1.mell._Össz_Mérleg2020'!C58</f>
        <v>40350</v>
      </c>
      <c r="AN331" s="295">
        <f>+'1.mell._Össz_Mérleg2020'!D58</f>
        <v>42427</v>
      </c>
      <c r="AO331" s="295">
        <f>+'1.mell._Össz_Mérleg2020'!E58</f>
        <v>41924</v>
      </c>
      <c r="AP331" s="295">
        <f>+'1.mell._Össz_Mérleg2020'!F58</f>
        <v>0.98814434204633839</v>
      </c>
      <c r="AQ331" s="295">
        <f>+'1.mell._Össz_Mérleg2020'!C64</f>
        <v>1100</v>
      </c>
      <c r="AR331" s="295">
        <f>+'1.mell._Össz_Mérleg2020'!D64</f>
        <v>5714</v>
      </c>
      <c r="AS331" s="295">
        <f>+'1.mell._Össz_Mérleg2020'!E64</f>
        <v>664</v>
      </c>
      <c r="AT331" s="295">
        <f>+'1.mell._Össz_Mérleg2020'!F64</f>
        <v>0.11620581029051452</v>
      </c>
    </row>
    <row r="332" spans="1:54" hidden="1">
      <c r="A332" s="295"/>
      <c r="B332" s="786"/>
      <c r="C332" s="874"/>
      <c r="D332" s="295"/>
      <c r="G332" s="295"/>
      <c r="H332" s="295"/>
      <c r="I332" s="295"/>
      <c r="J332" s="295"/>
      <c r="K332" s="295"/>
      <c r="L332" s="295"/>
      <c r="M332" s="295"/>
      <c r="N332" s="295"/>
      <c r="O332" s="295">
        <f t="shared" ref="O332:AC332" si="227">+O163-O331</f>
        <v>0</v>
      </c>
      <c r="P332" s="295">
        <f t="shared" si="227"/>
        <v>0</v>
      </c>
      <c r="Q332" s="295">
        <f t="shared" si="227"/>
        <v>0</v>
      </c>
      <c r="R332" s="295">
        <f>+R163-R331</f>
        <v>0</v>
      </c>
      <c r="S332" s="295">
        <f t="shared" si="227"/>
        <v>0</v>
      </c>
      <c r="T332" s="295">
        <f t="shared" si="227"/>
        <v>0</v>
      </c>
      <c r="U332" s="295">
        <f t="shared" si="227"/>
        <v>0</v>
      </c>
      <c r="V332" s="295">
        <f>+V163-V331</f>
        <v>0</v>
      </c>
      <c r="W332" s="295">
        <f t="shared" si="227"/>
        <v>0</v>
      </c>
      <c r="X332" s="295">
        <f t="shared" si="227"/>
        <v>0</v>
      </c>
      <c r="Y332" s="295">
        <f t="shared" si="227"/>
        <v>0</v>
      </c>
      <c r="Z332" s="295">
        <f>+Z163-Z331</f>
        <v>0</v>
      </c>
      <c r="AA332" s="295">
        <f t="shared" si="227"/>
        <v>0</v>
      </c>
      <c r="AB332" s="295">
        <f t="shared" si="227"/>
        <v>0</v>
      </c>
      <c r="AC332" s="295">
        <f t="shared" si="227"/>
        <v>0</v>
      </c>
      <c r="AD332" s="295">
        <f>+AD163-AD331</f>
        <v>0</v>
      </c>
      <c r="AE332" s="295"/>
      <c r="AF332" s="295"/>
      <c r="AG332" s="295"/>
      <c r="AH332" s="295"/>
      <c r="AI332" s="295">
        <f t="shared" ref="AI332:AS332" si="228">+AI163-AI331</f>
        <v>0</v>
      </c>
      <c r="AJ332" s="295">
        <f t="shared" si="228"/>
        <v>0</v>
      </c>
      <c r="AK332" s="295">
        <f t="shared" si="228"/>
        <v>0</v>
      </c>
      <c r="AL332" s="295">
        <f>+AL163-AL331</f>
        <v>0</v>
      </c>
      <c r="AM332" s="295">
        <f t="shared" si="228"/>
        <v>0</v>
      </c>
      <c r="AN332" s="295">
        <f t="shared" si="228"/>
        <v>0</v>
      </c>
      <c r="AO332" s="295">
        <f t="shared" si="228"/>
        <v>0</v>
      </c>
      <c r="AP332" s="295">
        <f>+AP163-AP331</f>
        <v>0</v>
      </c>
      <c r="AQ332" s="295">
        <f t="shared" si="228"/>
        <v>0</v>
      </c>
      <c r="AR332" s="295">
        <f t="shared" si="228"/>
        <v>0</v>
      </c>
      <c r="AS332" s="295">
        <f t="shared" si="228"/>
        <v>0</v>
      </c>
      <c r="AT332" s="295">
        <f>+AT163-AT331</f>
        <v>0</v>
      </c>
    </row>
    <row r="333" spans="1:54" hidden="1">
      <c r="A333" s="295"/>
      <c r="B333" s="786"/>
      <c r="C333" s="874"/>
      <c r="D333" s="295"/>
      <c r="G333" s="295"/>
      <c r="H333" s="295"/>
      <c r="I333" s="295"/>
      <c r="J333" s="295"/>
      <c r="K333" s="295"/>
      <c r="L333" s="295"/>
      <c r="M333" s="295"/>
      <c r="N333" s="295"/>
    </row>
    <row r="334" spans="1:54" hidden="1">
      <c r="A334" s="295"/>
      <c r="B334" s="786"/>
      <c r="C334" s="874"/>
      <c r="D334" s="295"/>
      <c r="G334" s="295"/>
      <c r="H334" s="295"/>
      <c r="I334" s="295"/>
      <c r="J334" s="295"/>
      <c r="K334" s="295"/>
      <c r="L334" s="295"/>
      <c r="M334" s="295"/>
      <c r="N334" s="295"/>
      <c r="O334" s="295">
        <f>+'1.mell._Össz_Mérleg2020'!C110</f>
        <v>715534</v>
      </c>
      <c r="P334" s="295">
        <f>+'1.mell._Össz_Mérleg2020'!D110</f>
        <v>952919</v>
      </c>
      <c r="Q334" s="295">
        <f>+'1.mell._Össz_Mérleg2020'!E110</f>
        <v>941098</v>
      </c>
      <c r="R334" s="295">
        <f>+'1.mell._Össz_Mérleg2020'!F110</f>
        <v>0.98759495822834886</v>
      </c>
      <c r="S334" s="295">
        <f>+'1.mell._Össz_Mérleg2020'!C114</f>
        <v>130817</v>
      </c>
      <c r="T334" s="295">
        <f>+'1.mell._Össz_Mérleg2020'!D114</f>
        <v>167067</v>
      </c>
      <c r="U334" s="295">
        <f>+'1.mell._Össz_Mérleg2020'!E114</f>
        <v>158725</v>
      </c>
      <c r="V334" s="295">
        <f>+'1.mell._Össz_Mérleg2020'!F114</f>
        <v>0.95006793681576851</v>
      </c>
      <c r="W334" s="295">
        <f>+'1.mell._Össz_Mérleg2020'!C116</f>
        <v>401997</v>
      </c>
      <c r="X334" s="295">
        <f>+'1.mell._Össz_Mérleg2020'!D116</f>
        <v>744360</v>
      </c>
      <c r="Y334" s="295">
        <f>+'1.mell._Össz_Mérleg2020'!E116</f>
        <v>628275</v>
      </c>
      <c r="Z334" s="295">
        <f>+'1.mell._Össz_Mérleg2020'!F116</f>
        <v>0.8440472352087699</v>
      </c>
      <c r="AA334" s="295">
        <f>+'1.mell._Össz_Mérleg2020'!C123</f>
        <v>52779</v>
      </c>
      <c r="AB334" s="295">
        <f>+'1.mell._Össz_Mérleg2020'!D123</f>
        <v>48429</v>
      </c>
      <c r="AC334" s="295">
        <f>+'1.mell._Össz_Mérleg2020'!E123</f>
        <v>48427</v>
      </c>
      <c r="AD334" s="295">
        <f>+'1.mell._Össz_Mérleg2020'!F123</f>
        <v>0.999958702430362</v>
      </c>
      <c r="AE334" s="295">
        <f>+'1.mell._Össz_Mérleg2020'!C132</f>
        <v>2717621</v>
      </c>
      <c r="AF334" s="295">
        <f>+'1.mell._Össz_Mérleg2020'!D132</f>
        <v>2424341</v>
      </c>
      <c r="AG334" s="295">
        <f>+'1.mell._Össz_Mérleg2020'!E132</f>
        <v>97668</v>
      </c>
      <c r="AH334" s="295">
        <f>+'1.mell._Össz_Mérleg2020'!F132</f>
        <v>4.0286411853777994E-2</v>
      </c>
      <c r="AM334" s="295">
        <f>+'1.mell._Össz_Mérleg2020'!C150</f>
        <v>436722</v>
      </c>
      <c r="AN334" s="295">
        <f>+'1.mell._Össz_Mérleg2020'!D150</f>
        <v>807961</v>
      </c>
      <c r="AO334" s="295">
        <f>+'1.mell._Össz_Mérleg2020'!E150</f>
        <v>704564</v>
      </c>
      <c r="AP334" s="295">
        <f>+'1.mell._Össz_Mérleg2020'!F150</f>
        <v>0.87202723893851308</v>
      </c>
      <c r="AQ334" s="295">
        <f>+'1.mell._Össz_Mérleg2020'!C159</f>
        <v>67258</v>
      </c>
      <c r="AR334" s="295">
        <f>+'1.mell._Össz_Mérleg2020'!D159</f>
        <v>539711</v>
      </c>
      <c r="AS334" s="295">
        <f>+'1.mell._Össz_Mérleg2020'!E159</f>
        <v>502891</v>
      </c>
      <c r="AT334" s="295">
        <f>+'1.mell._Össz_Mérleg2020'!F159</f>
        <v>0.93177830357357916</v>
      </c>
      <c r="AU334" s="295">
        <f>+'1.mell._Össz_Mérleg2020'!C165</f>
        <v>0</v>
      </c>
      <c r="AV334" s="295">
        <f>+'1.mell._Össz_Mérleg2020'!D165</f>
        <v>0</v>
      </c>
      <c r="AW334" s="295">
        <f>+'1.mell._Össz_Mérleg2020'!E165</f>
        <v>0</v>
      </c>
      <c r="AX334" s="295" t="str">
        <f>+'1.mell._Össz_Mérleg2020'!F165</f>
        <v>-</v>
      </c>
    </row>
    <row r="335" spans="1:54" hidden="1">
      <c r="A335" s="295"/>
      <c r="B335" s="786"/>
      <c r="C335" s="874"/>
      <c r="D335" s="295"/>
      <c r="G335" s="295"/>
      <c r="H335" s="295"/>
      <c r="I335" s="295"/>
      <c r="J335" s="295"/>
      <c r="K335" s="295"/>
      <c r="L335" s="295"/>
      <c r="M335" s="295"/>
      <c r="N335" s="295"/>
      <c r="O335" s="295">
        <f t="shared" ref="O335:AG335" si="229">+O329-O334</f>
        <v>0</v>
      </c>
      <c r="P335" s="295">
        <f t="shared" si="229"/>
        <v>0</v>
      </c>
      <c r="Q335" s="295">
        <f t="shared" si="229"/>
        <v>0</v>
      </c>
      <c r="R335" s="295">
        <f>+R329-R334</f>
        <v>0</v>
      </c>
      <c r="S335" s="295">
        <f t="shared" si="229"/>
        <v>0</v>
      </c>
      <c r="T335" s="295">
        <f t="shared" si="229"/>
        <v>0</v>
      </c>
      <c r="U335" s="295">
        <f t="shared" si="229"/>
        <v>0</v>
      </c>
      <c r="V335" s="295">
        <f>+V329-V334</f>
        <v>0</v>
      </c>
      <c r="W335" s="295">
        <f t="shared" si="229"/>
        <v>0</v>
      </c>
      <c r="X335" s="295">
        <f t="shared" si="229"/>
        <v>0</v>
      </c>
      <c r="Y335" s="295">
        <f t="shared" si="229"/>
        <v>0</v>
      </c>
      <c r="Z335" s="295">
        <f>+Z329-Z334</f>
        <v>0</v>
      </c>
      <c r="AA335" s="295">
        <f t="shared" si="229"/>
        <v>0</v>
      </c>
      <c r="AB335" s="295">
        <f t="shared" si="229"/>
        <v>0</v>
      </c>
      <c r="AC335" s="295">
        <f t="shared" si="229"/>
        <v>0</v>
      </c>
      <c r="AD335" s="295">
        <f>+AD329-AD334</f>
        <v>0</v>
      </c>
      <c r="AE335" s="295">
        <f t="shared" si="229"/>
        <v>0</v>
      </c>
      <c r="AF335" s="295">
        <f t="shared" si="229"/>
        <v>0</v>
      </c>
      <c r="AG335" s="295">
        <f t="shared" si="229"/>
        <v>0</v>
      </c>
      <c r="AH335" s="295">
        <f>+AH329-AH334</f>
        <v>0</v>
      </c>
      <c r="AM335" s="295">
        <f t="shared" ref="AM335:AW335" si="230">+AM329-AM334</f>
        <v>0</v>
      </c>
      <c r="AN335" s="295">
        <f t="shared" si="230"/>
        <v>0</v>
      </c>
      <c r="AO335" s="295">
        <f t="shared" si="230"/>
        <v>0</v>
      </c>
      <c r="AP335" s="295">
        <f>+AP329-AP334</f>
        <v>0</v>
      </c>
      <c r="AQ335" s="295">
        <f t="shared" si="230"/>
        <v>0</v>
      </c>
      <c r="AR335" s="295">
        <f t="shared" si="230"/>
        <v>0</v>
      </c>
      <c r="AS335" s="295">
        <f t="shared" si="230"/>
        <v>0</v>
      </c>
      <c r="AT335" s="295">
        <f>+AT329-AT334</f>
        <v>0</v>
      </c>
      <c r="AU335" s="295">
        <f t="shared" si="230"/>
        <v>0</v>
      </c>
      <c r="AV335" s="295">
        <f t="shared" si="230"/>
        <v>0</v>
      </c>
      <c r="AW335" s="295">
        <f t="shared" si="230"/>
        <v>0</v>
      </c>
      <c r="AX335" s="295" t="e">
        <f>+AX329-AX334</f>
        <v>#VALUE!</v>
      </c>
    </row>
  </sheetData>
  <mergeCells count="89">
    <mergeCell ref="W6:Z6"/>
    <mergeCell ref="AA6:AD6"/>
    <mergeCell ref="AI6:AL6"/>
    <mergeCell ref="AM6:AP6"/>
    <mergeCell ref="AQ6:AT6"/>
    <mergeCell ref="C137:F137"/>
    <mergeCell ref="C139:F139"/>
    <mergeCell ref="AQ172:AT172"/>
    <mergeCell ref="AU172:AX172"/>
    <mergeCell ref="K5:N6"/>
    <mergeCell ref="O5:AD5"/>
    <mergeCell ref="AE5:AH6"/>
    <mergeCell ref="AI5:AT5"/>
    <mergeCell ref="O6:R6"/>
    <mergeCell ref="S6:V6"/>
    <mergeCell ref="G5:J6"/>
    <mergeCell ref="G171:J172"/>
    <mergeCell ref="A5:A7"/>
    <mergeCell ref="F5:F7"/>
    <mergeCell ref="E5:E7"/>
    <mergeCell ref="C5:C7"/>
    <mergeCell ref="D5:D7"/>
    <mergeCell ref="C93:F93"/>
    <mergeCell ref="C112:F112"/>
    <mergeCell ref="C135:F135"/>
    <mergeCell ref="C259:F259"/>
    <mergeCell ref="C100:F100"/>
    <mergeCell ref="C149:F149"/>
    <mergeCell ref="C104:F104"/>
    <mergeCell ref="C148:F148"/>
    <mergeCell ref="C146:F146"/>
    <mergeCell ref="C140:F140"/>
    <mergeCell ref="C143:F143"/>
    <mergeCell ref="C125:F125"/>
    <mergeCell ref="C126:F126"/>
    <mergeCell ref="C163:F163"/>
    <mergeCell ref="B5:B7"/>
    <mergeCell ref="B171:B173"/>
    <mergeCell ref="K171:N172"/>
    <mergeCell ref="O171:AH171"/>
    <mergeCell ref="AI171:AL172"/>
    <mergeCell ref="C161:F161"/>
    <mergeCell ref="C156:F156"/>
    <mergeCell ref="C158:F158"/>
    <mergeCell ref="C160:F160"/>
    <mergeCell ref="A3:AX3"/>
    <mergeCell ref="C171:C173"/>
    <mergeCell ref="D171:D173"/>
    <mergeCell ref="C83:F83"/>
    <mergeCell ref="C90:F90"/>
    <mergeCell ref="C92:F92"/>
    <mergeCell ref="F171:F173"/>
    <mergeCell ref="C113:F113"/>
    <mergeCell ref="C121:F121"/>
    <mergeCell ref="C123:F123"/>
    <mergeCell ref="C306:F306"/>
    <mergeCell ref="C301:F301"/>
    <mergeCell ref="C322:F322"/>
    <mergeCell ref="C309:F309"/>
    <mergeCell ref="C312:F312"/>
    <mergeCell ref="C314:F314"/>
    <mergeCell ref="C315:F315"/>
    <mergeCell ref="C303:F303"/>
    <mergeCell ref="C329:F329"/>
    <mergeCell ref="C279:F279"/>
    <mergeCell ref="C287:F287"/>
    <mergeCell ref="C289:F289"/>
    <mergeCell ref="C291:F291"/>
    <mergeCell ref="C292:F292"/>
    <mergeCell ref="C326:F326"/>
    <mergeCell ref="C327:F327"/>
    <mergeCell ref="C324:F324"/>
    <mergeCell ref="C305:F305"/>
    <mergeCell ref="O172:R172"/>
    <mergeCell ref="S172:V172"/>
    <mergeCell ref="W172:Z172"/>
    <mergeCell ref="AA172:AD172"/>
    <mergeCell ref="AE172:AH172"/>
    <mergeCell ref="AM172:AP172"/>
    <mergeCell ref="C278:F278"/>
    <mergeCell ref="A169:AX169"/>
    <mergeCell ref="A171:A173"/>
    <mergeCell ref="E171:E173"/>
    <mergeCell ref="C249:F249"/>
    <mergeCell ref="C256:F256"/>
    <mergeCell ref="C258:F258"/>
    <mergeCell ref="C266:F266"/>
    <mergeCell ref="C270:F270"/>
    <mergeCell ref="AM171:AX171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7" max="16383" man="1"/>
  </rowBreaks>
  <colBreaks count="1" manualBreakCount="1">
    <brk id="3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AP286"/>
  <sheetViews>
    <sheetView zoomScale="85" zoomScaleNormal="85" workbookViewId="0"/>
  </sheetViews>
  <sheetFormatPr defaultColWidth="13" defaultRowHeight="12"/>
  <cols>
    <col min="1" max="1" width="5" style="508" customWidth="1"/>
    <col min="2" max="2" width="74.140625" style="261" bestFit="1" customWidth="1"/>
    <col min="3" max="9" width="11.5703125" style="261" customWidth="1"/>
    <col min="10" max="10" width="11.5703125" style="507" customWidth="1"/>
    <col min="11" max="18" width="11.5703125" style="261" customWidth="1"/>
    <col min="19" max="19" width="11.5703125" style="507" customWidth="1"/>
    <col min="20" max="22" width="11.5703125" style="261" customWidth="1"/>
    <col min="23" max="23" width="11.5703125" style="507" customWidth="1"/>
    <col min="24" max="24" width="11.42578125" style="261" customWidth="1"/>
    <col min="25" max="26" width="9.28515625" style="261" hidden="1" customWidth="1"/>
    <col min="27" max="27" width="10.140625" style="261" hidden="1" customWidth="1"/>
    <col min="28" max="29" width="13" style="261" hidden="1" customWidth="1"/>
    <col min="30" max="30" width="10.28515625" style="261" hidden="1" customWidth="1"/>
    <col min="31" max="31" width="9.28515625" style="261" hidden="1" customWidth="1"/>
    <col min="32" max="37" width="13" style="261" hidden="1" customWidth="1"/>
    <col min="38" max="16384" width="13" style="261"/>
  </cols>
  <sheetData>
    <row r="1" spans="1:42" s="622" customFormat="1" ht="15.75">
      <c r="A1" s="621"/>
      <c r="J1" s="623"/>
      <c r="S1" s="623"/>
      <c r="W1" s="188" t="s">
        <v>591</v>
      </c>
    </row>
    <row r="2" spans="1:42" s="622" customFormat="1" ht="15.75">
      <c r="A2" s="621"/>
      <c r="J2" s="623"/>
      <c r="S2" s="623"/>
      <c r="W2" s="188"/>
    </row>
    <row r="3" spans="1:42" s="623" customFormat="1" ht="15.75">
      <c r="A3" s="1753"/>
      <c r="B3" s="1901" t="s">
        <v>827</v>
      </c>
      <c r="C3" s="1901"/>
      <c r="D3" s="1901"/>
      <c r="E3" s="1901"/>
      <c r="F3" s="1901"/>
      <c r="G3" s="1901"/>
      <c r="H3" s="1901"/>
      <c r="I3" s="1901"/>
      <c r="J3" s="1901"/>
      <c r="K3" s="1901"/>
      <c r="L3" s="1901"/>
      <c r="M3" s="1901"/>
      <c r="N3" s="1901"/>
      <c r="O3" s="1901"/>
      <c r="P3" s="1901"/>
      <c r="Q3" s="1901"/>
      <c r="R3" s="1901"/>
      <c r="S3" s="1901"/>
      <c r="T3" s="1901"/>
      <c r="U3" s="1901"/>
      <c r="V3" s="1901"/>
      <c r="W3" s="1901"/>
      <c r="AB3" s="622"/>
      <c r="AC3" s="622"/>
      <c r="AD3" s="622"/>
      <c r="AE3" s="622"/>
      <c r="AF3" s="622"/>
      <c r="AG3" s="622"/>
      <c r="AH3" s="622"/>
      <c r="AI3" s="622"/>
      <c r="AJ3" s="622"/>
      <c r="AK3" s="622"/>
      <c r="AL3" s="622"/>
      <c r="AM3" s="622"/>
      <c r="AN3" s="622"/>
      <c r="AO3" s="622"/>
      <c r="AP3" s="622"/>
    </row>
    <row r="4" spans="1:42" s="507" customFormat="1" ht="11.25" customHeight="1">
      <c r="A4" s="559"/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</row>
    <row r="5" spans="1:42" ht="12.75" thickBot="1">
      <c r="W5" s="238" t="s">
        <v>457</v>
      </c>
    </row>
    <row r="6" spans="1:42" s="510" customFormat="1" ht="72.75" thickBot="1">
      <c r="A6" s="1285" t="s">
        <v>17</v>
      </c>
      <c r="B6" s="452" t="s">
        <v>1540</v>
      </c>
      <c r="C6" s="839" t="s">
        <v>762</v>
      </c>
      <c r="D6" s="354" t="s">
        <v>524</v>
      </c>
      <c r="E6" s="354" t="s">
        <v>763</v>
      </c>
      <c r="F6" s="354" t="s">
        <v>1143</v>
      </c>
      <c r="G6" s="354" t="s">
        <v>531</v>
      </c>
      <c r="H6" s="354" t="s">
        <v>532</v>
      </c>
      <c r="I6" s="353" t="s">
        <v>1144</v>
      </c>
      <c r="J6" s="296" t="s">
        <v>523</v>
      </c>
      <c r="K6" s="839" t="s">
        <v>46</v>
      </c>
      <c r="L6" s="354" t="s">
        <v>446</v>
      </c>
      <c r="M6" s="354" t="s">
        <v>447</v>
      </c>
      <c r="N6" s="354" t="s">
        <v>765</v>
      </c>
      <c r="O6" s="354" t="s">
        <v>1145</v>
      </c>
      <c r="P6" s="354" t="s">
        <v>450</v>
      </c>
      <c r="Q6" s="354" t="s">
        <v>451</v>
      </c>
      <c r="R6" s="291" t="s">
        <v>1146</v>
      </c>
      <c r="S6" s="296" t="s">
        <v>526</v>
      </c>
      <c r="T6" s="509" t="s">
        <v>755</v>
      </c>
      <c r="U6" s="1041" t="s">
        <v>1537</v>
      </c>
      <c r="V6" s="1021" t="s">
        <v>1536</v>
      </c>
      <c r="W6" s="509" t="s">
        <v>756</v>
      </c>
      <c r="AB6" s="510" t="s">
        <v>1153</v>
      </c>
      <c r="AC6" s="510" t="s">
        <v>1064</v>
      </c>
      <c r="AD6" s="510" t="s">
        <v>1039</v>
      </c>
      <c r="AE6" s="510" t="s">
        <v>1215</v>
      </c>
      <c r="AF6" s="510" t="s">
        <v>1151</v>
      </c>
      <c r="AG6" s="510" t="s">
        <v>1150</v>
      </c>
      <c r="AH6" s="510" t="s">
        <v>1149</v>
      </c>
      <c r="AI6" s="510" t="s">
        <v>1154</v>
      </c>
      <c r="AJ6" s="510" t="s">
        <v>1216</v>
      </c>
    </row>
    <row r="7" spans="1:42">
      <c r="A7" s="783">
        <v>1</v>
      </c>
      <c r="B7" s="695" t="s">
        <v>414</v>
      </c>
      <c r="C7" s="512">
        <f>+SUMIF('13.mell_ÖNKfeladatok2020'!$B$5:$B$163,'14.mell_Önk kiegészítés2020'!$A7,'13.mell_ÖNKfeladatok2020'!O$5:O$163)</f>
        <v>0</v>
      </c>
      <c r="D7" s="512">
        <f>+SUMIF('13.mell_ÖNKfeladatok2020'!$B$5:$B$163,'14.mell_Önk kiegészítés2020'!$A7,'13.mell_ÖNKfeladatok2020'!S$5:S$163)</f>
        <v>0</v>
      </c>
      <c r="E7" s="512">
        <f>+SUMIF('13.mell_ÖNKfeladatok2020'!$B$5:$B$163,'14.mell_Önk kiegészítés2020'!$A7,'13.mell_ÖNKfeladatok2020'!W$5:W$163)</f>
        <v>0</v>
      </c>
      <c r="F7" s="512">
        <f>+SUMIF('13.mell_ÖNKfeladatok2020'!$B$5:$B$163,'14.mell_Önk kiegészítés2020'!$A7,'13.mell_ÖNKfeladatok2020'!AA$5:AA$163)</f>
        <v>0</v>
      </c>
      <c r="G7" s="512">
        <f>+SUMIF('13.mell_ÖNKfeladatok2020'!$B$5:$B$163,'14.mell_Önk kiegészítés2020'!$A7,'13.mell_ÖNKfeladatok2020'!AI$5:AI$163)</f>
        <v>0</v>
      </c>
      <c r="H7" s="512">
        <f>+SUMIF('13.mell_ÖNKfeladatok2020'!$B$5:$B$163,'14.mell_Önk kiegészítés2020'!$A7,'13.mell_ÖNKfeladatok2020'!AM$5:AM$163)</f>
        <v>0</v>
      </c>
      <c r="I7" s="512">
        <f>+SUMIF('13.mell_ÖNKfeladatok2020'!$B$5:$B$163,'14.mell_Önk kiegészítés2020'!$A7,'13.mell_ÖNKfeladatok2020'!AQ$5:AQ$163)</f>
        <v>0</v>
      </c>
      <c r="J7" s="696">
        <f t="shared" ref="J7:J14" si="0">SUM(C7:I7)</f>
        <v>0</v>
      </c>
      <c r="K7" s="512">
        <f>+SUMIF('13.mell_ÖNKfeladatok2020'!$B$171:$B$329,'14.mell_Önk kiegészítés2020'!$A7,'13.mell_ÖNKfeladatok2020'!O$171:O$329)</f>
        <v>43051.999999999993</v>
      </c>
      <c r="L7" s="512">
        <f>+SUMIF('13.mell_ÖNKfeladatok2020'!$B$171:$B$329,'14.mell_Önk kiegészítés2020'!$A7,'13.mell_ÖNKfeladatok2020'!S$171:S$329)</f>
        <v>6719</v>
      </c>
      <c r="M7" s="512">
        <f>+SUMIF('13.mell_ÖNKfeladatok2020'!$B$171:$B$329,'14.mell_Önk kiegészítés2020'!$A7,'13.mell_ÖNKfeladatok2020'!W$171:W$329)</f>
        <v>658</v>
      </c>
      <c r="N7" s="512">
        <f>+SUMIF('13.mell_ÖNKfeladatok2020'!$B$171:$B$329,'14.mell_Önk kiegészítés2020'!$A7,'13.mell_ÖNKfeladatok2020'!AA$171:AA$329)</f>
        <v>0</v>
      </c>
      <c r="O7" s="512">
        <f>+SUMIF('13.mell_ÖNKfeladatok2020'!$B$171:$B$329,'14.mell_Önk kiegészítés2020'!$A7,'13.mell_ÖNKfeladatok2020'!AE$171:AE$329)</f>
        <v>0</v>
      </c>
      <c r="P7" s="512">
        <f>+SUMIF('13.mell_ÖNKfeladatok2020'!$B$171:$B$329,'14.mell_Önk kiegészítés2020'!$A7,'13.mell_ÖNKfeladatok2020'!AM$171:AM$329)</f>
        <v>0</v>
      </c>
      <c r="Q7" s="512">
        <f>+SUMIF('13.mell_ÖNKfeladatok2020'!$B$171:$B$329,'14.mell_Önk kiegészítés2020'!$A7,'13.mell_ÖNKfeladatok2020'!AQ$171:AQ$329)</f>
        <v>0</v>
      </c>
      <c r="R7" s="512">
        <f>+SUMIF('13.mell_ÖNKfeladatok2020'!$B$171:$B$329,'14.mell_Önk kiegészítés2020'!$A7,'13.mell_ÖNKfeladatok2020'!AU$171:AU$329)</f>
        <v>0</v>
      </c>
      <c r="S7" s="696">
        <f t="shared" ref="S7:S14" si="1">SUM(K7:R7)</f>
        <v>50428.999999999993</v>
      </c>
      <c r="T7" s="697">
        <f t="shared" ref="T7:T14" si="2">S7-J7</f>
        <v>50428.999999999993</v>
      </c>
      <c r="U7" s="512">
        <f>+ROUND(SUMIF('10.mell_támogatások2020'!$B$6:$B$137,'14.mell_Önk kiegészítés2020'!$A7,'10.mell_támogatások2020'!D$6:D$137)/1000,0)</f>
        <v>1794</v>
      </c>
      <c r="V7" s="512"/>
      <c r="W7" s="697">
        <f>+T7-U7-V7</f>
        <v>48634.999999999993</v>
      </c>
    </row>
    <row r="8" spans="1:42">
      <c r="A8" s="784">
        <f>+A7+1</f>
        <v>2</v>
      </c>
      <c r="B8" s="511" t="s">
        <v>649</v>
      </c>
      <c r="C8" s="512">
        <f>+SUMIF('13.mell_ÖNKfeladatok2020'!$B$5:$B$163,'14.mell_Önk kiegészítés2020'!$A8,'13.mell_ÖNKfeladatok2020'!O$5:O$163)</f>
        <v>0</v>
      </c>
      <c r="D8" s="512">
        <f>+SUMIF('13.mell_ÖNKfeladatok2020'!$B$5:$B$163,'14.mell_Önk kiegészítés2020'!$A8,'13.mell_ÖNKfeladatok2020'!S$5:S$163)</f>
        <v>0</v>
      </c>
      <c r="E8" s="512">
        <f>+SUMIF('13.mell_ÖNKfeladatok2020'!$B$5:$B$163,'14.mell_Önk kiegészítés2020'!$A8,'13.mell_ÖNKfeladatok2020'!W$5:W$163)</f>
        <v>1500</v>
      </c>
      <c r="F8" s="512">
        <f>+SUMIF('13.mell_ÖNKfeladatok2020'!$B$5:$B$163,'14.mell_Önk kiegészítés2020'!$A8,'13.mell_ÖNKfeladatok2020'!AA$5:AA$163)</f>
        <v>0</v>
      </c>
      <c r="G8" s="512">
        <f>+SUMIF('13.mell_ÖNKfeladatok2020'!$B$5:$B$163,'14.mell_Önk kiegészítés2020'!$A8,'13.mell_ÖNKfeladatok2020'!AI$5:AI$163)</f>
        <v>0</v>
      </c>
      <c r="H8" s="512">
        <f>+SUMIF('13.mell_ÖNKfeladatok2020'!$B$5:$B$163,'14.mell_Önk kiegészítés2020'!$A8,'13.mell_ÖNKfeladatok2020'!AM$5:AM$163)</f>
        <v>0</v>
      </c>
      <c r="I8" s="512">
        <f>+SUMIF('13.mell_ÖNKfeladatok2020'!$B$5:$B$163,'14.mell_Önk kiegészítés2020'!$A8,'13.mell_ÖNKfeladatok2020'!AQ$5:AQ$163)</f>
        <v>0</v>
      </c>
      <c r="J8" s="553">
        <f t="shared" si="0"/>
        <v>1500</v>
      </c>
      <c r="K8" s="512">
        <f>+SUMIF('13.mell_ÖNKfeladatok2020'!$B$171:$B$329,'14.mell_Önk kiegészítés2020'!$A8,'13.mell_ÖNKfeladatok2020'!O$171:O$329)</f>
        <v>0</v>
      </c>
      <c r="L8" s="512">
        <f>+SUMIF('13.mell_ÖNKfeladatok2020'!$B$171:$B$329,'14.mell_Önk kiegészítés2020'!$A8,'13.mell_ÖNKfeladatok2020'!S$171:S$329)</f>
        <v>0</v>
      </c>
      <c r="M8" s="512">
        <f>+SUMIF('13.mell_ÖNKfeladatok2020'!$B$171:$B$329,'14.mell_Önk kiegészítés2020'!$A8,'13.mell_ÖNKfeladatok2020'!W$171:W$329)</f>
        <v>2319</v>
      </c>
      <c r="N8" s="512">
        <f>+SUMIF('13.mell_ÖNKfeladatok2020'!$B$171:$B$329,'14.mell_Önk kiegészítés2020'!$A8,'13.mell_ÖNKfeladatok2020'!AA$171:AA$329)</f>
        <v>0</v>
      </c>
      <c r="O8" s="512">
        <f>+SUMIF('13.mell_ÖNKfeladatok2020'!$B$171:$B$329,'14.mell_Önk kiegészítés2020'!$A8,'13.mell_ÖNKfeladatok2020'!AE$171:AE$329)</f>
        <v>0</v>
      </c>
      <c r="P8" s="512">
        <f>+SUMIF('13.mell_ÖNKfeladatok2020'!$B$171:$B$329,'14.mell_Önk kiegészítés2020'!$A8,'13.mell_ÖNKfeladatok2020'!AM$171:AM$329)</f>
        <v>0</v>
      </c>
      <c r="Q8" s="512">
        <f>+SUMIF('13.mell_ÖNKfeladatok2020'!$B$171:$B$329,'14.mell_Önk kiegészítés2020'!$A8,'13.mell_ÖNKfeladatok2020'!AQ$171:AQ$329)</f>
        <v>0</v>
      </c>
      <c r="R8" s="512">
        <f>+SUMIF('13.mell_ÖNKfeladatok2020'!$B$171:$B$329,'14.mell_Önk kiegészítés2020'!$A8,'13.mell_ÖNKfeladatok2020'!AU$171:AU$329)</f>
        <v>0</v>
      </c>
      <c r="S8" s="553">
        <f t="shared" si="1"/>
        <v>2319</v>
      </c>
      <c r="T8" s="513">
        <f t="shared" si="2"/>
        <v>819</v>
      </c>
      <c r="U8" s="1042">
        <f>+ROUND(SUMIF('10.mell_támogatások2020'!$B$6:$B$137,'14.mell_Önk kiegészítés2020'!$A8,'10.mell_támogatások2020'!D$6:D$137)/1000,0)</f>
        <v>3460</v>
      </c>
      <c r="V8" s="1022"/>
      <c r="W8" s="513">
        <f t="shared" ref="W8:W14" si="3">+T8-U8-V8</f>
        <v>-2641</v>
      </c>
    </row>
    <row r="9" spans="1:42">
      <c r="A9" s="784">
        <f>+A8+1</f>
        <v>3</v>
      </c>
      <c r="B9" s="514" t="s">
        <v>644</v>
      </c>
      <c r="C9" s="515">
        <f>+SUMIF('13.mell_ÖNKfeladatok2020'!$B$5:$B$163,'14.mell_Önk kiegészítés2020'!$A9,'13.mell_ÖNKfeladatok2020'!O$5:O$163)</f>
        <v>0</v>
      </c>
      <c r="D9" s="515">
        <f>+SUMIF('13.mell_ÖNKfeladatok2020'!$B$5:$B$163,'14.mell_Önk kiegészítés2020'!$A9,'13.mell_ÖNKfeladatok2020'!S$5:S$163)</f>
        <v>0</v>
      </c>
      <c r="E9" s="515">
        <f>+SUMIF('13.mell_ÖNKfeladatok2020'!$B$5:$B$163,'14.mell_Önk kiegészítés2020'!$A9,'13.mell_ÖNKfeladatok2020'!W$5:W$163)</f>
        <v>0</v>
      </c>
      <c r="F9" s="515">
        <f>+SUMIF('13.mell_ÖNKfeladatok2020'!$B$5:$B$163,'14.mell_Önk kiegészítés2020'!$A9,'13.mell_ÖNKfeladatok2020'!AA$5:AA$163)</f>
        <v>0</v>
      </c>
      <c r="G9" s="512">
        <f>+SUMIF('13.mell_ÖNKfeladatok2020'!$B$5:$B$163,'14.mell_Önk kiegészítés2020'!$A9,'13.mell_ÖNKfeladatok2020'!AI$5:AI$163)</f>
        <v>0</v>
      </c>
      <c r="H9" s="515">
        <f>+SUMIF('13.mell_ÖNKfeladatok2020'!$B$5:$B$163,'14.mell_Önk kiegészítés2020'!$A9,'13.mell_ÖNKfeladatok2020'!AM$5:AM$163)</f>
        <v>0</v>
      </c>
      <c r="I9" s="515">
        <f>+SUMIF('13.mell_ÖNKfeladatok2020'!$B$5:$B$163,'14.mell_Önk kiegészítés2020'!$A9,'13.mell_ÖNKfeladatok2020'!AQ$5:AQ$163)</f>
        <v>0</v>
      </c>
      <c r="J9" s="554">
        <f t="shared" si="0"/>
        <v>0</v>
      </c>
      <c r="K9" s="515">
        <f>+SUMIF('13.mell_ÖNKfeladatok2020'!$B$171:$B$329,'14.mell_Önk kiegészítés2020'!$A9,'13.mell_ÖNKfeladatok2020'!O$171:O$329)</f>
        <v>0</v>
      </c>
      <c r="L9" s="515">
        <f>+SUMIF('13.mell_ÖNKfeladatok2020'!$B$171:$B$329,'14.mell_Önk kiegészítés2020'!$A9,'13.mell_ÖNKfeladatok2020'!S$171:S$329)</f>
        <v>0</v>
      </c>
      <c r="M9" s="515">
        <f>+SUMIF('13.mell_ÖNKfeladatok2020'!$B$171:$B$329,'14.mell_Önk kiegészítés2020'!$A9,'13.mell_ÖNKfeladatok2020'!W$171:W$329)</f>
        <v>25000</v>
      </c>
      <c r="N9" s="515">
        <f>+SUMIF('13.mell_ÖNKfeladatok2020'!$B$171:$B$329,'14.mell_Önk kiegészítés2020'!$A9,'13.mell_ÖNKfeladatok2020'!AA$171:AA$329)</f>
        <v>0</v>
      </c>
      <c r="O9" s="515">
        <f>+SUMIF('13.mell_ÖNKfeladatok2020'!$B$171:$B$329,'14.mell_Önk kiegészítés2020'!$A9,'13.mell_ÖNKfeladatok2020'!AE$171:AE$329)</f>
        <v>0</v>
      </c>
      <c r="P9" s="515">
        <f>+SUMIF('13.mell_ÖNKfeladatok2020'!$B$171:$B$329,'14.mell_Önk kiegészítés2020'!$A9,'13.mell_ÖNKfeladatok2020'!AM$171:AM$329)</f>
        <v>1500</v>
      </c>
      <c r="Q9" s="515">
        <f>+SUMIF('13.mell_ÖNKfeladatok2020'!$B$171:$B$329,'14.mell_Önk kiegészítés2020'!$A9,'13.mell_ÖNKfeladatok2020'!AQ$171:AQ$329)</f>
        <v>0</v>
      </c>
      <c r="R9" s="515">
        <f>+SUMIF('13.mell_ÖNKfeladatok2020'!$B$171:$B$329,'14.mell_Önk kiegészítés2020'!$A9,'13.mell_ÖNKfeladatok2020'!AU$171:AU$329)</f>
        <v>0</v>
      </c>
      <c r="S9" s="554">
        <f t="shared" si="1"/>
        <v>26500</v>
      </c>
      <c r="T9" s="516">
        <f t="shared" si="2"/>
        <v>26500</v>
      </c>
      <c r="U9" s="1042">
        <f>+ROUND(SUMIF('10.mell_támogatások2020'!$B$6:$B$137,'14.mell_Önk kiegészítés2020'!$A9,'10.mell_támogatások2020'!D$6:D$137)/1000,0)</f>
        <v>26600</v>
      </c>
      <c r="V9" s="1022"/>
      <c r="W9" s="516">
        <f t="shared" si="3"/>
        <v>-100</v>
      </c>
    </row>
    <row r="10" spans="1:42">
      <c r="A10" s="784">
        <f>+A9+1</f>
        <v>4</v>
      </c>
      <c r="B10" s="514" t="s">
        <v>646</v>
      </c>
      <c r="C10" s="515">
        <f>+SUMIF('13.mell_ÖNKfeladatok2020'!$B$5:$B$163,'14.mell_Önk kiegészítés2020'!$A10,'13.mell_ÖNKfeladatok2020'!O$5:O$163)</f>
        <v>0</v>
      </c>
      <c r="D10" s="515">
        <f>+SUMIF('13.mell_ÖNKfeladatok2020'!$B$5:$B$163,'14.mell_Önk kiegészítés2020'!$A10,'13.mell_ÖNKfeladatok2020'!S$5:S$163)</f>
        <v>0</v>
      </c>
      <c r="E10" s="515">
        <f>+SUMIF('13.mell_ÖNKfeladatok2020'!$B$5:$B$163,'14.mell_Önk kiegészítés2020'!$A10,'13.mell_ÖNKfeladatok2020'!W$5:W$163)</f>
        <v>0</v>
      </c>
      <c r="F10" s="515">
        <f>+SUMIF('13.mell_ÖNKfeladatok2020'!$B$5:$B$163,'14.mell_Önk kiegészítés2020'!$A10,'13.mell_ÖNKfeladatok2020'!AA$5:AA$163)</f>
        <v>0</v>
      </c>
      <c r="G10" s="512">
        <f>+SUMIF('13.mell_ÖNKfeladatok2020'!$B$5:$B$163,'14.mell_Önk kiegészítés2020'!$A10,'13.mell_ÖNKfeladatok2020'!AI$5:AI$163)</f>
        <v>0</v>
      </c>
      <c r="H10" s="515">
        <f>+SUMIF('13.mell_ÖNKfeladatok2020'!$B$5:$B$163,'14.mell_Önk kiegészítés2020'!$A10,'13.mell_ÖNKfeladatok2020'!AM$5:AM$163)</f>
        <v>0</v>
      </c>
      <c r="I10" s="515">
        <f>+SUMIF('13.mell_ÖNKfeladatok2020'!$B$5:$B$163,'14.mell_Önk kiegészítés2020'!$A10,'13.mell_ÖNKfeladatok2020'!AQ$5:AQ$163)</f>
        <v>0</v>
      </c>
      <c r="J10" s="554">
        <f t="shared" si="0"/>
        <v>0</v>
      </c>
      <c r="K10" s="515">
        <f>+SUMIF('13.mell_ÖNKfeladatok2020'!$B$171:$B$329,'14.mell_Önk kiegészítés2020'!$A10,'13.mell_ÖNKfeladatok2020'!O$171:O$329)</f>
        <v>0</v>
      </c>
      <c r="L10" s="515">
        <f>+SUMIF('13.mell_ÖNKfeladatok2020'!$B$171:$B$329,'14.mell_Önk kiegészítés2020'!$A10,'13.mell_ÖNKfeladatok2020'!S$171:S$329)</f>
        <v>0</v>
      </c>
      <c r="M10" s="515">
        <f>+SUMIF('13.mell_ÖNKfeladatok2020'!$B$171:$B$329,'14.mell_Önk kiegészítés2020'!$A10,'13.mell_ÖNKfeladatok2020'!W$171:W$329)</f>
        <v>13381</v>
      </c>
      <c r="N10" s="515">
        <f>+SUMIF('13.mell_ÖNKfeladatok2020'!$B$171:$B$329,'14.mell_Önk kiegészítés2020'!$A10,'13.mell_ÖNKfeladatok2020'!AA$171:AA$329)</f>
        <v>0</v>
      </c>
      <c r="O10" s="515">
        <f>+SUMIF('13.mell_ÖNKfeladatok2020'!$B$171:$B$329,'14.mell_Önk kiegészítés2020'!$A10,'13.mell_ÖNKfeladatok2020'!AE$171:AE$329)</f>
        <v>0</v>
      </c>
      <c r="P10" s="515">
        <f>+SUMIF('13.mell_ÖNKfeladatok2020'!$B$171:$B$329,'14.mell_Önk kiegészítés2020'!$A10,'13.mell_ÖNKfeladatok2020'!AM$171:AM$329)</f>
        <v>0</v>
      </c>
      <c r="Q10" s="515">
        <f>+SUMIF('13.mell_ÖNKfeladatok2020'!$B$171:$B$329,'14.mell_Önk kiegészítés2020'!$A10,'13.mell_ÖNKfeladatok2020'!AQ$171:AQ$329)</f>
        <v>0</v>
      </c>
      <c r="R10" s="515">
        <f>+SUMIF('13.mell_ÖNKfeladatok2020'!$B$171:$B$329,'14.mell_Önk kiegészítés2020'!$A10,'13.mell_ÖNKfeladatok2020'!AU$171:AU$329)</f>
        <v>0</v>
      </c>
      <c r="S10" s="554">
        <f t="shared" si="1"/>
        <v>13381</v>
      </c>
      <c r="T10" s="516">
        <f t="shared" si="2"/>
        <v>13381</v>
      </c>
      <c r="U10" s="1042">
        <f>+ROUND(SUMIF('10.mell_támogatások2020'!$B$6:$B$137,'14.mell_Önk kiegészítés2020'!$A10,'10.mell_támogatások2020'!D$6:D$137)/1000,0)</f>
        <v>15266</v>
      </c>
      <c r="V10" s="1022">
        <v>13930</v>
      </c>
      <c r="W10" s="516">
        <f t="shared" si="3"/>
        <v>-15815</v>
      </c>
      <c r="AI10" s="261">
        <v>13930</v>
      </c>
    </row>
    <row r="11" spans="1:42">
      <c r="A11" s="784">
        <f>+A10+1</f>
        <v>5</v>
      </c>
      <c r="B11" s="514" t="s">
        <v>643</v>
      </c>
      <c r="C11" s="515">
        <f>+SUMIF('13.mell_ÖNKfeladatok2020'!$B$5:$B$163,'14.mell_Önk kiegészítés2020'!$A11,'13.mell_ÖNKfeladatok2020'!O$5:O$163)</f>
        <v>0</v>
      </c>
      <c r="D11" s="515">
        <f>+SUMIF('13.mell_ÖNKfeladatok2020'!$B$5:$B$163,'14.mell_Önk kiegészítés2020'!$A11,'13.mell_ÖNKfeladatok2020'!S$5:S$163)</f>
        <v>0</v>
      </c>
      <c r="E11" s="515">
        <f>+SUMIF('13.mell_ÖNKfeladatok2020'!$B$5:$B$163,'14.mell_Önk kiegészítés2020'!$A11,'13.mell_ÖNKfeladatok2020'!W$5:W$163)</f>
        <v>0</v>
      </c>
      <c r="F11" s="515">
        <f>+SUMIF('13.mell_ÖNKfeladatok2020'!$B$5:$B$163,'14.mell_Önk kiegészítés2020'!$A11,'13.mell_ÖNKfeladatok2020'!AA$5:AA$163)</f>
        <v>0</v>
      </c>
      <c r="G11" s="512">
        <f>+SUMIF('13.mell_ÖNKfeladatok2020'!$B$5:$B$163,'14.mell_Önk kiegészítés2020'!$A11,'13.mell_ÖNKfeladatok2020'!AI$5:AI$163)</f>
        <v>0</v>
      </c>
      <c r="H11" s="515">
        <f>+SUMIF('13.mell_ÖNKfeladatok2020'!$B$5:$B$163,'14.mell_Önk kiegészítés2020'!$A11,'13.mell_ÖNKfeladatok2020'!AM$5:AM$163)</f>
        <v>0</v>
      </c>
      <c r="I11" s="515">
        <f>+SUMIF('13.mell_ÖNKfeladatok2020'!$B$5:$B$163,'14.mell_Önk kiegészítés2020'!$A11,'13.mell_ÖNKfeladatok2020'!AQ$5:AQ$163)</f>
        <v>0</v>
      </c>
      <c r="J11" s="554">
        <f t="shared" si="0"/>
        <v>0</v>
      </c>
      <c r="K11" s="515">
        <f>+SUMIF('13.mell_ÖNKfeladatok2020'!$B$171:$B$329,'14.mell_Önk kiegészítés2020'!$A11,'13.mell_ÖNKfeladatok2020'!O$171:O$329)</f>
        <v>0</v>
      </c>
      <c r="L11" s="515">
        <f>+SUMIF('13.mell_ÖNKfeladatok2020'!$B$171:$B$329,'14.mell_Önk kiegészítés2020'!$A11,'13.mell_ÖNKfeladatok2020'!S$171:S$329)</f>
        <v>0</v>
      </c>
      <c r="M11" s="515">
        <f>+SUMIF('13.mell_ÖNKfeladatok2020'!$B$171:$B$329,'14.mell_Önk kiegészítés2020'!$A11,'13.mell_ÖNKfeladatok2020'!W$171:W$329)</f>
        <v>12899</v>
      </c>
      <c r="N11" s="515">
        <f>+SUMIF('13.mell_ÖNKfeladatok2020'!$B$171:$B$329,'14.mell_Önk kiegészítés2020'!$A11,'13.mell_ÖNKfeladatok2020'!AA$171:AA$329)</f>
        <v>0</v>
      </c>
      <c r="O11" s="515">
        <f>+SUMIF('13.mell_ÖNKfeladatok2020'!$B$171:$B$329,'14.mell_Önk kiegészítés2020'!$A11,'13.mell_ÖNKfeladatok2020'!AE$171:AE$329)</f>
        <v>0</v>
      </c>
      <c r="P11" s="515">
        <f>+SUMIF('13.mell_ÖNKfeladatok2020'!$B$171:$B$329,'14.mell_Önk kiegészítés2020'!$A11,'13.mell_ÖNKfeladatok2020'!AM$171:AM$329)</f>
        <v>0</v>
      </c>
      <c r="Q11" s="515">
        <f>+SUMIF('13.mell_ÖNKfeladatok2020'!$B$171:$B$329,'14.mell_Önk kiegészítés2020'!$A11,'13.mell_ÖNKfeladatok2020'!AQ$171:AQ$329)</f>
        <v>61258</v>
      </c>
      <c r="R11" s="515">
        <f>+SUMIF('13.mell_ÖNKfeladatok2020'!$B$171:$B$329,'14.mell_Önk kiegészítés2020'!$A11,'13.mell_ÖNKfeladatok2020'!AU$171:AU$329)</f>
        <v>0</v>
      </c>
      <c r="S11" s="554">
        <f t="shared" si="1"/>
        <v>74157</v>
      </c>
      <c r="T11" s="516">
        <f t="shared" si="2"/>
        <v>74157</v>
      </c>
      <c r="U11" s="1042">
        <f>+ROUND(SUMIF('10.mell_támogatások2020'!$B$6:$B$137,'14.mell_Önk kiegészítés2020'!$A11,'10.mell_támogatások2020'!D$6:D$137)/1000,0)</f>
        <v>14918</v>
      </c>
      <c r="V11" s="1022"/>
      <c r="W11" s="516">
        <f t="shared" si="3"/>
        <v>59239</v>
      </c>
    </row>
    <row r="12" spans="1:42">
      <c r="A12" s="784">
        <f>+A11+1</f>
        <v>6</v>
      </c>
      <c r="B12" s="514" t="s">
        <v>1481</v>
      </c>
      <c r="C12" s="515">
        <f>+SUMIF('13.mell_ÖNKfeladatok2020'!$B$5:$B$163,'14.mell_Önk kiegészítés2020'!$A12,'13.mell_ÖNKfeladatok2020'!O$5:O$163)</f>
        <v>0</v>
      </c>
      <c r="D12" s="515">
        <f>+SUMIF('13.mell_ÖNKfeladatok2020'!$B$5:$B$163,'14.mell_Önk kiegészítés2020'!$A12,'13.mell_ÖNKfeladatok2020'!S$5:S$163)</f>
        <v>0</v>
      </c>
      <c r="E12" s="515">
        <f>+SUMIF('13.mell_ÖNKfeladatok2020'!$B$5:$B$163,'14.mell_Önk kiegészítés2020'!$A12,'13.mell_ÖNKfeladatok2020'!W$5:W$163)</f>
        <v>0</v>
      </c>
      <c r="F12" s="515">
        <f>+SUMIF('13.mell_ÖNKfeladatok2020'!$B$5:$B$163,'14.mell_Önk kiegészítés2020'!$A12,'13.mell_ÖNKfeladatok2020'!AA$5:AA$163)</f>
        <v>0</v>
      </c>
      <c r="G12" s="512">
        <f>+SUMIF('13.mell_ÖNKfeladatok2020'!$B$5:$B$163,'14.mell_Önk kiegészítés2020'!$A12,'13.mell_ÖNKfeladatok2020'!AI$5:AI$163)</f>
        <v>0</v>
      </c>
      <c r="H12" s="515">
        <f>+SUMIF('13.mell_ÖNKfeladatok2020'!$B$5:$B$163,'14.mell_Önk kiegészítés2020'!$A12,'13.mell_ÖNKfeladatok2020'!AM$5:AM$163)</f>
        <v>0</v>
      </c>
      <c r="I12" s="515">
        <f>+SUMIF('13.mell_ÖNKfeladatok2020'!$B$5:$B$163,'14.mell_Önk kiegészítés2020'!$A12,'13.mell_ÖNKfeladatok2020'!AQ$5:AQ$163)</f>
        <v>0</v>
      </c>
      <c r="J12" s="554">
        <f t="shared" si="0"/>
        <v>0</v>
      </c>
      <c r="K12" s="515">
        <f>+SUMIF('13.mell_ÖNKfeladatok2020'!$B$171:$B$329,'14.mell_Önk kiegészítés2020'!$A12,'13.mell_ÖNKfeladatok2020'!O$171:O$329)</f>
        <v>0</v>
      </c>
      <c r="L12" s="515">
        <f>+SUMIF('13.mell_ÖNKfeladatok2020'!$B$171:$B$329,'14.mell_Önk kiegészítés2020'!$A12,'13.mell_ÖNKfeladatok2020'!S$171:S$329)</f>
        <v>0</v>
      </c>
      <c r="M12" s="515">
        <f>+SUMIF('13.mell_ÖNKfeladatok2020'!$B$171:$B$329,'14.mell_Önk kiegészítés2020'!$A12,'13.mell_ÖNKfeladatok2020'!W$171:W$329)</f>
        <v>0</v>
      </c>
      <c r="N12" s="515">
        <f>+SUMIF('13.mell_ÖNKfeladatok2020'!$B$171:$B$329,'14.mell_Önk kiegészítés2020'!$A12,'13.mell_ÖNKfeladatok2020'!AA$171:AA$329)</f>
        <v>49355</v>
      </c>
      <c r="O12" s="515">
        <f>+SUMIF('13.mell_ÖNKfeladatok2020'!$B$171:$B$329,'14.mell_Önk kiegészítés2020'!$A12,'13.mell_ÖNKfeladatok2020'!AE$171:AE$329)</f>
        <v>0</v>
      </c>
      <c r="P12" s="515">
        <f>+SUMIF('13.mell_ÖNKfeladatok2020'!$B$171:$B$329,'14.mell_Önk kiegészítés2020'!$A12,'13.mell_ÖNKfeladatok2020'!AM$171:AM$329)</f>
        <v>0</v>
      </c>
      <c r="Q12" s="515">
        <f>+SUMIF('13.mell_ÖNKfeladatok2020'!$B$171:$B$329,'14.mell_Önk kiegészítés2020'!$A12,'13.mell_ÖNKfeladatok2020'!AQ$171:AQ$329)</f>
        <v>0</v>
      </c>
      <c r="R12" s="515">
        <f>+SUMIF('13.mell_ÖNKfeladatok2020'!$B$171:$B$329,'14.mell_Önk kiegészítés2020'!$A12,'13.mell_ÖNKfeladatok2020'!AU$171:AU$329)</f>
        <v>0</v>
      </c>
      <c r="S12" s="554">
        <f t="shared" si="1"/>
        <v>49355</v>
      </c>
      <c r="T12" s="516">
        <f t="shared" si="2"/>
        <v>49355</v>
      </c>
      <c r="U12" s="1042">
        <f>+ROUND(SUMIF('10.mell_támogatások2020'!$B$6:$B$137,'14.mell_Önk kiegészítés2020'!$A12,'10.mell_támogatások2020'!D$6:D$137)/1000,0)</f>
        <v>122456</v>
      </c>
      <c r="V12" s="1022"/>
      <c r="W12" s="516">
        <f t="shared" si="3"/>
        <v>-73101</v>
      </c>
      <c r="Y12" s="837">
        <f>+W12+W16+W36+W37+W63-W36+13319</f>
        <v>-32355</v>
      </c>
      <c r="Z12" s="261" t="s">
        <v>1306</v>
      </c>
    </row>
    <row r="13" spans="1:42">
      <c r="A13" s="784">
        <f>A12+1</f>
        <v>7</v>
      </c>
      <c r="B13" s="514" t="s">
        <v>774</v>
      </c>
      <c r="C13" s="515">
        <f>+SUMIF('13.mell_ÖNKfeladatok2020'!$B$5:$B$163,'14.mell_Önk kiegészítés2020'!$A13,'13.mell_ÖNKfeladatok2020'!O$5:O$163)</f>
        <v>0</v>
      </c>
      <c r="D13" s="515">
        <f>+SUMIF('13.mell_ÖNKfeladatok2020'!$B$5:$B$163,'14.mell_Önk kiegészítés2020'!$A13,'13.mell_ÖNKfeladatok2020'!S$5:S$163)</f>
        <v>0</v>
      </c>
      <c r="E13" s="515">
        <f>+SUMIF('13.mell_ÖNKfeladatok2020'!$B$5:$B$163,'14.mell_Önk kiegészítés2020'!$A13,'13.mell_ÖNKfeladatok2020'!W$5:W$163)</f>
        <v>0</v>
      </c>
      <c r="F13" s="515">
        <f>+SUMIF('13.mell_ÖNKfeladatok2020'!$B$5:$B$163,'14.mell_Önk kiegészítés2020'!$A13,'13.mell_ÖNKfeladatok2020'!AA$5:AA$163)</f>
        <v>0</v>
      </c>
      <c r="G13" s="512">
        <f>+SUMIF('13.mell_ÖNKfeladatok2020'!$B$5:$B$163,'14.mell_Önk kiegészítés2020'!$A13,'13.mell_ÖNKfeladatok2020'!AI$5:AI$163)</f>
        <v>0</v>
      </c>
      <c r="H13" s="515">
        <f>+SUMIF('13.mell_ÖNKfeladatok2020'!$B$5:$B$163,'14.mell_Önk kiegészítés2020'!$A13,'13.mell_ÖNKfeladatok2020'!AM$5:AM$163)</f>
        <v>0</v>
      </c>
      <c r="I13" s="515">
        <f>+SUMIF('13.mell_ÖNKfeladatok2020'!$B$5:$B$163,'14.mell_Önk kiegészítés2020'!$A13,'13.mell_ÖNKfeladatok2020'!AQ$5:AQ$163)</f>
        <v>0</v>
      </c>
      <c r="J13" s="554">
        <f t="shared" si="0"/>
        <v>0</v>
      </c>
      <c r="K13" s="515">
        <f>+SUMIF('13.mell_ÖNKfeladatok2020'!$B$171:$B$329,'14.mell_Önk kiegészítés2020'!$A13,'13.mell_ÖNKfeladatok2020'!O$171:O$329)</f>
        <v>0</v>
      </c>
      <c r="L13" s="515">
        <f>+SUMIF('13.mell_ÖNKfeladatok2020'!$B$171:$B$329,'14.mell_Önk kiegészítés2020'!$A13,'13.mell_ÖNKfeladatok2020'!S$171:S$329)</f>
        <v>0</v>
      </c>
      <c r="M13" s="515">
        <f>+SUMIF('13.mell_ÖNKfeladatok2020'!$B$171:$B$329,'14.mell_Önk kiegészítés2020'!$A13,'13.mell_ÖNKfeladatok2020'!W$171:W$329)</f>
        <v>0</v>
      </c>
      <c r="N13" s="515">
        <f>+SUMIF('13.mell_ÖNKfeladatok2020'!$B$171:$B$329,'14.mell_Önk kiegészítés2020'!$A13,'13.mell_ÖNKfeladatok2020'!AA$171:AA$329)</f>
        <v>0</v>
      </c>
      <c r="O13" s="515">
        <f>+SUMIF('13.mell_ÖNKfeladatok2020'!$B$171:$B$329,'14.mell_Önk kiegészítés2020'!$A13,'13.mell_ÖNKfeladatok2020'!AE$171:AE$329)</f>
        <v>0</v>
      </c>
      <c r="P13" s="515">
        <f>+SUMIF('13.mell_ÖNKfeladatok2020'!$B$171:$B$329,'14.mell_Önk kiegészítés2020'!$A13,'13.mell_ÖNKfeladatok2020'!AM$171:AM$329)</f>
        <v>0</v>
      </c>
      <c r="Q13" s="515">
        <f>+SUMIF('13.mell_ÖNKfeladatok2020'!$B$171:$B$329,'14.mell_Önk kiegészítés2020'!$A13,'13.mell_ÖNKfeladatok2020'!AQ$171:AQ$329)</f>
        <v>0</v>
      </c>
      <c r="R13" s="515">
        <f>+SUMIF('13.mell_ÖNKfeladatok2020'!$B$171:$B$329,'14.mell_Önk kiegészítés2020'!$A13,'13.mell_ÖNKfeladatok2020'!AU$171:AU$329)</f>
        <v>0</v>
      </c>
      <c r="S13" s="554">
        <f t="shared" si="1"/>
        <v>0</v>
      </c>
      <c r="T13" s="516">
        <f t="shared" si="2"/>
        <v>0</v>
      </c>
      <c r="U13" s="1043">
        <f>+ROUND(SUMIF('10.mell_támogatások2020'!$B$6:$B$137,'14.mell_Önk kiegészítés2020'!$A13,'10.mell_támogatások2020'!D$6:D$137)/1000,0)</f>
        <v>0</v>
      </c>
      <c r="V13" s="1023"/>
      <c r="W13" s="516">
        <f t="shared" si="3"/>
        <v>0</v>
      </c>
    </row>
    <row r="14" spans="1:42" ht="12.75" thickBot="1">
      <c r="A14" s="784">
        <f>+A13+1</f>
        <v>8</v>
      </c>
      <c r="B14" s="517" t="s">
        <v>757</v>
      </c>
      <c r="C14" s="515">
        <f>+SUMIF('13.mell_ÖNKfeladatok2020'!$B$5:$B$163,'14.mell_Önk kiegészítés2020'!$A14,'13.mell_ÖNKfeladatok2020'!O$5:O$163)</f>
        <v>988986</v>
      </c>
      <c r="D14" s="518">
        <f>+SUMIF('13.mell_ÖNKfeladatok2020'!$B$5:$B$163,'14.mell_Önk kiegészítés2020'!$A14,'13.mell_ÖNKfeladatok2020'!S$5:S$163)</f>
        <v>396552</v>
      </c>
      <c r="E14" s="518">
        <f>+SUMIF('13.mell_ÖNKfeladatok2020'!$B$5:$B$163,'14.mell_Önk kiegészítés2020'!$A14,'13.mell_ÖNKfeladatok2020'!W$5:W$163)</f>
        <v>121738</v>
      </c>
      <c r="F14" s="518">
        <f>+SUMIF('13.mell_ÖNKfeladatok2020'!$B$5:$B$163,'14.mell_Önk kiegészítés2020'!$A14,'13.mell_ÖNKfeladatok2020'!AA$5:AA$163)</f>
        <v>0</v>
      </c>
      <c r="G14" s="512">
        <f>+SUMIF('13.mell_ÖNKfeladatok2020'!$B$5:$B$163,'14.mell_Önk kiegészítés2020'!$A14,'13.mell_ÖNKfeladatok2020'!AI$5:AI$163)</f>
        <v>32276</v>
      </c>
      <c r="H14" s="518">
        <f>+SUMIF('13.mell_ÖNKfeladatok2020'!$B$5:$B$163,'14.mell_Önk kiegészítés2020'!$A14,'13.mell_ÖNKfeladatok2020'!AM$5:AM$163)</f>
        <v>40350</v>
      </c>
      <c r="I14" s="518">
        <f>+SUMIF('13.mell_ÖNKfeladatok2020'!$B$5:$B$163,'14.mell_Önk kiegészítés2020'!$A14,'13.mell_ÖNKfeladatok2020'!AQ$5:AQ$163)</f>
        <v>0</v>
      </c>
      <c r="J14" s="554">
        <f t="shared" si="0"/>
        <v>1579902</v>
      </c>
      <c r="K14" s="515">
        <f>+SUMIF('13.mell_ÖNKfeladatok2020'!$B$171:$B$329,'14.mell_Önk kiegészítés2020'!$A14,'13.mell_ÖNKfeladatok2020'!O$171:O$329)</f>
        <v>33433</v>
      </c>
      <c r="L14" s="515">
        <f>+SUMIF('13.mell_ÖNKfeladatok2020'!$B$171:$B$329,'14.mell_Önk kiegészítés2020'!$A14,'13.mell_ÖNKfeladatok2020'!S$171:S$329)</f>
        <v>3695</v>
      </c>
      <c r="M14" s="515">
        <f>+SUMIF('13.mell_ÖNKfeladatok2020'!$B$171:$B$329,'14.mell_Önk kiegészítés2020'!$A14,'13.mell_ÖNKfeladatok2020'!W$171:W$329)</f>
        <v>129518</v>
      </c>
      <c r="N14" s="515">
        <f>+SUMIF('13.mell_ÖNKfeladatok2020'!$B$171:$B$329,'14.mell_Önk kiegészítés2020'!$A14,'13.mell_ÖNKfeladatok2020'!AA$171:AA$329)</f>
        <v>0</v>
      </c>
      <c r="O14" s="515">
        <f>+SUMIF('13.mell_ÖNKfeladatok2020'!$B$171:$B$329,'14.mell_Önk kiegészítés2020'!$A14,'13.mell_ÖNKfeladatok2020'!AE$171:AE$329)</f>
        <v>2708607</v>
      </c>
      <c r="P14" s="515">
        <f>+SUMIF('13.mell_ÖNKfeladatok2020'!$B$171:$B$329,'14.mell_Önk kiegészítés2020'!$A14,'13.mell_ÖNKfeladatok2020'!AM$171:AM$329)</f>
        <v>73500</v>
      </c>
      <c r="Q14" s="515">
        <f>+SUMIF('13.mell_ÖNKfeladatok2020'!$B$171:$B$329,'14.mell_Önk kiegészítés2020'!$A14,'13.mell_ÖNKfeladatok2020'!AQ$171:AQ$329)</f>
        <v>6000</v>
      </c>
      <c r="R14" s="515">
        <f>+SUMIF('13.mell_ÖNKfeladatok2020'!$B$171:$B$329,'14.mell_Önk kiegészítés2020'!$A14,'13.mell_ÖNKfeladatok2020'!AU$171:AU$329)</f>
        <v>0</v>
      </c>
      <c r="S14" s="554">
        <f t="shared" si="1"/>
        <v>2954753</v>
      </c>
      <c r="T14" s="516">
        <f t="shared" si="2"/>
        <v>1374851</v>
      </c>
      <c r="U14" s="1043">
        <f>-ROUND('10.mell_támogatások2020'!D$137/1000,0)+ROUND(SUMIF('10.mell_támogatások2020'!$B$6:$B$137,'14.mell_Önk kiegészítés2020'!$A14,'10.mell_támogatások2020'!D$6:D$137)/1000,0)-2</f>
        <v>-754252</v>
      </c>
      <c r="V14" s="1023">
        <f>2845803-33049-10024+61637</f>
        <v>2864367</v>
      </c>
      <c r="W14" s="516">
        <f t="shared" si="3"/>
        <v>-735264</v>
      </c>
      <c r="AC14" s="261">
        <v>2845803</v>
      </c>
      <c r="AE14" s="261">
        <f>-26419-6630</f>
        <v>-33049</v>
      </c>
      <c r="AF14" s="261">
        <v>-10024</v>
      </c>
      <c r="AI14" s="261">
        <f>11933+6559+43145</f>
        <v>61637</v>
      </c>
    </row>
    <row r="15" spans="1:42" s="507" customFormat="1" ht="12.75" thickBot="1">
      <c r="A15" s="519" t="s">
        <v>587</v>
      </c>
      <c r="B15" s="520" t="s">
        <v>410</v>
      </c>
      <c r="C15" s="521">
        <f>SUM(C7:C14)</f>
        <v>988986</v>
      </c>
      <c r="D15" s="522">
        <f t="shared" ref="D15:W15" si="4">SUM(D7:D14)</f>
        <v>396552</v>
      </c>
      <c r="E15" s="522">
        <f t="shared" si="4"/>
        <v>123238</v>
      </c>
      <c r="F15" s="522">
        <f t="shared" si="4"/>
        <v>0</v>
      </c>
      <c r="G15" s="522">
        <f t="shared" si="4"/>
        <v>32276</v>
      </c>
      <c r="H15" s="522">
        <f t="shared" si="4"/>
        <v>40350</v>
      </c>
      <c r="I15" s="523">
        <f t="shared" si="4"/>
        <v>0</v>
      </c>
      <c r="J15" s="524">
        <f t="shared" si="4"/>
        <v>1581402</v>
      </c>
      <c r="K15" s="521">
        <f t="shared" si="4"/>
        <v>76485</v>
      </c>
      <c r="L15" s="521">
        <f t="shared" si="4"/>
        <v>10414</v>
      </c>
      <c r="M15" s="521">
        <f t="shared" si="4"/>
        <v>183775</v>
      </c>
      <c r="N15" s="521">
        <f t="shared" si="4"/>
        <v>49355</v>
      </c>
      <c r="O15" s="521">
        <f t="shared" si="4"/>
        <v>2708607</v>
      </c>
      <c r="P15" s="521">
        <f t="shared" si="4"/>
        <v>75000</v>
      </c>
      <c r="Q15" s="521">
        <f t="shared" si="4"/>
        <v>67258</v>
      </c>
      <c r="R15" s="521">
        <f t="shared" si="4"/>
        <v>0</v>
      </c>
      <c r="S15" s="524">
        <f t="shared" si="4"/>
        <v>3170894</v>
      </c>
      <c r="T15" s="524">
        <f t="shared" si="4"/>
        <v>1589492</v>
      </c>
      <c r="U15" s="1044">
        <f t="shared" si="4"/>
        <v>-569758</v>
      </c>
      <c r="V15" s="525">
        <f t="shared" si="4"/>
        <v>2878297</v>
      </c>
      <c r="W15" s="524">
        <f t="shared" si="4"/>
        <v>-719047</v>
      </c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</row>
    <row r="16" spans="1:42" ht="12.75">
      <c r="A16" s="784">
        <f>+A14+1</f>
        <v>9</v>
      </c>
      <c r="B16" s="517" t="s">
        <v>772</v>
      </c>
      <c r="C16" s="518">
        <f>+SUMIF('13.mell_ÖNKfeladatok2020'!$B$5:$B$163,'14.mell_Önk kiegészítés2020'!$A16,'13.mell_ÖNKfeladatok2020'!O$5:O$163)</f>
        <v>0</v>
      </c>
      <c r="D16" s="518">
        <f>+SUMIF('13.mell_ÖNKfeladatok2020'!$B$5:$B$163,'14.mell_Önk kiegészítés2020'!$A16,'13.mell_ÖNKfeladatok2020'!S$5:S$163)</f>
        <v>0</v>
      </c>
      <c r="E16" s="518">
        <f>+SUMIF('13.mell_ÖNKfeladatok2020'!$B$5:$B$163,'14.mell_Önk kiegészítés2020'!$A16,'13.mell_ÖNKfeladatok2020'!W$5:W$163)</f>
        <v>0</v>
      </c>
      <c r="F16" s="518">
        <f>+SUMIF('13.mell_ÖNKfeladatok2020'!$B$5:$B$163,'14.mell_Önk kiegészítés2020'!$A16,'13.mell_ÖNKfeladatok2020'!AA$5:AA$163)</f>
        <v>0</v>
      </c>
      <c r="G16" s="518">
        <f>+SUMIF('13.mell_ÖNKfeladatok2020'!$B$5:$B$163,'14.mell_Önk kiegészítés2020'!$A16,'13.mell_ÖNKfeladatok2020'!AI$5:AI$163)</f>
        <v>0</v>
      </c>
      <c r="H16" s="518">
        <f>+SUMIF('13.mell_ÖNKfeladatok2020'!$B$5:$B$163,'14.mell_Önk kiegészítés2020'!$A16,'13.mell_ÖNKfeladatok2020'!AM$5:AM$163)</f>
        <v>0</v>
      </c>
      <c r="I16" s="518">
        <f>+SUMIF('13.mell_ÖNKfeladatok2020'!$B$5:$B$163,'14.mell_Önk kiegészítés2020'!$A16,'13.mell_ÖNKfeladatok2020'!AQ$5:AQ$163)</f>
        <v>0</v>
      </c>
      <c r="J16" s="555">
        <f>SUM(C16:I16)</f>
        <v>0</v>
      </c>
      <c r="K16" s="515">
        <f>+SUMIF('13.mell_ÖNKfeladatok2020'!$B$171:$B$329,'14.mell_Önk kiegészítés2020'!$A16,'13.mell_ÖNKfeladatok2020'!O$171:O$329)</f>
        <v>0</v>
      </c>
      <c r="L16" s="515">
        <f>+SUMIF('13.mell_ÖNKfeladatok2020'!$B$171:$B$329,'14.mell_Önk kiegészítés2020'!$A16,'13.mell_ÖNKfeladatok2020'!S$171:S$329)</f>
        <v>0</v>
      </c>
      <c r="M16" s="515">
        <f>+SUMIF('13.mell_ÖNKfeladatok2020'!$B$171:$B$329,'14.mell_Önk kiegészítés2020'!$A16,'13.mell_ÖNKfeladatok2020'!W$171:W$329)</f>
        <v>0</v>
      </c>
      <c r="N16" s="515">
        <f>+SUMIF('13.mell_ÖNKfeladatok2020'!$B$171:$B$329,'14.mell_Önk kiegészítés2020'!$A16,'13.mell_ÖNKfeladatok2020'!AA$171:AA$329)</f>
        <v>3424</v>
      </c>
      <c r="O16" s="515">
        <f>+SUMIF('13.mell_ÖNKfeladatok2020'!$B$171:$B$329,'14.mell_Önk kiegészítés2020'!$A16,'13.mell_ÖNKfeladatok2020'!AE$171:AE$329)</f>
        <v>0</v>
      </c>
      <c r="P16" s="515">
        <f>+SUMIF('13.mell_ÖNKfeladatok2020'!$B$171:$B$329,'14.mell_Önk kiegészítés2020'!$A16,'13.mell_ÖNKfeladatok2020'!AM$171:AM$329)</f>
        <v>0</v>
      </c>
      <c r="Q16" s="515">
        <f>+SUMIF('13.mell_ÖNKfeladatok2020'!$B$171:$B$329,'14.mell_Önk kiegészítés2020'!$A16,'13.mell_ÖNKfeladatok2020'!AQ$171:AQ$329)</f>
        <v>0</v>
      </c>
      <c r="R16" s="515">
        <f>+SUMIF('13.mell_ÖNKfeladatok2020'!$B$171:$B$329,'14.mell_Önk kiegészítés2020'!$A16,'13.mell_ÖNKfeladatok2020'!AU$171:AU$329)</f>
        <v>0</v>
      </c>
      <c r="S16" s="554">
        <f>SUM(K16:R16)</f>
        <v>3424</v>
      </c>
      <c r="T16" s="516">
        <f>S16-J16</f>
        <v>3424</v>
      </c>
      <c r="U16" s="1045">
        <f>+ROUND(SUMIF('10.mell_támogatások2020'!$B$6:$B$137,'14.mell_Önk kiegészítés2020'!$A16,'10.mell_támogatások2020'!D$6:D$137)/1000,0)</f>
        <v>0</v>
      </c>
      <c r="V16" s="1024"/>
      <c r="W16" s="516">
        <f>+T16-U16-V16</f>
        <v>3424</v>
      </c>
    </row>
    <row r="17" spans="1:42" ht="12.75" thickBot="1">
      <c r="A17" s="784">
        <f>+A16+1</f>
        <v>10</v>
      </c>
      <c r="B17" s="517" t="s">
        <v>758</v>
      </c>
      <c r="C17" s="518">
        <f>+SUMIF('13.mell_ÖNKfeladatok2020'!$B$5:$B$163,'14.mell_Önk kiegészítés2020'!$A17,'13.mell_ÖNKfeladatok2020'!O$5:O$163)</f>
        <v>0</v>
      </c>
      <c r="D17" s="518">
        <f>+SUMIF('13.mell_ÖNKfeladatok2020'!$B$5:$B$163,'14.mell_Önk kiegészítés2020'!$A17,'13.mell_ÖNKfeladatok2020'!S$5:S$163)</f>
        <v>0</v>
      </c>
      <c r="E17" s="518">
        <f>+SUMIF('13.mell_ÖNKfeladatok2020'!$B$5:$B$163,'14.mell_Önk kiegészítés2020'!$A17,'13.mell_ÖNKfeladatok2020'!W$5:W$163)</f>
        <v>0</v>
      </c>
      <c r="F17" s="518">
        <f>+SUMIF('13.mell_ÖNKfeladatok2020'!$B$5:$B$163,'14.mell_Önk kiegészítés2020'!$A17,'13.mell_ÖNKfeladatok2020'!AA$5:AA$163)</f>
        <v>0</v>
      </c>
      <c r="G17" s="518">
        <f>+SUMIF('13.mell_ÖNKfeladatok2020'!$B$5:$B$163,'14.mell_Önk kiegészítés2020'!$A17,'13.mell_ÖNKfeladatok2020'!AI$5:AI$163)</f>
        <v>0</v>
      </c>
      <c r="H17" s="518">
        <f>+SUMIF('13.mell_ÖNKfeladatok2020'!$B$5:$B$163,'14.mell_Önk kiegészítés2020'!$A17,'13.mell_ÖNKfeladatok2020'!AM$5:AM$163)</f>
        <v>0</v>
      </c>
      <c r="I17" s="518">
        <f>+SUMIF('13.mell_ÖNKfeladatok2020'!$B$5:$B$163,'14.mell_Önk kiegészítés2020'!$A17,'13.mell_ÖNKfeladatok2020'!AQ$5:AQ$163)</f>
        <v>1100</v>
      </c>
      <c r="J17" s="555">
        <f>SUM(C17:I17)</f>
        <v>1100</v>
      </c>
      <c r="K17" s="515">
        <f>+SUMIF('13.mell_ÖNKfeladatok2020'!$B$171:$B$329,'14.mell_Önk kiegészítés2020'!$A17,'13.mell_ÖNKfeladatok2020'!O$171:O$329)</f>
        <v>0</v>
      </c>
      <c r="L17" s="515">
        <f>+SUMIF('13.mell_ÖNKfeladatok2020'!$B$171:$B$329,'14.mell_Önk kiegészítés2020'!$A17,'13.mell_ÖNKfeladatok2020'!S$171:S$329)</f>
        <v>0</v>
      </c>
      <c r="M17" s="515">
        <f>+SUMIF('13.mell_ÖNKfeladatok2020'!$B$171:$B$329,'14.mell_Önk kiegészítés2020'!$A17,'13.mell_ÖNKfeladatok2020'!W$171:W$329)</f>
        <v>2000</v>
      </c>
      <c r="N17" s="515">
        <f>+SUMIF('13.mell_ÖNKfeladatok2020'!$B$171:$B$329,'14.mell_Önk kiegészítés2020'!$A17,'13.mell_ÖNKfeladatok2020'!AA$171:AA$329)</f>
        <v>0</v>
      </c>
      <c r="O17" s="515">
        <f>+SUMIF('13.mell_ÖNKfeladatok2020'!$B$171:$B$329,'14.mell_Önk kiegészítés2020'!$A17,'13.mell_ÖNKfeladatok2020'!AE$171:AE$329)</f>
        <v>1000</v>
      </c>
      <c r="P17" s="515">
        <f>+SUMIF('13.mell_ÖNKfeladatok2020'!$B$171:$B$329,'14.mell_Önk kiegészítés2020'!$A17,'13.mell_ÖNKfeladatok2020'!AM$171:AM$329)</f>
        <v>345250</v>
      </c>
      <c r="Q17" s="515">
        <f>+SUMIF('13.mell_ÖNKfeladatok2020'!$B$171:$B$329,'14.mell_Önk kiegészítés2020'!$A17,'13.mell_ÖNKfeladatok2020'!AQ$171:AQ$329)</f>
        <v>0</v>
      </c>
      <c r="R17" s="515">
        <f>+SUMIF('13.mell_ÖNKfeladatok2020'!$B$171:$B$329,'14.mell_Önk kiegészítés2020'!$A17,'13.mell_ÖNKfeladatok2020'!AU$171:AU$329)</f>
        <v>0</v>
      </c>
      <c r="S17" s="554">
        <f>SUM(K17:R17)</f>
        <v>348250</v>
      </c>
      <c r="T17" s="516">
        <f>S17-J17</f>
        <v>347150</v>
      </c>
      <c r="U17" s="1043">
        <f>+ROUND(SUMIF('10.mell_támogatások2020'!$B$6:$B$137,'14.mell_Önk kiegészítés2020'!$A17,'10.mell_támogatások2020'!D$6:D$137)/1000,0)</f>
        <v>0</v>
      </c>
      <c r="V17" s="1023"/>
      <c r="W17" s="516">
        <f>+T17-U17-V17</f>
        <v>347150</v>
      </c>
    </row>
    <row r="18" spans="1:42" s="507" customFormat="1" ht="12.75" thickBot="1">
      <c r="A18" s="519" t="s">
        <v>588</v>
      </c>
      <c r="B18" s="520" t="s">
        <v>411</v>
      </c>
      <c r="C18" s="521">
        <f t="shared" ref="C18:U18" si="5">SUM(C16:C17)</f>
        <v>0</v>
      </c>
      <c r="D18" s="522">
        <f t="shared" si="5"/>
        <v>0</v>
      </c>
      <c r="E18" s="522">
        <f t="shared" si="5"/>
        <v>0</v>
      </c>
      <c r="F18" s="522">
        <f t="shared" si="5"/>
        <v>0</v>
      </c>
      <c r="G18" s="522">
        <f t="shared" si="5"/>
        <v>0</v>
      </c>
      <c r="H18" s="522">
        <f t="shared" si="5"/>
        <v>0</v>
      </c>
      <c r="I18" s="525">
        <f t="shared" si="5"/>
        <v>1100</v>
      </c>
      <c r="J18" s="524">
        <f t="shared" si="5"/>
        <v>1100</v>
      </c>
      <c r="K18" s="521">
        <f t="shared" si="5"/>
        <v>0</v>
      </c>
      <c r="L18" s="521">
        <f t="shared" si="5"/>
        <v>0</v>
      </c>
      <c r="M18" s="521">
        <f t="shared" si="5"/>
        <v>2000</v>
      </c>
      <c r="N18" s="521">
        <f t="shared" si="5"/>
        <v>3424</v>
      </c>
      <c r="O18" s="521">
        <f t="shared" si="5"/>
        <v>1000</v>
      </c>
      <c r="P18" s="521">
        <f t="shared" si="5"/>
        <v>345250</v>
      </c>
      <c r="Q18" s="521">
        <f t="shared" si="5"/>
        <v>0</v>
      </c>
      <c r="R18" s="521">
        <f t="shared" si="5"/>
        <v>0</v>
      </c>
      <c r="S18" s="524">
        <f t="shared" si="5"/>
        <v>351674</v>
      </c>
      <c r="T18" s="524">
        <f t="shared" si="5"/>
        <v>350574</v>
      </c>
      <c r="U18" s="1044">
        <f t="shared" si="5"/>
        <v>0</v>
      </c>
      <c r="V18" s="525">
        <f>SUM(V16:V17)</f>
        <v>0</v>
      </c>
      <c r="W18" s="524">
        <f>SUM(W16:W17)</f>
        <v>350574</v>
      </c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</row>
    <row r="19" spans="1:42" ht="12.75" thickBot="1">
      <c r="A19" s="784">
        <f>+A17+1</f>
        <v>11</v>
      </c>
      <c r="B19" s="526" t="s">
        <v>412</v>
      </c>
      <c r="C19" s="527">
        <f>+SUMIF('13.mell_ÖNKfeladatok2020'!$B$5:$B$163,'14.mell_Önk kiegészítés2020'!$A19,'13.mell_ÖNKfeladatok2020'!O$5:O$163)</f>
        <v>0</v>
      </c>
      <c r="D19" s="527">
        <f>+SUMIF('13.mell_ÖNKfeladatok2020'!$B$5:$B$163,'14.mell_Önk kiegészítés2020'!$A19,'13.mell_ÖNKfeladatok2020'!S$5:S$163)</f>
        <v>0</v>
      </c>
      <c r="E19" s="527">
        <f>+SUMIF('13.mell_ÖNKfeladatok2020'!$B$5:$B$163,'14.mell_Önk kiegészítés2020'!$A19,'13.mell_ÖNKfeladatok2020'!W$5:W$163)</f>
        <v>0</v>
      </c>
      <c r="F19" s="527">
        <f>+SUMIF('13.mell_ÖNKfeladatok2020'!$B$5:$B$163,'14.mell_Önk kiegészítés2020'!$A19,'13.mell_ÖNKfeladatok2020'!AA$5:AA$163)</f>
        <v>0</v>
      </c>
      <c r="G19" s="527">
        <f>+SUMIF('13.mell_ÖNKfeladatok2020'!$B$5:$B$163,'14.mell_Önk kiegészítés2020'!$A19,'13.mell_ÖNKfeladatok2020'!AI$5:AI$163)</f>
        <v>0</v>
      </c>
      <c r="H19" s="527">
        <f>+SUMIF('13.mell_ÖNKfeladatok2020'!$B$5:$B$163,'14.mell_Önk kiegészítés2020'!$A19,'13.mell_ÖNKfeladatok2020'!AM$5:AM$163)</f>
        <v>0</v>
      </c>
      <c r="I19" s="527">
        <f>+SUMIF('13.mell_ÖNKfeladatok2020'!$B$5:$B$163,'14.mell_Önk kiegészítés2020'!$A19,'13.mell_ÖNKfeladatok2020'!AQ$5:AQ$163)</f>
        <v>0</v>
      </c>
      <c r="J19" s="556">
        <f>SUM(C19:I19)</f>
        <v>0</v>
      </c>
      <c r="K19" s="515">
        <f>+SUMIF('13.mell_ÖNKfeladatok2020'!$B$171:$B$329,'14.mell_Önk kiegészítés2020'!$A19,'13.mell_ÖNKfeladatok2020'!O$171:O$329)</f>
        <v>0</v>
      </c>
      <c r="L19" s="515">
        <f>+SUMIF('13.mell_ÖNKfeladatok2020'!$B$171:$B$329,'14.mell_Önk kiegészítés2020'!$A19,'13.mell_ÖNKfeladatok2020'!S$171:S$329)</f>
        <v>0</v>
      </c>
      <c r="M19" s="515">
        <f>+SUMIF('13.mell_ÖNKfeladatok2020'!$B$171:$B$329,'14.mell_Önk kiegészítés2020'!$A19,'13.mell_ÖNKfeladatok2020'!W$171:W$329)</f>
        <v>0</v>
      </c>
      <c r="N19" s="515">
        <f>+SUMIF('13.mell_ÖNKfeladatok2020'!$B$171:$B$329,'14.mell_Önk kiegészítés2020'!$A19,'13.mell_ÖNKfeladatok2020'!AA$171:AA$329)</f>
        <v>0</v>
      </c>
      <c r="O19" s="515">
        <f>+SUMIF('13.mell_ÖNKfeladatok2020'!$B$171:$B$329,'14.mell_Önk kiegészítés2020'!$A19,'13.mell_ÖNKfeladatok2020'!AE$171:AE$329)</f>
        <v>0</v>
      </c>
      <c r="P19" s="515">
        <f>+SUMIF('13.mell_ÖNKfeladatok2020'!$B$171:$B$329,'14.mell_Önk kiegészítés2020'!$A19,'13.mell_ÖNKfeladatok2020'!AM$171:AM$329)</f>
        <v>0</v>
      </c>
      <c r="Q19" s="515">
        <f>+SUMIF('13.mell_ÖNKfeladatok2020'!$B$171:$B$329,'14.mell_Önk kiegészítés2020'!$A19,'13.mell_ÖNKfeladatok2020'!AQ$171:AQ$329)</f>
        <v>0</v>
      </c>
      <c r="R19" s="515">
        <f>+SUMIF('13.mell_ÖNKfeladatok2020'!$B$171:$B$329,'14.mell_Önk kiegészítés2020'!$A19,'13.mell_ÖNKfeladatok2020'!AU$171:AU$329)</f>
        <v>0</v>
      </c>
      <c r="S19" s="554">
        <f>SUM(K19:R19)</f>
        <v>0</v>
      </c>
      <c r="T19" s="516">
        <f>S19-J19</f>
        <v>0</v>
      </c>
      <c r="U19" s="1043">
        <f>+ROUND(SUMIF('10.mell_támogatások2020'!$B$6:$B$137,'14.mell_Önk kiegészítés2020'!$A19,'10.mell_támogatások2020'!D$6:D$137)/1000,0)</f>
        <v>0</v>
      </c>
      <c r="V19" s="1023"/>
      <c r="W19" s="516">
        <f>+T19-U19-V19</f>
        <v>0</v>
      </c>
    </row>
    <row r="20" spans="1:42" s="507" customFormat="1" ht="12.75" thickBot="1">
      <c r="A20" s="519" t="s">
        <v>589</v>
      </c>
      <c r="B20" s="520" t="s">
        <v>412</v>
      </c>
      <c r="C20" s="521">
        <f>SUM(C19)</f>
        <v>0</v>
      </c>
      <c r="D20" s="522">
        <f t="shared" ref="D20:W20" si="6">SUM(D19)</f>
        <v>0</v>
      </c>
      <c r="E20" s="522">
        <f t="shared" si="6"/>
        <v>0</v>
      </c>
      <c r="F20" s="522">
        <f t="shared" si="6"/>
        <v>0</v>
      </c>
      <c r="G20" s="522">
        <f t="shared" si="6"/>
        <v>0</v>
      </c>
      <c r="H20" s="522">
        <f t="shared" si="6"/>
        <v>0</v>
      </c>
      <c r="I20" s="525">
        <f t="shared" si="6"/>
        <v>0</v>
      </c>
      <c r="J20" s="524">
        <f t="shared" si="6"/>
        <v>0</v>
      </c>
      <c r="K20" s="521">
        <f t="shared" si="6"/>
        <v>0</v>
      </c>
      <c r="L20" s="521">
        <f t="shared" si="6"/>
        <v>0</v>
      </c>
      <c r="M20" s="521">
        <f t="shared" si="6"/>
        <v>0</v>
      </c>
      <c r="N20" s="521">
        <f t="shared" si="6"/>
        <v>0</v>
      </c>
      <c r="O20" s="521">
        <f t="shared" si="6"/>
        <v>0</v>
      </c>
      <c r="P20" s="521">
        <f t="shared" si="6"/>
        <v>0</v>
      </c>
      <c r="Q20" s="521">
        <f t="shared" si="6"/>
        <v>0</v>
      </c>
      <c r="R20" s="521">
        <f t="shared" si="6"/>
        <v>0</v>
      </c>
      <c r="S20" s="524">
        <f t="shared" si="6"/>
        <v>0</v>
      </c>
      <c r="T20" s="524">
        <f t="shared" si="6"/>
        <v>0</v>
      </c>
      <c r="U20" s="1044">
        <f t="shared" si="6"/>
        <v>0</v>
      </c>
      <c r="V20" s="525">
        <f t="shared" si="6"/>
        <v>0</v>
      </c>
      <c r="W20" s="524">
        <f t="shared" si="6"/>
        <v>0</v>
      </c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</row>
    <row r="21" spans="1:42" s="507" customFormat="1" ht="12.75" thickBot="1">
      <c r="A21" s="528" t="s">
        <v>23</v>
      </c>
      <c r="B21" s="529" t="s">
        <v>413</v>
      </c>
      <c r="C21" s="530">
        <f t="shared" ref="C21:W21" si="7">+C15+C18+C20</f>
        <v>988986</v>
      </c>
      <c r="D21" s="531">
        <f t="shared" si="7"/>
        <v>396552</v>
      </c>
      <c r="E21" s="531">
        <f t="shared" si="7"/>
        <v>123238</v>
      </c>
      <c r="F21" s="531">
        <f t="shared" si="7"/>
        <v>0</v>
      </c>
      <c r="G21" s="531">
        <f t="shared" si="7"/>
        <v>32276</v>
      </c>
      <c r="H21" s="531">
        <f t="shared" si="7"/>
        <v>40350</v>
      </c>
      <c r="I21" s="532">
        <f t="shared" si="7"/>
        <v>1100</v>
      </c>
      <c r="J21" s="533">
        <f t="shared" si="7"/>
        <v>1582502</v>
      </c>
      <c r="K21" s="530">
        <f t="shared" si="7"/>
        <v>76485</v>
      </c>
      <c r="L21" s="530">
        <f t="shared" si="7"/>
        <v>10414</v>
      </c>
      <c r="M21" s="530">
        <f t="shared" si="7"/>
        <v>185775</v>
      </c>
      <c r="N21" s="530">
        <f t="shared" si="7"/>
        <v>52779</v>
      </c>
      <c r="O21" s="530">
        <f t="shared" si="7"/>
        <v>2709607</v>
      </c>
      <c r="P21" s="530">
        <f t="shared" si="7"/>
        <v>420250</v>
      </c>
      <c r="Q21" s="530">
        <f t="shared" si="7"/>
        <v>67258</v>
      </c>
      <c r="R21" s="530">
        <f t="shared" si="7"/>
        <v>0</v>
      </c>
      <c r="S21" s="533">
        <f t="shared" si="7"/>
        <v>3522568</v>
      </c>
      <c r="T21" s="533">
        <f t="shared" si="7"/>
        <v>1940066</v>
      </c>
      <c r="U21" s="1046">
        <f t="shared" si="7"/>
        <v>-569758</v>
      </c>
      <c r="V21" s="532">
        <f t="shared" si="7"/>
        <v>2878297</v>
      </c>
      <c r="W21" s="533">
        <f t="shared" si="7"/>
        <v>-368473</v>
      </c>
      <c r="Y21" s="507">
        <f>+'13.mell_ÖNKfeladatok2020'!$G$93-J21</f>
        <v>0</v>
      </c>
      <c r="Z21" s="507">
        <f>+'13.mell_ÖNKfeladatok2020'!$G$259-S21</f>
        <v>0</v>
      </c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</row>
    <row r="22" spans="1:42" s="507" customFormat="1" ht="12.75" thickBot="1">
      <c r="A22" s="539"/>
      <c r="B22" s="540"/>
      <c r="C22" s="541"/>
      <c r="D22" s="541"/>
      <c r="E22" s="541"/>
      <c r="F22" s="541"/>
      <c r="G22" s="541"/>
      <c r="H22" s="541"/>
      <c r="I22" s="823"/>
      <c r="J22" s="544"/>
      <c r="K22" s="541"/>
      <c r="L22" s="541"/>
      <c r="M22" s="541"/>
      <c r="N22" s="541"/>
      <c r="O22" s="541"/>
      <c r="P22" s="541"/>
      <c r="Q22" s="541"/>
      <c r="R22" s="541"/>
      <c r="S22" s="544"/>
      <c r="T22" s="544"/>
      <c r="U22" s="823"/>
      <c r="V22" s="543"/>
      <c r="W22" s="544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</row>
    <row r="23" spans="1:42">
      <c r="A23" s="824">
        <f>+A19+1</f>
        <v>12</v>
      </c>
      <c r="B23" s="825" t="s">
        <v>773</v>
      </c>
      <c r="C23" s="527">
        <f>+SUMIF('13.mell_ÖNKfeladatok2020'!$B$5:$B$163,'14.mell_Önk kiegészítés2020'!$A23,'13.mell_ÖNKfeladatok2020'!O$5:O$163)</f>
        <v>0</v>
      </c>
      <c r="D23" s="527">
        <f>+SUMIF('13.mell_ÖNKfeladatok2020'!$B$5:$B$163,'14.mell_Önk kiegészítés2020'!$A23,'13.mell_ÖNKfeladatok2020'!S$5:S$163)</f>
        <v>0</v>
      </c>
      <c r="E23" s="527">
        <f>+SUMIF('13.mell_ÖNKfeladatok2020'!$B$5:$B$163,'14.mell_Önk kiegészítés2020'!$A23,'13.mell_ÖNKfeladatok2020'!W$5:W$163)</f>
        <v>0</v>
      </c>
      <c r="F23" s="527">
        <f>+SUMIF('13.mell_ÖNKfeladatok2020'!$B$5:$B$163,'14.mell_Önk kiegészítés2020'!$A23,'13.mell_ÖNKfeladatok2020'!AA$5:AA$163)</f>
        <v>0</v>
      </c>
      <c r="G23" s="527">
        <f>+SUMIF('13.mell_ÖNKfeladatok2020'!$B$5:$B$163,'14.mell_Önk kiegészítés2020'!$A23,'13.mell_ÖNKfeladatok2020'!AI$5:AI$163)</f>
        <v>0</v>
      </c>
      <c r="H23" s="527">
        <f>+SUMIF('13.mell_ÖNKfeladatok2020'!$B$5:$B$163,'14.mell_Önk kiegészítés2020'!$A23,'13.mell_ÖNKfeladatok2020'!AM$5:AM$163)</f>
        <v>0</v>
      </c>
      <c r="I23" s="527">
        <f>+SUMIF('13.mell_ÖNKfeladatok2020'!$B$5:$B$163,'14.mell_Önk kiegészítés2020'!$A23,'13.mell_ÖNKfeladatok2020'!AQ$5:AQ$163)</f>
        <v>0</v>
      </c>
      <c r="J23" s="553">
        <f>SUM(C23:I23)</f>
        <v>0</v>
      </c>
      <c r="K23" s="512">
        <f>+SUMIF('13.mell_ÖNKfeladatok2020'!$B$171:$B$329,'14.mell_Önk kiegészítés2020'!$A23,'13.mell_ÖNKfeladatok2020'!O$171:O$329)</f>
        <v>168150</v>
      </c>
      <c r="L23" s="512">
        <f>+SUMIF('13.mell_ÖNKfeladatok2020'!$B$171:$B$329,'14.mell_Önk kiegészítés2020'!$A23,'13.mell_ÖNKfeladatok2020'!S$171:S$329)</f>
        <v>32584</v>
      </c>
      <c r="M23" s="512">
        <f>+SUMIF('13.mell_ÖNKfeladatok2020'!$B$171:$B$329,'14.mell_Önk kiegészítés2020'!$A23,'13.mell_ÖNKfeladatok2020'!W$171:W$329)</f>
        <v>23213</v>
      </c>
      <c r="N23" s="512">
        <f>+SUMIF('13.mell_ÖNKfeladatok2020'!$B$171:$B$329,'14.mell_Önk kiegészítés2020'!$A23,'13.mell_ÖNKfeladatok2020'!AA$171:AA$329)</f>
        <v>0</v>
      </c>
      <c r="O23" s="512">
        <f>+SUMIF('13.mell_ÖNKfeladatok2020'!$B$171:$B$329,'14.mell_Önk kiegészítés2020'!$A23,'13.mell_ÖNKfeladatok2020'!AE$171:AE$329)</f>
        <v>0</v>
      </c>
      <c r="P23" s="512">
        <f>+SUMIF('13.mell_ÖNKfeladatok2020'!$B$171:$B$329,'14.mell_Önk kiegészítés2020'!$A23,'13.mell_ÖNKfeladatok2020'!AM$171:AM$329)</f>
        <v>4000</v>
      </c>
      <c r="Q23" s="512">
        <f>+SUMIF('13.mell_ÖNKfeladatok2020'!$B$171:$B$329,'14.mell_Önk kiegészítés2020'!$A23,'13.mell_ÖNKfeladatok2020'!AQ$171:AQ$329)</f>
        <v>0</v>
      </c>
      <c r="R23" s="512">
        <f>+SUMIF('13.mell_ÖNKfeladatok2020'!$B$171:$B$329,'14.mell_Önk kiegészítés2020'!$A23,'13.mell_ÖNKfeladatok2020'!AU$171:AU$329)</f>
        <v>0</v>
      </c>
      <c r="S23" s="553">
        <f>SUM(K23:R23)</f>
        <v>227947</v>
      </c>
      <c r="T23" s="513">
        <f>S23-J23</f>
        <v>227947</v>
      </c>
      <c r="U23" s="1042">
        <f>+ROUND(SUMIF('10.mell_támogatások2020'!$B$6:$B$137,'14.mell_Önk kiegészítés2020'!$A23,'10.mell_támogatások2020'!D$6:D$137)/1000,0)</f>
        <v>145965</v>
      </c>
      <c r="V23" s="1022">
        <f>26419+10024-77159</f>
        <v>-40716</v>
      </c>
      <c r="W23" s="513">
        <f>+T23-U23-V23</f>
        <v>122698</v>
      </c>
      <c r="AE23" s="261">
        <v>26419</v>
      </c>
      <c r="AF23" s="261">
        <v>10024</v>
      </c>
      <c r="AI23" s="261">
        <f>-13930-61637-1592</f>
        <v>-77159</v>
      </c>
    </row>
    <row r="24" spans="1:42">
      <c r="A24" s="784">
        <f>+A23+1</f>
        <v>13</v>
      </c>
      <c r="B24" s="514" t="s">
        <v>774</v>
      </c>
      <c r="C24" s="518">
        <f>+SUMIF('13.mell_ÖNKfeladatok2020'!$B$5:$B$163,'14.mell_Önk kiegészítés2020'!$A24,'13.mell_ÖNKfeladatok2020'!O$5:O$163)</f>
        <v>0</v>
      </c>
      <c r="D24" s="518">
        <f>+SUMIF('13.mell_ÖNKfeladatok2020'!$B$5:$B$163,'14.mell_Önk kiegészítés2020'!$A24,'13.mell_ÖNKfeladatok2020'!S$5:S$163)</f>
        <v>0</v>
      </c>
      <c r="E24" s="518">
        <f>+SUMIF('13.mell_ÖNKfeladatok2020'!$B$5:$B$163,'14.mell_Önk kiegészítés2020'!$A24,'13.mell_ÖNKfeladatok2020'!W$5:W$163)</f>
        <v>0</v>
      </c>
      <c r="F24" s="518">
        <f>+SUMIF('13.mell_ÖNKfeladatok2020'!$B$5:$B$163,'14.mell_Önk kiegészítés2020'!$A24,'13.mell_ÖNKfeladatok2020'!AA$5:AA$163)</f>
        <v>0</v>
      </c>
      <c r="G24" s="518">
        <f>+SUMIF('13.mell_ÖNKfeladatok2020'!$B$5:$B$163,'14.mell_Önk kiegészítés2020'!$A24,'13.mell_ÖNKfeladatok2020'!AI$5:AI$163)</f>
        <v>0</v>
      </c>
      <c r="H24" s="518">
        <f>+SUMIF('13.mell_ÖNKfeladatok2020'!$B$5:$B$163,'14.mell_Önk kiegészítés2020'!$A24,'13.mell_ÖNKfeladatok2020'!AM$5:AM$163)</f>
        <v>0</v>
      </c>
      <c r="I24" s="518">
        <f>+SUMIF('13.mell_ÖNKfeladatok2020'!$B$5:$B$163,'14.mell_Önk kiegészítés2020'!$A24,'13.mell_ÖNKfeladatok2020'!AQ$5:AQ$163)</f>
        <v>0</v>
      </c>
      <c r="J24" s="554">
        <f>SUM(C24:I24)</f>
        <v>0</v>
      </c>
      <c r="K24" s="515">
        <f>+SUMIF('13.mell_ÖNKfeladatok2020'!$B$171:$B$329,'14.mell_Önk kiegészítés2020'!$A24,'13.mell_ÖNKfeladatok2020'!O$171:O$329)</f>
        <v>0</v>
      </c>
      <c r="L24" s="515">
        <f>+SUMIF('13.mell_ÖNKfeladatok2020'!$B$171:$B$329,'14.mell_Önk kiegészítés2020'!$A24,'13.mell_ÖNKfeladatok2020'!S$171:S$329)</f>
        <v>0</v>
      </c>
      <c r="M24" s="515">
        <f>+SUMIF('13.mell_ÖNKfeladatok2020'!$B$171:$B$329,'14.mell_Önk kiegészítés2020'!$A24,'13.mell_ÖNKfeladatok2020'!W$171:W$329)</f>
        <v>0</v>
      </c>
      <c r="N24" s="515">
        <f>+SUMIF('13.mell_ÖNKfeladatok2020'!$B$171:$B$329,'14.mell_Önk kiegészítés2020'!$A24,'13.mell_ÖNKfeladatok2020'!AA$171:AA$329)</f>
        <v>0</v>
      </c>
      <c r="O24" s="515">
        <f>+SUMIF('13.mell_ÖNKfeladatok2020'!$B$171:$B$329,'14.mell_Önk kiegészítés2020'!$A24,'13.mell_ÖNKfeladatok2020'!AE$171:AE$329)</f>
        <v>0</v>
      </c>
      <c r="P24" s="515">
        <f>+SUMIF('13.mell_ÖNKfeladatok2020'!$B$171:$B$329,'14.mell_Önk kiegészítés2020'!$A24,'13.mell_ÖNKfeladatok2020'!AM$171:AM$329)</f>
        <v>0</v>
      </c>
      <c r="Q24" s="515">
        <f>+SUMIF('13.mell_ÖNKfeladatok2020'!$B$171:$B$329,'14.mell_Önk kiegészítés2020'!$A24,'13.mell_ÖNKfeladatok2020'!AQ$171:AQ$329)</f>
        <v>0</v>
      </c>
      <c r="R24" s="515">
        <f>+SUMIF('13.mell_ÖNKfeladatok2020'!$B$171:$B$329,'14.mell_Önk kiegészítés2020'!$A24,'13.mell_ÖNKfeladatok2020'!AU$171:AU$329)</f>
        <v>0</v>
      </c>
      <c r="S24" s="554">
        <f>SUM(K24:R24)</f>
        <v>0</v>
      </c>
      <c r="T24" s="516">
        <f>S24-J24</f>
        <v>0</v>
      </c>
      <c r="U24" s="1043">
        <f>+ROUND(SUMIF('10.mell_támogatások2020'!$B$6:$B$137,'14.mell_Önk kiegészítés2020'!$A24,'10.mell_támogatások2020'!D$6:D$137)/1000,0)</f>
        <v>0</v>
      </c>
      <c r="V24" s="1023"/>
      <c r="W24" s="516">
        <f>+T24-U24-V24</f>
        <v>0</v>
      </c>
    </row>
    <row r="25" spans="1:42" ht="12.75" thickBot="1">
      <c r="A25" s="784">
        <f>+A24+1</f>
        <v>14</v>
      </c>
      <c r="B25" s="517" t="s">
        <v>759</v>
      </c>
      <c r="C25" s="518">
        <f>+SUMIF('13.mell_ÖNKfeladatok2020'!$B$5:$B$163,'14.mell_Önk kiegészítés2020'!$A25,'13.mell_ÖNKfeladatok2020'!O$5:O$163)</f>
        <v>0</v>
      </c>
      <c r="D25" s="518">
        <f>+SUMIF('13.mell_ÖNKfeladatok2020'!$B$5:$B$163,'14.mell_Önk kiegészítés2020'!$A25,'13.mell_ÖNKfeladatok2020'!S$5:S$163)</f>
        <v>0</v>
      </c>
      <c r="E25" s="518">
        <f>+SUMIF('13.mell_ÖNKfeladatok2020'!$B$5:$B$163,'14.mell_Önk kiegészítés2020'!$A25,'13.mell_ÖNKfeladatok2020'!W$5:W$163)</f>
        <v>9308</v>
      </c>
      <c r="F25" s="518">
        <f>+SUMIF('13.mell_ÖNKfeladatok2020'!$B$5:$B$163,'14.mell_Önk kiegészítés2020'!$A25,'13.mell_ÖNKfeladatok2020'!AA$5:AA$163)</f>
        <v>0</v>
      </c>
      <c r="G25" s="518">
        <f>+SUMIF('13.mell_ÖNKfeladatok2020'!$B$5:$B$163,'14.mell_Önk kiegészítés2020'!$A25,'13.mell_ÖNKfeladatok2020'!AI$5:AI$163)</f>
        <v>0</v>
      </c>
      <c r="H25" s="518">
        <f>+SUMIF('13.mell_ÖNKfeladatok2020'!$B$5:$B$163,'14.mell_Önk kiegészítés2020'!$A25,'13.mell_ÖNKfeladatok2020'!AM$5:AM$163)</f>
        <v>0</v>
      </c>
      <c r="I25" s="518">
        <f>+SUMIF('13.mell_ÖNKfeladatok2020'!$B$5:$B$163,'14.mell_Önk kiegészítés2020'!$A25,'13.mell_ÖNKfeladatok2020'!AQ$5:AQ$163)</f>
        <v>0</v>
      </c>
      <c r="J25" s="554">
        <f>SUM(C25:I25)</f>
        <v>9308</v>
      </c>
      <c r="K25" s="515">
        <f>+SUMIF('13.mell_ÖNKfeladatok2020'!$B$171:$B$329,'14.mell_Önk kiegészítés2020'!$A25,'13.mell_ÖNKfeladatok2020'!O$171:O$329)</f>
        <v>105621</v>
      </c>
      <c r="L25" s="515">
        <f>+SUMIF('13.mell_ÖNKfeladatok2020'!$B$171:$B$329,'14.mell_Önk kiegészítés2020'!$A25,'13.mell_ÖNKfeladatok2020'!S$171:S$329)</f>
        <v>18800</v>
      </c>
      <c r="M25" s="515">
        <f>+SUMIF('13.mell_ÖNKfeladatok2020'!$B$171:$B$329,'14.mell_Önk kiegészítés2020'!$A25,'13.mell_ÖNKfeladatok2020'!W$171:W$329)</f>
        <v>13704</v>
      </c>
      <c r="N25" s="515">
        <f>+SUMIF('13.mell_ÖNKfeladatok2020'!$B$171:$B$329,'14.mell_Önk kiegészítés2020'!$A25,'13.mell_ÖNKfeladatok2020'!AA$171:AA$329)</f>
        <v>0</v>
      </c>
      <c r="O25" s="515">
        <f>+SUMIF('13.mell_ÖNKfeladatok2020'!$B$171:$B$329,'14.mell_Önk kiegészítés2020'!$A25,'13.mell_ÖNKfeladatok2020'!AE$171:AE$329)</f>
        <v>0</v>
      </c>
      <c r="P25" s="515">
        <f>+SUMIF('13.mell_ÖNKfeladatok2020'!$B$171:$B$329,'14.mell_Önk kiegészítés2020'!$A25,'13.mell_ÖNKfeladatok2020'!AM$171:AM$329)</f>
        <v>0</v>
      </c>
      <c r="Q25" s="515">
        <f>+SUMIF('13.mell_ÖNKfeladatok2020'!$B$171:$B$329,'14.mell_Önk kiegészítés2020'!$A25,'13.mell_ÖNKfeladatok2020'!AQ$171:AQ$329)</f>
        <v>0</v>
      </c>
      <c r="R25" s="515">
        <f>+SUMIF('13.mell_ÖNKfeladatok2020'!$B$171:$B$329,'14.mell_Önk kiegészítés2020'!$A25,'13.mell_ÖNKfeladatok2020'!AU$171:AU$329)</f>
        <v>0</v>
      </c>
      <c r="S25" s="554">
        <f>SUM(K25:R25)</f>
        <v>138125</v>
      </c>
      <c r="T25" s="516">
        <f>S25-J25</f>
        <v>128817</v>
      </c>
      <c r="U25" s="1043">
        <f>+ROUND(SUMIF('10.mell_támogatások2020'!$B$6:$B$137,'14.mell_Önk kiegészítés2020'!$A25,'10.mell_támogatások2020'!D$6:D$137)/1000,0)</f>
        <v>0</v>
      </c>
      <c r="V25" s="1023"/>
      <c r="W25" s="516">
        <f>+T25-U25-V25</f>
        <v>128817</v>
      </c>
    </row>
    <row r="26" spans="1:42" s="507" customFormat="1" ht="12.75" thickBot="1">
      <c r="A26" s="519" t="s">
        <v>590</v>
      </c>
      <c r="B26" s="520" t="s">
        <v>865</v>
      </c>
      <c r="C26" s="521">
        <f t="shared" ref="C26:U26" si="8">SUM(C23:C25)</f>
        <v>0</v>
      </c>
      <c r="D26" s="522">
        <f t="shared" si="8"/>
        <v>0</v>
      </c>
      <c r="E26" s="522">
        <f t="shared" si="8"/>
        <v>9308</v>
      </c>
      <c r="F26" s="522">
        <f t="shared" si="8"/>
        <v>0</v>
      </c>
      <c r="G26" s="522">
        <f t="shared" si="8"/>
        <v>0</v>
      </c>
      <c r="H26" s="522">
        <f t="shared" si="8"/>
        <v>0</v>
      </c>
      <c r="I26" s="523">
        <f t="shared" si="8"/>
        <v>0</v>
      </c>
      <c r="J26" s="524">
        <f t="shared" si="8"/>
        <v>9308</v>
      </c>
      <c r="K26" s="521">
        <f t="shared" si="8"/>
        <v>273771</v>
      </c>
      <c r="L26" s="521">
        <f t="shared" si="8"/>
        <v>51384</v>
      </c>
      <c r="M26" s="521">
        <f t="shared" si="8"/>
        <v>36917</v>
      </c>
      <c r="N26" s="521">
        <f t="shared" si="8"/>
        <v>0</v>
      </c>
      <c r="O26" s="521">
        <f t="shared" si="8"/>
        <v>0</v>
      </c>
      <c r="P26" s="521">
        <f t="shared" si="8"/>
        <v>4000</v>
      </c>
      <c r="Q26" s="521">
        <f t="shared" si="8"/>
        <v>0</v>
      </c>
      <c r="R26" s="521">
        <f t="shared" si="8"/>
        <v>0</v>
      </c>
      <c r="S26" s="524">
        <f t="shared" si="8"/>
        <v>366072</v>
      </c>
      <c r="T26" s="524">
        <f t="shared" si="8"/>
        <v>356764</v>
      </c>
      <c r="U26" s="1044">
        <f t="shared" si="8"/>
        <v>145965</v>
      </c>
      <c r="V26" s="525">
        <f>SUM(V23:V25)</f>
        <v>-40716</v>
      </c>
      <c r="W26" s="524">
        <f>SUM(W23:W25)</f>
        <v>251515</v>
      </c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</row>
    <row r="27" spans="1:42">
      <c r="A27" s="784">
        <f>+A25+1</f>
        <v>15</v>
      </c>
      <c r="B27" s="538" t="s">
        <v>416</v>
      </c>
      <c r="C27" s="512">
        <f>+SUMIF('13.mell_ÖNKfeladatok2020'!$B$5:$B$163,'14.mell_Önk kiegészítés2020'!$A27,'13.mell_ÖNKfeladatok2020'!O$5:O$163)</f>
        <v>0</v>
      </c>
      <c r="D27" s="512">
        <f>+SUMIF('13.mell_ÖNKfeladatok2020'!$B$5:$B$163,'14.mell_Önk kiegészítés2020'!$A27,'13.mell_ÖNKfeladatok2020'!S$5:S$163)</f>
        <v>0</v>
      </c>
      <c r="E27" s="512">
        <f>+SUMIF('13.mell_ÖNKfeladatok2020'!$B$5:$B$163,'14.mell_Önk kiegészítés2020'!$A27,'13.mell_ÖNKfeladatok2020'!W$5:W$163)</f>
        <v>32151</v>
      </c>
      <c r="F27" s="512">
        <f>+SUMIF('13.mell_ÖNKfeladatok2020'!$B$5:$B$163,'14.mell_Önk kiegészítés2020'!$A27,'13.mell_ÖNKfeladatok2020'!AA$5:AA$163)</f>
        <v>0</v>
      </c>
      <c r="G27" s="512">
        <f>+SUMIF('13.mell_ÖNKfeladatok2020'!$B$5:$B$163,'14.mell_Önk kiegészítés2020'!$A27,'13.mell_ÖNKfeladatok2020'!AI$5:AI$163)</f>
        <v>0</v>
      </c>
      <c r="H27" s="512">
        <f>+SUMIF('13.mell_ÖNKfeladatok2020'!$B$5:$B$163,'14.mell_Önk kiegészítés2020'!$A27,'13.mell_ÖNKfeladatok2020'!AM$5:AM$163)</f>
        <v>0</v>
      </c>
      <c r="I27" s="512">
        <f>+SUMIF('13.mell_ÖNKfeladatok2020'!$B$5:$B$163,'14.mell_Önk kiegészítés2020'!$A27,'13.mell_ÖNKfeladatok2020'!AQ$5:AQ$163)</f>
        <v>0</v>
      </c>
      <c r="J27" s="554">
        <f>SUM(C27:I27)</f>
        <v>32151</v>
      </c>
      <c r="K27" s="515">
        <f>+SUMIF('13.mell_ÖNKfeladatok2020'!$B$171:$B$329,'14.mell_Önk kiegészítés2020'!$A27,'13.mell_ÖNKfeladatok2020'!O$171:O$329)</f>
        <v>9229</v>
      </c>
      <c r="L27" s="515">
        <f>+SUMIF('13.mell_ÖNKfeladatok2020'!$B$171:$B$329,'14.mell_Önk kiegészítés2020'!$A27,'13.mell_ÖNKfeladatok2020'!S$171:S$329)</f>
        <v>1643</v>
      </c>
      <c r="M27" s="515">
        <f>+SUMIF('13.mell_ÖNKfeladatok2020'!$B$171:$B$329,'14.mell_Önk kiegészítés2020'!$A27,'13.mell_ÖNKfeladatok2020'!W$171:W$329)</f>
        <v>22728</v>
      </c>
      <c r="N27" s="515">
        <f>+SUMIF('13.mell_ÖNKfeladatok2020'!$B$171:$B$329,'14.mell_Önk kiegészítés2020'!$A27,'13.mell_ÖNKfeladatok2020'!AA$171:AA$329)</f>
        <v>0</v>
      </c>
      <c r="O27" s="515">
        <f>+SUMIF('13.mell_ÖNKfeladatok2020'!$B$171:$B$329,'14.mell_Önk kiegészítés2020'!$A27,'13.mell_ÖNKfeladatok2020'!AE$171:AE$329)</f>
        <v>0</v>
      </c>
      <c r="P27" s="515">
        <f>+SUMIF('13.mell_ÖNKfeladatok2020'!$B$171:$B$329,'14.mell_Önk kiegészítés2020'!$A27,'13.mell_ÖNKfeladatok2020'!AM$171:AM$329)</f>
        <v>0</v>
      </c>
      <c r="Q27" s="515">
        <f>+SUMIF('13.mell_ÖNKfeladatok2020'!$B$171:$B$329,'14.mell_Önk kiegészítés2020'!$A27,'13.mell_ÖNKfeladatok2020'!AQ$171:AQ$329)</f>
        <v>0</v>
      </c>
      <c r="R27" s="515">
        <f>+SUMIF('13.mell_ÖNKfeladatok2020'!$B$171:$B$329,'14.mell_Önk kiegészítés2020'!$A27,'13.mell_ÖNKfeladatok2020'!AU$171:AU$329)</f>
        <v>0</v>
      </c>
      <c r="S27" s="554">
        <f>SUM(K27:R27)</f>
        <v>33600</v>
      </c>
      <c r="T27" s="516">
        <f>S27-J27</f>
        <v>1449</v>
      </c>
      <c r="U27" s="1043">
        <f>+ROUND(SUMIF('10.mell_támogatások2020'!$B$6:$B$137,'14.mell_Önk kiegészítés2020'!$A27,'10.mell_támogatások2020'!D$6:D$137)/1000,0)</f>
        <v>0</v>
      </c>
      <c r="V27" s="1023"/>
      <c r="W27" s="516">
        <f>+T27-U27-V27</f>
        <v>1449</v>
      </c>
    </row>
    <row r="28" spans="1:42">
      <c r="A28" s="784">
        <f>+A27+1</f>
        <v>16</v>
      </c>
      <c r="B28" s="517" t="s">
        <v>647</v>
      </c>
      <c r="C28" s="518">
        <f>+SUMIF('13.mell_ÖNKfeladatok2020'!$B$5:$B$163,'14.mell_Önk kiegészítés2020'!$A28,'13.mell_ÖNKfeladatok2020'!O$5:O$163)</f>
        <v>0</v>
      </c>
      <c r="D28" s="518">
        <f>+SUMIF('13.mell_ÖNKfeladatok2020'!$B$5:$B$163,'14.mell_Önk kiegészítés2020'!$A28,'13.mell_ÖNKfeladatok2020'!S$5:S$163)</f>
        <v>0</v>
      </c>
      <c r="E28" s="518">
        <f>+SUMIF('13.mell_ÖNKfeladatok2020'!$B$5:$B$163,'14.mell_Önk kiegészítés2020'!$A28,'13.mell_ÖNKfeladatok2020'!W$5:W$163)</f>
        <v>0</v>
      </c>
      <c r="F28" s="518">
        <f>+SUMIF('13.mell_ÖNKfeladatok2020'!$B$5:$B$163,'14.mell_Önk kiegészítés2020'!$A28,'13.mell_ÖNKfeladatok2020'!AA$5:AA$163)</f>
        <v>0</v>
      </c>
      <c r="G28" s="518">
        <f>+SUMIF('13.mell_ÖNKfeladatok2020'!$B$5:$B$163,'14.mell_Önk kiegészítés2020'!$A28,'13.mell_ÖNKfeladatok2020'!AI$5:AI$163)</f>
        <v>0</v>
      </c>
      <c r="H28" s="518">
        <f>+SUMIF('13.mell_ÖNKfeladatok2020'!$B$5:$B$163,'14.mell_Önk kiegészítés2020'!$A28,'13.mell_ÖNKfeladatok2020'!AM$5:AM$163)</f>
        <v>0</v>
      </c>
      <c r="I28" s="518">
        <f>+SUMIF('13.mell_ÖNKfeladatok2020'!$B$5:$B$163,'14.mell_Önk kiegészítés2020'!$A28,'13.mell_ÖNKfeladatok2020'!AQ$5:AQ$163)</f>
        <v>0</v>
      </c>
      <c r="J28" s="555">
        <f>SUM(C28:I28)</f>
        <v>0</v>
      </c>
      <c r="K28" s="515">
        <f>+SUMIF('13.mell_ÖNKfeladatok2020'!$B$171:$B$329,'14.mell_Önk kiegészítés2020'!$A28,'13.mell_ÖNKfeladatok2020'!O$171:O$329)</f>
        <v>5403</v>
      </c>
      <c r="L28" s="515">
        <f>+SUMIF('13.mell_ÖNKfeladatok2020'!$B$171:$B$329,'14.mell_Önk kiegészítés2020'!$A28,'13.mell_ÖNKfeladatok2020'!S$171:S$329)</f>
        <v>864</v>
      </c>
      <c r="M28" s="515">
        <f>+SUMIF('13.mell_ÖNKfeladatok2020'!$B$171:$B$329,'14.mell_Önk kiegészítés2020'!$A28,'13.mell_ÖNKfeladatok2020'!W$171:W$329)</f>
        <v>381</v>
      </c>
      <c r="N28" s="515">
        <f>+SUMIF('13.mell_ÖNKfeladatok2020'!$B$171:$B$329,'14.mell_Önk kiegészítés2020'!$A28,'13.mell_ÖNKfeladatok2020'!AA$171:AA$329)</f>
        <v>0</v>
      </c>
      <c r="O28" s="515">
        <f>+SUMIF('13.mell_ÖNKfeladatok2020'!$B$171:$B$329,'14.mell_Önk kiegészítés2020'!$A28,'13.mell_ÖNKfeladatok2020'!AE$171:AE$329)</f>
        <v>0</v>
      </c>
      <c r="P28" s="515">
        <f>+SUMIF('13.mell_ÖNKfeladatok2020'!$B$171:$B$329,'14.mell_Önk kiegészítés2020'!$A28,'13.mell_ÖNKfeladatok2020'!AM$171:AM$329)</f>
        <v>0</v>
      </c>
      <c r="Q28" s="515">
        <f>+SUMIF('13.mell_ÖNKfeladatok2020'!$B$171:$B$329,'14.mell_Önk kiegészítés2020'!$A28,'13.mell_ÖNKfeladatok2020'!AQ$171:AQ$329)</f>
        <v>0</v>
      </c>
      <c r="R28" s="515">
        <f>+SUMIF('13.mell_ÖNKfeladatok2020'!$B$171:$B$329,'14.mell_Önk kiegészítés2020'!$A28,'13.mell_ÖNKfeladatok2020'!AU$171:AU$329)</f>
        <v>0</v>
      </c>
      <c r="S28" s="554">
        <f>SUM(K28:R28)</f>
        <v>6648</v>
      </c>
      <c r="T28" s="516">
        <f>S28-J28</f>
        <v>6648</v>
      </c>
      <c r="U28" s="1043">
        <f>+ROUND(SUMIF('10.mell_támogatások2020'!$B$6:$B$137,'14.mell_Önk kiegészítés2020'!$A28,'10.mell_támogatások2020'!D$6:D$137)/1000,0)</f>
        <v>0</v>
      </c>
      <c r="V28" s="1023"/>
      <c r="W28" s="516">
        <f>+T28-U28-V28</f>
        <v>6648</v>
      </c>
    </row>
    <row r="29" spans="1:42" ht="12.75" thickBot="1">
      <c r="A29" s="784">
        <f>+A28+1</f>
        <v>17</v>
      </c>
      <c r="B29" s="517" t="s">
        <v>890</v>
      </c>
      <c r="C29" s="518">
        <f>+SUMIF('13.mell_ÖNKfeladatok2020'!$B$5:$B$163,'14.mell_Önk kiegészítés2020'!$A29,'13.mell_ÖNKfeladatok2020'!O$5:O$163)</f>
        <v>0</v>
      </c>
      <c r="D29" s="518">
        <f>+SUMIF('13.mell_ÖNKfeladatok2020'!$B$5:$B$163,'14.mell_Önk kiegészítés2020'!$A29,'13.mell_ÖNKfeladatok2020'!S$5:S$163)</f>
        <v>0</v>
      </c>
      <c r="E29" s="518">
        <f>+SUMIF('13.mell_ÖNKfeladatok2020'!$B$5:$B$163,'14.mell_Önk kiegészítés2020'!$A29,'13.mell_ÖNKfeladatok2020'!W$5:W$163)</f>
        <v>0</v>
      </c>
      <c r="F29" s="518">
        <f>+SUMIF('13.mell_ÖNKfeladatok2020'!$B$5:$B$163,'14.mell_Önk kiegészítés2020'!$A29,'13.mell_ÖNKfeladatok2020'!AA$5:AA$163)</f>
        <v>0</v>
      </c>
      <c r="G29" s="518">
        <f>+SUMIF('13.mell_ÖNKfeladatok2020'!$B$5:$B$163,'14.mell_Önk kiegészítés2020'!$A29,'13.mell_ÖNKfeladatok2020'!AI$5:AI$163)</f>
        <v>0</v>
      </c>
      <c r="H29" s="518">
        <f>+SUMIF('13.mell_ÖNKfeladatok2020'!$B$5:$B$163,'14.mell_Önk kiegészítés2020'!$A29,'13.mell_ÖNKfeladatok2020'!AM$5:AM$163)</f>
        <v>0</v>
      </c>
      <c r="I29" s="518">
        <f>+SUMIF('13.mell_ÖNKfeladatok2020'!$B$5:$B$163,'14.mell_Önk kiegészítés2020'!$A29,'13.mell_ÖNKfeladatok2020'!AQ$5:AQ$163)</f>
        <v>0</v>
      </c>
      <c r="J29" s="555">
        <f>SUM(C29:I29)</f>
        <v>0</v>
      </c>
      <c r="K29" s="515">
        <f>+SUMIF('13.mell_ÖNKfeladatok2020'!$B$171:$B$329,'14.mell_Önk kiegészítés2020'!$A29,'13.mell_ÖNKfeladatok2020'!O$171:O$329)</f>
        <v>0</v>
      </c>
      <c r="L29" s="515">
        <f>+SUMIF('13.mell_ÖNKfeladatok2020'!$B$171:$B$329,'14.mell_Önk kiegészítés2020'!$A29,'13.mell_ÖNKfeladatok2020'!S$171:S$329)</f>
        <v>0</v>
      </c>
      <c r="M29" s="515">
        <f>+SUMIF('13.mell_ÖNKfeladatok2020'!$B$171:$B$329,'14.mell_Önk kiegészítés2020'!$A29,'13.mell_ÖNKfeladatok2020'!W$171:W$329)</f>
        <v>0</v>
      </c>
      <c r="N29" s="515">
        <f>+SUMIF('13.mell_ÖNKfeladatok2020'!$B$171:$B$329,'14.mell_Önk kiegészítés2020'!$A29,'13.mell_ÖNKfeladatok2020'!AA$171:AA$329)</f>
        <v>0</v>
      </c>
      <c r="O29" s="515">
        <f>+SUMIF('13.mell_ÖNKfeladatok2020'!$B$171:$B$329,'14.mell_Önk kiegészítés2020'!$A29,'13.mell_ÖNKfeladatok2020'!AE$171:AE$329)</f>
        <v>0</v>
      </c>
      <c r="P29" s="515">
        <f>+SUMIF('13.mell_ÖNKfeladatok2020'!$B$171:$B$329,'14.mell_Önk kiegészítés2020'!$A29,'13.mell_ÖNKfeladatok2020'!AM$171:AM$329)</f>
        <v>0</v>
      </c>
      <c r="Q29" s="515">
        <f>+SUMIF('13.mell_ÖNKfeladatok2020'!$B$171:$B$329,'14.mell_Önk kiegészítés2020'!$A29,'13.mell_ÖNKfeladatok2020'!AQ$171:AQ$329)</f>
        <v>0</v>
      </c>
      <c r="R29" s="515">
        <f>+SUMIF('13.mell_ÖNKfeladatok2020'!$B$171:$B$329,'14.mell_Önk kiegészítés2020'!$A29,'13.mell_ÖNKfeladatok2020'!AU$171:AU$329)</f>
        <v>0</v>
      </c>
      <c r="S29" s="554">
        <f>SUM(K29:R29)</f>
        <v>0</v>
      </c>
      <c r="T29" s="516">
        <f>S29-J29</f>
        <v>0</v>
      </c>
      <c r="U29" s="1043">
        <f>+ROUND(SUMIF('10.mell_támogatások2020'!$B$6:$B$137,'14.mell_Önk kiegészítés2020'!$A29,'10.mell_támogatások2020'!D$6:D$137)/1000,0)</f>
        <v>0</v>
      </c>
      <c r="V29" s="1023"/>
      <c r="W29" s="516">
        <f>+T29-U29-V29</f>
        <v>0</v>
      </c>
    </row>
    <row r="30" spans="1:42" s="507" customFormat="1" ht="12.75" thickBot="1">
      <c r="A30" s="519" t="s">
        <v>632</v>
      </c>
      <c r="B30" s="520" t="s">
        <v>866</v>
      </c>
      <c r="C30" s="521">
        <f>SUM(C27:C29)</f>
        <v>0</v>
      </c>
      <c r="D30" s="522">
        <f t="shared" ref="D30:W30" si="9">SUM(D27:D29)</f>
        <v>0</v>
      </c>
      <c r="E30" s="522">
        <f t="shared" si="9"/>
        <v>32151</v>
      </c>
      <c r="F30" s="522">
        <f t="shared" si="9"/>
        <v>0</v>
      </c>
      <c r="G30" s="522">
        <f t="shared" si="9"/>
        <v>0</v>
      </c>
      <c r="H30" s="522">
        <f t="shared" si="9"/>
        <v>0</v>
      </c>
      <c r="I30" s="525">
        <f t="shared" si="9"/>
        <v>0</v>
      </c>
      <c r="J30" s="524">
        <f t="shared" si="9"/>
        <v>32151</v>
      </c>
      <c r="K30" s="521">
        <f t="shared" si="9"/>
        <v>14632</v>
      </c>
      <c r="L30" s="521">
        <f t="shared" si="9"/>
        <v>2507</v>
      </c>
      <c r="M30" s="521">
        <f t="shared" si="9"/>
        <v>23109</v>
      </c>
      <c r="N30" s="521">
        <f t="shared" si="9"/>
        <v>0</v>
      </c>
      <c r="O30" s="521">
        <f t="shared" si="9"/>
        <v>0</v>
      </c>
      <c r="P30" s="521">
        <f t="shared" si="9"/>
        <v>0</v>
      </c>
      <c r="Q30" s="521">
        <f t="shared" si="9"/>
        <v>0</v>
      </c>
      <c r="R30" s="521">
        <f t="shared" si="9"/>
        <v>0</v>
      </c>
      <c r="S30" s="524">
        <f t="shared" si="9"/>
        <v>40248</v>
      </c>
      <c r="T30" s="524">
        <f t="shared" si="9"/>
        <v>8097</v>
      </c>
      <c r="U30" s="1044">
        <f t="shared" si="9"/>
        <v>0</v>
      </c>
      <c r="V30" s="525">
        <f t="shared" si="9"/>
        <v>0</v>
      </c>
      <c r="W30" s="524">
        <f t="shared" si="9"/>
        <v>8097</v>
      </c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</row>
    <row r="31" spans="1:42" ht="12.75" thickBot="1">
      <c r="A31" s="784">
        <f>+A29+1</f>
        <v>18</v>
      </c>
      <c r="B31" s="526" t="s">
        <v>867</v>
      </c>
      <c r="C31" s="527">
        <f>+SUMIF('13.mell_ÖNKfeladatok2020'!$B$5:$B$163,'14.mell_Önk kiegészítés2020'!$A31,'13.mell_ÖNKfeladatok2020'!O$5:O$163)</f>
        <v>0</v>
      </c>
      <c r="D31" s="527">
        <f>+SUMIF('13.mell_ÖNKfeladatok2020'!$B$5:$B$163,'14.mell_Önk kiegészítés2020'!$A31,'13.mell_ÖNKfeladatok2020'!S$5:S$163)</f>
        <v>0</v>
      </c>
      <c r="E31" s="527">
        <f>+SUMIF('13.mell_ÖNKfeladatok2020'!$B$5:$B$163,'14.mell_Önk kiegészítés2020'!$A31,'13.mell_ÖNKfeladatok2020'!W$5:W$163)</f>
        <v>0</v>
      </c>
      <c r="F31" s="527">
        <f>+SUMIF('13.mell_ÖNKfeladatok2020'!$B$5:$B$163,'14.mell_Önk kiegészítés2020'!$A31,'13.mell_ÖNKfeladatok2020'!AA$5:AA$163)</f>
        <v>0</v>
      </c>
      <c r="G31" s="527">
        <f>+SUMIF('13.mell_ÖNKfeladatok2020'!$B$5:$B$163,'14.mell_Önk kiegészítés2020'!$A31,'13.mell_ÖNKfeladatok2020'!AI$5:AI$163)</f>
        <v>0</v>
      </c>
      <c r="H31" s="527">
        <f>+SUMIF('13.mell_ÖNKfeladatok2020'!$B$5:$B$163,'14.mell_Önk kiegészítés2020'!$A31,'13.mell_ÖNKfeladatok2020'!AM$5:AM$163)</f>
        <v>0</v>
      </c>
      <c r="I31" s="527">
        <f>+SUMIF('13.mell_ÖNKfeladatok2020'!$B$5:$B$163,'14.mell_Önk kiegészítés2020'!$A31,'13.mell_ÖNKfeladatok2020'!AQ$5:AQ$163)</f>
        <v>0</v>
      </c>
      <c r="J31" s="556">
        <f>SUM(C31:I31)</f>
        <v>0</v>
      </c>
      <c r="K31" s="515">
        <f>+SUMIF('13.mell_ÖNKfeladatok2020'!$B$171:$B$329,'14.mell_Önk kiegészítés2020'!$A31,'13.mell_ÖNKfeladatok2020'!O$171:O$329)</f>
        <v>0</v>
      </c>
      <c r="L31" s="515">
        <f>+SUMIF('13.mell_ÖNKfeladatok2020'!$B$171:$B$329,'14.mell_Önk kiegészítés2020'!$A31,'13.mell_ÖNKfeladatok2020'!S$171:S$329)</f>
        <v>0</v>
      </c>
      <c r="M31" s="515">
        <f>+SUMIF('13.mell_ÖNKfeladatok2020'!$B$171:$B$329,'14.mell_Önk kiegészítés2020'!$A31,'13.mell_ÖNKfeladatok2020'!W$171:W$329)</f>
        <v>0</v>
      </c>
      <c r="N31" s="515">
        <f>+SUMIF('13.mell_ÖNKfeladatok2020'!$B$171:$B$329,'14.mell_Önk kiegészítés2020'!$A31,'13.mell_ÖNKfeladatok2020'!AA$171:AA$329)</f>
        <v>0</v>
      </c>
      <c r="O31" s="515">
        <f>+SUMIF('13.mell_ÖNKfeladatok2020'!$B$171:$B$329,'14.mell_Önk kiegészítés2020'!$A31,'13.mell_ÖNKfeladatok2020'!AE$171:AE$329)</f>
        <v>0</v>
      </c>
      <c r="P31" s="515">
        <f>+SUMIF('13.mell_ÖNKfeladatok2020'!$B$171:$B$329,'14.mell_Önk kiegészítés2020'!$A31,'13.mell_ÖNKfeladatok2020'!AM$171:AM$329)</f>
        <v>0</v>
      </c>
      <c r="Q31" s="515">
        <f>+SUMIF('13.mell_ÖNKfeladatok2020'!$B$171:$B$329,'14.mell_Önk kiegészítés2020'!$A31,'13.mell_ÖNKfeladatok2020'!AQ$171:AQ$329)</f>
        <v>0</v>
      </c>
      <c r="R31" s="515">
        <f>+SUMIF('13.mell_ÖNKfeladatok2020'!$B$171:$B$329,'14.mell_Önk kiegészítés2020'!$A31,'13.mell_ÖNKfeladatok2020'!AU$171:AU$329)</f>
        <v>0</v>
      </c>
      <c r="S31" s="554">
        <f>SUM(K31:R31)</f>
        <v>0</v>
      </c>
      <c r="T31" s="516">
        <f>S31-J31</f>
        <v>0</v>
      </c>
      <c r="U31" s="1043">
        <f>+ROUND(SUMIF('10.mell_támogatások2020'!$B$6:$B$137,'14.mell_Önk kiegészítés2020'!$A31,'10.mell_támogatások2020'!D$6:D$137)/1000,0)</f>
        <v>0</v>
      </c>
      <c r="V31" s="1023"/>
      <c r="W31" s="516">
        <f>+T31-U31-V31</f>
        <v>0</v>
      </c>
    </row>
    <row r="32" spans="1:42" s="507" customFormat="1" ht="12.75" thickBot="1">
      <c r="A32" s="519" t="s">
        <v>746</v>
      </c>
      <c r="B32" s="520" t="s">
        <v>867</v>
      </c>
      <c r="C32" s="521">
        <f>SUM(C31)</f>
        <v>0</v>
      </c>
      <c r="D32" s="522">
        <f t="shared" ref="D32:W32" si="10">SUM(D31)</f>
        <v>0</v>
      </c>
      <c r="E32" s="522">
        <f t="shared" si="10"/>
        <v>0</v>
      </c>
      <c r="F32" s="522">
        <f t="shared" si="10"/>
        <v>0</v>
      </c>
      <c r="G32" s="522">
        <f t="shared" si="10"/>
        <v>0</v>
      </c>
      <c r="H32" s="522">
        <f t="shared" si="10"/>
        <v>0</v>
      </c>
      <c r="I32" s="525">
        <f t="shared" si="10"/>
        <v>0</v>
      </c>
      <c r="J32" s="524">
        <f t="shared" si="10"/>
        <v>0</v>
      </c>
      <c r="K32" s="521">
        <f t="shared" si="10"/>
        <v>0</v>
      </c>
      <c r="L32" s="521">
        <f t="shared" si="10"/>
        <v>0</v>
      </c>
      <c r="M32" s="521">
        <f t="shared" si="10"/>
        <v>0</v>
      </c>
      <c r="N32" s="521">
        <f t="shared" si="10"/>
        <v>0</v>
      </c>
      <c r="O32" s="521">
        <f t="shared" si="10"/>
        <v>0</v>
      </c>
      <c r="P32" s="521">
        <f t="shared" si="10"/>
        <v>0</v>
      </c>
      <c r="Q32" s="521">
        <f t="shared" si="10"/>
        <v>0</v>
      </c>
      <c r="R32" s="521">
        <f t="shared" si="10"/>
        <v>0</v>
      </c>
      <c r="S32" s="524">
        <f t="shared" si="10"/>
        <v>0</v>
      </c>
      <c r="T32" s="524">
        <f t="shared" si="10"/>
        <v>0</v>
      </c>
      <c r="U32" s="1044">
        <f t="shared" si="10"/>
        <v>0</v>
      </c>
      <c r="V32" s="525">
        <f t="shared" si="10"/>
        <v>0</v>
      </c>
      <c r="W32" s="524">
        <f t="shared" si="10"/>
        <v>0</v>
      </c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</row>
    <row r="33" spans="1:42" s="507" customFormat="1" ht="12.75" thickBot="1">
      <c r="A33" s="528" t="s">
        <v>22</v>
      </c>
      <c r="B33" s="529" t="s">
        <v>868</v>
      </c>
      <c r="C33" s="530">
        <f>+C26+C30+C32</f>
        <v>0</v>
      </c>
      <c r="D33" s="531">
        <f t="shared" ref="D33:W33" si="11">+D26+D30+D32</f>
        <v>0</v>
      </c>
      <c r="E33" s="531">
        <f t="shared" si="11"/>
        <v>41459</v>
      </c>
      <c r="F33" s="531">
        <f t="shared" si="11"/>
        <v>0</v>
      </c>
      <c r="G33" s="531">
        <f t="shared" si="11"/>
        <v>0</v>
      </c>
      <c r="H33" s="531">
        <f t="shared" si="11"/>
        <v>0</v>
      </c>
      <c r="I33" s="532">
        <f t="shared" si="11"/>
        <v>0</v>
      </c>
      <c r="J33" s="533">
        <f t="shared" si="11"/>
        <v>41459</v>
      </c>
      <c r="K33" s="530">
        <f t="shared" si="11"/>
        <v>288403</v>
      </c>
      <c r="L33" s="530">
        <f t="shared" si="11"/>
        <v>53891</v>
      </c>
      <c r="M33" s="530">
        <f t="shared" si="11"/>
        <v>60026</v>
      </c>
      <c r="N33" s="530">
        <f t="shared" si="11"/>
        <v>0</v>
      </c>
      <c r="O33" s="530">
        <f t="shared" si="11"/>
        <v>0</v>
      </c>
      <c r="P33" s="530">
        <f t="shared" si="11"/>
        <v>4000</v>
      </c>
      <c r="Q33" s="530">
        <f t="shared" si="11"/>
        <v>0</v>
      </c>
      <c r="R33" s="530">
        <f t="shared" si="11"/>
        <v>0</v>
      </c>
      <c r="S33" s="533">
        <f t="shared" si="11"/>
        <v>406320</v>
      </c>
      <c r="T33" s="533">
        <f t="shared" si="11"/>
        <v>364861</v>
      </c>
      <c r="U33" s="1046">
        <f t="shared" si="11"/>
        <v>145965</v>
      </c>
      <c r="V33" s="532">
        <f t="shared" si="11"/>
        <v>-40716</v>
      </c>
      <c r="W33" s="533">
        <f t="shared" si="11"/>
        <v>259612</v>
      </c>
      <c r="Y33" s="507">
        <f>+'13.mell_ÖNKfeladatok2020'!$G$113-J33</f>
        <v>0</v>
      </c>
      <c r="Z33" s="507">
        <f>+'13.mell_ÖNKfeladatok2020'!$G$279-S33</f>
        <v>0</v>
      </c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</row>
    <row r="34" spans="1:42" s="507" customFormat="1" ht="12.75" thickBot="1">
      <c r="A34" s="539"/>
      <c r="B34" s="540"/>
      <c r="C34" s="541"/>
      <c r="D34" s="541"/>
      <c r="E34" s="541"/>
      <c r="F34" s="541"/>
      <c r="G34" s="541"/>
      <c r="H34" s="541"/>
      <c r="I34" s="823"/>
      <c r="J34" s="544"/>
      <c r="K34" s="541"/>
      <c r="L34" s="541"/>
      <c r="M34" s="541"/>
      <c r="N34" s="541"/>
      <c r="O34" s="541"/>
      <c r="P34" s="541"/>
      <c r="Q34" s="541"/>
      <c r="R34" s="541"/>
      <c r="S34" s="544"/>
      <c r="T34" s="544"/>
      <c r="U34" s="823"/>
      <c r="V34" s="543"/>
      <c r="W34" s="544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</row>
    <row r="35" spans="1:42">
      <c r="A35" s="783">
        <f>+A31+1</f>
        <v>19</v>
      </c>
      <c r="B35" s="695" t="s">
        <v>1074</v>
      </c>
      <c r="C35" s="826">
        <f>+SUMIF('13.mell_ÖNKfeladatok2020'!$B$5:$B$163,'14.mell_Önk kiegészítés2020'!$A35,'13.mell_ÖNKfeladatok2020'!O$5:O$163)</f>
        <v>0</v>
      </c>
      <c r="D35" s="826">
        <f>+SUMIF('13.mell_ÖNKfeladatok2020'!$B$5:$B$163,'14.mell_Önk kiegészítés2020'!$A35,'13.mell_ÖNKfeladatok2020'!S$5:S$163)</f>
        <v>0</v>
      </c>
      <c r="E35" s="826">
        <f>+SUMIF('13.mell_ÖNKfeladatok2020'!$B$5:$B$163,'14.mell_Önk kiegészítés2020'!$A35,'13.mell_ÖNKfeladatok2020'!W$5:W$163)</f>
        <v>0</v>
      </c>
      <c r="F35" s="826">
        <f>+SUMIF('13.mell_ÖNKfeladatok2020'!$B$5:$B$163,'14.mell_Önk kiegészítés2020'!$A35,'13.mell_ÖNKfeladatok2020'!AA$5:AA$163)</f>
        <v>0</v>
      </c>
      <c r="G35" s="826">
        <f>+SUMIF('13.mell_ÖNKfeladatok2020'!$B$5:$B$163,'14.mell_Önk kiegészítés2020'!$A35,'13.mell_ÖNKfeladatok2020'!AI$5:AI$163)</f>
        <v>0</v>
      </c>
      <c r="H35" s="826">
        <f>+SUMIF('13.mell_ÖNKfeladatok2020'!$B$5:$B$163,'14.mell_Önk kiegészítés2020'!$A35,'13.mell_ÖNKfeladatok2020'!AM$5:AM$163)</f>
        <v>0</v>
      </c>
      <c r="I35" s="826">
        <f>+SUMIF('13.mell_ÖNKfeladatok2020'!$B$5:$B$163,'14.mell_Önk kiegészítés2020'!$A35,'13.mell_ÖNKfeladatok2020'!AQ$5:AQ$163)</f>
        <v>0</v>
      </c>
      <c r="J35" s="696">
        <f>SUM(C35:I35)</f>
        <v>0</v>
      </c>
      <c r="K35" s="826">
        <f>+SUMIF('13.mell_ÖNKfeladatok2020'!$B$171:$B$329,'14.mell_Önk kiegészítés2020'!$A35,'13.mell_ÖNKfeladatok2020'!O$171:O$329)</f>
        <v>219940</v>
      </c>
      <c r="L35" s="826">
        <f>+SUMIF('13.mell_ÖNKfeladatok2020'!$B$171:$B$329,'14.mell_Önk kiegészítés2020'!$A35,'13.mell_ÖNKfeladatok2020'!S$171:S$329)</f>
        <v>43809</v>
      </c>
      <c r="M35" s="826">
        <f>+SUMIF('13.mell_ÖNKfeladatok2020'!$B$171:$B$329,'14.mell_Önk kiegészítés2020'!$A35,'13.mell_ÖNKfeladatok2020'!W$171:W$329)</f>
        <v>25891</v>
      </c>
      <c r="N35" s="826">
        <f>+SUMIF('13.mell_ÖNKfeladatok2020'!$B$171:$B$329,'14.mell_Önk kiegészítés2020'!$A35,'13.mell_ÖNKfeladatok2020'!AA$171:AA$329)</f>
        <v>0</v>
      </c>
      <c r="O35" s="826">
        <f>+SUMIF('13.mell_ÖNKfeladatok2020'!$B$171:$B$329,'14.mell_Önk kiegészítés2020'!$A35,'13.mell_ÖNKfeladatok2020'!AE$171:AE$329)</f>
        <v>0</v>
      </c>
      <c r="P35" s="826">
        <f>+SUMIF('13.mell_ÖNKfeladatok2020'!$B$171:$B$329,'14.mell_Önk kiegészítés2020'!$A35,'13.mell_ÖNKfeladatok2020'!AM$171:AM$329)</f>
        <v>1100</v>
      </c>
      <c r="Q35" s="826">
        <f>+SUMIF('13.mell_ÖNKfeladatok2020'!$B$171:$B$329,'14.mell_Önk kiegészítés2020'!$A35,'13.mell_ÖNKfeladatok2020'!AQ$171:AQ$329)</f>
        <v>0</v>
      </c>
      <c r="R35" s="826">
        <f>+SUMIF('13.mell_ÖNKfeladatok2020'!$B$171:$B$329,'14.mell_Önk kiegészítés2020'!$A35,'13.mell_ÖNKfeladatok2020'!AU$171:AU$329)</f>
        <v>0</v>
      </c>
      <c r="S35" s="696">
        <f>SUM(K35:R35)</f>
        <v>290740</v>
      </c>
      <c r="T35" s="697">
        <f>S35-J35</f>
        <v>290740</v>
      </c>
      <c r="U35" s="1047">
        <f>+ROUND(SUMIF('10.mell_támogatások2020'!$B$6:$B$137,'14.mell_Önk kiegészítés2020'!$A35,'10.mell_támogatások2020'!D$6:D$137)/1000,0)</f>
        <v>238516</v>
      </c>
      <c r="V35" s="1025"/>
      <c r="W35" s="697">
        <f>+T35-U35-V35</f>
        <v>52224</v>
      </c>
    </row>
    <row r="36" spans="1:42">
      <c r="A36" s="784">
        <f>+A35+1</f>
        <v>20</v>
      </c>
      <c r="B36" s="514" t="s">
        <v>1147</v>
      </c>
      <c r="C36" s="515">
        <f>+SUMIF('13.mell_ÖNKfeladatok2020'!$B$5:$B$163,'14.mell_Önk kiegészítés2020'!$A36,'13.mell_ÖNKfeladatok2020'!O$5:O$163)</f>
        <v>0</v>
      </c>
      <c r="D36" s="515">
        <f>+SUMIF('13.mell_ÖNKfeladatok2020'!$B$5:$B$163,'14.mell_Önk kiegészítés2020'!$A36,'13.mell_ÖNKfeladatok2020'!S$5:S$163)</f>
        <v>0</v>
      </c>
      <c r="E36" s="515">
        <f>+SUMIF('13.mell_ÖNKfeladatok2020'!$B$5:$B$163,'14.mell_Önk kiegészítés2020'!$A36,'13.mell_ÖNKfeladatok2020'!W$5:W$163)</f>
        <v>21571</v>
      </c>
      <c r="F36" s="515">
        <f>+SUMIF('13.mell_ÖNKfeladatok2020'!$B$5:$B$163,'14.mell_Önk kiegészítés2020'!$A36,'13.mell_ÖNKfeladatok2020'!AA$5:AA$163)</f>
        <v>0</v>
      </c>
      <c r="G36" s="515">
        <f>+SUMIF('13.mell_ÖNKfeladatok2020'!$B$5:$B$163,'14.mell_Önk kiegészítés2020'!$A36,'13.mell_ÖNKfeladatok2020'!AI$5:AI$163)</f>
        <v>0</v>
      </c>
      <c r="H36" s="515">
        <f>+SUMIF('13.mell_ÖNKfeladatok2020'!$B$5:$B$163,'14.mell_Önk kiegészítés2020'!$A36,'13.mell_ÖNKfeladatok2020'!AM$5:AM$163)</f>
        <v>0</v>
      </c>
      <c r="I36" s="515">
        <f>+SUMIF('13.mell_ÖNKfeladatok2020'!$B$5:$B$163,'14.mell_Önk kiegészítés2020'!$A36,'13.mell_ÖNKfeladatok2020'!AQ$5:AQ$163)</f>
        <v>0</v>
      </c>
      <c r="J36" s="554">
        <f>SUM(C36:I36)</f>
        <v>21571</v>
      </c>
      <c r="K36" s="515">
        <f>+SUMIF('13.mell_ÖNKfeladatok2020'!$B$171:$B$329,'14.mell_Önk kiegészítés2020'!$A36,'13.mell_ÖNKfeladatok2020'!O$171:O$329)</f>
        <v>0</v>
      </c>
      <c r="L36" s="515">
        <f>+SUMIF('13.mell_ÖNKfeladatok2020'!$B$171:$B$329,'14.mell_Önk kiegészítés2020'!$A36,'13.mell_ÖNKfeladatok2020'!S$171:S$329)</f>
        <v>0</v>
      </c>
      <c r="M36" s="515">
        <f>+SUMIF('13.mell_ÖNKfeladatok2020'!$B$171:$B$329,'14.mell_Önk kiegészítés2020'!$A36,'13.mell_ÖNKfeladatok2020'!W$171:W$329)</f>
        <v>93915</v>
      </c>
      <c r="N36" s="515">
        <f>+SUMIF('13.mell_ÖNKfeladatok2020'!$B$171:$B$329,'14.mell_Önk kiegészítés2020'!$A36,'13.mell_ÖNKfeladatok2020'!AA$171:AA$329)</f>
        <v>0</v>
      </c>
      <c r="O36" s="515">
        <f>+SUMIF('13.mell_ÖNKfeladatok2020'!$B$171:$B$329,'14.mell_Önk kiegészítés2020'!$A36,'13.mell_ÖNKfeladatok2020'!AE$171:AE$329)</f>
        <v>0</v>
      </c>
      <c r="P36" s="515">
        <f>+SUMIF('13.mell_ÖNKfeladatok2020'!$B$171:$B$329,'14.mell_Önk kiegészítés2020'!$A36,'13.mell_ÖNKfeladatok2020'!AM$171:AM$329)</f>
        <v>0</v>
      </c>
      <c r="Q36" s="515">
        <f>+SUMIF('13.mell_ÖNKfeladatok2020'!$B$171:$B$329,'14.mell_Önk kiegészítés2020'!$A36,'13.mell_ÖNKfeladatok2020'!AQ$171:AQ$329)</f>
        <v>0</v>
      </c>
      <c r="R36" s="515">
        <f>+SUMIF('13.mell_ÖNKfeladatok2020'!$B$171:$B$329,'14.mell_Önk kiegészítés2020'!$A36,'13.mell_ÖNKfeladatok2020'!AU$171:AU$329)</f>
        <v>0</v>
      </c>
      <c r="S36" s="554">
        <f>SUM(K36:R36)</f>
        <v>93915</v>
      </c>
      <c r="T36" s="516">
        <f>S36-J36</f>
        <v>72344</v>
      </c>
      <c r="U36" s="1043">
        <f>+ROUND(SUMIF('10.mell_támogatások2020'!$B$6:$B$137,'14.mell_Önk kiegészítés2020'!$A36,'10.mell_támogatások2020'!D$6:D$137)/1000,0)</f>
        <v>67762</v>
      </c>
      <c r="V36" s="1023">
        <v>1592</v>
      </c>
      <c r="W36" s="516">
        <f>+T36-U36-V36</f>
        <v>2990</v>
      </c>
      <c r="AI36" s="261">
        <v>1592</v>
      </c>
    </row>
    <row r="37" spans="1:42" ht="12.75" thickBot="1">
      <c r="A37" s="824">
        <f>+A36+1</f>
        <v>21</v>
      </c>
      <c r="B37" s="526" t="s">
        <v>1140</v>
      </c>
      <c r="C37" s="527">
        <f>+SUMIF('13.mell_ÖNKfeladatok2020'!$B$5:$B$163,'14.mell_Önk kiegészítés2020'!$A37,'13.mell_ÖNKfeladatok2020'!O$5:O$163)</f>
        <v>0</v>
      </c>
      <c r="D37" s="527">
        <f>+SUMIF('13.mell_ÖNKfeladatok2020'!$B$5:$B$163,'14.mell_Önk kiegészítés2020'!$A37,'13.mell_ÖNKfeladatok2020'!S$5:S$163)</f>
        <v>0</v>
      </c>
      <c r="E37" s="527">
        <f>+SUMIF('13.mell_ÖNKfeladatok2020'!$B$5:$B$163,'14.mell_Önk kiegészítés2020'!$A37,'13.mell_ÖNKfeladatok2020'!W$5:W$163)</f>
        <v>0</v>
      </c>
      <c r="F37" s="527">
        <f>+SUMIF('13.mell_ÖNKfeladatok2020'!$B$5:$B$163,'14.mell_Önk kiegészítés2020'!$A37,'13.mell_ÖNKfeladatok2020'!AA$5:AA$163)</f>
        <v>0</v>
      </c>
      <c r="G37" s="527">
        <f>+SUMIF('13.mell_ÖNKfeladatok2020'!$B$5:$B$163,'14.mell_Önk kiegészítés2020'!$A37,'13.mell_ÖNKfeladatok2020'!AI$5:AI$163)</f>
        <v>0</v>
      </c>
      <c r="H37" s="527">
        <f>+SUMIF('13.mell_ÖNKfeladatok2020'!$B$5:$B$163,'14.mell_Önk kiegészítés2020'!$A37,'13.mell_ÖNKfeladatok2020'!AM$5:AM$163)</f>
        <v>0</v>
      </c>
      <c r="I37" s="527">
        <f>+SUMIF('13.mell_ÖNKfeladatok2020'!$B$5:$B$163,'14.mell_Önk kiegészítés2020'!$A37,'13.mell_ÖNKfeladatok2020'!AQ$5:AQ$163)</f>
        <v>0</v>
      </c>
      <c r="J37" s="556">
        <f>SUM(C37:I37)</f>
        <v>0</v>
      </c>
      <c r="K37" s="512">
        <f>+SUMIF('13.mell_ÖNKfeladatok2020'!$B$171:$B$329,'14.mell_Önk kiegészítés2020'!$A37,'13.mell_ÖNKfeladatok2020'!O$171:O$329)</f>
        <v>33994</v>
      </c>
      <c r="L37" s="512">
        <f>+SUMIF('13.mell_ÖNKfeladatok2020'!$B$171:$B$329,'14.mell_Önk kiegészítés2020'!$A37,'13.mell_ÖNKfeladatok2020'!S$171:S$329)</f>
        <v>5975</v>
      </c>
      <c r="M37" s="512">
        <f>+SUMIF('13.mell_ÖNKfeladatok2020'!$B$171:$B$329,'14.mell_Önk kiegészítés2020'!$A37,'13.mell_ÖNKfeladatok2020'!W$171:W$329)</f>
        <v>4693</v>
      </c>
      <c r="N37" s="512">
        <f>+SUMIF('13.mell_ÖNKfeladatok2020'!$B$171:$B$329,'14.mell_Önk kiegészítés2020'!$A37,'13.mell_ÖNKfeladatok2020'!AA$171:AA$329)</f>
        <v>0</v>
      </c>
      <c r="O37" s="512">
        <f>+SUMIF('13.mell_ÖNKfeladatok2020'!$B$171:$B$329,'14.mell_Önk kiegészítés2020'!$A37,'13.mell_ÖNKfeladatok2020'!AE$171:AE$329)</f>
        <v>0</v>
      </c>
      <c r="P37" s="512">
        <f>+SUMIF('13.mell_ÖNKfeladatok2020'!$B$171:$B$329,'14.mell_Önk kiegészítés2020'!$A37,'13.mell_ÖNKfeladatok2020'!AM$171:AM$329)</f>
        <v>0</v>
      </c>
      <c r="Q37" s="512">
        <f>+SUMIF('13.mell_ÖNKfeladatok2020'!$B$171:$B$329,'14.mell_Önk kiegészítés2020'!$A37,'13.mell_ÖNKfeladatok2020'!AQ$171:AQ$329)</f>
        <v>0</v>
      </c>
      <c r="R37" s="512">
        <f>+SUMIF('13.mell_ÖNKfeladatok2020'!$B$171:$B$329,'14.mell_Önk kiegészítés2020'!$A37,'13.mell_ÖNKfeladatok2020'!AU$171:AU$329)</f>
        <v>0</v>
      </c>
      <c r="S37" s="553">
        <f>SUM(K37:R37)</f>
        <v>44662</v>
      </c>
      <c r="T37" s="513">
        <f>S37-J37</f>
        <v>44662</v>
      </c>
      <c r="U37" s="1042">
        <f>+ROUND(SUMIF('10.mell_támogatások2020'!$B$6:$B$137,'14.mell_Önk kiegészítés2020'!$A37,'10.mell_támogatások2020'!D$6:D$137)/1000,0)</f>
        <v>23730</v>
      </c>
      <c r="V37" s="1022"/>
      <c r="W37" s="513">
        <f>+T37-U37-V37</f>
        <v>20932</v>
      </c>
    </row>
    <row r="38" spans="1:42" s="507" customFormat="1" ht="12.75" thickBot="1">
      <c r="A38" s="343" t="s">
        <v>747</v>
      </c>
      <c r="B38" s="471" t="s">
        <v>417</v>
      </c>
      <c r="C38" s="521">
        <f>SUM(C35:C37)</f>
        <v>0</v>
      </c>
      <c r="D38" s="521">
        <f t="shared" ref="D38:W38" si="12">SUM(D35:D37)</f>
        <v>0</v>
      </c>
      <c r="E38" s="521">
        <f t="shared" si="12"/>
        <v>21571</v>
      </c>
      <c r="F38" s="521">
        <f t="shared" si="12"/>
        <v>0</v>
      </c>
      <c r="G38" s="521">
        <f t="shared" si="12"/>
        <v>0</v>
      </c>
      <c r="H38" s="521">
        <f t="shared" si="12"/>
        <v>0</v>
      </c>
      <c r="I38" s="521">
        <f t="shared" si="12"/>
        <v>0</v>
      </c>
      <c r="J38" s="524">
        <f t="shared" si="12"/>
        <v>21571</v>
      </c>
      <c r="K38" s="521">
        <f t="shared" si="12"/>
        <v>253934</v>
      </c>
      <c r="L38" s="521">
        <f t="shared" si="12"/>
        <v>49784</v>
      </c>
      <c r="M38" s="521">
        <f t="shared" si="12"/>
        <v>124499</v>
      </c>
      <c r="N38" s="521">
        <f t="shared" si="12"/>
        <v>0</v>
      </c>
      <c r="O38" s="521">
        <f t="shared" si="12"/>
        <v>0</v>
      </c>
      <c r="P38" s="521">
        <f t="shared" si="12"/>
        <v>1100</v>
      </c>
      <c r="Q38" s="521">
        <f t="shared" si="12"/>
        <v>0</v>
      </c>
      <c r="R38" s="521">
        <f t="shared" si="12"/>
        <v>0</v>
      </c>
      <c r="S38" s="524">
        <f t="shared" si="12"/>
        <v>429317</v>
      </c>
      <c r="T38" s="524">
        <f t="shared" si="12"/>
        <v>407746</v>
      </c>
      <c r="U38" s="1044">
        <f t="shared" si="12"/>
        <v>330008</v>
      </c>
      <c r="V38" s="525">
        <f t="shared" si="12"/>
        <v>1592</v>
      </c>
      <c r="W38" s="524">
        <f t="shared" si="12"/>
        <v>76146</v>
      </c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</row>
    <row r="39" spans="1:42" ht="12.75" thickBot="1">
      <c r="A39" s="827">
        <f>+A37+1</f>
        <v>22</v>
      </c>
      <c r="B39" s="526" t="s">
        <v>418</v>
      </c>
      <c r="C39" s="527">
        <f>+SUMIF('13.mell_ÖNKfeladatok2020'!$B$5:$B$163,'14.mell_Önk kiegészítés2020'!$A39,'13.mell_ÖNKfeladatok2020'!O$5:O$163)</f>
        <v>0</v>
      </c>
      <c r="D39" s="527">
        <f>+SUMIF('13.mell_ÖNKfeladatok2020'!$B$5:$B$163,'14.mell_Önk kiegészítés2020'!$A39,'13.mell_ÖNKfeladatok2020'!S$5:S$163)</f>
        <v>0</v>
      </c>
      <c r="E39" s="527">
        <f>+SUMIF('13.mell_ÖNKfeladatok2020'!$B$5:$B$163,'14.mell_Önk kiegészítés2020'!$A39,'13.mell_ÖNKfeladatok2020'!W$5:W$163)</f>
        <v>0</v>
      </c>
      <c r="F39" s="527">
        <f>+SUMIF('13.mell_ÖNKfeladatok2020'!$B$5:$B$163,'14.mell_Önk kiegészítés2020'!$A39,'13.mell_ÖNKfeladatok2020'!AA$5:AA$163)</f>
        <v>0</v>
      </c>
      <c r="G39" s="527">
        <f>+SUMIF('13.mell_ÖNKfeladatok2020'!$B$5:$B$163,'14.mell_Önk kiegészítés2020'!$A39,'13.mell_ÖNKfeladatok2020'!AI$5:AI$163)</f>
        <v>0</v>
      </c>
      <c r="H39" s="527">
        <f>+SUMIF('13.mell_ÖNKfeladatok2020'!$B$5:$B$163,'14.mell_Önk kiegészítés2020'!$A39,'13.mell_ÖNKfeladatok2020'!AM$5:AM$163)</f>
        <v>0</v>
      </c>
      <c r="I39" s="527">
        <f>+SUMIF('13.mell_ÖNKfeladatok2020'!$B$5:$B$163,'14.mell_Önk kiegészítés2020'!$A39,'13.mell_ÖNKfeladatok2020'!AQ$5:AQ$163)</f>
        <v>0</v>
      </c>
      <c r="J39" s="556">
        <f>SUM(C39:I39)</f>
        <v>0</v>
      </c>
      <c r="K39" s="518">
        <f>+SUMIF('13.mell_ÖNKfeladatok2020'!$B$171:$B$329,'14.mell_Önk kiegészítés2020'!$A39,'13.mell_ÖNKfeladatok2020'!O$171:O$329)</f>
        <v>0</v>
      </c>
      <c r="L39" s="518">
        <f>+SUMIF('13.mell_ÖNKfeladatok2020'!$B$171:$B$329,'14.mell_Önk kiegészítés2020'!$A39,'13.mell_ÖNKfeladatok2020'!S$171:S$329)</f>
        <v>0</v>
      </c>
      <c r="M39" s="518">
        <f>+SUMIF('13.mell_ÖNKfeladatok2020'!$B$171:$B$329,'14.mell_Önk kiegészítés2020'!$A39,'13.mell_ÖNKfeladatok2020'!W$171:W$329)</f>
        <v>0</v>
      </c>
      <c r="N39" s="518">
        <f>+SUMIF('13.mell_ÖNKfeladatok2020'!$B$171:$B$329,'14.mell_Önk kiegészítés2020'!$A39,'13.mell_ÖNKfeladatok2020'!AA$171:AA$329)</f>
        <v>0</v>
      </c>
      <c r="O39" s="518">
        <f>+SUMIF('13.mell_ÖNKfeladatok2020'!$B$171:$B$329,'14.mell_Önk kiegészítés2020'!$A39,'13.mell_ÖNKfeladatok2020'!AE$171:AE$329)</f>
        <v>0</v>
      </c>
      <c r="P39" s="518">
        <f>+SUMIF('13.mell_ÖNKfeladatok2020'!$B$171:$B$329,'14.mell_Önk kiegészítés2020'!$A39,'13.mell_ÖNKfeladatok2020'!AM$171:AM$329)</f>
        <v>0</v>
      </c>
      <c r="Q39" s="518">
        <f>+SUMIF('13.mell_ÖNKfeladatok2020'!$B$171:$B$329,'14.mell_Önk kiegészítés2020'!$A39,'13.mell_ÖNKfeladatok2020'!AQ$171:AQ$329)</f>
        <v>0</v>
      </c>
      <c r="R39" s="518">
        <f>+SUMIF('13.mell_ÖNKfeladatok2020'!$B$171:$B$329,'14.mell_Önk kiegészítés2020'!$A39,'13.mell_ÖNKfeladatok2020'!AU$171:AU$329)</f>
        <v>0</v>
      </c>
      <c r="S39" s="555">
        <f>SUM(K39:R39)</f>
        <v>0</v>
      </c>
      <c r="T39" s="828">
        <f>S39-J39</f>
        <v>0</v>
      </c>
      <c r="U39" s="1048">
        <f>+ROUND(SUMIF('10.mell_támogatások2020'!$B$6:$B$137,'14.mell_Önk kiegészítés2020'!$A39,'10.mell_támogatások2020'!D$6:D$137)/1000,0)</f>
        <v>0</v>
      </c>
      <c r="V39" s="1026"/>
      <c r="W39" s="828">
        <f>+T39-U39-V39</f>
        <v>0</v>
      </c>
    </row>
    <row r="40" spans="1:42" s="507" customFormat="1" ht="12.75" thickBot="1">
      <c r="A40" s="343" t="s">
        <v>748</v>
      </c>
      <c r="B40" s="471" t="s">
        <v>418</v>
      </c>
      <c r="C40" s="521">
        <f>SUM(C39)</f>
        <v>0</v>
      </c>
      <c r="D40" s="521">
        <f t="shared" ref="D40:W40" si="13">SUM(D39)</f>
        <v>0</v>
      </c>
      <c r="E40" s="521">
        <f t="shared" si="13"/>
        <v>0</v>
      </c>
      <c r="F40" s="521">
        <f t="shared" si="13"/>
        <v>0</v>
      </c>
      <c r="G40" s="521">
        <f t="shared" si="13"/>
        <v>0</v>
      </c>
      <c r="H40" s="521">
        <f t="shared" si="13"/>
        <v>0</v>
      </c>
      <c r="I40" s="521">
        <f t="shared" si="13"/>
        <v>0</v>
      </c>
      <c r="J40" s="524">
        <f t="shared" si="13"/>
        <v>0</v>
      </c>
      <c r="K40" s="521">
        <f t="shared" si="13"/>
        <v>0</v>
      </c>
      <c r="L40" s="521">
        <f t="shared" si="13"/>
        <v>0</v>
      </c>
      <c r="M40" s="521">
        <f t="shared" si="13"/>
        <v>0</v>
      </c>
      <c r="N40" s="521">
        <f t="shared" si="13"/>
        <v>0</v>
      </c>
      <c r="O40" s="521">
        <f t="shared" si="13"/>
        <v>0</v>
      </c>
      <c r="P40" s="521">
        <f t="shared" si="13"/>
        <v>0</v>
      </c>
      <c r="Q40" s="521">
        <f t="shared" si="13"/>
        <v>0</v>
      </c>
      <c r="R40" s="521">
        <f t="shared" si="13"/>
        <v>0</v>
      </c>
      <c r="S40" s="524">
        <f t="shared" si="13"/>
        <v>0</v>
      </c>
      <c r="T40" s="524">
        <f t="shared" si="13"/>
        <v>0</v>
      </c>
      <c r="U40" s="1044">
        <f t="shared" si="13"/>
        <v>0</v>
      </c>
      <c r="V40" s="525">
        <f t="shared" si="13"/>
        <v>0</v>
      </c>
      <c r="W40" s="524">
        <f t="shared" si="13"/>
        <v>0</v>
      </c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</row>
    <row r="41" spans="1:42" ht="12.75" thickBot="1">
      <c r="A41" s="827">
        <f>+A39+1</f>
        <v>23</v>
      </c>
      <c r="B41" s="526" t="s">
        <v>766</v>
      </c>
      <c r="C41" s="527">
        <f>+SUMIF('13.mell_ÖNKfeladatok2020'!$B$5:$B$163,'14.mell_Önk kiegészítés2020'!$A41,'13.mell_ÖNKfeladatok2020'!O$5:O$163)</f>
        <v>0</v>
      </c>
      <c r="D41" s="527">
        <f>+SUMIF('13.mell_ÖNKfeladatok2020'!$B$5:$B$163,'14.mell_Önk kiegészítés2020'!$A41,'13.mell_ÖNKfeladatok2020'!S$5:S$163)</f>
        <v>0</v>
      </c>
      <c r="E41" s="527">
        <f>+SUMIF('13.mell_ÖNKfeladatok2020'!$B$5:$B$163,'14.mell_Önk kiegészítés2020'!$A41,'13.mell_ÖNKfeladatok2020'!W$5:W$163)</f>
        <v>0</v>
      </c>
      <c r="F41" s="527">
        <f>+SUMIF('13.mell_ÖNKfeladatok2020'!$B$5:$B$163,'14.mell_Önk kiegészítés2020'!$A41,'13.mell_ÖNKfeladatok2020'!AA$5:AA$163)</f>
        <v>0</v>
      </c>
      <c r="G41" s="527">
        <f>+SUMIF('13.mell_ÖNKfeladatok2020'!$B$5:$B$163,'14.mell_Önk kiegészítés2020'!$A41,'13.mell_ÖNKfeladatok2020'!AI$5:AI$163)</f>
        <v>0</v>
      </c>
      <c r="H41" s="527">
        <f>+SUMIF('13.mell_ÖNKfeladatok2020'!$B$5:$B$163,'14.mell_Önk kiegészítés2020'!$A41,'13.mell_ÖNKfeladatok2020'!AM$5:AM$163)</f>
        <v>0</v>
      </c>
      <c r="I41" s="527">
        <f>+SUMIF('13.mell_ÖNKfeladatok2020'!$B$5:$B$163,'14.mell_Önk kiegészítés2020'!$A41,'13.mell_ÖNKfeladatok2020'!AQ$5:AQ$163)</f>
        <v>0</v>
      </c>
      <c r="J41" s="556">
        <f>SUM(C41:I41)</f>
        <v>0</v>
      </c>
      <c r="K41" s="518">
        <f>+SUMIF('13.mell_ÖNKfeladatok2020'!$B$171:$B$329,'14.mell_Önk kiegészítés2020'!$A41,'13.mell_ÖNKfeladatok2020'!O$171:O$329)</f>
        <v>0</v>
      </c>
      <c r="L41" s="518">
        <f>+SUMIF('13.mell_ÖNKfeladatok2020'!$B$171:$B$329,'14.mell_Önk kiegészítés2020'!$A41,'13.mell_ÖNKfeladatok2020'!S$171:S$329)</f>
        <v>0</v>
      </c>
      <c r="M41" s="518">
        <f>+SUMIF('13.mell_ÖNKfeladatok2020'!$B$171:$B$329,'14.mell_Önk kiegészítés2020'!$A41,'13.mell_ÖNKfeladatok2020'!W$171:W$329)</f>
        <v>0</v>
      </c>
      <c r="N41" s="518">
        <f>+SUMIF('13.mell_ÖNKfeladatok2020'!$B$171:$B$329,'14.mell_Önk kiegészítés2020'!$A41,'13.mell_ÖNKfeladatok2020'!AA$171:AA$329)</f>
        <v>0</v>
      </c>
      <c r="O41" s="518">
        <f>+SUMIF('13.mell_ÖNKfeladatok2020'!$B$171:$B$329,'14.mell_Önk kiegészítés2020'!$A41,'13.mell_ÖNKfeladatok2020'!AE$171:AE$329)</f>
        <v>0</v>
      </c>
      <c r="P41" s="518">
        <f>+SUMIF('13.mell_ÖNKfeladatok2020'!$B$171:$B$329,'14.mell_Önk kiegészítés2020'!$A41,'13.mell_ÖNKfeladatok2020'!AM$171:AM$329)</f>
        <v>0</v>
      </c>
      <c r="Q41" s="518">
        <f>+SUMIF('13.mell_ÖNKfeladatok2020'!$B$171:$B$329,'14.mell_Önk kiegészítés2020'!$A41,'13.mell_ÖNKfeladatok2020'!AQ$171:AQ$329)</f>
        <v>0</v>
      </c>
      <c r="R41" s="518">
        <f>+SUMIF('13.mell_ÖNKfeladatok2020'!$B$171:$B$329,'14.mell_Önk kiegészítés2020'!$A41,'13.mell_ÖNKfeladatok2020'!AU$171:AU$329)</f>
        <v>0</v>
      </c>
      <c r="S41" s="555">
        <f>SUM(K41:R41)</f>
        <v>0</v>
      </c>
      <c r="T41" s="828">
        <f>S41-J41</f>
        <v>0</v>
      </c>
      <c r="U41" s="1048">
        <f>+ROUND(SUMIF('10.mell_támogatások2020'!$B$6:$B$137,'14.mell_Önk kiegészítés2020'!$A41,'10.mell_támogatások2020'!D$6:D$137)/1000,0)</f>
        <v>0</v>
      </c>
      <c r="V41" s="1026"/>
      <c r="W41" s="828">
        <f>+T41-U41-V41</f>
        <v>0</v>
      </c>
    </row>
    <row r="42" spans="1:42" s="507" customFormat="1" ht="12.75" thickBot="1">
      <c r="A42" s="343" t="s">
        <v>749</v>
      </c>
      <c r="B42" s="471" t="s">
        <v>766</v>
      </c>
      <c r="C42" s="521">
        <f>SUM(C41)</f>
        <v>0</v>
      </c>
      <c r="D42" s="521">
        <f t="shared" ref="D42:W42" si="14">SUM(D41)</f>
        <v>0</v>
      </c>
      <c r="E42" s="521">
        <f t="shared" si="14"/>
        <v>0</v>
      </c>
      <c r="F42" s="521">
        <f t="shared" si="14"/>
        <v>0</v>
      </c>
      <c r="G42" s="521">
        <f t="shared" si="14"/>
        <v>0</v>
      </c>
      <c r="H42" s="521">
        <f t="shared" si="14"/>
        <v>0</v>
      </c>
      <c r="I42" s="521">
        <f t="shared" si="14"/>
        <v>0</v>
      </c>
      <c r="J42" s="524">
        <f t="shared" si="14"/>
        <v>0</v>
      </c>
      <c r="K42" s="521">
        <f t="shared" si="14"/>
        <v>0</v>
      </c>
      <c r="L42" s="521">
        <f t="shared" si="14"/>
        <v>0</v>
      </c>
      <c r="M42" s="521">
        <f t="shared" si="14"/>
        <v>0</v>
      </c>
      <c r="N42" s="521">
        <f t="shared" si="14"/>
        <v>0</v>
      </c>
      <c r="O42" s="521">
        <f t="shared" si="14"/>
        <v>0</v>
      </c>
      <c r="P42" s="521">
        <f t="shared" si="14"/>
        <v>0</v>
      </c>
      <c r="Q42" s="521">
        <f t="shared" si="14"/>
        <v>0</v>
      </c>
      <c r="R42" s="521">
        <f t="shared" si="14"/>
        <v>0</v>
      </c>
      <c r="S42" s="524">
        <f t="shared" si="14"/>
        <v>0</v>
      </c>
      <c r="T42" s="524">
        <f t="shared" si="14"/>
        <v>0</v>
      </c>
      <c r="U42" s="1044">
        <f t="shared" si="14"/>
        <v>0</v>
      </c>
      <c r="V42" s="525">
        <f t="shared" si="14"/>
        <v>0</v>
      </c>
      <c r="W42" s="524">
        <f t="shared" si="14"/>
        <v>0</v>
      </c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</row>
    <row r="43" spans="1:42" s="507" customFormat="1" ht="12.75" thickBot="1">
      <c r="A43" s="473" t="s">
        <v>21</v>
      </c>
      <c r="B43" s="483" t="s">
        <v>419</v>
      </c>
      <c r="C43" s="530">
        <f>+C38+C40+C42</f>
        <v>0</v>
      </c>
      <c r="D43" s="531">
        <f t="shared" ref="D43:W43" si="15">+D38+D40+D42</f>
        <v>0</v>
      </c>
      <c r="E43" s="531">
        <f t="shared" si="15"/>
        <v>21571</v>
      </c>
      <c r="F43" s="531">
        <f t="shared" si="15"/>
        <v>0</v>
      </c>
      <c r="G43" s="531">
        <f t="shared" si="15"/>
        <v>0</v>
      </c>
      <c r="H43" s="531">
        <f t="shared" si="15"/>
        <v>0</v>
      </c>
      <c r="I43" s="532">
        <f t="shared" si="15"/>
        <v>0</v>
      </c>
      <c r="J43" s="533">
        <f t="shared" si="15"/>
        <v>21571</v>
      </c>
      <c r="K43" s="530">
        <f t="shared" si="15"/>
        <v>253934</v>
      </c>
      <c r="L43" s="530">
        <f t="shared" si="15"/>
        <v>49784</v>
      </c>
      <c r="M43" s="530">
        <f t="shared" si="15"/>
        <v>124499</v>
      </c>
      <c r="N43" s="530">
        <f t="shared" si="15"/>
        <v>0</v>
      </c>
      <c r="O43" s="530">
        <f t="shared" si="15"/>
        <v>0</v>
      </c>
      <c r="P43" s="530">
        <f t="shared" si="15"/>
        <v>1100</v>
      </c>
      <c r="Q43" s="530">
        <f t="shared" si="15"/>
        <v>0</v>
      </c>
      <c r="R43" s="530">
        <f t="shared" si="15"/>
        <v>0</v>
      </c>
      <c r="S43" s="533">
        <f t="shared" si="15"/>
        <v>429317</v>
      </c>
      <c r="T43" s="533">
        <f t="shared" si="15"/>
        <v>407746</v>
      </c>
      <c r="U43" s="1046">
        <f t="shared" si="15"/>
        <v>330008</v>
      </c>
      <c r="V43" s="532">
        <f t="shared" si="15"/>
        <v>1592</v>
      </c>
      <c r="W43" s="533">
        <f t="shared" si="15"/>
        <v>76146</v>
      </c>
      <c r="Y43" s="507">
        <f>+'13.mell_ÖNKfeladatok2020'!$G$126-J43</f>
        <v>0</v>
      </c>
      <c r="Z43" s="507">
        <f>+'13.mell_ÖNKfeladatok2020'!$G$292-S43</f>
        <v>0</v>
      </c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</row>
    <row r="44" spans="1:42" s="194" customFormat="1" ht="12.75" thickBot="1">
      <c r="A44" s="343"/>
      <c r="B44" s="471"/>
      <c r="C44" s="541"/>
      <c r="D44" s="542"/>
      <c r="E44" s="542"/>
      <c r="F44" s="542"/>
      <c r="G44" s="542"/>
      <c r="H44" s="542"/>
      <c r="I44" s="543"/>
      <c r="J44" s="544"/>
      <c r="K44" s="541"/>
      <c r="L44" s="541"/>
      <c r="M44" s="541"/>
      <c r="N44" s="541"/>
      <c r="O44" s="541"/>
      <c r="P44" s="541"/>
      <c r="Q44" s="541"/>
      <c r="R44" s="541"/>
      <c r="S44" s="544"/>
      <c r="T44" s="544"/>
      <c r="U44" s="823"/>
      <c r="V44" s="543"/>
      <c r="W44" s="544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</row>
    <row r="45" spans="1:42">
      <c r="A45" s="783">
        <f>+A41+1</f>
        <v>24</v>
      </c>
      <c r="B45" s="695" t="s">
        <v>1084</v>
      </c>
      <c r="C45" s="826">
        <f>+SUMIF('13.mell_ÖNKfeladatok2020'!$B$5:$B$163,'14.mell_Önk kiegészítés2020'!$A45,'13.mell_ÖNKfeladatok2020'!O$5:O$163)</f>
        <v>0</v>
      </c>
      <c r="D45" s="826">
        <f>+SUMIF('13.mell_ÖNKfeladatok2020'!$B$5:$B$163,'14.mell_Önk kiegészítés2020'!$A45,'13.mell_ÖNKfeladatok2020'!S$5:S$163)</f>
        <v>0</v>
      </c>
      <c r="E45" s="826">
        <f>+SUMIF('13.mell_ÖNKfeladatok2020'!$B$5:$B$163,'14.mell_Önk kiegészítés2020'!$A45,'13.mell_ÖNKfeladatok2020'!W$5:W$163)</f>
        <v>0</v>
      </c>
      <c r="F45" s="826">
        <f>+SUMIF('13.mell_ÖNKfeladatok2020'!$B$5:$B$163,'14.mell_Önk kiegészítés2020'!$A45,'13.mell_ÖNKfeladatok2020'!AA$5:AA$163)</f>
        <v>0</v>
      </c>
      <c r="G45" s="826">
        <f>+SUMIF('13.mell_ÖNKfeladatok2020'!$B$5:$B$163,'14.mell_Önk kiegészítés2020'!$A45,'13.mell_ÖNKfeladatok2020'!AI$5:AI$163)</f>
        <v>0</v>
      </c>
      <c r="H45" s="826">
        <f>+SUMIF('13.mell_ÖNKfeladatok2020'!$B$5:$B$163,'14.mell_Önk kiegészítés2020'!$A45,'13.mell_ÖNKfeladatok2020'!AM$5:AM$163)</f>
        <v>0</v>
      </c>
      <c r="I45" s="826">
        <f>+SUMIF('13.mell_ÖNKfeladatok2020'!$B$5:$B$163,'14.mell_Önk kiegészítés2020'!$A45,'13.mell_ÖNKfeladatok2020'!AQ$5:AQ$163)</f>
        <v>0</v>
      </c>
      <c r="J45" s="696">
        <f>SUM(C45:I45)</f>
        <v>0</v>
      </c>
      <c r="K45" s="826">
        <f>+SUMIF('13.mell_ÖNKfeladatok2020'!$B$171:$B$329,'14.mell_Önk kiegészítés2020'!$A45,'13.mell_ÖNKfeladatok2020'!O$171:O$329)</f>
        <v>0</v>
      </c>
      <c r="L45" s="826">
        <f>+SUMIF('13.mell_ÖNKfeladatok2020'!$B$171:$B$329,'14.mell_Önk kiegészítés2020'!$A45,'13.mell_ÖNKfeladatok2020'!S$171:S$329)</f>
        <v>0</v>
      </c>
      <c r="M45" s="826">
        <f>+SUMIF('13.mell_ÖNKfeladatok2020'!$B$171:$B$329,'14.mell_Önk kiegészítés2020'!$A45,'13.mell_ÖNKfeladatok2020'!W$171:W$329)</f>
        <v>1365</v>
      </c>
      <c r="N45" s="826">
        <f>+SUMIF('13.mell_ÖNKfeladatok2020'!$B$171:$B$329,'14.mell_Önk kiegészítés2020'!$A45,'13.mell_ÖNKfeladatok2020'!AA$171:AA$329)</f>
        <v>0</v>
      </c>
      <c r="O45" s="826">
        <f>+SUMIF('13.mell_ÖNKfeladatok2020'!$B$171:$B$329,'14.mell_Önk kiegészítés2020'!$A45,'13.mell_ÖNKfeladatok2020'!AE$171:AE$329)</f>
        <v>0</v>
      </c>
      <c r="P45" s="826">
        <f>+SUMIF('13.mell_ÖNKfeladatok2020'!$B$171:$B$329,'14.mell_Önk kiegészítés2020'!$A45,'13.mell_ÖNKfeladatok2020'!AM$171:AM$329)</f>
        <v>0</v>
      </c>
      <c r="Q45" s="826">
        <f>+SUMIF('13.mell_ÖNKfeladatok2020'!$B$171:$B$329,'14.mell_Önk kiegészítés2020'!$A45,'13.mell_ÖNKfeladatok2020'!AQ$171:AQ$329)</f>
        <v>0</v>
      </c>
      <c r="R45" s="826">
        <f>+SUMIF('13.mell_ÖNKfeladatok2020'!$B$171:$B$329,'14.mell_Önk kiegészítés2020'!$A45,'13.mell_ÖNKfeladatok2020'!AU$171:AU$329)</f>
        <v>0</v>
      </c>
      <c r="S45" s="696">
        <f>SUM(K45:R45)</f>
        <v>1365</v>
      </c>
      <c r="T45" s="697">
        <f>S45-J45</f>
        <v>1365</v>
      </c>
      <c r="U45" s="1047">
        <f>+ROUND(SUMIF('10.mell_támogatások2020'!$B$6:$B$137,'14.mell_Önk kiegészítés2020'!$A45,'10.mell_támogatások2020'!D$6:D$137)/1000,0)</f>
        <v>0</v>
      </c>
      <c r="V45" s="1025">
        <v>1321</v>
      </c>
      <c r="W45" s="697">
        <f>+T45-U45-V45</f>
        <v>44</v>
      </c>
      <c r="AB45" s="261">
        <v>1321</v>
      </c>
    </row>
    <row r="46" spans="1:42">
      <c r="A46" s="784">
        <f>+A45+1</f>
        <v>25</v>
      </c>
      <c r="B46" s="514" t="s">
        <v>1141</v>
      </c>
      <c r="C46" s="515">
        <f>+SUMIF('13.mell_ÖNKfeladatok2020'!$B$5:$B$163,'14.mell_Önk kiegészítés2020'!$A46,'13.mell_ÖNKfeladatok2020'!O$5:O$163)</f>
        <v>0</v>
      </c>
      <c r="D46" s="515">
        <f>+SUMIF('13.mell_ÖNKfeladatok2020'!$B$5:$B$163,'14.mell_Önk kiegészítés2020'!$A46,'13.mell_ÖNKfeladatok2020'!S$5:S$163)</f>
        <v>0</v>
      </c>
      <c r="E46" s="515">
        <f>+SUMIF('13.mell_ÖNKfeladatok2020'!$B$5:$B$163,'14.mell_Önk kiegészítés2020'!$A46,'13.mell_ÖNKfeladatok2020'!W$5:W$163)</f>
        <v>500</v>
      </c>
      <c r="F46" s="515">
        <f>+SUMIF('13.mell_ÖNKfeladatok2020'!$B$5:$B$163,'14.mell_Önk kiegészítés2020'!$A46,'13.mell_ÖNKfeladatok2020'!AA$5:AA$163)</f>
        <v>0</v>
      </c>
      <c r="G46" s="515">
        <f>+SUMIF('13.mell_ÖNKfeladatok2020'!$B$5:$B$163,'14.mell_Önk kiegészítés2020'!$A46,'13.mell_ÖNKfeladatok2020'!AI$5:AI$163)</f>
        <v>0</v>
      </c>
      <c r="H46" s="515">
        <f>+SUMIF('13.mell_ÖNKfeladatok2020'!$B$5:$B$163,'14.mell_Önk kiegészítés2020'!$A46,'13.mell_ÖNKfeladatok2020'!AM$5:AM$163)</f>
        <v>0</v>
      </c>
      <c r="I46" s="515">
        <f>+SUMIF('13.mell_ÖNKfeladatok2020'!$B$5:$B$163,'14.mell_Önk kiegészítés2020'!$A46,'13.mell_ÖNKfeladatok2020'!AQ$5:AQ$163)</f>
        <v>0</v>
      </c>
      <c r="J46" s="554">
        <f>SUM(C46:I46)</f>
        <v>500</v>
      </c>
      <c r="K46" s="515">
        <f>+SUMIF('13.mell_ÖNKfeladatok2020'!$B$171:$B$329,'14.mell_Önk kiegészítés2020'!$A46,'13.mell_ÖNKfeladatok2020'!O$171:O$329)</f>
        <v>22604</v>
      </c>
      <c r="L46" s="515">
        <f>+SUMIF('13.mell_ÖNKfeladatok2020'!$B$171:$B$329,'14.mell_Önk kiegészítés2020'!$A46,'13.mell_ÖNKfeladatok2020'!S$171:S$329)</f>
        <v>3964</v>
      </c>
      <c r="M46" s="515">
        <f>+SUMIF('13.mell_ÖNKfeladatok2020'!$B$171:$B$329,'14.mell_Önk kiegészítés2020'!$A46,'13.mell_ÖNKfeladatok2020'!W$171:W$329)</f>
        <v>15708</v>
      </c>
      <c r="N46" s="515">
        <f>+SUMIF('13.mell_ÖNKfeladatok2020'!$B$171:$B$329,'14.mell_Önk kiegészítés2020'!$A46,'13.mell_ÖNKfeladatok2020'!AA$171:AA$329)</f>
        <v>0</v>
      </c>
      <c r="O46" s="515">
        <f>+SUMIF('13.mell_ÖNKfeladatok2020'!$B$171:$B$329,'14.mell_Önk kiegészítés2020'!$A46,'13.mell_ÖNKfeladatok2020'!AE$171:AE$329)</f>
        <v>0</v>
      </c>
      <c r="P46" s="515">
        <f>+SUMIF('13.mell_ÖNKfeladatok2020'!$B$171:$B$329,'14.mell_Önk kiegészítés2020'!$A46,'13.mell_ÖNKfeladatok2020'!AM$171:AM$329)</f>
        <v>7984</v>
      </c>
      <c r="Q46" s="515">
        <f>+SUMIF('13.mell_ÖNKfeladatok2020'!$B$171:$B$329,'14.mell_Önk kiegészítés2020'!$A46,'13.mell_ÖNKfeladatok2020'!AQ$171:AQ$329)</f>
        <v>0</v>
      </c>
      <c r="R46" s="515">
        <f>+SUMIF('13.mell_ÖNKfeladatok2020'!$B$171:$B$329,'14.mell_Önk kiegészítés2020'!$A46,'13.mell_ÖNKfeladatok2020'!AU$171:AU$329)</f>
        <v>0</v>
      </c>
      <c r="S46" s="554">
        <f>SUM(K46:R46)</f>
        <v>50260</v>
      </c>
      <c r="T46" s="516">
        <f>S46-J46</f>
        <v>49760</v>
      </c>
      <c r="U46" s="1043">
        <f>+ROUND(SUMIF('10.mell_támogatások2020'!$B$6:$B$137,'14.mell_Önk kiegészítés2020'!$A46,'10.mell_támogatások2020'!D$6:D$137)/1000,0)</f>
        <v>13207</v>
      </c>
      <c r="V46" s="1023">
        <v>-1321</v>
      </c>
      <c r="W46" s="516">
        <f>+T46-U46-V46</f>
        <v>37874</v>
      </c>
      <c r="AB46" s="261">
        <v>-1321</v>
      </c>
    </row>
    <row r="47" spans="1:42" ht="12.75" thickBot="1">
      <c r="A47" s="829">
        <f>+A46+1</f>
        <v>26</v>
      </c>
      <c r="B47" s="526" t="s">
        <v>1091</v>
      </c>
      <c r="C47" s="527">
        <f>+SUMIF('13.mell_ÖNKfeladatok2020'!$B$5:$B$163,'14.mell_Önk kiegészítés2020'!$A47,'13.mell_ÖNKfeladatok2020'!O$5:O$163)</f>
        <v>0</v>
      </c>
      <c r="D47" s="527">
        <f>+SUMIF('13.mell_ÖNKfeladatok2020'!$B$5:$B$163,'14.mell_Önk kiegészítés2020'!$A47,'13.mell_ÖNKfeladatok2020'!S$5:S$163)</f>
        <v>0</v>
      </c>
      <c r="E47" s="527">
        <f>+SUMIF('13.mell_ÖNKfeladatok2020'!$B$5:$B$163,'14.mell_Önk kiegészítés2020'!$A47,'13.mell_ÖNKfeladatok2020'!W$5:W$163)</f>
        <v>100</v>
      </c>
      <c r="F47" s="527">
        <f>+SUMIF('13.mell_ÖNKfeladatok2020'!$B$5:$B$163,'14.mell_Önk kiegészítés2020'!$A47,'13.mell_ÖNKfeladatok2020'!AA$5:AA$163)</f>
        <v>0</v>
      </c>
      <c r="G47" s="527">
        <f>+SUMIF('13.mell_ÖNKfeladatok2020'!$B$5:$B$163,'14.mell_Önk kiegészítés2020'!$A47,'13.mell_ÖNKfeladatok2020'!AI$5:AI$163)</f>
        <v>0</v>
      </c>
      <c r="H47" s="527">
        <f>+SUMIF('13.mell_ÖNKfeladatok2020'!$B$5:$B$163,'14.mell_Önk kiegészítés2020'!$A47,'13.mell_ÖNKfeladatok2020'!AM$5:AM$163)</f>
        <v>0</v>
      </c>
      <c r="I47" s="527">
        <f>+SUMIF('13.mell_ÖNKfeladatok2020'!$B$5:$B$163,'14.mell_Önk kiegészítés2020'!$A47,'13.mell_ÖNKfeladatok2020'!AQ$5:AQ$163)</f>
        <v>0</v>
      </c>
      <c r="J47" s="556">
        <f>SUM(C47:I47)</f>
        <v>100</v>
      </c>
      <c r="K47" s="527">
        <f>+SUMIF('13.mell_ÖNKfeladatok2020'!$B$171:$B$329,'14.mell_Önk kiegészítés2020'!$A47,'13.mell_ÖNKfeladatok2020'!O$171:O$329)</f>
        <v>3217</v>
      </c>
      <c r="L47" s="527">
        <f>+SUMIF('13.mell_ÖNKfeladatok2020'!$B$171:$B$329,'14.mell_Önk kiegészítés2020'!$A47,'13.mell_ÖNKfeladatok2020'!S$171:S$329)</f>
        <v>570</v>
      </c>
      <c r="M47" s="527">
        <f>+SUMIF('13.mell_ÖNKfeladatok2020'!$B$171:$B$329,'14.mell_Önk kiegészítés2020'!$A47,'13.mell_ÖNKfeladatok2020'!W$171:W$329)</f>
        <v>2330</v>
      </c>
      <c r="N47" s="527">
        <f>+SUMIF('13.mell_ÖNKfeladatok2020'!$B$171:$B$329,'14.mell_Önk kiegészítés2020'!$A47,'13.mell_ÖNKfeladatok2020'!AA$171:AA$329)</f>
        <v>0</v>
      </c>
      <c r="O47" s="527">
        <f>+SUMIF('13.mell_ÖNKfeladatok2020'!$B$171:$B$329,'14.mell_Önk kiegészítés2020'!$A47,'13.mell_ÖNKfeladatok2020'!AE$171:AE$329)</f>
        <v>0</v>
      </c>
      <c r="P47" s="527">
        <f>+SUMIF('13.mell_ÖNKfeladatok2020'!$B$171:$B$329,'14.mell_Önk kiegészítés2020'!$A47,'13.mell_ÖNKfeladatok2020'!AM$171:AM$329)</f>
        <v>2388</v>
      </c>
      <c r="Q47" s="527">
        <f>+SUMIF('13.mell_ÖNKfeladatok2020'!$B$171:$B$329,'14.mell_Önk kiegészítés2020'!$A47,'13.mell_ÖNKfeladatok2020'!AQ$171:AQ$329)</f>
        <v>0</v>
      </c>
      <c r="R47" s="527">
        <f>+SUMIF('13.mell_ÖNKfeladatok2020'!$B$171:$B$329,'14.mell_Önk kiegészítés2020'!$A47,'13.mell_ÖNKfeladatok2020'!AU$171:AU$329)</f>
        <v>0</v>
      </c>
      <c r="S47" s="556">
        <f>SUM(K47:R47)</f>
        <v>8505</v>
      </c>
      <c r="T47" s="830">
        <f>S47-J47</f>
        <v>8405</v>
      </c>
      <c r="U47" s="1049">
        <f>+ROUND(SUMIF('10.mell_támogatások2020'!$B$6:$B$137,'14.mell_Önk kiegészítés2020'!$A47,'10.mell_támogatások2020'!D$6:D$137)/1000,0)</f>
        <v>6679</v>
      </c>
      <c r="V47" s="1027"/>
      <c r="W47" s="830">
        <f>+T47-U47-V47</f>
        <v>1726</v>
      </c>
    </row>
    <row r="48" spans="1:42" s="507" customFormat="1" ht="12.75" thickBot="1">
      <c r="A48" s="343" t="s">
        <v>750</v>
      </c>
      <c r="B48" s="471" t="s">
        <v>420</v>
      </c>
      <c r="C48" s="521">
        <f>SUM(C45:C47)</f>
        <v>0</v>
      </c>
      <c r="D48" s="521">
        <f t="shared" ref="D48:W48" si="16">SUM(D45:D47)</f>
        <v>0</v>
      </c>
      <c r="E48" s="521">
        <f t="shared" si="16"/>
        <v>600</v>
      </c>
      <c r="F48" s="521">
        <f t="shared" si="16"/>
        <v>0</v>
      </c>
      <c r="G48" s="521">
        <f t="shared" si="16"/>
        <v>0</v>
      </c>
      <c r="H48" s="521">
        <f t="shared" si="16"/>
        <v>0</v>
      </c>
      <c r="I48" s="521">
        <f t="shared" si="16"/>
        <v>0</v>
      </c>
      <c r="J48" s="524">
        <f t="shared" si="16"/>
        <v>600</v>
      </c>
      <c r="K48" s="521">
        <f t="shared" si="16"/>
        <v>25821</v>
      </c>
      <c r="L48" s="521">
        <f t="shared" si="16"/>
        <v>4534</v>
      </c>
      <c r="M48" s="521">
        <f t="shared" si="16"/>
        <v>19403</v>
      </c>
      <c r="N48" s="521">
        <f t="shared" si="16"/>
        <v>0</v>
      </c>
      <c r="O48" s="521">
        <f t="shared" si="16"/>
        <v>0</v>
      </c>
      <c r="P48" s="521">
        <f t="shared" si="16"/>
        <v>10372</v>
      </c>
      <c r="Q48" s="521">
        <f t="shared" si="16"/>
        <v>0</v>
      </c>
      <c r="R48" s="521">
        <f t="shared" si="16"/>
        <v>0</v>
      </c>
      <c r="S48" s="524">
        <f t="shared" si="16"/>
        <v>60130</v>
      </c>
      <c r="T48" s="524">
        <f t="shared" si="16"/>
        <v>59530</v>
      </c>
      <c r="U48" s="1044">
        <f t="shared" si="16"/>
        <v>19886</v>
      </c>
      <c r="V48" s="525">
        <f t="shared" si="16"/>
        <v>0</v>
      </c>
      <c r="W48" s="524">
        <f t="shared" si="16"/>
        <v>39644</v>
      </c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</row>
    <row r="49" spans="1:42" ht="12.75" thickBot="1">
      <c r="A49" s="833">
        <f>+A47+1</f>
        <v>27</v>
      </c>
      <c r="B49" s="834" t="s">
        <v>752</v>
      </c>
      <c r="C49" s="835">
        <f>+SUMIF('13.mell_ÖNKfeladatok2020'!$B$5:$B$163,'14.mell_Önk kiegészítés2020'!$A49,'13.mell_ÖNKfeladatok2020'!O$5:O$163)</f>
        <v>0</v>
      </c>
      <c r="D49" s="835">
        <f>+SUMIF('13.mell_ÖNKfeladatok2020'!$B$5:$B$163,'14.mell_Önk kiegészítés2020'!$A49,'13.mell_ÖNKfeladatok2020'!S$5:S$163)</f>
        <v>0</v>
      </c>
      <c r="E49" s="835">
        <f>+SUMIF('13.mell_ÖNKfeladatok2020'!$B$5:$B$163,'14.mell_Önk kiegészítés2020'!$A49,'13.mell_ÖNKfeladatok2020'!W$5:W$163)</f>
        <v>0</v>
      </c>
      <c r="F49" s="835">
        <f>+SUMIF('13.mell_ÖNKfeladatok2020'!$B$5:$B$163,'14.mell_Önk kiegészítés2020'!$A49,'13.mell_ÖNKfeladatok2020'!AA$5:AA$163)</f>
        <v>0</v>
      </c>
      <c r="G49" s="835">
        <f>+SUMIF('13.mell_ÖNKfeladatok2020'!$B$5:$B$163,'14.mell_Önk kiegészítés2020'!$A49,'13.mell_ÖNKfeladatok2020'!AI$5:AI$163)</f>
        <v>0</v>
      </c>
      <c r="H49" s="835">
        <f>+SUMIF('13.mell_ÖNKfeladatok2020'!$B$5:$B$163,'14.mell_Önk kiegészítés2020'!$A49,'13.mell_ÖNKfeladatok2020'!AM$5:AM$163)</f>
        <v>0</v>
      </c>
      <c r="I49" s="835">
        <f>+SUMIF('13.mell_ÖNKfeladatok2020'!$B$5:$B$163,'14.mell_Önk kiegészítés2020'!$A49,'13.mell_ÖNKfeladatok2020'!AQ$5:AQ$163)</f>
        <v>0</v>
      </c>
      <c r="J49" s="836">
        <f>SUM(C49:I49)</f>
        <v>0</v>
      </c>
      <c r="K49" s="835">
        <f>+SUMIF('13.mell_ÖNKfeladatok2020'!$B$171:$B$329,'14.mell_Önk kiegészítés2020'!$A49,'13.mell_ÖNKfeladatok2020'!O$171:O$329)</f>
        <v>0</v>
      </c>
      <c r="L49" s="835">
        <f>+SUMIF('13.mell_ÖNKfeladatok2020'!$B$171:$B$329,'14.mell_Önk kiegészítés2020'!$A49,'13.mell_ÖNKfeladatok2020'!S$171:S$329)</f>
        <v>0</v>
      </c>
      <c r="M49" s="835">
        <f>+SUMIF('13.mell_ÖNKfeladatok2020'!$B$171:$B$329,'14.mell_Önk kiegészítés2020'!$A49,'13.mell_ÖNKfeladatok2020'!W$171:W$329)</f>
        <v>0</v>
      </c>
      <c r="N49" s="835">
        <f>+SUMIF('13.mell_ÖNKfeladatok2020'!$B$171:$B$329,'14.mell_Önk kiegészítés2020'!$A49,'13.mell_ÖNKfeladatok2020'!AA$171:AA$329)</f>
        <v>0</v>
      </c>
      <c r="O49" s="835">
        <f>+SUMIF('13.mell_ÖNKfeladatok2020'!$B$171:$B$329,'14.mell_Önk kiegészítés2020'!$A49,'13.mell_ÖNKfeladatok2020'!AE$171:AE$329)</f>
        <v>0</v>
      </c>
      <c r="P49" s="835">
        <f>+SUMIF('13.mell_ÖNKfeladatok2020'!$B$171:$B$329,'14.mell_Önk kiegészítés2020'!$A49,'13.mell_ÖNKfeladatok2020'!AM$171:AM$329)</f>
        <v>0</v>
      </c>
      <c r="Q49" s="835">
        <f>+SUMIF('13.mell_ÖNKfeladatok2020'!$B$171:$B$329,'14.mell_Önk kiegészítés2020'!$A49,'13.mell_ÖNKfeladatok2020'!AQ$171:AQ$329)</f>
        <v>0</v>
      </c>
      <c r="R49" s="835">
        <f>+SUMIF('13.mell_ÖNKfeladatok2020'!$B$171:$B$329,'14.mell_Önk kiegészítés2020'!$A49,'13.mell_ÖNKfeladatok2020'!AU$171:AU$329)</f>
        <v>0</v>
      </c>
      <c r="S49" s="836">
        <f>SUM(K49:R49)</f>
        <v>0</v>
      </c>
      <c r="T49" s="524">
        <f>S49-J49</f>
        <v>0</v>
      </c>
      <c r="U49" s="1050">
        <f>+ROUND(SUMIF('10.mell_támogatások2020'!$B$6:$B$137,'14.mell_Önk kiegészítés2020'!$A49,'10.mell_támogatások2020'!D$6:D$137)/1000,0)</f>
        <v>0</v>
      </c>
      <c r="V49" s="1028"/>
      <c r="W49" s="524">
        <f>+T49-U49-V49</f>
        <v>0</v>
      </c>
    </row>
    <row r="50" spans="1:42" s="507" customFormat="1" ht="12.75" thickBot="1">
      <c r="A50" s="479" t="s">
        <v>633</v>
      </c>
      <c r="B50" s="480" t="s">
        <v>752</v>
      </c>
      <c r="C50" s="831">
        <f>SUM(C49)</f>
        <v>0</v>
      </c>
      <c r="D50" s="831">
        <f t="shared" ref="D50:W50" si="17">SUM(D49)</f>
        <v>0</v>
      </c>
      <c r="E50" s="831">
        <f t="shared" si="17"/>
        <v>0</v>
      </c>
      <c r="F50" s="831">
        <f t="shared" si="17"/>
        <v>0</v>
      </c>
      <c r="G50" s="831">
        <f t="shared" si="17"/>
        <v>0</v>
      </c>
      <c r="H50" s="831">
        <f t="shared" si="17"/>
        <v>0</v>
      </c>
      <c r="I50" s="831">
        <f t="shared" si="17"/>
        <v>0</v>
      </c>
      <c r="J50" s="832">
        <f t="shared" si="17"/>
        <v>0</v>
      </c>
      <c r="K50" s="831">
        <f t="shared" si="17"/>
        <v>0</v>
      </c>
      <c r="L50" s="831">
        <f t="shared" si="17"/>
        <v>0</v>
      </c>
      <c r="M50" s="831">
        <f t="shared" si="17"/>
        <v>0</v>
      </c>
      <c r="N50" s="831">
        <f t="shared" si="17"/>
        <v>0</v>
      </c>
      <c r="O50" s="831">
        <f t="shared" si="17"/>
        <v>0</v>
      </c>
      <c r="P50" s="831">
        <f t="shared" si="17"/>
        <v>0</v>
      </c>
      <c r="Q50" s="831">
        <f t="shared" si="17"/>
        <v>0</v>
      </c>
      <c r="R50" s="831">
        <f t="shared" si="17"/>
        <v>0</v>
      </c>
      <c r="S50" s="832">
        <f t="shared" si="17"/>
        <v>0</v>
      </c>
      <c r="T50" s="832">
        <f t="shared" si="17"/>
        <v>0</v>
      </c>
      <c r="U50" s="1051">
        <f t="shared" si="17"/>
        <v>0</v>
      </c>
      <c r="V50" s="1029">
        <f t="shared" si="17"/>
        <v>0</v>
      </c>
      <c r="W50" s="832">
        <f t="shared" si="17"/>
        <v>0</v>
      </c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</row>
    <row r="51" spans="1:42" ht="12.75" thickBot="1">
      <c r="A51" s="833">
        <f>+A49+1</f>
        <v>28</v>
      </c>
      <c r="B51" s="834" t="s">
        <v>767</v>
      </c>
      <c r="C51" s="835">
        <f>+SUMIF('13.mell_ÖNKfeladatok2020'!$B$5:$B$163,'14.mell_Önk kiegészítés2020'!$A51,'13.mell_ÖNKfeladatok2020'!O$5:O$163)</f>
        <v>0</v>
      </c>
      <c r="D51" s="835">
        <f>+SUMIF('13.mell_ÖNKfeladatok2020'!$B$5:$B$163,'14.mell_Önk kiegészítés2020'!$A51,'13.mell_ÖNKfeladatok2020'!S$5:S$163)</f>
        <v>0</v>
      </c>
      <c r="E51" s="835">
        <f>+SUMIF('13.mell_ÖNKfeladatok2020'!$B$5:$B$163,'14.mell_Önk kiegészítés2020'!$A51,'13.mell_ÖNKfeladatok2020'!W$5:W$163)</f>
        <v>0</v>
      </c>
      <c r="F51" s="835">
        <f>+SUMIF('13.mell_ÖNKfeladatok2020'!$B$5:$B$163,'14.mell_Önk kiegészítés2020'!$A51,'13.mell_ÖNKfeladatok2020'!AA$5:AA$163)</f>
        <v>0</v>
      </c>
      <c r="G51" s="835">
        <f>+SUMIF('13.mell_ÖNKfeladatok2020'!$B$5:$B$163,'14.mell_Önk kiegészítés2020'!$A51,'13.mell_ÖNKfeladatok2020'!AI$5:AI$163)</f>
        <v>0</v>
      </c>
      <c r="H51" s="835">
        <f>+SUMIF('13.mell_ÖNKfeladatok2020'!$B$5:$B$163,'14.mell_Önk kiegészítés2020'!$A51,'13.mell_ÖNKfeladatok2020'!AM$5:AM$163)</f>
        <v>0</v>
      </c>
      <c r="I51" s="835">
        <f>+SUMIF('13.mell_ÖNKfeladatok2020'!$B$5:$B$163,'14.mell_Önk kiegészítés2020'!$A51,'13.mell_ÖNKfeladatok2020'!AQ$5:AQ$163)</f>
        <v>0</v>
      </c>
      <c r="J51" s="836">
        <f>SUM(C51:I51)</f>
        <v>0</v>
      </c>
      <c r="K51" s="835">
        <f>+SUMIF('13.mell_ÖNKfeladatok2020'!$B$171:$B$329,'14.mell_Önk kiegészítés2020'!$A51,'13.mell_ÖNKfeladatok2020'!O$171:O$329)</f>
        <v>0</v>
      </c>
      <c r="L51" s="835">
        <f>+SUMIF('13.mell_ÖNKfeladatok2020'!$B$171:$B$329,'14.mell_Önk kiegészítés2020'!$A51,'13.mell_ÖNKfeladatok2020'!S$171:S$329)</f>
        <v>0</v>
      </c>
      <c r="M51" s="835">
        <f>+SUMIF('13.mell_ÖNKfeladatok2020'!$B$171:$B$329,'14.mell_Önk kiegészítés2020'!$A51,'13.mell_ÖNKfeladatok2020'!W$171:W$329)</f>
        <v>0</v>
      </c>
      <c r="N51" s="835">
        <f>+SUMIF('13.mell_ÖNKfeladatok2020'!$B$171:$B$329,'14.mell_Önk kiegészítés2020'!$A51,'13.mell_ÖNKfeladatok2020'!AA$171:AA$329)</f>
        <v>0</v>
      </c>
      <c r="O51" s="835">
        <f>+SUMIF('13.mell_ÖNKfeladatok2020'!$B$171:$B$329,'14.mell_Önk kiegészítés2020'!$A51,'13.mell_ÖNKfeladatok2020'!AE$171:AE$329)</f>
        <v>0</v>
      </c>
      <c r="P51" s="835">
        <f>+SUMIF('13.mell_ÖNKfeladatok2020'!$B$171:$B$329,'14.mell_Önk kiegészítés2020'!$A51,'13.mell_ÖNKfeladatok2020'!AM$171:AM$329)</f>
        <v>0</v>
      </c>
      <c r="Q51" s="835">
        <f>+SUMIF('13.mell_ÖNKfeladatok2020'!$B$171:$B$329,'14.mell_Önk kiegészítés2020'!$A51,'13.mell_ÖNKfeladatok2020'!AQ$171:AQ$329)</f>
        <v>0</v>
      </c>
      <c r="R51" s="835">
        <f>+SUMIF('13.mell_ÖNKfeladatok2020'!$B$171:$B$329,'14.mell_Önk kiegészítés2020'!$A51,'13.mell_ÖNKfeladatok2020'!AU$171:AU$329)</f>
        <v>0</v>
      </c>
      <c r="S51" s="836">
        <f>SUM(K51:R51)</f>
        <v>0</v>
      </c>
      <c r="T51" s="524">
        <f>S51-J51</f>
        <v>0</v>
      </c>
      <c r="U51" s="1050">
        <f>+ROUND(SUMIF('10.mell_támogatások2020'!$B$6:$B$137,'14.mell_Önk kiegészítés2020'!$A51,'10.mell_támogatások2020'!D$6:D$137)/1000,0)</f>
        <v>0</v>
      </c>
      <c r="V51" s="1028"/>
      <c r="W51" s="524">
        <f>+T51-U51-V51</f>
        <v>0</v>
      </c>
    </row>
    <row r="52" spans="1:42" s="507" customFormat="1" ht="12.75" thickBot="1">
      <c r="A52" s="479" t="s">
        <v>751</v>
      </c>
      <c r="B52" s="480" t="s">
        <v>767</v>
      </c>
      <c r="C52" s="831">
        <f>SUM(C51)</f>
        <v>0</v>
      </c>
      <c r="D52" s="831">
        <f t="shared" ref="D52:W52" si="18">SUM(D51)</f>
        <v>0</v>
      </c>
      <c r="E52" s="831">
        <f t="shared" si="18"/>
        <v>0</v>
      </c>
      <c r="F52" s="831">
        <f t="shared" si="18"/>
        <v>0</v>
      </c>
      <c r="G52" s="831">
        <f t="shared" si="18"/>
        <v>0</v>
      </c>
      <c r="H52" s="831">
        <f t="shared" si="18"/>
        <v>0</v>
      </c>
      <c r="I52" s="831">
        <f t="shared" si="18"/>
        <v>0</v>
      </c>
      <c r="J52" s="832">
        <f t="shared" si="18"/>
        <v>0</v>
      </c>
      <c r="K52" s="831">
        <f t="shared" si="18"/>
        <v>0</v>
      </c>
      <c r="L52" s="831">
        <f t="shared" si="18"/>
        <v>0</v>
      </c>
      <c r="M52" s="831">
        <f t="shared" si="18"/>
        <v>0</v>
      </c>
      <c r="N52" s="831">
        <f t="shared" si="18"/>
        <v>0</v>
      </c>
      <c r="O52" s="831">
        <f t="shared" si="18"/>
        <v>0</v>
      </c>
      <c r="P52" s="831">
        <f t="shared" si="18"/>
        <v>0</v>
      </c>
      <c r="Q52" s="831">
        <f t="shared" si="18"/>
        <v>0</v>
      </c>
      <c r="R52" s="831">
        <f t="shared" si="18"/>
        <v>0</v>
      </c>
      <c r="S52" s="832">
        <f t="shared" si="18"/>
        <v>0</v>
      </c>
      <c r="T52" s="832">
        <f t="shared" si="18"/>
        <v>0</v>
      </c>
      <c r="U52" s="1051">
        <f t="shared" si="18"/>
        <v>0</v>
      </c>
      <c r="V52" s="1029">
        <f t="shared" si="18"/>
        <v>0</v>
      </c>
      <c r="W52" s="832">
        <f t="shared" si="18"/>
        <v>0</v>
      </c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</row>
    <row r="53" spans="1:42" s="507" customFormat="1" ht="12.75" thickBot="1">
      <c r="A53" s="473" t="s">
        <v>20</v>
      </c>
      <c r="B53" s="483" t="s">
        <v>422</v>
      </c>
      <c r="C53" s="530">
        <f>+C48+C50+C52</f>
        <v>0</v>
      </c>
      <c r="D53" s="531">
        <f t="shared" ref="D53:W53" si="19">+D48+D50+D52</f>
        <v>0</v>
      </c>
      <c r="E53" s="531">
        <f t="shared" si="19"/>
        <v>600</v>
      </c>
      <c r="F53" s="531">
        <f t="shared" si="19"/>
        <v>0</v>
      </c>
      <c r="G53" s="531">
        <f t="shared" si="19"/>
        <v>0</v>
      </c>
      <c r="H53" s="531">
        <f t="shared" si="19"/>
        <v>0</v>
      </c>
      <c r="I53" s="532">
        <f t="shared" si="19"/>
        <v>0</v>
      </c>
      <c r="J53" s="533">
        <f t="shared" si="19"/>
        <v>600</v>
      </c>
      <c r="K53" s="530">
        <f t="shared" si="19"/>
        <v>25821</v>
      </c>
      <c r="L53" s="530">
        <f t="shared" si="19"/>
        <v>4534</v>
      </c>
      <c r="M53" s="530">
        <f t="shared" si="19"/>
        <v>19403</v>
      </c>
      <c r="N53" s="530">
        <f t="shared" si="19"/>
        <v>0</v>
      </c>
      <c r="O53" s="530">
        <f t="shared" si="19"/>
        <v>0</v>
      </c>
      <c r="P53" s="530">
        <f t="shared" si="19"/>
        <v>10372</v>
      </c>
      <c r="Q53" s="530">
        <f t="shared" si="19"/>
        <v>0</v>
      </c>
      <c r="R53" s="530">
        <f t="shared" si="19"/>
        <v>0</v>
      </c>
      <c r="S53" s="533">
        <f t="shared" si="19"/>
        <v>60130</v>
      </c>
      <c r="T53" s="533">
        <f t="shared" si="19"/>
        <v>59530</v>
      </c>
      <c r="U53" s="1046">
        <f t="shared" si="19"/>
        <v>19886</v>
      </c>
      <c r="V53" s="532">
        <f t="shared" si="19"/>
        <v>0</v>
      </c>
      <c r="W53" s="533">
        <f t="shared" si="19"/>
        <v>39644</v>
      </c>
      <c r="Y53" s="507">
        <f>+'13.mell_ÖNKfeladatok2020'!$G$140-J53</f>
        <v>0</v>
      </c>
      <c r="Z53" s="507">
        <f>+'13.mell_ÖNKfeladatok2020'!$G$306-S53</f>
        <v>0</v>
      </c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</row>
    <row r="54" spans="1:42" s="194" customFormat="1" ht="12.75" thickBot="1">
      <c r="A54" s="494"/>
      <c r="B54" s="545"/>
      <c r="C54" s="534"/>
      <c r="D54" s="535"/>
      <c r="E54" s="535"/>
      <c r="F54" s="535"/>
      <c r="G54" s="535"/>
      <c r="H54" s="535"/>
      <c r="I54" s="536"/>
      <c r="J54" s="537"/>
      <c r="K54" s="546"/>
      <c r="L54" s="546"/>
      <c r="M54" s="546"/>
      <c r="N54" s="546"/>
      <c r="O54" s="546"/>
      <c r="P54" s="546"/>
      <c r="Q54" s="546"/>
      <c r="R54" s="546"/>
      <c r="S54" s="544"/>
      <c r="T54" s="544"/>
      <c r="U54" s="1052"/>
      <c r="V54" s="1030"/>
      <c r="W54" s="544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</row>
    <row r="55" spans="1:42" ht="12.75" thickBot="1">
      <c r="A55" s="783">
        <f>+A51+1</f>
        <v>29</v>
      </c>
      <c r="B55" s="695" t="s">
        <v>856</v>
      </c>
      <c r="C55" s="826">
        <f>+SUMIF('13.mell_ÖNKfeladatok2020'!$B$5:$B$163,'14.mell_Önk kiegészítés2020'!$A55,'13.mell_ÖNKfeladatok2020'!O$5:O$163)</f>
        <v>0</v>
      </c>
      <c r="D55" s="826">
        <f>+SUMIF('13.mell_ÖNKfeladatok2020'!$B$5:$B$163,'14.mell_Önk kiegészítés2020'!$A55,'13.mell_ÖNKfeladatok2020'!S$5:S$163)</f>
        <v>0</v>
      </c>
      <c r="E55" s="826">
        <f>+SUMIF('13.mell_ÖNKfeladatok2020'!$B$5:$B$163,'14.mell_Önk kiegészítés2020'!$A55,'13.mell_ÖNKfeladatok2020'!W$5:W$163)</f>
        <v>0</v>
      </c>
      <c r="F55" s="826">
        <f>+SUMIF('13.mell_ÖNKfeladatok2020'!$B$5:$B$163,'14.mell_Önk kiegészítés2020'!$A55,'13.mell_ÖNKfeladatok2020'!AA$5:AA$163)</f>
        <v>0</v>
      </c>
      <c r="G55" s="826">
        <f>+SUMIF('13.mell_ÖNKfeladatok2020'!$B$5:$B$163,'14.mell_Önk kiegészítés2020'!$A55,'13.mell_ÖNKfeladatok2020'!AI$5:AI$163)</f>
        <v>0</v>
      </c>
      <c r="H55" s="826">
        <f>+SUMIF('13.mell_ÖNKfeladatok2020'!$B$5:$B$163,'14.mell_Önk kiegészítés2020'!$A55,'13.mell_ÖNKfeladatok2020'!AM$5:AM$163)</f>
        <v>0</v>
      </c>
      <c r="I55" s="826">
        <f>+SUMIF('13.mell_ÖNKfeladatok2020'!$B$5:$B$163,'14.mell_Önk kiegészítés2020'!$A55,'13.mell_ÖNKfeladatok2020'!AQ$5:AQ$163)</f>
        <v>0</v>
      </c>
      <c r="J55" s="696">
        <f>SUM(C55:I55)</f>
        <v>0</v>
      </c>
      <c r="K55" s="826">
        <f>+SUMIF('13.mell_ÖNKfeladatok2020'!$B$171:$B$329,'14.mell_Önk kiegészítés2020'!$A55,'13.mell_ÖNKfeladatok2020'!O$171:O$329)</f>
        <v>0</v>
      </c>
      <c r="L55" s="826">
        <f>+SUMIF('13.mell_ÖNKfeladatok2020'!$B$171:$B$329,'14.mell_Önk kiegészítés2020'!$A55,'13.mell_ÖNKfeladatok2020'!S$171:S$329)</f>
        <v>0</v>
      </c>
      <c r="M55" s="826">
        <f>+SUMIF('13.mell_ÖNKfeladatok2020'!$B$171:$B$329,'14.mell_Önk kiegészítés2020'!$A55,'13.mell_ÖNKfeladatok2020'!W$171:W$329)</f>
        <v>0</v>
      </c>
      <c r="N55" s="826">
        <f>+SUMIF('13.mell_ÖNKfeladatok2020'!$B$171:$B$329,'14.mell_Önk kiegészítés2020'!$A55,'13.mell_ÖNKfeladatok2020'!AA$171:AA$329)</f>
        <v>0</v>
      </c>
      <c r="O55" s="826">
        <f>+SUMIF('13.mell_ÖNKfeladatok2020'!$B$171:$B$329,'14.mell_Önk kiegészítés2020'!$A55,'13.mell_ÖNKfeladatok2020'!AE$171:AE$329)</f>
        <v>0</v>
      </c>
      <c r="P55" s="826">
        <f>+SUMIF('13.mell_ÖNKfeladatok2020'!$B$171:$B$329,'14.mell_Önk kiegészítés2020'!$A55,'13.mell_ÖNKfeladatok2020'!AM$171:AM$329)</f>
        <v>0</v>
      </c>
      <c r="Q55" s="826">
        <f>+SUMIF('13.mell_ÖNKfeladatok2020'!$B$171:$B$329,'14.mell_Önk kiegészítés2020'!$A55,'13.mell_ÖNKfeladatok2020'!AQ$171:AQ$329)</f>
        <v>0</v>
      </c>
      <c r="R55" s="826">
        <f>+SUMIF('13.mell_ÖNKfeladatok2020'!$B$171:$B$329,'14.mell_Önk kiegészítés2020'!$A55,'13.mell_ÖNKfeladatok2020'!AU$171:AU$329)</f>
        <v>0</v>
      </c>
      <c r="S55" s="696">
        <f>SUM(K55:R55)</f>
        <v>0</v>
      </c>
      <c r="T55" s="697">
        <f>S55-J55</f>
        <v>0</v>
      </c>
      <c r="U55" s="1047">
        <f>+ROUND(SUMIF('10.mell_támogatások2020'!$B$6:$B$137,'14.mell_Önk kiegészítés2020'!$A55,'10.mell_támogatások2020'!D$6:D$137)/1000,0)</f>
        <v>0</v>
      </c>
      <c r="V55" s="1025"/>
      <c r="W55" s="697">
        <f>+T55-U55-V55</f>
        <v>0</v>
      </c>
    </row>
    <row r="56" spans="1:42" s="507" customFormat="1" ht="12.75" thickBot="1">
      <c r="A56" s="343" t="s">
        <v>881</v>
      </c>
      <c r="B56" s="471" t="s">
        <v>856</v>
      </c>
      <c r="C56" s="521">
        <f>SUM(C55)</f>
        <v>0</v>
      </c>
      <c r="D56" s="521">
        <f t="shared" ref="D56:W56" si="20">SUM(D55)</f>
        <v>0</v>
      </c>
      <c r="E56" s="521">
        <f t="shared" si="20"/>
        <v>0</v>
      </c>
      <c r="F56" s="521">
        <f t="shared" si="20"/>
        <v>0</v>
      </c>
      <c r="G56" s="521">
        <f t="shared" si="20"/>
        <v>0</v>
      </c>
      <c r="H56" s="521">
        <f t="shared" si="20"/>
        <v>0</v>
      </c>
      <c r="I56" s="521">
        <f t="shared" si="20"/>
        <v>0</v>
      </c>
      <c r="J56" s="524">
        <f t="shared" si="20"/>
        <v>0</v>
      </c>
      <c r="K56" s="521">
        <f t="shared" si="20"/>
        <v>0</v>
      </c>
      <c r="L56" s="521">
        <f t="shared" si="20"/>
        <v>0</v>
      </c>
      <c r="M56" s="521">
        <f t="shared" si="20"/>
        <v>0</v>
      </c>
      <c r="N56" s="521">
        <f t="shared" si="20"/>
        <v>0</v>
      </c>
      <c r="O56" s="521">
        <f t="shared" si="20"/>
        <v>0</v>
      </c>
      <c r="P56" s="521">
        <f t="shared" si="20"/>
        <v>0</v>
      </c>
      <c r="Q56" s="521">
        <f t="shared" si="20"/>
        <v>0</v>
      </c>
      <c r="R56" s="521">
        <f t="shared" si="20"/>
        <v>0</v>
      </c>
      <c r="S56" s="524">
        <f t="shared" si="20"/>
        <v>0</v>
      </c>
      <c r="T56" s="524">
        <f t="shared" si="20"/>
        <v>0</v>
      </c>
      <c r="U56" s="1044">
        <f t="shared" si="20"/>
        <v>0</v>
      </c>
      <c r="V56" s="525">
        <f t="shared" si="20"/>
        <v>0</v>
      </c>
      <c r="W56" s="524">
        <f t="shared" si="20"/>
        <v>0</v>
      </c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</row>
    <row r="57" spans="1:42" ht="12.75" thickBot="1">
      <c r="A57" s="833">
        <f>+A55+1</f>
        <v>30</v>
      </c>
      <c r="B57" s="834" t="s">
        <v>1071</v>
      </c>
      <c r="C57" s="835">
        <f>+SUMIF('13.mell_ÖNKfeladatok2020'!$B$5:$B$163,'14.mell_Önk kiegészítés2020'!$A57,'13.mell_ÖNKfeladatok2020'!O$5:O$163)</f>
        <v>3240</v>
      </c>
      <c r="D57" s="835">
        <f>+SUMIF('13.mell_ÖNKfeladatok2020'!$B$5:$B$163,'14.mell_Önk kiegészítés2020'!$A57,'13.mell_ÖNKfeladatok2020'!S$5:S$163)</f>
        <v>17553</v>
      </c>
      <c r="E57" s="835">
        <f>+SUMIF('13.mell_ÖNKfeladatok2020'!$B$5:$B$163,'14.mell_Önk kiegészítés2020'!$A57,'13.mell_ÖNKfeladatok2020'!W$5:W$163)</f>
        <v>0</v>
      </c>
      <c r="F57" s="835">
        <f>+SUMIF('13.mell_ÖNKfeladatok2020'!$B$5:$B$163,'14.mell_Önk kiegészítés2020'!$A57,'13.mell_ÖNKfeladatok2020'!AA$5:AA$163)</f>
        <v>0</v>
      </c>
      <c r="G57" s="835">
        <f>+SUMIF('13.mell_ÖNKfeladatok2020'!$B$5:$B$163,'14.mell_Önk kiegészítés2020'!$A57,'13.mell_ÖNKfeladatok2020'!AI$5:AI$163)</f>
        <v>0</v>
      </c>
      <c r="H57" s="835">
        <f>+SUMIF('13.mell_ÖNKfeladatok2020'!$B$5:$B$163,'14.mell_Önk kiegészítés2020'!$A57,'13.mell_ÖNKfeladatok2020'!AM$5:AM$163)</f>
        <v>0</v>
      </c>
      <c r="I57" s="835">
        <f>+SUMIF('13.mell_ÖNKfeladatok2020'!$B$5:$B$163,'14.mell_Önk kiegészítés2020'!$A57,'13.mell_ÖNKfeladatok2020'!AQ$5:AQ$163)</f>
        <v>0</v>
      </c>
      <c r="J57" s="836">
        <f>SUM(C57:I57)</f>
        <v>20793</v>
      </c>
      <c r="K57" s="835">
        <f>+SUMIF('13.mell_ÖNKfeladatok2020'!$B$171:$B$329,'14.mell_Önk kiegészítés2020'!$A57,'13.mell_ÖNKfeladatok2020'!O$171:O$329)</f>
        <v>9352</v>
      </c>
      <c r="L57" s="835">
        <f>+SUMIF('13.mell_ÖNKfeladatok2020'!$B$171:$B$329,'14.mell_Önk kiegészítés2020'!$A57,'13.mell_ÖNKfeladatok2020'!S$171:S$329)</f>
        <v>1371</v>
      </c>
      <c r="M57" s="835">
        <f>+SUMIF('13.mell_ÖNKfeladatok2020'!$B$171:$B$329,'14.mell_Önk kiegészítés2020'!$A57,'13.mell_ÖNKfeladatok2020'!W$171:W$329)</f>
        <v>1056</v>
      </c>
      <c r="N57" s="835">
        <f>+SUMIF('13.mell_ÖNKfeladatok2020'!$B$171:$B$329,'14.mell_Önk kiegészítés2020'!$A57,'13.mell_ÖNKfeladatok2020'!AA$171:AA$329)</f>
        <v>0</v>
      </c>
      <c r="O57" s="835">
        <f>+SUMIF('13.mell_ÖNKfeladatok2020'!$B$171:$B$329,'14.mell_Önk kiegészítés2020'!$A57,'13.mell_ÖNKfeladatok2020'!AE$171:AE$329)</f>
        <v>8014</v>
      </c>
      <c r="P57" s="835">
        <f>+SUMIF('13.mell_ÖNKfeladatok2020'!$B$171:$B$329,'14.mell_Önk kiegészítés2020'!$A57,'13.mell_ÖNKfeladatok2020'!AM$171:AM$329)</f>
        <v>1000</v>
      </c>
      <c r="Q57" s="835">
        <f>+SUMIF('13.mell_ÖNKfeladatok2020'!$B$171:$B$329,'14.mell_Önk kiegészítés2020'!$A57,'13.mell_ÖNKfeladatok2020'!AQ$171:AQ$329)</f>
        <v>0</v>
      </c>
      <c r="R57" s="835">
        <f>+SUMIF('13.mell_ÖNKfeladatok2020'!$B$171:$B$329,'14.mell_Önk kiegészítés2020'!$A57,'13.mell_ÖNKfeladatok2020'!AU$171:AU$329)</f>
        <v>0</v>
      </c>
      <c r="S57" s="836">
        <f>SUM(K57:R57)</f>
        <v>20793</v>
      </c>
      <c r="T57" s="524">
        <f>S57-J57</f>
        <v>0</v>
      </c>
      <c r="U57" s="1050">
        <f>+ROUND(SUMIF('10.mell_támogatások2020'!$B$6:$B$137,'14.mell_Önk kiegészítés2020'!$A57,'10.mell_támogatások2020'!D$6:D$137)/1000,0)</f>
        <v>0</v>
      </c>
      <c r="V57" s="1028"/>
      <c r="W57" s="524">
        <f>+T57-U57-V57</f>
        <v>0</v>
      </c>
    </row>
    <row r="58" spans="1:42" s="507" customFormat="1" ht="12.75" thickBot="1">
      <c r="A58" s="479" t="s">
        <v>882</v>
      </c>
      <c r="B58" s="480" t="s">
        <v>857</v>
      </c>
      <c r="C58" s="521">
        <f>SUM(C57)</f>
        <v>3240</v>
      </c>
      <c r="D58" s="521">
        <f t="shared" ref="D58:W58" si="21">SUM(D57)</f>
        <v>17553</v>
      </c>
      <c r="E58" s="521">
        <f t="shared" si="21"/>
        <v>0</v>
      </c>
      <c r="F58" s="521">
        <f t="shared" si="21"/>
        <v>0</v>
      </c>
      <c r="G58" s="521">
        <f t="shared" si="21"/>
        <v>0</v>
      </c>
      <c r="H58" s="521">
        <f t="shared" si="21"/>
        <v>0</v>
      </c>
      <c r="I58" s="521">
        <f t="shared" si="21"/>
        <v>0</v>
      </c>
      <c r="J58" s="524">
        <f t="shared" si="21"/>
        <v>20793</v>
      </c>
      <c r="K58" s="521">
        <f t="shared" si="21"/>
        <v>9352</v>
      </c>
      <c r="L58" s="521">
        <f t="shared" si="21"/>
        <v>1371</v>
      </c>
      <c r="M58" s="521">
        <f t="shared" si="21"/>
        <v>1056</v>
      </c>
      <c r="N58" s="521">
        <f t="shared" si="21"/>
        <v>0</v>
      </c>
      <c r="O58" s="521">
        <f t="shared" si="21"/>
        <v>8014</v>
      </c>
      <c r="P58" s="521">
        <f t="shared" si="21"/>
        <v>1000</v>
      </c>
      <c r="Q58" s="521">
        <f t="shared" si="21"/>
        <v>0</v>
      </c>
      <c r="R58" s="521">
        <f t="shared" si="21"/>
        <v>0</v>
      </c>
      <c r="S58" s="524">
        <f t="shared" si="21"/>
        <v>20793</v>
      </c>
      <c r="T58" s="524">
        <f t="shared" si="21"/>
        <v>0</v>
      </c>
      <c r="U58" s="1044">
        <f t="shared" si="21"/>
        <v>0</v>
      </c>
      <c r="V58" s="525">
        <f t="shared" si="21"/>
        <v>0</v>
      </c>
      <c r="W58" s="524">
        <f t="shared" si="21"/>
        <v>0</v>
      </c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</row>
    <row r="59" spans="1:42" ht="12.75" thickBot="1">
      <c r="A59" s="833">
        <f>+A57+1</f>
        <v>31</v>
      </c>
      <c r="B59" s="834" t="s">
        <v>884</v>
      </c>
      <c r="C59" s="835">
        <f>+SUMIF('13.mell_ÖNKfeladatok2020'!$B$5:$B$163,'14.mell_Önk kiegészítés2020'!$A59,'13.mell_ÖNKfeladatok2020'!O$5:O$163)</f>
        <v>0</v>
      </c>
      <c r="D59" s="835">
        <f>+SUMIF('13.mell_ÖNKfeladatok2020'!$B$5:$B$163,'14.mell_Önk kiegészítés2020'!$A59,'13.mell_ÖNKfeladatok2020'!S$5:S$163)</f>
        <v>0</v>
      </c>
      <c r="E59" s="835">
        <f>+SUMIF('13.mell_ÖNKfeladatok2020'!$B$5:$B$163,'14.mell_Önk kiegészítés2020'!$A59,'13.mell_ÖNKfeladatok2020'!W$5:W$163)</f>
        <v>0</v>
      </c>
      <c r="F59" s="835">
        <f>+SUMIF('13.mell_ÖNKfeladatok2020'!$B$5:$B$163,'14.mell_Önk kiegészítés2020'!$A59,'13.mell_ÖNKfeladatok2020'!AA$5:AA$163)</f>
        <v>0</v>
      </c>
      <c r="G59" s="835">
        <f>+SUMIF('13.mell_ÖNKfeladatok2020'!$B$5:$B$163,'14.mell_Önk kiegészítés2020'!$A59,'13.mell_ÖNKfeladatok2020'!AI$5:AI$163)</f>
        <v>0</v>
      </c>
      <c r="H59" s="835">
        <f>+SUMIF('13.mell_ÖNKfeladatok2020'!$B$5:$B$163,'14.mell_Önk kiegészítés2020'!$A59,'13.mell_ÖNKfeladatok2020'!AM$5:AM$163)</f>
        <v>0</v>
      </c>
      <c r="I59" s="835">
        <f>+SUMIF('13.mell_ÖNKfeladatok2020'!$B$5:$B$163,'14.mell_Önk kiegészítés2020'!$A59,'13.mell_ÖNKfeladatok2020'!AQ$5:AQ$163)</f>
        <v>0</v>
      </c>
      <c r="J59" s="836">
        <f>SUM(C59:I59)</f>
        <v>0</v>
      </c>
      <c r="K59" s="835">
        <f>+SUMIF('13.mell_ÖNKfeladatok2020'!$B$171:$B$329,'14.mell_Önk kiegészítés2020'!$A59,'13.mell_ÖNKfeladatok2020'!O$171:O$329)</f>
        <v>0</v>
      </c>
      <c r="L59" s="835">
        <f>+SUMIF('13.mell_ÖNKfeladatok2020'!$B$171:$B$329,'14.mell_Önk kiegészítés2020'!$A59,'13.mell_ÖNKfeladatok2020'!S$171:S$329)</f>
        <v>0</v>
      </c>
      <c r="M59" s="835">
        <f>+SUMIF('13.mell_ÖNKfeladatok2020'!$B$171:$B$329,'14.mell_Önk kiegészítés2020'!$A59,'13.mell_ÖNKfeladatok2020'!W$171:W$329)</f>
        <v>0</v>
      </c>
      <c r="N59" s="835">
        <f>+SUMIF('13.mell_ÖNKfeladatok2020'!$B$171:$B$329,'14.mell_Önk kiegészítés2020'!$A59,'13.mell_ÖNKfeladatok2020'!AA$171:AA$329)</f>
        <v>0</v>
      </c>
      <c r="O59" s="835">
        <f>+SUMIF('13.mell_ÖNKfeladatok2020'!$B$171:$B$329,'14.mell_Önk kiegészítés2020'!$A59,'13.mell_ÖNKfeladatok2020'!AE$171:AE$329)</f>
        <v>0</v>
      </c>
      <c r="P59" s="835">
        <f>+SUMIF('13.mell_ÖNKfeladatok2020'!$B$171:$B$329,'14.mell_Önk kiegészítés2020'!$A59,'13.mell_ÖNKfeladatok2020'!AM$171:AM$329)</f>
        <v>0</v>
      </c>
      <c r="Q59" s="835">
        <f>+SUMIF('13.mell_ÖNKfeladatok2020'!$B$171:$B$329,'14.mell_Önk kiegészítés2020'!$A59,'13.mell_ÖNKfeladatok2020'!AQ$171:AQ$329)</f>
        <v>0</v>
      </c>
      <c r="R59" s="835">
        <f>+SUMIF('13.mell_ÖNKfeladatok2020'!$B$171:$B$329,'14.mell_Önk kiegészítés2020'!$A59,'13.mell_ÖNKfeladatok2020'!AU$171:AU$329)</f>
        <v>0</v>
      </c>
      <c r="S59" s="836">
        <f>SUM(K59:R59)</f>
        <v>0</v>
      </c>
      <c r="T59" s="524">
        <f>S59-J59</f>
        <v>0</v>
      </c>
      <c r="U59" s="1050">
        <f>+ROUND(SUMIF('10.mell_támogatások2020'!$B$6:$B$137,'14.mell_Önk kiegészítés2020'!$A59,'10.mell_támogatások2020'!D$6:D$137)/1000,0)</f>
        <v>0</v>
      </c>
      <c r="V59" s="1028"/>
      <c r="W59" s="524">
        <f>+T59-U59-V59</f>
        <v>0</v>
      </c>
    </row>
    <row r="60" spans="1:42" s="507" customFormat="1" ht="12.75" thickBot="1">
      <c r="A60" s="479" t="s">
        <v>883</v>
      </c>
      <c r="B60" s="480" t="s">
        <v>884</v>
      </c>
      <c r="C60" s="521">
        <f>SUM(C59)</f>
        <v>0</v>
      </c>
      <c r="D60" s="521">
        <f t="shared" ref="D60:W60" si="22">SUM(D59)</f>
        <v>0</v>
      </c>
      <c r="E60" s="521">
        <f t="shared" si="22"/>
        <v>0</v>
      </c>
      <c r="F60" s="521">
        <f t="shared" si="22"/>
        <v>0</v>
      </c>
      <c r="G60" s="521">
        <f t="shared" si="22"/>
        <v>0</v>
      </c>
      <c r="H60" s="521">
        <f t="shared" si="22"/>
        <v>0</v>
      </c>
      <c r="I60" s="521">
        <f t="shared" si="22"/>
        <v>0</v>
      </c>
      <c r="J60" s="524">
        <f t="shared" si="22"/>
        <v>0</v>
      </c>
      <c r="K60" s="521">
        <f t="shared" si="22"/>
        <v>0</v>
      </c>
      <c r="L60" s="521">
        <f t="shared" si="22"/>
        <v>0</v>
      </c>
      <c r="M60" s="521">
        <f t="shared" si="22"/>
        <v>0</v>
      </c>
      <c r="N60" s="521">
        <f t="shared" si="22"/>
        <v>0</v>
      </c>
      <c r="O60" s="521">
        <f t="shared" si="22"/>
        <v>0</v>
      </c>
      <c r="P60" s="521">
        <f t="shared" si="22"/>
        <v>0</v>
      </c>
      <c r="Q60" s="521">
        <f t="shared" si="22"/>
        <v>0</v>
      </c>
      <c r="R60" s="521">
        <f t="shared" si="22"/>
        <v>0</v>
      </c>
      <c r="S60" s="524">
        <f t="shared" si="22"/>
        <v>0</v>
      </c>
      <c r="T60" s="524">
        <f t="shared" si="22"/>
        <v>0</v>
      </c>
      <c r="U60" s="1044">
        <f t="shared" si="22"/>
        <v>0</v>
      </c>
      <c r="V60" s="525">
        <f t="shared" si="22"/>
        <v>0</v>
      </c>
      <c r="W60" s="524">
        <f t="shared" si="22"/>
        <v>0</v>
      </c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</row>
    <row r="61" spans="1:42" s="507" customFormat="1" ht="12.75" thickBot="1">
      <c r="A61" s="473" t="s">
        <v>552</v>
      </c>
      <c r="B61" s="483" t="s">
        <v>858</v>
      </c>
      <c r="C61" s="530">
        <f>+C56+C58+C60</f>
        <v>3240</v>
      </c>
      <c r="D61" s="530">
        <f t="shared" ref="D61:W61" si="23">+D56+D58+D60</f>
        <v>17553</v>
      </c>
      <c r="E61" s="530">
        <f t="shared" si="23"/>
        <v>0</v>
      </c>
      <c r="F61" s="530">
        <f t="shared" si="23"/>
        <v>0</v>
      </c>
      <c r="G61" s="530">
        <f t="shared" si="23"/>
        <v>0</v>
      </c>
      <c r="H61" s="530">
        <f t="shared" si="23"/>
        <v>0</v>
      </c>
      <c r="I61" s="530">
        <f t="shared" si="23"/>
        <v>0</v>
      </c>
      <c r="J61" s="533">
        <f t="shared" si="23"/>
        <v>20793</v>
      </c>
      <c r="K61" s="530">
        <f t="shared" si="23"/>
        <v>9352</v>
      </c>
      <c r="L61" s="530">
        <f t="shared" si="23"/>
        <v>1371</v>
      </c>
      <c r="M61" s="530">
        <f t="shared" si="23"/>
        <v>1056</v>
      </c>
      <c r="N61" s="530">
        <f t="shared" si="23"/>
        <v>0</v>
      </c>
      <c r="O61" s="530">
        <f t="shared" si="23"/>
        <v>8014</v>
      </c>
      <c r="P61" s="530">
        <f t="shared" si="23"/>
        <v>1000</v>
      </c>
      <c r="Q61" s="530">
        <f t="shared" si="23"/>
        <v>0</v>
      </c>
      <c r="R61" s="530">
        <f t="shared" si="23"/>
        <v>0</v>
      </c>
      <c r="S61" s="533">
        <f t="shared" si="23"/>
        <v>20793</v>
      </c>
      <c r="T61" s="533">
        <f t="shared" si="23"/>
        <v>0</v>
      </c>
      <c r="U61" s="1046">
        <f t="shared" si="23"/>
        <v>0</v>
      </c>
      <c r="V61" s="532">
        <f t="shared" si="23"/>
        <v>0</v>
      </c>
      <c r="W61" s="533">
        <f t="shared" si="23"/>
        <v>0</v>
      </c>
      <c r="Y61" s="507">
        <f>+'13.mell_ÖNKfeladatok2020'!$G$149-J61</f>
        <v>0</v>
      </c>
      <c r="Z61" s="507">
        <f>+'13.mell_ÖNKfeladatok2020'!$G$315-S61</f>
        <v>0</v>
      </c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</row>
    <row r="62" spans="1:42" s="194" customFormat="1" ht="12.75" thickBot="1">
      <c r="A62" s="494"/>
      <c r="B62" s="545"/>
      <c r="C62" s="534"/>
      <c r="D62" s="535"/>
      <c r="E62" s="535"/>
      <c r="F62" s="535"/>
      <c r="G62" s="535"/>
      <c r="H62" s="535"/>
      <c r="I62" s="536"/>
      <c r="J62" s="537"/>
      <c r="K62" s="546"/>
      <c r="L62" s="546"/>
      <c r="M62" s="546"/>
      <c r="N62" s="546"/>
      <c r="O62" s="546"/>
      <c r="P62" s="546"/>
      <c r="Q62" s="546"/>
      <c r="R62" s="546"/>
      <c r="S62" s="544"/>
      <c r="T62" s="544"/>
      <c r="U62" s="1052"/>
      <c r="V62" s="1030"/>
      <c r="W62" s="544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</row>
    <row r="63" spans="1:42" ht="12.75" thickBot="1">
      <c r="A63" s="783">
        <f>+A59+1</f>
        <v>32</v>
      </c>
      <c r="B63" s="695" t="s">
        <v>1148</v>
      </c>
      <c r="C63" s="826">
        <f>+SUMIF('13.mell_ÖNKfeladatok2020'!$B$5:$B$163,'14.mell_Önk kiegészítés2020'!$A63,'13.mell_ÖNKfeladatok2020'!O$5:O$163)</f>
        <v>0</v>
      </c>
      <c r="D63" s="826">
        <f>+SUMIF('13.mell_ÖNKfeladatok2020'!$B$5:$B$163,'14.mell_Önk kiegészítés2020'!$A63,'13.mell_ÖNKfeladatok2020'!S$5:S$163)</f>
        <v>0</v>
      </c>
      <c r="E63" s="826">
        <f>+SUMIF('13.mell_ÖNKfeladatok2020'!$B$5:$B$163,'14.mell_Önk kiegészítés2020'!$A63,'13.mell_ÖNKfeladatok2020'!W$5:W$163)</f>
        <v>0</v>
      </c>
      <c r="F63" s="826">
        <f>+SUMIF('13.mell_ÖNKfeladatok2020'!$B$5:$B$163,'14.mell_Önk kiegészítés2020'!$A63,'13.mell_ÖNKfeladatok2020'!AA$5:AA$163)</f>
        <v>0</v>
      </c>
      <c r="G63" s="826">
        <f>+SUMIF('13.mell_ÖNKfeladatok2020'!$B$5:$B$163,'14.mell_Önk kiegészítés2020'!$A63,'13.mell_ÖNKfeladatok2020'!AI$5:AI$163)</f>
        <v>0</v>
      </c>
      <c r="H63" s="826">
        <f>+SUMIF('13.mell_ÖNKfeladatok2020'!$B$5:$B$163,'14.mell_Önk kiegészítés2020'!$A63,'13.mell_ÖNKfeladatok2020'!AM$5:AM$163)</f>
        <v>0</v>
      </c>
      <c r="I63" s="826">
        <f>+SUMIF('13.mell_ÖNKfeladatok2020'!$B$5:$B$163,'14.mell_Önk kiegészítés2020'!$A63,'13.mell_ÖNKfeladatok2020'!AQ$5:AQ$163)</f>
        <v>0</v>
      </c>
      <c r="J63" s="696">
        <f>SUM(C63:I63)</f>
        <v>0</v>
      </c>
      <c r="K63" s="826">
        <f>+SUMIF('13.mell_ÖNKfeladatok2020'!$B$171:$B$329,'14.mell_Önk kiegészítés2020'!$A63,'13.mell_ÖNKfeladatok2020'!O$171:O$329)</f>
        <v>61539</v>
      </c>
      <c r="L63" s="826">
        <f>+SUMIF('13.mell_ÖNKfeladatok2020'!$B$171:$B$329,'14.mell_Önk kiegészítés2020'!$A63,'13.mell_ÖNKfeladatok2020'!S$171:S$329)</f>
        <v>10823</v>
      </c>
      <c r="M63" s="826">
        <f>+SUMIF('13.mell_ÖNKfeladatok2020'!$B$171:$B$329,'14.mell_Önk kiegészítés2020'!$A63,'13.mell_ÖNKfeladatok2020'!W$171:W$329)</f>
        <v>11238</v>
      </c>
      <c r="N63" s="826">
        <f>+SUMIF('13.mell_ÖNKfeladatok2020'!$B$171:$B$329,'14.mell_Önk kiegészítés2020'!$A63,'13.mell_ÖNKfeladatok2020'!AA$171:AA$329)</f>
        <v>0</v>
      </c>
      <c r="O63" s="826">
        <f>+SUMIF('13.mell_ÖNKfeladatok2020'!$B$171:$B$329,'14.mell_Önk kiegészítés2020'!$A63,'13.mell_ÖNKfeladatok2020'!AE$171:AE$329)</f>
        <v>0</v>
      </c>
      <c r="P63" s="826">
        <f>+SUMIF('13.mell_ÖNKfeladatok2020'!$B$171:$B$329,'14.mell_Önk kiegészítés2020'!$A63,'13.mell_ÖNKfeladatok2020'!AM$171:AM$329)</f>
        <v>0</v>
      </c>
      <c r="Q63" s="826">
        <f>+SUMIF('13.mell_ÖNKfeladatok2020'!$B$171:$B$329,'14.mell_Önk kiegészítés2020'!$A63,'13.mell_ÖNKfeladatok2020'!AQ$171:AQ$329)</f>
        <v>0</v>
      </c>
      <c r="R63" s="826">
        <f>+SUMIF('13.mell_ÖNKfeladatok2020'!$B$171:$B$329,'14.mell_Önk kiegészítés2020'!$A63,'13.mell_ÖNKfeladatok2020'!AU$171:AU$329)</f>
        <v>0</v>
      </c>
      <c r="S63" s="696">
        <f>SUM(K63:R63)</f>
        <v>83600</v>
      </c>
      <c r="T63" s="697">
        <f>S63-J63</f>
        <v>83600</v>
      </c>
      <c r="U63" s="1047">
        <f>+ROUND(SUMIF('10.mell_támogatások2020'!$B$6:$B$137,'14.mell_Önk kiegészítés2020'!$A63,'10.mell_támogatások2020'!D$6:D$137)/1000,0)</f>
        <v>73899</v>
      </c>
      <c r="V63" s="1025">
        <v>6630</v>
      </c>
      <c r="W63" s="697">
        <f>+T63-U63-V63</f>
        <v>3071</v>
      </c>
      <c r="AE63" s="261">
        <v>6630</v>
      </c>
    </row>
    <row r="64" spans="1:42" s="507" customFormat="1" ht="12.75" thickBot="1">
      <c r="A64" s="343" t="s">
        <v>1137</v>
      </c>
      <c r="B64" s="471" t="s">
        <v>1094</v>
      </c>
      <c r="C64" s="521">
        <f t="shared" ref="C64:W64" si="24">SUM(C63)</f>
        <v>0</v>
      </c>
      <c r="D64" s="521">
        <f t="shared" si="24"/>
        <v>0</v>
      </c>
      <c r="E64" s="521">
        <f t="shared" si="24"/>
        <v>0</v>
      </c>
      <c r="F64" s="521">
        <f t="shared" si="24"/>
        <v>0</v>
      </c>
      <c r="G64" s="521">
        <f t="shared" si="24"/>
        <v>0</v>
      </c>
      <c r="H64" s="521">
        <f t="shared" si="24"/>
        <v>0</v>
      </c>
      <c r="I64" s="521">
        <f t="shared" si="24"/>
        <v>0</v>
      </c>
      <c r="J64" s="524">
        <f t="shared" si="24"/>
        <v>0</v>
      </c>
      <c r="K64" s="521">
        <f t="shared" si="24"/>
        <v>61539</v>
      </c>
      <c r="L64" s="521">
        <f t="shared" si="24"/>
        <v>10823</v>
      </c>
      <c r="M64" s="521">
        <f t="shared" si="24"/>
        <v>11238</v>
      </c>
      <c r="N64" s="521">
        <f t="shared" si="24"/>
        <v>0</v>
      </c>
      <c r="O64" s="521">
        <f t="shared" si="24"/>
        <v>0</v>
      </c>
      <c r="P64" s="521">
        <f t="shared" si="24"/>
        <v>0</v>
      </c>
      <c r="Q64" s="521">
        <f t="shared" si="24"/>
        <v>0</v>
      </c>
      <c r="R64" s="521">
        <f t="shared" si="24"/>
        <v>0</v>
      </c>
      <c r="S64" s="524">
        <f t="shared" si="24"/>
        <v>83600</v>
      </c>
      <c r="T64" s="524">
        <f t="shared" si="24"/>
        <v>83600</v>
      </c>
      <c r="U64" s="1044">
        <f t="shared" si="24"/>
        <v>73899</v>
      </c>
      <c r="V64" s="525">
        <f t="shared" si="24"/>
        <v>6630</v>
      </c>
      <c r="W64" s="524">
        <f t="shared" si="24"/>
        <v>3071</v>
      </c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</row>
    <row r="65" spans="1:42" ht="12.75" thickBot="1">
      <c r="A65" s="833">
        <f>+A63+1</f>
        <v>33</v>
      </c>
      <c r="B65" s="834" t="s">
        <v>1096</v>
      </c>
      <c r="C65" s="835">
        <f>+SUMIF('13.mell_ÖNKfeladatok2020'!$B$5:$B$163,'14.mell_Önk kiegészítés2020'!$A65,'13.mell_ÖNKfeladatok2020'!O$5:O$163)</f>
        <v>0</v>
      </c>
      <c r="D65" s="835">
        <f>+SUMIF('13.mell_ÖNKfeladatok2020'!$B$5:$B$163,'14.mell_Önk kiegészítés2020'!$A65,'13.mell_ÖNKfeladatok2020'!S$5:S$163)</f>
        <v>0</v>
      </c>
      <c r="E65" s="835">
        <f>+SUMIF('13.mell_ÖNKfeladatok2020'!$B$5:$B$163,'14.mell_Önk kiegészítés2020'!$A65,'13.mell_ÖNKfeladatok2020'!W$5:W$163)</f>
        <v>0</v>
      </c>
      <c r="F65" s="835">
        <f>+SUMIF('13.mell_ÖNKfeladatok2020'!$B$5:$B$163,'14.mell_Önk kiegészítés2020'!$A65,'13.mell_ÖNKfeladatok2020'!AA$5:AA$163)</f>
        <v>0</v>
      </c>
      <c r="G65" s="835">
        <f>+SUMIF('13.mell_ÖNKfeladatok2020'!$B$5:$B$163,'14.mell_Önk kiegészítés2020'!$A65,'13.mell_ÖNKfeladatok2020'!AI$5:AI$163)</f>
        <v>0</v>
      </c>
      <c r="H65" s="835">
        <f>+SUMIF('13.mell_ÖNKfeladatok2020'!$B$5:$B$163,'14.mell_Önk kiegészítés2020'!$A65,'13.mell_ÖNKfeladatok2020'!AM$5:AM$163)</f>
        <v>0</v>
      </c>
      <c r="I65" s="835">
        <f>+SUMIF('13.mell_ÖNKfeladatok2020'!$B$5:$B$163,'14.mell_Önk kiegészítés2020'!$A65,'13.mell_ÖNKfeladatok2020'!AQ$5:AQ$163)</f>
        <v>0</v>
      </c>
      <c r="J65" s="836">
        <f>SUM(C65:I65)</f>
        <v>0</v>
      </c>
      <c r="K65" s="835">
        <f>+SUMIF('13.mell_ÖNKfeladatok2020'!$B$171:$B$329,'14.mell_Önk kiegészítés2020'!$A65,'13.mell_ÖNKfeladatok2020'!O$171:O$329)</f>
        <v>0</v>
      </c>
      <c r="L65" s="835">
        <f>+SUMIF('13.mell_ÖNKfeladatok2020'!$B$171:$B$329,'14.mell_Önk kiegészítés2020'!$A65,'13.mell_ÖNKfeladatok2020'!S$171:S$329)</f>
        <v>0</v>
      </c>
      <c r="M65" s="835">
        <f>+SUMIF('13.mell_ÖNKfeladatok2020'!$B$171:$B$329,'14.mell_Önk kiegészítés2020'!$A65,'13.mell_ÖNKfeladatok2020'!W$171:W$329)</f>
        <v>0</v>
      </c>
      <c r="N65" s="835">
        <f>+SUMIF('13.mell_ÖNKfeladatok2020'!$B$171:$B$329,'14.mell_Önk kiegészítés2020'!$A65,'13.mell_ÖNKfeladatok2020'!AA$171:AA$329)</f>
        <v>0</v>
      </c>
      <c r="O65" s="835">
        <f>+SUMIF('13.mell_ÖNKfeladatok2020'!$B$171:$B$329,'14.mell_Önk kiegészítés2020'!$A65,'13.mell_ÖNKfeladatok2020'!AE$171:AE$329)</f>
        <v>0</v>
      </c>
      <c r="P65" s="835">
        <f>+SUMIF('13.mell_ÖNKfeladatok2020'!$B$171:$B$329,'14.mell_Önk kiegészítés2020'!$A65,'13.mell_ÖNKfeladatok2020'!AM$171:AM$329)</f>
        <v>0</v>
      </c>
      <c r="Q65" s="835">
        <f>+SUMIF('13.mell_ÖNKfeladatok2020'!$B$171:$B$329,'14.mell_Önk kiegészítés2020'!$A65,'13.mell_ÖNKfeladatok2020'!AQ$171:AQ$329)</f>
        <v>0</v>
      </c>
      <c r="R65" s="835">
        <f>+SUMIF('13.mell_ÖNKfeladatok2020'!$B$171:$B$329,'14.mell_Önk kiegészítés2020'!$A65,'13.mell_ÖNKfeladatok2020'!AU$171:AU$329)</f>
        <v>0</v>
      </c>
      <c r="S65" s="836">
        <f>SUM(K65:R65)</f>
        <v>0</v>
      </c>
      <c r="T65" s="524">
        <f>S65-J65</f>
        <v>0</v>
      </c>
      <c r="U65" s="1050">
        <f>+ROUND(SUMIF('10.mell_támogatások2020'!$B$6:$B$137,'14.mell_Önk kiegészítés2020'!$A65,'10.mell_támogatások2020'!D$6:D$137)/1000,0)</f>
        <v>0</v>
      </c>
      <c r="V65" s="1028"/>
      <c r="W65" s="524">
        <f>+T65-U65-V65</f>
        <v>0</v>
      </c>
    </row>
    <row r="66" spans="1:42" s="507" customFormat="1" ht="12.75" thickBot="1">
      <c r="A66" s="479" t="s">
        <v>1138</v>
      </c>
      <c r="B66" s="480" t="s">
        <v>1095</v>
      </c>
      <c r="C66" s="521">
        <f t="shared" ref="C66:W66" si="25">SUM(C65)</f>
        <v>0</v>
      </c>
      <c r="D66" s="521">
        <f t="shared" si="25"/>
        <v>0</v>
      </c>
      <c r="E66" s="521">
        <f t="shared" si="25"/>
        <v>0</v>
      </c>
      <c r="F66" s="521">
        <f t="shared" si="25"/>
        <v>0</v>
      </c>
      <c r="G66" s="521">
        <f t="shared" si="25"/>
        <v>0</v>
      </c>
      <c r="H66" s="521">
        <f t="shared" si="25"/>
        <v>0</v>
      </c>
      <c r="I66" s="521">
        <f t="shared" si="25"/>
        <v>0</v>
      </c>
      <c r="J66" s="524">
        <f t="shared" si="25"/>
        <v>0</v>
      </c>
      <c r="K66" s="521">
        <f t="shared" si="25"/>
        <v>0</v>
      </c>
      <c r="L66" s="521">
        <f t="shared" si="25"/>
        <v>0</v>
      </c>
      <c r="M66" s="521">
        <f t="shared" si="25"/>
        <v>0</v>
      </c>
      <c r="N66" s="521">
        <f t="shared" si="25"/>
        <v>0</v>
      </c>
      <c r="O66" s="521">
        <f t="shared" si="25"/>
        <v>0</v>
      </c>
      <c r="P66" s="521">
        <f t="shared" si="25"/>
        <v>0</v>
      </c>
      <c r="Q66" s="521">
        <f t="shared" si="25"/>
        <v>0</v>
      </c>
      <c r="R66" s="521">
        <f t="shared" si="25"/>
        <v>0</v>
      </c>
      <c r="S66" s="524">
        <f t="shared" si="25"/>
        <v>0</v>
      </c>
      <c r="T66" s="524">
        <f t="shared" si="25"/>
        <v>0</v>
      </c>
      <c r="U66" s="1044">
        <f t="shared" si="25"/>
        <v>0</v>
      </c>
      <c r="V66" s="525">
        <f t="shared" si="25"/>
        <v>0</v>
      </c>
      <c r="W66" s="524">
        <f t="shared" si="25"/>
        <v>0</v>
      </c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</row>
    <row r="67" spans="1:42" ht="12.75" thickBot="1">
      <c r="A67" s="833">
        <f>+A65+1</f>
        <v>34</v>
      </c>
      <c r="B67" s="834" t="s">
        <v>1096</v>
      </c>
      <c r="C67" s="835">
        <f>+SUMIF('13.mell_ÖNKfeladatok2020'!$B$5:$B$163,'14.mell_Önk kiegészítés2020'!$A67,'13.mell_ÖNKfeladatok2020'!O$5:O$163)</f>
        <v>0</v>
      </c>
      <c r="D67" s="835">
        <f>+SUMIF('13.mell_ÖNKfeladatok2020'!$B$5:$B$163,'14.mell_Önk kiegészítés2020'!$A67,'13.mell_ÖNKfeladatok2020'!S$5:S$163)</f>
        <v>0</v>
      </c>
      <c r="E67" s="835">
        <f>+SUMIF('13.mell_ÖNKfeladatok2020'!$B$5:$B$163,'14.mell_Önk kiegészítés2020'!$A67,'13.mell_ÖNKfeladatok2020'!W$5:W$163)</f>
        <v>0</v>
      </c>
      <c r="F67" s="835">
        <f>+SUMIF('13.mell_ÖNKfeladatok2020'!$B$5:$B$163,'14.mell_Önk kiegészítés2020'!$A67,'13.mell_ÖNKfeladatok2020'!AA$5:AA$163)</f>
        <v>0</v>
      </c>
      <c r="G67" s="835">
        <f>+SUMIF('13.mell_ÖNKfeladatok2020'!$B$5:$B$163,'14.mell_Önk kiegészítés2020'!$A67,'13.mell_ÖNKfeladatok2020'!AI$5:AI$163)</f>
        <v>0</v>
      </c>
      <c r="H67" s="835">
        <f>+SUMIF('13.mell_ÖNKfeladatok2020'!$B$5:$B$163,'14.mell_Önk kiegészítés2020'!$A67,'13.mell_ÖNKfeladatok2020'!AM$5:AM$163)</f>
        <v>0</v>
      </c>
      <c r="I67" s="835">
        <f>+SUMIF('13.mell_ÖNKfeladatok2020'!$B$5:$B$163,'14.mell_Önk kiegészítés2020'!$A67,'13.mell_ÖNKfeladatok2020'!AQ$5:AQ$163)</f>
        <v>0</v>
      </c>
      <c r="J67" s="836">
        <f>SUM(C67:I67)</f>
        <v>0</v>
      </c>
      <c r="K67" s="835">
        <f>+SUMIF('13.mell_ÖNKfeladatok2020'!$B$171:$B$329,'14.mell_Önk kiegészítés2020'!$A67,'13.mell_ÖNKfeladatok2020'!O$171:O$329)</f>
        <v>0</v>
      </c>
      <c r="L67" s="835">
        <f>+SUMIF('13.mell_ÖNKfeladatok2020'!$B$171:$B$329,'14.mell_Önk kiegészítés2020'!$A67,'13.mell_ÖNKfeladatok2020'!S$171:S$329)</f>
        <v>0</v>
      </c>
      <c r="M67" s="835">
        <f>+SUMIF('13.mell_ÖNKfeladatok2020'!$B$171:$B$329,'14.mell_Önk kiegészítés2020'!$A67,'13.mell_ÖNKfeladatok2020'!W$171:W$329)</f>
        <v>0</v>
      </c>
      <c r="N67" s="835">
        <f>+SUMIF('13.mell_ÖNKfeladatok2020'!$B$171:$B$329,'14.mell_Önk kiegészítés2020'!$A67,'13.mell_ÖNKfeladatok2020'!AA$171:AA$329)</f>
        <v>0</v>
      </c>
      <c r="O67" s="835">
        <f>+SUMIF('13.mell_ÖNKfeladatok2020'!$B$171:$B$329,'14.mell_Önk kiegészítés2020'!$A67,'13.mell_ÖNKfeladatok2020'!AE$171:AE$329)</f>
        <v>0</v>
      </c>
      <c r="P67" s="835">
        <f>+SUMIF('13.mell_ÖNKfeladatok2020'!$B$171:$B$329,'14.mell_Önk kiegészítés2020'!$A67,'13.mell_ÖNKfeladatok2020'!AM$171:AM$329)</f>
        <v>0</v>
      </c>
      <c r="Q67" s="835">
        <f>+SUMIF('13.mell_ÖNKfeladatok2020'!$B$171:$B$329,'14.mell_Önk kiegészítés2020'!$A67,'13.mell_ÖNKfeladatok2020'!AQ$171:AQ$329)</f>
        <v>0</v>
      </c>
      <c r="R67" s="835">
        <f>+SUMIF('13.mell_ÖNKfeladatok2020'!$B$171:$B$329,'14.mell_Önk kiegészítés2020'!$A67,'13.mell_ÖNKfeladatok2020'!AU$171:AU$329)</f>
        <v>0</v>
      </c>
      <c r="S67" s="836">
        <f>SUM(K67:R67)</f>
        <v>0</v>
      </c>
      <c r="T67" s="524">
        <f>S67-J67</f>
        <v>0</v>
      </c>
      <c r="U67" s="1050">
        <f>+ROUND(SUMIF('10.mell_támogatások2020'!$B$6:$B$137,'14.mell_Önk kiegészítés2020'!$A67,'10.mell_támogatások2020'!D$6:D$137)/1000,0)</f>
        <v>0</v>
      </c>
      <c r="V67" s="1028"/>
      <c r="W67" s="524">
        <f>+T67-U67-V67</f>
        <v>0</v>
      </c>
    </row>
    <row r="68" spans="1:42" s="507" customFormat="1" ht="24.75" thickBot="1">
      <c r="A68" s="479" t="s">
        <v>1139</v>
      </c>
      <c r="B68" s="480" t="s">
        <v>1096</v>
      </c>
      <c r="C68" s="521">
        <f t="shared" ref="C68:W68" si="26">SUM(C67)</f>
        <v>0</v>
      </c>
      <c r="D68" s="521">
        <f t="shared" si="26"/>
        <v>0</v>
      </c>
      <c r="E68" s="521">
        <f t="shared" si="26"/>
        <v>0</v>
      </c>
      <c r="F68" s="521">
        <f t="shared" si="26"/>
        <v>0</v>
      </c>
      <c r="G68" s="521">
        <f t="shared" si="26"/>
        <v>0</v>
      </c>
      <c r="H68" s="521">
        <f t="shared" si="26"/>
        <v>0</v>
      </c>
      <c r="I68" s="521">
        <f t="shared" si="26"/>
        <v>0</v>
      </c>
      <c r="J68" s="524">
        <f t="shared" si="26"/>
        <v>0</v>
      </c>
      <c r="K68" s="521">
        <f t="shared" si="26"/>
        <v>0</v>
      </c>
      <c r="L68" s="521">
        <f t="shared" si="26"/>
        <v>0</v>
      </c>
      <c r="M68" s="521">
        <f t="shared" si="26"/>
        <v>0</v>
      </c>
      <c r="N68" s="521">
        <f t="shared" si="26"/>
        <v>0</v>
      </c>
      <c r="O68" s="521">
        <f t="shared" si="26"/>
        <v>0</v>
      </c>
      <c r="P68" s="521">
        <f t="shared" si="26"/>
        <v>0</v>
      </c>
      <c r="Q68" s="521">
        <f t="shared" si="26"/>
        <v>0</v>
      </c>
      <c r="R68" s="521">
        <f t="shared" si="26"/>
        <v>0</v>
      </c>
      <c r="S68" s="524">
        <f t="shared" si="26"/>
        <v>0</v>
      </c>
      <c r="T68" s="524">
        <f t="shared" si="26"/>
        <v>0</v>
      </c>
      <c r="U68" s="1044">
        <f t="shared" si="26"/>
        <v>0</v>
      </c>
      <c r="V68" s="525">
        <f t="shared" si="26"/>
        <v>0</v>
      </c>
      <c r="W68" s="524">
        <f t="shared" si="26"/>
        <v>0</v>
      </c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</row>
    <row r="69" spans="1:42" s="507" customFormat="1" ht="12.75" thickBot="1">
      <c r="A69" s="473" t="s">
        <v>42</v>
      </c>
      <c r="B69" s="483" t="s">
        <v>1097</v>
      </c>
      <c r="C69" s="530">
        <f t="shared" ref="C69:W69" si="27">+C64+C66+C68</f>
        <v>0</v>
      </c>
      <c r="D69" s="530">
        <f t="shared" si="27"/>
        <v>0</v>
      </c>
      <c r="E69" s="530">
        <f t="shared" si="27"/>
        <v>0</v>
      </c>
      <c r="F69" s="530">
        <f t="shared" si="27"/>
        <v>0</v>
      </c>
      <c r="G69" s="530">
        <f t="shared" si="27"/>
        <v>0</v>
      </c>
      <c r="H69" s="530">
        <f t="shared" si="27"/>
        <v>0</v>
      </c>
      <c r="I69" s="530">
        <f t="shared" si="27"/>
        <v>0</v>
      </c>
      <c r="J69" s="533">
        <f t="shared" si="27"/>
        <v>0</v>
      </c>
      <c r="K69" s="530">
        <f t="shared" si="27"/>
        <v>61539</v>
      </c>
      <c r="L69" s="530">
        <f t="shared" si="27"/>
        <v>10823</v>
      </c>
      <c r="M69" s="530">
        <f t="shared" si="27"/>
        <v>11238</v>
      </c>
      <c r="N69" s="530">
        <f t="shared" si="27"/>
        <v>0</v>
      </c>
      <c r="O69" s="530">
        <f t="shared" si="27"/>
        <v>0</v>
      </c>
      <c r="P69" s="530">
        <f t="shared" si="27"/>
        <v>0</v>
      </c>
      <c r="Q69" s="530">
        <f t="shared" si="27"/>
        <v>0</v>
      </c>
      <c r="R69" s="530">
        <f t="shared" si="27"/>
        <v>0</v>
      </c>
      <c r="S69" s="533">
        <f t="shared" si="27"/>
        <v>83600</v>
      </c>
      <c r="T69" s="533">
        <f t="shared" si="27"/>
        <v>83600</v>
      </c>
      <c r="U69" s="1046">
        <f t="shared" si="27"/>
        <v>73899</v>
      </c>
      <c r="V69" s="532">
        <f t="shared" si="27"/>
        <v>6630</v>
      </c>
      <c r="W69" s="533">
        <f t="shared" si="27"/>
        <v>3071</v>
      </c>
      <c r="Y69" s="507">
        <f>+'13.mell_ÖNKfeladatok2020'!$G$161-J69</f>
        <v>0</v>
      </c>
      <c r="Z69" s="507">
        <f>+'13.mell_ÖNKfeladatok2020'!$G$327-S69</f>
        <v>0</v>
      </c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</row>
    <row r="70" spans="1:42" s="194" customFormat="1" ht="12.75" thickBot="1">
      <c r="A70" s="494"/>
      <c r="B70" s="545"/>
      <c r="C70" s="534"/>
      <c r="D70" s="535"/>
      <c r="E70" s="535"/>
      <c r="F70" s="535"/>
      <c r="G70" s="535"/>
      <c r="H70" s="535"/>
      <c r="I70" s="536"/>
      <c r="J70" s="537"/>
      <c r="K70" s="546"/>
      <c r="L70" s="546"/>
      <c r="M70" s="546"/>
      <c r="N70" s="546"/>
      <c r="O70" s="546"/>
      <c r="P70" s="546"/>
      <c r="Q70" s="546"/>
      <c r="R70" s="546"/>
      <c r="S70" s="544"/>
      <c r="T70" s="544"/>
      <c r="U70" s="1052"/>
      <c r="V70" s="1030"/>
      <c r="W70" s="544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</row>
    <row r="71" spans="1:42" s="507" customFormat="1" ht="12.75" thickBot="1">
      <c r="A71" s="528" t="s">
        <v>41</v>
      </c>
      <c r="B71" s="529" t="s">
        <v>769</v>
      </c>
      <c r="C71" s="530">
        <f t="shared" ref="C71:W71" si="28">+C21+C33+C43+C53+C61+C69</f>
        <v>992226</v>
      </c>
      <c r="D71" s="530">
        <f t="shared" si="28"/>
        <v>414105</v>
      </c>
      <c r="E71" s="530">
        <f t="shared" si="28"/>
        <v>186868</v>
      </c>
      <c r="F71" s="530">
        <f t="shared" si="28"/>
        <v>0</v>
      </c>
      <c r="G71" s="530">
        <f t="shared" si="28"/>
        <v>32276</v>
      </c>
      <c r="H71" s="530">
        <f t="shared" si="28"/>
        <v>40350</v>
      </c>
      <c r="I71" s="530">
        <f t="shared" si="28"/>
        <v>1100</v>
      </c>
      <c r="J71" s="533">
        <f t="shared" si="28"/>
        <v>1666925</v>
      </c>
      <c r="K71" s="547">
        <f t="shared" si="28"/>
        <v>715534</v>
      </c>
      <c r="L71" s="547">
        <f t="shared" si="28"/>
        <v>130817</v>
      </c>
      <c r="M71" s="547">
        <f t="shared" si="28"/>
        <v>401997</v>
      </c>
      <c r="N71" s="547">
        <f t="shared" si="28"/>
        <v>52779</v>
      </c>
      <c r="O71" s="547">
        <f t="shared" si="28"/>
        <v>2717621</v>
      </c>
      <c r="P71" s="547">
        <f t="shared" si="28"/>
        <v>436722</v>
      </c>
      <c r="Q71" s="547">
        <f t="shared" si="28"/>
        <v>67258</v>
      </c>
      <c r="R71" s="547">
        <f t="shared" si="28"/>
        <v>0</v>
      </c>
      <c r="S71" s="548">
        <f t="shared" si="28"/>
        <v>4522728</v>
      </c>
      <c r="T71" s="548">
        <f t="shared" si="28"/>
        <v>2855803</v>
      </c>
      <c r="U71" s="1053">
        <f t="shared" si="28"/>
        <v>0</v>
      </c>
      <c r="V71" s="1031">
        <f t="shared" si="28"/>
        <v>2845803</v>
      </c>
      <c r="W71" s="548">
        <f t="shared" si="28"/>
        <v>10000</v>
      </c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</row>
    <row r="72" spans="1:42" s="507" customFormat="1" ht="12.75" thickBot="1">
      <c r="A72" s="558" t="s">
        <v>37</v>
      </c>
      <c r="B72" s="550" t="s">
        <v>770</v>
      </c>
      <c r="C72" s="551"/>
      <c r="D72" s="551"/>
      <c r="E72" s="551"/>
      <c r="F72" s="551">
        <f>+'1.mell._Össz_Mérleg2020'!$C$71</f>
        <v>2876249</v>
      </c>
      <c r="G72" s="551"/>
      <c r="H72" s="551"/>
      <c r="I72" s="551">
        <f>+'1.mell._Össz_Mérleg2020'!$C$86</f>
        <v>10000</v>
      </c>
      <c r="J72" s="557">
        <f>SUM(C72:I72)</f>
        <v>2886249</v>
      </c>
      <c r="K72" s="551"/>
      <c r="L72" s="551"/>
      <c r="M72" s="551"/>
      <c r="N72" s="551"/>
      <c r="O72" s="551">
        <f>+'1.mell._Össz_Mérleg2020'!$C$177</f>
        <v>30446</v>
      </c>
      <c r="P72" s="551"/>
      <c r="Q72" s="551"/>
      <c r="R72" s="551">
        <f>+'1.mell._Össz_Mérleg2020'!$C$192</f>
        <v>0</v>
      </c>
      <c r="S72" s="557">
        <f>SUM(K72:R72)</f>
        <v>30446</v>
      </c>
      <c r="T72" s="552">
        <f>S72-J72</f>
        <v>-2855803</v>
      </c>
      <c r="U72" s="1054"/>
      <c r="V72" s="1032">
        <v>-2845803</v>
      </c>
      <c r="W72" s="552">
        <f>+T72-U72-V72</f>
        <v>-10000</v>
      </c>
      <c r="AB72" s="261"/>
      <c r="AC72" s="261">
        <v>-2845803</v>
      </c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</row>
    <row r="73" spans="1:42" s="194" customFormat="1" ht="12.75" thickBot="1">
      <c r="A73" s="528" t="s">
        <v>1142</v>
      </c>
      <c r="B73" s="529" t="s">
        <v>771</v>
      </c>
      <c r="C73" s="530">
        <f>+C71+C72</f>
        <v>992226</v>
      </c>
      <c r="D73" s="530">
        <f t="shared" ref="D73:I73" si="29">+D71+D72</f>
        <v>414105</v>
      </c>
      <c r="E73" s="530">
        <f t="shared" si="29"/>
        <v>186868</v>
      </c>
      <c r="F73" s="530">
        <f t="shared" si="29"/>
        <v>2876249</v>
      </c>
      <c r="G73" s="530">
        <f t="shared" si="29"/>
        <v>32276</v>
      </c>
      <c r="H73" s="530">
        <f t="shared" si="29"/>
        <v>40350</v>
      </c>
      <c r="I73" s="530">
        <f t="shared" si="29"/>
        <v>11100</v>
      </c>
      <c r="J73" s="533">
        <f>+J71+J72</f>
        <v>4553174</v>
      </c>
      <c r="K73" s="530">
        <f t="shared" ref="K73:W73" si="30">+K71+K72</f>
        <v>715534</v>
      </c>
      <c r="L73" s="530">
        <f t="shared" si="30"/>
        <v>130817</v>
      </c>
      <c r="M73" s="530">
        <f t="shared" si="30"/>
        <v>401997</v>
      </c>
      <c r="N73" s="530">
        <f t="shared" si="30"/>
        <v>52779</v>
      </c>
      <c r="O73" s="530">
        <f t="shared" si="30"/>
        <v>2748067</v>
      </c>
      <c r="P73" s="530">
        <f t="shared" si="30"/>
        <v>436722</v>
      </c>
      <c r="Q73" s="530">
        <f t="shared" si="30"/>
        <v>67258</v>
      </c>
      <c r="R73" s="530">
        <f t="shared" si="30"/>
        <v>0</v>
      </c>
      <c r="S73" s="533">
        <f t="shared" si="30"/>
        <v>4553174</v>
      </c>
      <c r="T73" s="533">
        <f t="shared" si="30"/>
        <v>0</v>
      </c>
      <c r="U73" s="1046">
        <f t="shared" si="30"/>
        <v>0</v>
      </c>
      <c r="V73" s="532">
        <f t="shared" si="30"/>
        <v>0</v>
      </c>
      <c r="W73" s="533">
        <f t="shared" si="30"/>
        <v>0</v>
      </c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</row>
    <row r="74" spans="1:42" s="507" customFormat="1" ht="11.25" customHeight="1">
      <c r="A74" s="559"/>
      <c r="B74" s="549"/>
      <c r="C74" s="549"/>
      <c r="D74" s="549"/>
      <c r="E74" s="549"/>
      <c r="F74" s="549"/>
      <c r="G74" s="549"/>
      <c r="H74" s="549"/>
      <c r="I74" s="549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</row>
    <row r="75" spans="1:42" ht="12.75" thickBot="1">
      <c r="W75" s="238" t="s">
        <v>457</v>
      </c>
    </row>
    <row r="76" spans="1:42" s="510" customFormat="1" ht="72.75" thickBot="1">
      <c r="A76" s="1285" t="s">
        <v>17</v>
      </c>
      <c r="B76" s="452" t="s">
        <v>1541</v>
      </c>
      <c r="C76" s="839" t="s">
        <v>762</v>
      </c>
      <c r="D76" s="354" t="s">
        <v>524</v>
      </c>
      <c r="E76" s="354" t="s">
        <v>763</v>
      </c>
      <c r="F76" s="354" t="s">
        <v>1143</v>
      </c>
      <c r="G76" s="354" t="s">
        <v>531</v>
      </c>
      <c r="H76" s="354" t="s">
        <v>532</v>
      </c>
      <c r="I76" s="353" t="s">
        <v>1144</v>
      </c>
      <c r="J76" s="296" t="s">
        <v>523</v>
      </c>
      <c r="K76" s="839" t="s">
        <v>46</v>
      </c>
      <c r="L76" s="354" t="s">
        <v>446</v>
      </c>
      <c r="M76" s="354" t="s">
        <v>447</v>
      </c>
      <c r="N76" s="354" t="s">
        <v>765</v>
      </c>
      <c r="O76" s="354" t="s">
        <v>1145</v>
      </c>
      <c r="P76" s="354" t="s">
        <v>450</v>
      </c>
      <c r="Q76" s="354" t="s">
        <v>451</v>
      </c>
      <c r="R76" s="291" t="s">
        <v>1146</v>
      </c>
      <c r="S76" s="296" t="s">
        <v>526</v>
      </c>
      <c r="T76" s="509" t="s">
        <v>755</v>
      </c>
      <c r="U76" s="1041" t="s">
        <v>1537</v>
      </c>
      <c r="V76" s="1021" t="s">
        <v>1536</v>
      </c>
      <c r="W76" s="509" t="s">
        <v>756</v>
      </c>
      <c r="AB76" s="510" t="s">
        <v>1153</v>
      </c>
      <c r="AC76" s="510" t="s">
        <v>1064</v>
      </c>
      <c r="AD76" s="510" t="s">
        <v>1039</v>
      </c>
      <c r="AE76" s="510" t="s">
        <v>1215</v>
      </c>
      <c r="AF76" s="510" t="s">
        <v>1151</v>
      </c>
      <c r="AG76" s="510" t="s">
        <v>1150</v>
      </c>
      <c r="AH76" s="510" t="s">
        <v>1149</v>
      </c>
      <c r="AI76" s="510" t="s">
        <v>1154</v>
      </c>
      <c r="AJ76" s="510" t="s">
        <v>1216</v>
      </c>
    </row>
    <row r="77" spans="1:42">
      <c r="A77" s="783">
        <v>1</v>
      </c>
      <c r="B77" s="695" t="s">
        <v>414</v>
      </c>
      <c r="C77" s="512">
        <f>+SUMIF('13.mell_ÖNKfeladatok2020'!$B$5:$B$163,'14.mell_Önk kiegészítés2020'!$A77,'13.mell_ÖNKfeladatok2020'!P$5:P$163)</f>
        <v>0</v>
      </c>
      <c r="D77" s="512">
        <f>+SUMIF('13.mell_ÖNKfeladatok2020'!$B$5:$B$163,'14.mell_Önk kiegészítés2020'!$A77,'13.mell_ÖNKfeladatok2020'!T$5:T$163)</f>
        <v>0</v>
      </c>
      <c r="E77" s="512">
        <f>+SUMIF('13.mell_ÖNKfeladatok2020'!$B$5:$B$163,'14.mell_Önk kiegészítés2020'!$A77,'13.mell_ÖNKfeladatok2020'!X$5:X$163)</f>
        <v>0</v>
      </c>
      <c r="F77" s="512">
        <f>+SUMIF('13.mell_ÖNKfeladatok2020'!$B$5:$B$163,'14.mell_Önk kiegészítés2020'!$A77,'13.mell_ÖNKfeladatok2020'!AB$5:AB$163)</f>
        <v>0</v>
      </c>
      <c r="G77" s="512">
        <f>+SUMIF('13.mell_ÖNKfeladatok2020'!$B$5:$B$163,'14.mell_Önk kiegészítés2020'!$A77,'13.mell_ÖNKfeladatok2020'!AJ$5:AJ$163)</f>
        <v>0</v>
      </c>
      <c r="H77" s="512">
        <f>+SUMIF('13.mell_ÖNKfeladatok2020'!$B$5:$B$163,'14.mell_Önk kiegészítés2020'!$A77,'13.mell_ÖNKfeladatok2020'!AN$5:AN$163)</f>
        <v>0</v>
      </c>
      <c r="I77" s="512">
        <f>+SUMIF('13.mell_ÖNKfeladatok2020'!$B$5:$B$163,'14.mell_Önk kiegészítés2020'!$A77,'13.mell_ÖNKfeladatok2020'!AR$5:AR$163)</f>
        <v>0</v>
      </c>
      <c r="J77" s="696">
        <f t="shared" ref="J77:J84" si="31">SUM(C77:I77)</f>
        <v>0</v>
      </c>
      <c r="K77" s="512">
        <f>+SUMIF('13.mell_ÖNKfeladatok2020'!$B$171:$B$329,'14.mell_Önk kiegészítés2020'!$A77,'13.mell_ÖNKfeladatok2020'!P$171:P$329)</f>
        <v>37775</v>
      </c>
      <c r="L77" s="512">
        <f>+SUMIF('13.mell_ÖNKfeladatok2020'!$B$171:$B$329,'14.mell_Önk kiegészítés2020'!$A77,'13.mell_ÖNKfeladatok2020'!T$171:T$329)</f>
        <v>5699</v>
      </c>
      <c r="M77" s="512">
        <f>+SUMIF('13.mell_ÖNKfeladatok2020'!$B$171:$B$329,'14.mell_Önk kiegészítés2020'!$A77,'13.mell_ÖNKfeladatok2020'!X$171:X$329)</f>
        <v>0</v>
      </c>
      <c r="N77" s="512">
        <f>+SUMIF('13.mell_ÖNKfeladatok2020'!$B$171:$B$329,'14.mell_Önk kiegészítés2020'!$A77,'13.mell_ÖNKfeladatok2020'!AB$171:AB$329)</f>
        <v>0</v>
      </c>
      <c r="O77" s="512">
        <f>+SUMIF('13.mell_ÖNKfeladatok2020'!$B$171:$B$329,'14.mell_Önk kiegészítés2020'!$A77,'13.mell_ÖNKfeladatok2020'!AF$171:AF$329)</f>
        <v>0</v>
      </c>
      <c r="P77" s="512">
        <f>+SUMIF('13.mell_ÖNKfeladatok2020'!$B$171:$B$329,'14.mell_Önk kiegészítés2020'!$A77,'13.mell_ÖNKfeladatok2020'!AN$171:AN$329)</f>
        <v>0</v>
      </c>
      <c r="Q77" s="512">
        <f>+SUMIF('13.mell_ÖNKfeladatok2020'!$B$171:$B$329,'14.mell_Önk kiegészítés2020'!$A77,'13.mell_ÖNKfeladatok2020'!AR$171:AR$329)</f>
        <v>0</v>
      </c>
      <c r="R77" s="512">
        <f>+SUMIF('13.mell_ÖNKfeladatok2020'!$B$171:$B$329,'14.mell_Önk kiegészítés2020'!$A77,'13.mell_ÖNKfeladatok2020'!AV$171:AV$329)</f>
        <v>0</v>
      </c>
      <c r="S77" s="696">
        <f t="shared" ref="S77:S84" si="32">SUM(K77:R77)</f>
        <v>43474</v>
      </c>
      <c r="T77" s="697">
        <f t="shared" ref="T77:T84" si="33">S77-J77</f>
        <v>43474</v>
      </c>
      <c r="U77" s="512">
        <f>+ROUND(SUMIF('10.mell_támogatások2020'!$B$6:$B$137,'14.mell_Önk kiegészítés2020'!$A77,'10.mell_támogatások2020'!E$6:E$137)/1000,0)</f>
        <v>1794</v>
      </c>
      <c r="V77" s="512"/>
      <c r="W77" s="697">
        <f>+T77-U77-V77</f>
        <v>41680</v>
      </c>
    </row>
    <row r="78" spans="1:42">
      <c r="A78" s="784">
        <f>+A77+1</f>
        <v>2</v>
      </c>
      <c r="B78" s="511" t="s">
        <v>649</v>
      </c>
      <c r="C78" s="512">
        <f>+SUMIF('13.mell_ÖNKfeladatok2020'!$B$5:$B$163,'14.mell_Önk kiegészítés2020'!$A78,'13.mell_ÖNKfeladatok2020'!P$5:P$163)</f>
        <v>0</v>
      </c>
      <c r="D78" s="512">
        <f>+SUMIF('13.mell_ÖNKfeladatok2020'!$B$5:$B$163,'14.mell_Önk kiegészítés2020'!$A78,'13.mell_ÖNKfeladatok2020'!T$5:T$163)</f>
        <v>0</v>
      </c>
      <c r="E78" s="512">
        <f>+SUMIF('13.mell_ÖNKfeladatok2020'!$B$5:$B$163,'14.mell_Önk kiegészítés2020'!$A78,'13.mell_ÖNKfeladatok2020'!X$5:X$163)</f>
        <v>0</v>
      </c>
      <c r="F78" s="512">
        <f>+SUMIF('13.mell_ÖNKfeladatok2020'!$B$5:$B$163,'14.mell_Önk kiegészítés2020'!$A78,'13.mell_ÖNKfeladatok2020'!AB$5:AB$163)</f>
        <v>0</v>
      </c>
      <c r="G78" s="512">
        <f>+SUMIF('13.mell_ÖNKfeladatok2020'!$B$5:$B$163,'14.mell_Önk kiegészítés2020'!$A78,'13.mell_ÖNKfeladatok2020'!AJ$5:AJ$163)</f>
        <v>0</v>
      </c>
      <c r="H78" s="512">
        <f>+SUMIF('13.mell_ÖNKfeladatok2020'!$B$5:$B$163,'14.mell_Önk kiegészítés2020'!$A78,'13.mell_ÖNKfeladatok2020'!AN$5:AN$163)</f>
        <v>0</v>
      </c>
      <c r="I78" s="512">
        <f>+SUMIF('13.mell_ÖNKfeladatok2020'!$B$5:$B$163,'14.mell_Önk kiegészítés2020'!$A78,'13.mell_ÖNKfeladatok2020'!AR$5:AR$163)</f>
        <v>0</v>
      </c>
      <c r="J78" s="553">
        <f t="shared" si="31"/>
        <v>0</v>
      </c>
      <c r="K78" s="512">
        <f>+SUMIF('13.mell_ÖNKfeladatok2020'!$B$171:$B$329,'14.mell_Önk kiegészítés2020'!$A78,'13.mell_ÖNKfeladatok2020'!P$171:P$329)</f>
        <v>0</v>
      </c>
      <c r="L78" s="512">
        <f>+SUMIF('13.mell_ÖNKfeladatok2020'!$B$171:$B$329,'14.mell_Önk kiegészítés2020'!$A78,'13.mell_ÖNKfeladatok2020'!T$171:T$329)</f>
        <v>0</v>
      </c>
      <c r="M78" s="512">
        <f>+SUMIF('13.mell_ÖNKfeladatok2020'!$B$171:$B$329,'14.mell_Önk kiegészítés2020'!$A78,'13.mell_ÖNKfeladatok2020'!X$171:X$329)</f>
        <v>2111</v>
      </c>
      <c r="N78" s="512">
        <f>+SUMIF('13.mell_ÖNKfeladatok2020'!$B$171:$B$329,'14.mell_Önk kiegészítés2020'!$A78,'13.mell_ÖNKfeladatok2020'!AB$171:AB$329)</f>
        <v>0</v>
      </c>
      <c r="O78" s="512">
        <f>+SUMIF('13.mell_ÖNKfeladatok2020'!$B$171:$B$329,'14.mell_Önk kiegészítés2020'!$A78,'13.mell_ÖNKfeladatok2020'!AF$171:AF$329)</f>
        <v>0</v>
      </c>
      <c r="P78" s="512">
        <f>+SUMIF('13.mell_ÖNKfeladatok2020'!$B$171:$B$329,'14.mell_Önk kiegészítés2020'!$A78,'13.mell_ÖNKfeladatok2020'!AN$171:AN$329)</f>
        <v>12747</v>
      </c>
      <c r="Q78" s="512">
        <f>+SUMIF('13.mell_ÖNKfeladatok2020'!$B$171:$B$329,'14.mell_Önk kiegészítés2020'!$A78,'13.mell_ÖNKfeladatok2020'!AR$171:AR$329)</f>
        <v>0</v>
      </c>
      <c r="R78" s="512">
        <f>+SUMIF('13.mell_ÖNKfeladatok2020'!$B$171:$B$329,'14.mell_Önk kiegészítés2020'!$A78,'13.mell_ÖNKfeladatok2020'!AV$171:AV$329)</f>
        <v>0</v>
      </c>
      <c r="S78" s="553">
        <f t="shared" si="32"/>
        <v>14858</v>
      </c>
      <c r="T78" s="513">
        <f t="shared" si="33"/>
        <v>14858</v>
      </c>
      <c r="U78" s="1042">
        <f>+ROUND(SUMIF('10.mell_támogatások2020'!$B$6:$B$137,'14.mell_Önk kiegészítés2020'!$A78,'10.mell_támogatások2020'!E$6:E$137)/1000,0)</f>
        <v>3460</v>
      </c>
      <c r="V78" s="1022"/>
      <c r="W78" s="513">
        <f t="shared" ref="W78:W84" si="34">+T78-U78-V78</f>
        <v>11398</v>
      </c>
    </row>
    <row r="79" spans="1:42">
      <c r="A79" s="784">
        <f>+A78+1</f>
        <v>3</v>
      </c>
      <c r="B79" s="514" t="s">
        <v>644</v>
      </c>
      <c r="C79" s="515">
        <f>+SUMIF('13.mell_ÖNKfeladatok2020'!$B$5:$B$163,'14.mell_Önk kiegészítés2020'!$A79,'13.mell_ÖNKfeladatok2020'!P$5:P$163)</f>
        <v>0</v>
      </c>
      <c r="D79" s="515">
        <f>+SUMIF('13.mell_ÖNKfeladatok2020'!$B$5:$B$163,'14.mell_Önk kiegészítés2020'!$A79,'13.mell_ÖNKfeladatok2020'!T$5:T$163)</f>
        <v>0</v>
      </c>
      <c r="E79" s="515">
        <f>+SUMIF('13.mell_ÖNKfeladatok2020'!$B$5:$B$163,'14.mell_Önk kiegészítés2020'!$A79,'13.mell_ÖNKfeladatok2020'!X$5:X$163)</f>
        <v>0</v>
      </c>
      <c r="F79" s="515">
        <f>+SUMIF('13.mell_ÖNKfeladatok2020'!$B$5:$B$163,'14.mell_Önk kiegészítés2020'!$A79,'13.mell_ÖNKfeladatok2020'!AB$5:AB$163)</f>
        <v>0</v>
      </c>
      <c r="G79" s="512">
        <f>+SUMIF('13.mell_ÖNKfeladatok2020'!$B$5:$B$163,'14.mell_Önk kiegészítés2020'!$A79,'13.mell_ÖNKfeladatok2020'!AJ$5:AJ$163)</f>
        <v>0</v>
      </c>
      <c r="H79" s="515">
        <f>+SUMIF('13.mell_ÖNKfeladatok2020'!$B$5:$B$163,'14.mell_Önk kiegészítés2020'!$A79,'13.mell_ÖNKfeladatok2020'!AN$5:AN$163)</f>
        <v>0</v>
      </c>
      <c r="I79" s="515">
        <f>+SUMIF('13.mell_ÖNKfeladatok2020'!$B$5:$B$163,'14.mell_Önk kiegészítés2020'!$A79,'13.mell_ÖNKfeladatok2020'!AR$5:AR$163)</f>
        <v>0</v>
      </c>
      <c r="J79" s="554">
        <f t="shared" si="31"/>
        <v>0</v>
      </c>
      <c r="K79" s="515">
        <f>+SUMIF('13.mell_ÖNKfeladatok2020'!$B$171:$B$329,'14.mell_Önk kiegészítés2020'!$A79,'13.mell_ÖNKfeladatok2020'!P$171:P$329)</f>
        <v>0</v>
      </c>
      <c r="L79" s="515">
        <f>+SUMIF('13.mell_ÖNKfeladatok2020'!$B$171:$B$329,'14.mell_Önk kiegészítés2020'!$A79,'13.mell_ÖNKfeladatok2020'!T$171:T$329)</f>
        <v>0</v>
      </c>
      <c r="M79" s="515">
        <f>+SUMIF('13.mell_ÖNKfeladatok2020'!$B$171:$B$329,'14.mell_Önk kiegészítés2020'!$A79,'13.mell_ÖNKfeladatok2020'!X$171:X$329)</f>
        <v>27445</v>
      </c>
      <c r="N79" s="515">
        <f>+SUMIF('13.mell_ÖNKfeladatok2020'!$B$171:$B$329,'14.mell_Önk kiegészítés2020'!$A79,'13.mell_ÖNKfeladatok2020'!AB$171:AB$329)</f>
        <v>0</v>
      </c>
      <c r="O79" s="515">
        <f>+SUMIF('13.mell_ÖNKfeladatok2020'!$B$171:$B$329,'14.mell_Önk kiegészítés2020'!$A79,'13.mell_ÖNKfeladatok2020'!AF$171:AF$329)</f>
        <v>0</v>
      </c>
      <c r="P79" s="515">
        <f>+SUMIF('13.mell_ÖNKfeladatok2020'!$B$171:$B$329,'14.mell_Önk kiegészítés2020'!$A79,'13.mell_ÖNKfeladatok2020'!AN$171:AN$329)</f>
        <v>0</v>
      </c>
      <c r="Q79" s="515">
        <f>+SUMIF('13.mell_ÖNKfeladatok2020'!$B$171:$B$329,'14.mell_Önk kiegészítés2020'!$A79,'13.mell_ÖNKfeladatok2020'!AR$171:AR$329)</f>
        <v>0</v>
      </c>
      <c r="R79" s="515">
        <f>+SUMIF('13.mell_ÖNKfeladatok2020'!$B$171:$B$329,'14.mell_Önk kiegészítés2020'!$A79,'13.mell_ÖNKfeladatok2020'!AV$171:AV$329)</f>
        <v>0</v>
      </c>
      <c r="S79" s="554">
        <f t="shared" si="32"/>
        <v>27445</v>
      </c>
      <c r="T79" s="516">
        <f t="shared" si="33"/>
        <v>27445</v>
      </c>
      <c r="U79" s="1042">
        <f>+ROUND(SUMIF('10.mell_támogatások2020'!$B$6:$B$137,'14.mell_Önk kiegészítés2020'!$A79,'10.mell_támogatások2020'!E$6:E$137)/1000,0)</f>
        <v>26600</v>
      </c>
      <c r="V79" s="1022"/>
      <c r="W79" s="516">
        <f t="shared" si="34"/>
        <v>845</v>
      </c>
    </row>
    <row r="80" spans="1:42">
      <c r="A80" s="784">
        <f>+A79+1</f>
        <v>4</v>
      </c>
      <c r="B80" s="514" t="s">
        <v>646</v>
      </c>
      <c r="C80" s="515">
        <f>+SUMIF('13.mell_ÖNKfeladatok2020'!$B$5:$B$163,'14.mell_Önk kiegészítés2020'!$A80,'13.mell_ÖNKfeladatok2020'!P$5:P$163)</f>
        <v>0</v>
      </c>
      <c r="D80" s="515">
        <f>+SUMIF('13.mell_ÖNKfeladatok2020'!$B$5:$B$163,'14.mell_Önk kiegészítés2020'!$A80,'13.mell_ÖNKfeladatok2020'!T$5:T$163)</f>
        <v>0</v>
      </c>
      <c r="E80" s="515">
        <f>+SUMIF('13.mell_ÖNKfeladatok2020'!$B$5:$B$163,'14.mell_Önk kiegészítés2020'!$A80,'13.mell_ÖNKfeladatok2020'!X$5:X$163)</f>
        <v>0</v>
      </c>
      <c r="F80" s="515">
        <f>+SUMIF('13.mell_ÖNKfeladatok2020'!$B$5:$B$163,'14.mell_Önk kiegészítés2020'!$A80,'13.mell_ÖNKfeladatok2020'!AB$5:AB$163)</f>
        <v>0</v>
      </c>
      <c r="G80" s="512">
        <f>+SUMIF('13.mell_ÖNKfeladatok2020'!$B$5:$B$163,'14.mell_Önk kiegészítés2020'!$A80,'13.mell_ÖNKfeladatok2020'!AJ$5:AJ$163)</f>
        <v>0</v>
      </c>
      <c r="H80" s="515">
        <f>+SUMIF('13.mell_ÖNKfeladatok2020'!$B$5:$B$163,'14.mell_Önk kiegészítés2020'!$A80,'13.mell_ÖNKfeladatok2020'!AN$5:AN$163)</f>
        <v>0</v>
      </c>
      <c r="I80" s="515">
        <f>+SUMIF('13.mell_ÖNKfeladatok2020'!$B$5:$B$163,'14.mell_Önk kiegészítés2020'!$A80,'13.mell_ÖNKfeladatok2020'!AR$5:AR$163)</f>
        <v>0</v>
      </c>
      <c r="J80" s="554">
        <f t="shared" si="31"/>
        <v>0</v>
      </c>
      <c r="K80" s="515">
        <f>+SUMIF('13.mell_ÖNKfeladatok2020'!$B$171:$B$329,'14.mell_Önk kiegészítés2020'!$A80,'13.mell_ÖNKfeladatok2020'!P$171:P$329)</f>
        <v>0</v>
      </c>
      <c r="L80" s="515">
        <f>+SUMIF('13.mell_ÖNKfeladatok2020'!$B$171:$B$329,'14.mell_Önk kiegészítés2020'!$A80,'13.mell_ÖNKfeladatok2020'!T$171:T$329)</f>
        <v>0</v>
      </c>
      <c r="M80" s="515">
        <f>+SUMIF('13.mell_ÖNKfeladatok2020'!$B$171:$B$329,'14.mell_Önk kiegészítés2020'!$A80,'13.mell_ÖNKfeladatok2020'!X$171:X$329)</f>
        <v>11898</v>
      </c>
      <c r="N80" s="515">
        <f>+SUMIF('13.mell_ÖNKfeladatok2020'!$B$171:$B$329,'14.mell_Önk kiegészítés2020'!$A80,'13.mell_ÖNKfeladatok2020'!AB$171:AB$329)</f>
        <v>0</v>
      </c>
      <c r="O80" s="515">
        <f>+SUMIF('13.mell_ÖNKfeladatok2020'!$B$171:$B$329,'14.mell_Önk kiegészítés2020'!$A80,'13.mell_ÖNKfeladatok2020'!AF$171:AF$329)</f>
        <v>0</v>
      </c>
      <c r="P80" s="515">
        <f>+SUMIF('13.mell_ÖNKfeladatok2020'!$B$171:$B$329,'14.mell_Önk kiegészítés2020'!$A80,'13.mell_ÖNKfeladatok2020'!AN$171:AN$329)</f>
        <v>0</v>
      </c>
      <c r="Q80" s="515">
        <f>+SUMIF('13.mell_ÖNKfeladatok2020'!$B$171:$B$329,'14.mell_Önk kiegészítés2020'!$A80,'13.mell_ÖNKfeladatok2020'!AR$171:AR$329)</f>
        <v>0</v>
      </c>
      <c r="R80" s="515">
        <f>+SUMIF('13.mell_ÖNKfeladatok2020'!$B$171:$B$329,'14.mell_Önk kiegészítés2020'!$A80,'13.mell_ÖNKfeladatok2020'!AV$171:AV$329)</f>
        <v>0</v>
      </c>
      <c r="S80" s="554">
        <f t="shared" si="32"/>
        <v>11898</v>
      </c>
      <c r="T80" s="516">
        <f t="shared" si="33"/>
        <v>11898</v>
      </c>
      <c r="U80" s="1042">
        <f>+ROUND(SUMIF('10.mell_támogatások2020'!$B$6:$B$137,'14.mell_Önk kiegészítés2020'!$A80,'10.mell_támogatások2020'!E$6:E$137)/1000,0)</f>
        <v>15266</v>
      </c>
      <c r="V80" s="1022">
        <v>13930</v>
      </c>
      <c r="W80" s="516">
        <f t="shared" si="34"/>
        <v>-17298</v>
      </c>
      <c r="AI80" s="261">
        <v>13930</v>
      </c>
    </row>
    <row r="81" spans="1:42">
      <c r="A81" s="784">
        <f>+A80+1</f>
        <v>5</v>
      </c>
      <c r="B81" s="514" t="s">
        <v>643</v>
      </c>
      <c r="C81" s="515">
        <f>+SUMIF('13.mell_ÖNKfeladatok2020'!$B$5:$B$163,'14.mell_Önk kiegészítés2020'!$A81,'13.mell_ÖNKfeladatok2020'!P$5:P$163)</f>
        <v>0</v>
      </c>
      <c r="D81" s="515">
        <f>+SUMIF('13.mell_ÖNKfeladatok2020'!$B$5:$B$163,'14.mell_Önk kiegészítés2020'!$A81,'13.mell_ÖNKfeladatok2020'!T$5:T$163)</f>
        <v>0</v>
      </c>
      <c r="E81" s="515">
        <f>+SUMIF('13.mell_ÖNKfeladatok2020'!$B$5:$B$163,'14.mell_Önk kiegészítés2020'!$A81,'13.mell_ÖNKfeladatok2020'!X$5:X$163)</f>
        <v>0</v>
      </c>
      <c r="F81" s="515">
        <f>+SUMIF('13.mell_ÖNKfeladatok2020'!$B$5:$B$163,'14.mell_Önk kiegészítés2020'!$A81,'13.mell_ÖNKfeladatok2020'!AB$5:AB$163)</f>
        <v>0</v>
      </c>
      <c r="G81" s="512">
        <f>+SUMIF('13.mell_ÖNKfeladatok2020'!$B$5:$B$163,'14.mell_Önk kiegészítés2020'!$A81,'13.mell_ÖNKfeladatok2020'!AJ$5:AJ$163)</f>
        <v>0</v>
      </c>
      <c r="H81" s="515">
        <f>+SUMIF('13.mell_ÖNKfeladatok2020'!$B$5:$B$163,'14.mell_Önk kiegészítés2020'!$A81,'13.mell_ÖNKfeladatok2020'!AN$5:AN$163)</f>
        <v>0</v>
      </c>
      <c r="I81" s="515">
        <f>+SUMIF('13.mell_ÖNKfeladatok2020'!$B$5:$B$163,'14.mell_Önk kiegészítés2020'!$A81,'13.mell_ÖNKfeladatok2020'!AR$5:AR$163)</f>
        <v>0</v>
      </c>
      <c r="J81" s="554">
        <f t="shared" si="31"/>
        <v>0</v>
      </c>
      <c r="K81" s="515">
        <f>+SUMIF('13.mell_ÖNKfeladatok2020'!$B$171:$B$329,'14.mell_Önk kiegészítés2020'!$A81,'13.mell_ÖNKfeladatok2020'!P$171:P$329)</f>
        <v>0</v>
      </c>
      <c r="L81" s="515">
        <f>+SUMIF('13.mell_ÖNKfeladatok2020'!$B$171:$B$329,'14.mell_Önk kiegészítés2020'!$A81,'13.mell_ÖNKfeladatok2020'!T$171:T$329)</f>
        <v>0</v>
      </c>
      <c r="M81" s="515">
        <f>+SUMIF('13.mell_ÖNKfeladatok2020'!$B$171:$B$329,'14.mell_Önk kiegészítés2020'!$A81,'13.mell_ÖNKfeladatok2020'!X$171:X$329)</f>
        <v>15864</v>
      </c>
      <c r="N81" s="515">
        <f>+SUMIF('13.mell_ÖNKfeladatok2020'!$B$171:$B$329,'14.mell_Önk kiegészítés2020'!$A81,'13.mell_ÖNKfeladatok2020'!AB$171:AB$329)</f>
        <v>0</v>
      </c>
      <c r="O81" s="515">
        <f>+SUMIF('13.mell_ÖNKfeladatok2020'!$B$171:$B$329,'14.mell_Önk kiegészítés2020'!$A81,'13.mell_ÖNKfeladatok2020'!AF$171:AF$329)</f>
        <v>0</v>
      </c>
      <c r="P81" s="515">
        <f>+SUMIF('13.mell_ÖNKfeladatok2020'!$B$171:$B$329,'14.mell_Önk kiegészítés2020'!$A81,'13.mell_ÖNKfeladatok2020'!AN$171:AN$329)</f>
        <v>0</v>
      </c>
      <c r="Q81" s="515">
        <f>+SUMIF('13.mell_ÖNKfeladatok2020'!$B$171:$B$329,'14.mell_Önk kiegészítés2020'!$A81,'13.mell_ÖNKfeladatok2020'!AR$171:AR$329)</f>
        <v>64282</v>
      </c>
      <c r="R81" s="515">
        <f>+SUMIF('13.mell_ÖNKfeladatok2020'!$B$171:$B$329,'14.mell_Önk kiegészítés2020'!$A81,'13.mell_ÖNKfeladatok2020'!AV$171:AV$329)</f>
        <v>0</v>
      </c>
      <c r="S81" s="554">
        <f t="shared" si="32"/>
        <v>80146</v>
      </c>
      <c r="T81" s="516">
        <f t="shared" si="33"/>
        <v>80146</v>
      </c>
      <c r="U81" s="1042">
        <f>+ROUND(SUMIF('10.mell_támogatások2020'!$B$6:$B$137,'14.mell_Önk kiegészítés2020'!$A81,'10.mell_támogatások2020'!E$6:E$137)/1000,0)</f>
        <v>14918</v>
      </c>
      <c r="V81" s="1022"/>
      <c r="W81" s="516">
        <f t="shared" si="34"/>
        <v>65228</v>
      </c>
    </row>
    <row r="82" spans="1:42">
      <c r="A82" s="784">
        <f>+A81+1</f>
        <v>6</v>
      </c>
      <c r="B82" s="514" t="s">
        <v>1481</v>
      </c>
      <c r="C82" s="515">
        <f>+SUMIF('13.mell_ÖNKfeladatok2020'!$B$5:$B$163,'14.mell_Önk kiegészítés2020'!$A82,'13.mell_ÖNKfeladatok2020'!P$5:P$163)</f>
        <v>0</v>
      </c>
      <c r="D82" s="515">
        <f>+SUMIF('13.mell_ÖNKfeladatok2020'!$B$5:$B$163,'14.mell_Önk kiegészítés2020'!$A82,'13.mell_ÖNKfeladatok2020'!T$5:T$163)</f>
        <v>0</v>
      </c>
      <c r="E82" s="515">
        <f>+SUMIF('13.mell_ÖNKfeladatok2020'!$B$5:$B$163,'14.mell_Önk kiegészítés2020'!$A82,'13.mell_ÖNKfeladatok2020'!X$5:X$163)</f>
        <v>12</v>
      </c>
      <c r="F82" s="515">
        <f>+SUMIF('13.mell_ÖNKfeladatok2020'!$B$5:$B$163,'14.mell_Önk kiegészítés2020'!$A82,'13.mell_ÖNKfeladatok2020'!AB$5:AB$163)</f>
        <v>0</v>
      </c>
      <c r="G82" s="512">
        <f>+SUMIF('13.mell_ÖNKfeladatok2020'!$B$5:$B$163,'14.mell_Önk kiegészítés2020'!$A82,'13.mell_ÖNKfeladatok2020'!AJ$5:AJ$163)</f>
        <v>0</v>
      </c>
      <c r="H82" s="515">
        <f>+SUMIF('13.mell_ÖNKfeladatok2020'!$B$5:$B$163,'14.mell_Önk kiegészítés2020'!$A82,'13.mell_ÖNKfeladatok2020'!AN$5:AN$163)</f>
        <v>0</v>
      </c>
      <c r="I82" s="515">
        <f>+SUMIF('13.mell_ÖNKfeladatok2020'!$B$5:$B$163,'14.mell_Önk kiegészítés2020'!$A82,'13.mell_ÖNKfeladatok2020'!AR$5:AR$163)</f>
        <v>0</v>
      </c>
      <c r="J82" s="554">
        <f t="shared" si="31"/>
        <v>12</v>
      </c>
      <c r="K82" s="515">
        <f>+SUMIF('13.mell_ÖNKfeladatok2020'!$B$171:$B$329,'14.mell_Önk kiegészítés2020'!$A82,'13.mell_ÖNKfeladatok2020'!P$171:P$329)</f>
        <v>0</v>
      </c>
      <c r="L82" s="515">
        <f>+SUMIF('13.mell_ÖNKfeladatok2020'!$B$171:$B$329,'14.mell_Önk kiegészítés2020'!$A82,'13.mell_ÖNKfeladatok2020'!T$171:T$329)</f>
        <v>0</v>
      </c>
      <c r="M82" s="515">
        <f>+SUMIF('13.mell_ÖNKfeladatok2020'!$B$171:$B$329,'14.mell_Önk kiegészítés2020'!$A82,'13.mell_ÖNKfeladatok2020'!X$171:X$329)</f>
        <v>21416</v>
      </c>
      <c r="N82" s="515">
        <f>+SUMIF('13.mell_ÖNKfeladatok2020'!$B$171:$B$329,'14.mell_Önk kiegészítés2020'!$A82,'13.mell_ÖNKfeladatok2020'!AB$171:AB$329)</f>
        <v>48429</v>
      </c>
      <c r="O82" s="515">
        <f>+SUMIF('13.mell_ÖNKfeladatok2020'!$B$171:$B$329,'14.mell_Önk kiegészítés2020'!$A82,'13.mell_ÖNKfeladatok2020'!AF$171:AF$329)</f>
        <v>0</v>
      </c>
      <c r="P82" s="515">
        <f>+SUMIF('13.mell_ÖNKfeladatok2020'!$B$171:$B$329,'14.mell_Önk kiegészítés2020'!$A82,'13.mell_ÖNKfeladatok2020'!AN$171:AN$329)</f>
        <v>8814</v>
      </c>
      <c r="Q82" s="515">
        <f>+SUMIF('13.mell_ÖNKfeladatok2020'!$B$171:$B$329,'14.mell_Önk kiegészítés2020'!$A82,'13.mell_ÖNKfeladatok2020'!AR$171:AR$329)</f>
        <v>0</v>
      </c>
      <c r="R82" s="515">
        <f>+SUMIF('13.mell_ÖNKfeladatok2020'!$B$171:$B$329,'14.mell_Önk kiegészítés2020'!$A82,'13.mell_ÖNKfeladatok2020'!AV$171:AV$329)</f>
        <v>0</v>
      </c>
      <c r="S82" s="554">
        <f t="shared" si="32"/>
        <v>78659</v>
      </c>
      <c r="T82" s="516">
        <f t="shared" si="33"/>
        <v>78647</v>
      </c>
      <c r="U82" s="1042">
        <f>+ROUND(SUMIF('10.mell_támogatások2020'!$B$6:$B$137,'14.mell_Önk kiegészítés2020'!$A82,'10.mell_támogatások2020'!E$6:E$137)/1000,0)</f>
        <v>122616</v>
      </c>
      <c r="V82" s="1022"/>
      <c r="W82" s="516">
        <f t="shared" si="34"/>
        <v>-43969</v>
      </c>
      <c r="Y82" s="837">
        <f>+W82+W86+W106+W107+W133-W106+(13319-3355)-39+8300</f>
        <v>-4176</v>
      </c>
      <c r="Z82" s="261" t="s">
        <v>1306</v>
      </c>
    </row>
    <row r="83" spans="1:42">
      <c r="A83" s="784">
        <f>A82+1</f>
        <v>7</v>
      </c>
      <c r="B83" s="514" t="s">
        <v>774</v>
      </c>
      <c r="C83" s="515">
        <f>+SUMIF('13.mell_ÖNKfeladatok2020'!$B$5:$B$163,'14.mell_Önk kiegészítés2020'!$A83,'13.mell_ÖNKfeladatok2020'!P$5:P$163)</f>
        <v>208342</v>
      </c>
      <c r="D83" s="515">
        <f>+SUMIF('13.mell_ÖNKfeladatok2020'!$B$5:$B$163,'14.mell_Önk kiegészítés2020'!$A83,'13.mell_ÖNKfeladatok2020'!T$5:T$163)</f>
        <v>0</v>
      </c>
      <c r="E83" s="515">
        <f>+SUMIF('13.mell_ÖNKfeladatok2020'!$B$5:$B$163,'14.mell_Önk kiegészítés2020'!$A83,'13.mell_ÖNKfeladatok2020'!X$5:X$163)</f>
        <v>12873</v>
      </c>
      <c r="F83" s="515">
        <f>+SUMIF('13.mell_ÖNKfeladatok2020'!$B$5:$B$163,'14.mell_Önk kiegészítés2020'!$A83,'13.mell_ÖNKfeladatok2020'!AB$5:AB$163)</f>
        <v>0</v>
      </c>
      <c r="G83" s="512">
        <f>+SUMIF('13.mell_ÖNKfeladatok2020'!$B$5:$B$163,'14.mell_Önk kiegészítés2020'!$A83,'13.mell_ÖNKfeladatok2020'!AJ$5:AJ$163)</f>
        <v>169688</v>
      </c>
      <c r="H83" s="515">
        <f>+SUMIF('13.mell_ÖNKfeladatok2020'!$B$5:$B$163,'14.mell_Önk kiegészítés2020'!$A83,'13.mell_ÖNKfeladatok2020'!AN$5:AN$163)</f>
        <v>0</v>
      </c>
      <c r="I83" s="515">
        <f>+SUMIF('13.mell_ÖNKfeladatok2020'!$B$5:$B$163,'14.mell_Önk kiegészítés2020'!$A83,'13.mell_ÖNKfeladatok2020'!AR$5:AR$163)</f>
        <v>0</v>
      </c>
      <c r="J83" s="554">
        <f t="shared" si="31"/>
        <v>390903</v>
      </c>
      <c r="K83" s="515">
        <f>+SUMIF('13.mell_ÖNKfeladatok2020'!$B$171:$B$329,'14.mell_Önk kiegészítés2020'!$A83,'13.mell_ÖNKfeladatok2020'!P$171:P$329)</f>
        <v>109888</v>
      </c>
      <c r="L83" s="515">
        <f>+SUMIF('13.mell_ÖNKfeladatok2020'!$B$171:$B$329,'14.mell_Önk kiegészítés2020'!$A83,'13.mell_ÖNKfeladatok2020'!T$171:T$329)</f>
        <v>16031</v>
      </c>
      <c r="M83" s="515">
        <f>+SUMIF('13.mell_ÖNKfeladatok2020'!$B$171:$B$329,'14.mell_Önk kiegészítés2020'!$A83,'13.mell_ÖNKfeladatok2020'!X$171:X$329)</f>
        <v>160608</v>
      </c>
      <c r="N83" s="515">
        <f>+SUMIF('13.mell_ÖNKfeladatok2020'!$B$171:$B$329,'14.mell_Önk kiegészítés2020'!$A83,'13.mell_ÖNKfeladatok2020'!AB$171:AB$329)</f>
        <v>0</v>
      </c>
      <c r="O83" s="515">
        <f>+SUMIF('13.mell_ÖNKfeladatok2020'!$B$171:$B$329,'14.mell_Önk kiegészítés2020'!$A83,'13.mell_ÖNKfeladatok2020'!AF$171:AF$329)</f>
        <v>10234</v>
      </c>
      <c r="P83" s="515">
        <f>+SUMIF('13.mell_ÖNKfeladatok2020'!$B$171:$B$329,'14.mell_Önk kiegészítés2020'!$A83,'13.mell_ÖNKfeladatok2020'!AN$171:AN$329)</f>
        <v>534193</v>
      </c>
      <c r="Q83" s="515">
        <f>+SUMIF('13.mell_ÖNKfeladatok2020'!$B$171:$B$329,'14.mell_Önk kiegészítés2020'!$A83,'13.mell_ÖNKfeladatok2020'!AR$171:AR$329)</f>
        <v>430164</v>
      </c>
      <c r="R83" s="515">
        <f>+SUMIF('13.mell_ÖNKfeladatok2020'!$B$171:$B$329,'14.mell_Önk kiegészítés2020'!$A83,'13.mell_ÖNKfeladatok2020'!AV$171:AV$329)</f>
        <v>0</v>
      </c>
      <c r="S83" s="554">
        <f t="shared" si="32"/>
        <v>1261118</v>
      </c>
      <c r="T83" s="516">
        <f t="shared" si="33"/>
        <v>870215</v>
      </c>
      <c r="U83" s="1043">
        <f>+ROUND(SUMIF('10.mell_támogatások2020'!$B$6:$B$137,'14.mell_Önk kiegészítés2020'!$A83,'10.mell_támogatások2020'!E$6:E$137)/1000,0)</f>
        <v>0</v>
      </c>
      <c r="V83" s="1023"/>
      <c r="W83" s="516">
        <f t="shared" si="34"/>
        <v>870215</v>
      </c>
    </row>
    <row r="84" spans="1:42" ht="12.75" thickBot="1">
      <c r="A84" s="784">
        <f>+A83+1</f>
        <v>8</v>
      </c>
      <c r="B84" s="517" t="s">
        <v>757</v>
      </c>
      <c r="C84" s="515">
        <f>+SUMIF('13.mell_ÖNKfeladatok2020'!$B$5:$B$163,'14.mell_Önk kiegészítés2020'!$A84,'13.mell_ÖNKfeladatok2020'!P$5:P$163)</f>
        <v>1097579</v>
      </c>
      <c r="D84" s="518">
        <f>+SUMIF('13.mell_ÖNKfeladatok2020'!$B$5:$B$163,'14.mell_Önk kiegészítés2020'!$A84,'13.mell_ÖNKfeladatok2020'!T$5:T$163)</f>
        <v>538381</v>
      </c>
      <c r="E84" s="518">
        <f>+SUMIF('13.mell_ÖNKfeladatok2020'!$B$5:$B$163,'14.mell_Önk kiegészítés2020'!$A84,'13.mell_ÖNKfeladatok2020'!X$5:X$163)</f>
        <v>95426</v>
      </c>
      <c r="F84" s="518">
        <f>+SUMIF('13.mell_ÖNKfeladatok2020'!$B$5:$B$163,'14.mell_Önk kiegészítés2020'!$A84,'13.mell_ÖNKfeladatok2020'!AB$5:AB$163)</f>
        <v>19940</v>
      </c>
      <c r="G84" s="512">
        <f>+SUMIF('13.mell_ÖNKfeladatok2020'!$B$5:$B$163,'14.mell_Önk kiegészítés2020'!$A84,'13.mell_ÖNKfeladatok2020'!AJ$5:AJ$163)</f>
        <v>49363</v>
      </c>
      <c r="H84" s="518">
        <f>+SUMIF('13.mell_ÖNKfeladatok2020'!$B$5:$B$163,'14.mell_Önk kiegészítés2020'!$A84,'13.mell_ÖNKfeladatok2020'!AN$5:AN$163)</f>
        <v>42427</v>
      </c>
      <c r="I84" s="518">
        <f>+SUMIF('13.mell_ÖNKfeladatok2020'!$B$5:$B$163,'14.mell_Önk kiegészítés2020'!$A84,'13.mell_ÖNKfeladatok2020'!AR$5:AR$163)</f>
        <v>0</v>
      </c>
      <c r="J84" s="554">
        <f t="shared" si="31"/>
        <v>1843116</v>
      </c>
      <c r="K84" s="515">
        <f>+SUMIF('13.mell_ÖNKfeladatok2020'!$B$171:$B$329,'14.mell_Önk kiegészítés2020'!$A84,'13.mell_ÖNKfeladatok2020'!P$171:P$329)</f>
        <v>121139</v>
      </c>
      <c r="L84" s="515">
        <f>+SUMIF('13.mell_ÖNKfeladatok2020'!$B$171:$B$329,'14.mell_Önk kiegészítés2020'!$A84,'13.mell_ÖNKfeladatok2020'!T$171:T$329)</f>
        <v>12517</v>
      </c>
      <c r="M84" s="515">
        <f>+SUMIF('13.mell_ÖNKfeladatok2020'!$B$171:$B$329,'14.mell_Önk kiegészítés2020'!$A84,'13.mell_ÖNKfeladatok2020'!X$171:X$329)</f>
        <v>277245</v>
      </c>
      <c r="N84" s="515">
        <f>+SUMIF('13.mell_ÖNKfeladatok2020'!$B$171:$B$329,'14.mell_Önk kiegészítés2020'!$A84,'13.mell_ÖNKfeladatok2020'!AB$171:AB$329)</f>
        <v>0</v>
      </c>
      <c r="O84" s="515">
        <f>+SUMIF('13.mell_ÖNKfeladatok2020'!$B$171:$B$329,'14.mell_Önk kiegészítés2020'!$A84,'13.mell_ÖNKfeladatok2020'!AF$171:AF$329)</f>
        <v>2412310</v>
      </c>
      <c r="P84" s="515">
        <f>+SUMIF('13.mell_ÖNKfeladatok2020'!$B$171:$B$329,'14.mell_Önk kiegészítés2020'!$A84,'13.mell_ÖNKfeladatok2020'!AN$171:AN$329)</f>
        <v>163424</v>
      </c>
      <c r="Q84" s="515">
        <f>+SUMIF('13.mell_ÖNKfeladatok2020'!$B$171:$B$329,'14.mell_Önk kiegészítés2020'!$A84,'13.mell_ÖNKfeladatok2020'!AR$171:AR$329)</f>
        <v>45265</v>
      </c>
      <c r="R84" s="515">
        <f>+SUMIF('13.mell_ÖNKfeladatok2020'!$B$171:$B$329,'14.mell_Önk kiegészítés2020'!$A84,'13.mell_ÖNKfeladatok2020'!AV$171:AV$329)</f>
        <v>0</v>
      </c>
      <c r="S84" s="554">
        <f t="shared" si="32"/>
        <v>3031900</v>
      </c>
      <c r="T84" s="516">
        <f t="shared" si="33"/>
        <v>1188784</v>
      </c>
      <c r="U84" s="1043">
        <f>-ROUND('10.mell_támogatások2020'!E$137/1000,0)+ROUND(SUMIF('10.mell_támogatások2020'!$B$6:$B$137,'14.mell_Önk kiegészítés2020'!$A84,'10.mell_támogatások2020'!E$6:E$137)/1000,0)</f>
        <v>-859009</v>
      </c>
      <c r="V84" s="1023">
        <f>2845803-33049-10024-409+61637</f>
        <v>2863958</v>
      </c>
      <c r="W84" s="516">
        <f t="shared" si="34"/>
        <v>-816165</v>
      </c>
      <c r="AC84" s="261">
        <v>2845803</v>
      </c>
      <c r="AE84" s="261">
        <f>-26419-6630</f>
        <v>-33049</v>
      </c>
      <c r="AF84" s="261">
        <v>-10024</v>
      </c>
      <c r="AG84" s="261">
        <v>-409</v>
      </c>
      <c r="AI84" s="261">
        <f>11933+6559+43145</f>
        <v>61637</v>
      </c>
    </row>
    <row r="85" spans="1:42" s="507" customFormat="1" ht="12.75" thickBot="1">
      <c r="A85" s="519" t="s">
        <v>587</v>
      </c>
      <c r="B85" s="520" t="s">
        <v>410</v>
      </c>
      <c r="C85" s="521">
        <f>SUM(C77:C84)</f>
        <v>1305921</v>
      </c>
      <c r="D85" s="522">
        <f t="shared" ref="D85:W85" si="35">SUM(D77:D84)</f>
        <v>538381</v>
      </c>
      <c r="E85" s="522">
        <f t="shared" si="35"/>
        <v>108311</v>
      </c>
      <c r="F85" s="522">
        <f t="shared" si="35"/>
        <v>19940</v>
      </c>
      <c r="G85" s="522">
        <f t="shared" si="35"/>
        <v>219051</v>
      </c>
      <c r="H85" s="522">
        <f t="shared" si="35"/>
        <v>42427</v>
      </c>
      <c r="I85" s="523">
        <f t="shared" si="35"/>
        <v>0</v>
      </c>
      <c r="J85" s="524">
        <f t="shared" si="35"/>
        <v>2234031</v>
      </c>
      <c r="K85" s="521">
        <f t="shared" si="35"/>
        <v>268802</v>
      </c>
      <c r="L85" s="521">
        <f t="shared" si="35"/>
        <v>34247</v>
      </c>
      <c r="M85" s="521">
        <f t="shared" si="35"/>
        <v>516587</v>
      </c>
      <c r="N85" s="521">
        <f t="shared" si="35"/>
        <v>48429</v>
      </c>
      <c r="O85" s="521">
        <f t="shared" si="35"/>
        <v>2422544</v>
      </c>
      <c r="P85" s="521">
        <f t="shared" si="35"/>
        <v>719178</v>
      </c>
      <c r="Q85" s="521">
        <f t="shared" si="35"/>
        <v>539711</v>
      </c>
      <c r="R85" s="521">
        <f t="shared" si="35"/>
        <v>0</v>
      </c>
      <c r="S85" s="524">
        <f t="shared" si="35"/>
        <v>4549498</v>
      </c>
      <c r="T85" s="524">
        <f t="shared" si="35"/>
        <v>2315467</v>
      </c>
      <c r="U85" s="1044">
        <f t="shared" si="35"/>
        <v>-674355</v>
      </c>
      <c r="V85" s="525">
        <f t="shared" si="35"/>
        <v>2877888</v>
      </c>
      <c r="W85" s="524">
        <f t="shared" si="35"/>
        <v>111934</v>
      </c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</row>
    <row r="86" spans="1:42" ht="12.75">
      <c r="A86" s="784">
        <f>+A84+1</f>
        <v>9</v>
      </c>
      <c r="B86" s="517" t="s">
        <v>772</v>
      </c>
      <c r="C86" s="518">
        <f>+SUMIF('13.mell_ÖNKfeladatok2020'!$B$5:$B$163,'14.mell_Önk kiegészítés2020'!$A86,'13.mell_ÖNKfeladatok2020'!P$5:P$163)</f>
        <v>125</v>
      </c>
      <c r="D86" s="518">
        <f>+SUMIF('13.mell_ÖNKfeladatok2020'!$B$5:$B$163,'14.mell_Önk kiegészítés2020'!$A86,'13.mell_ÖNKfeladatok2020'!T$5:T$163)</f>
        <v>0</v>
      </c>
      <c r="E86" s="518">
        <f>+SUMIF('13.mell_ÖNKfeladatok2020'!$B$5:$B$163,'14.mell_Önk kiegészítés2020'!$A86,'13.mell_ÖNKfeladatok2020'!X$5:X$163)</f>
        <v>0</v>
      </c>
      <c r="F86" s="518">
        <f>+SUMIF('13.mell_ÖNKfeladatok2020'!$B$5:$B$163,'14.mell_Önk kiegészítés2020'!$A86,'13.mell_ÖNKfeladatok2020'!AB$5:AB$163)</f>
        <v>0</v>
      </c>
      <c r="G86" s="518">
        <f>+SUMIF('13.mell_ÖNKfeladatok2020'!$B$5:$B$163,'14.mell_Önk kiegészítés2020'!$A86,'13.mell_ÖNKfeladatok2020'!AJ$5:AJ$163)</f>
        <v>0</v>
      </c>
      <c r="H86" s="518">
        <f>+SUMIF('13.mell_ÖNKfeladatok2020'!$B$5:$B$163,'14.mell_Önk kiegészítés2020'!$A86,'13.mell_ÖNKfeladatok2020'!AN$5:AN$163)</f>
        <v>0</v>
      </c>
      <c r="I86" s="518">
        <f>+SUMIF('13.mell_ÖNKfeladatok2020'!$B$5:$B$163,'14.mell_Önk kiegészítés2020'!$A86,'13.mell_ÖNKfeladatok2020'!AR$5:AR$163)</f>
        <v>0</v>
      </c>
      <c r="J86" s="555">
        <f>SUM(C86:I86)</f>
        <v>125</v>
      </c>
      <c r="K86" s="515">
        <f>+SUMIF('13.mell_ÖNKfeladatok2020'!$B$171:$B$329,'14.mell_Önk kiegészítés2020'!$A86,'13.mell_ÖNKfeladatok2020'!P$171:P$329)</f>
        <v>0</v>
      </c>
      <c r="L86" s="515">
        <f>+SUMIF('13.mell_ÖNKfeladatok2020'!$B$171:$B$329,'14.mell_Önk kiegészítés2020'!$A86,'13.mell_ÖNKfeladatok2020'!T$171:T$329)</f>
        <v>0</v>
      </c>
      <c r="M86" s="515">
        <f>+SUMIF('13.mell_ÖNKfeladatok2020'!$B$171:$B$329,'14.mell_Önk kiegészítés2020'!$A86,'13.mell_ÖNKfeladatok2020'!X$171:X$329)</f>
        <v>2929</v>
      </c>
      <c r="N86" s="515">
        <f>+SUMIF('13.mell_ÖNKfeladatok2020'!$B$171:$B$329,'14.mell_Önk kiegészítés2020'!$A86,'13.mell_ÖNKfeladatok2020'!AB$171:AB$329)</f>
        <v>0</v>
      </c>
      <c r="O86" s="515">
        <f>+SUMIF('13.mell_ÖNKfeladatok2020'!$B$171:$B$329,'14.mell_Önk kiegészítés2020'!$A86,'13.mell_ÖNKfeladatok2020'!AF$171:AF$329)</f>
        <v>305</v>
      </c>
      <c r="P86" s="515">
        <f>+SUMIF('13.mell_ÖNKfeladatok2020'!$B$171:$B$329,'14.mell_Önk kiegészítés2020'!$A86,'13.mell_ÖNKfeladatok2020'!AN$171:AN$329)</f>
        <v>0</v>
      </c>
      <c r="Q86" s="515">
        <f>+SUMIF('13.mell_ÖNKfeladatok2020'!$B$171:$B$329,'14.mell_Önk kiegészítés2020'!$A86,'13.mell_ÖNKfeladatok2020'!AR$171:AR$329)</f>
        <v>0</v>
      </c>
      <c r="R86" s="515">
        <f>+SUMIF('13.mell_ÖNKfeladatok2020'!$B$171:$B$329,'14.mell_Önk kiegészítés2020'!$A86,'13.mell_ÖNKfeladatok2020'!AV$171:AV$329)</f>
        <v>0</v>
      </c>
      <c r="S86" s="554">
        <f>SUM(K86:R86)</f>
        <v>3234</v>
      </c>
      <c r="T86" s="516">
        <f>S86-J86</f>
        <v>3109</v>
      </c>
      <c r="U86" s="1045">
        <f>+ROUND(SUMIF('10.mell_támogatások2020'!$B$6:$B$137,'14.mell_Önk kiegészítés2020'!$A86,'10.mell_támogatások2020'!E$6:E$137)/1000,0)</f>
        <v>0</v>
      </c>
      <c r="V86" s="1024"/>
      <c r="W86" s="516">
        <f>+T86-U86-V86</f>
        <v>3109</v>
      </c>
    </row>
    <row r="87" spans="1:42" ht="12.75" thickBot="1">
      <c r="A87" s="784">
        <f>+A86+1</f>
        <v>10</v>
      </c>
      <c r="B87" s="517" t="s">
        <v>758</v>
      </c>
      <c r="C87" s="518">
        <f>+SUMIF('13.mell_ÖNKfeladatok2020'!$B$5:$B$163,'14.mell_Önk kiegészítés2020'!$A87,'13.mell_ÖNKfeladatok2020'!P$5:P$163)</f>
        <v>0</v>
      </c>
      <c r="D87" s="518">
        <f>+SUMIF('13.mell_ÖNKfeladatok2020'!$B$5:$B$163,'14.mell_Önk kiegészítés2020'!$A87,'13.mell_ÖNKfeladatok2020'!T$5:T$163)</f>
        <v>0</v>
      </c>
      <c r="E87" s="518">
        <f>+SUMIF('13.mell_ÖNKfeladatok2020'!$B$5:$B$163,'14.mell_Önk kiegészítés2020'!$A87,'13.mell_ÖNKfeladatok2020'!X$5:X$163)</f>
        <v>0</v>
      </c>
      <c r="F87" s="518">
        <f>+SUMIF('13.mell_ÖNKfeladatok2020'!$B$5:$B$163,'14.mell_Önk kiegészítés2020'!$A87,'13.mell_ÖNKfeladatok2020'!AB$5:AB$163)</f>
        <v>0</v>
      </c>
      <c r="G87" s="518">
        <f>+SUMIF('13.mell_ÖNKfeladatok2020'!$B$5:$B$163,'14.mell_Önk kiegészítés2020'!$A87,'13.mell_ÖNKfeladatok2020'!AJ$5:AJ$163)</f>
        <v>0</v>
      </c>
      <c r="H87" s="518">
        <f>+SUMIF('13.mell_ÖNKfeladatok2020'!$B$5:$B$163,'14.mell_Önk kiegészítés2020'!$A87,'13.mell_ÖNKfeladatok2020'!AN$5:AN$163)</f>
        <v>0</v>
      </c>
      <c r="I87" s="518">
        <f>+SUMIF('13.mell_ÖNKfeladatok2020'!$B$5:$B$163,'14.mell_Önk kiegészítés2020'!$A87,'13.mell_ÖNKfeladatok2020'!AR$5:AR$163)</f>
        <v>5714</v>
      </c>
      <c r="J87" s="555">
        <f>SUM(C87:I87)</f>
        <v>5714</v>
      </c>
      <c r="K87" s="515">
        <f>+SUMIF('13.mell_ÖNKfeladatok2020'!$B$171:$B$329,'14.mell_Önk kiegészítés2020'!$A87,'13.mell_ÖNKfeladatok2020'!P$171:P$329)</f>
        <v>0</v>
      </c>
      <c r="L87" s="515">
        <f>+SUMIF('13.mell_ÖNKfeladatok2020'!$B$171:$B$329,'14.mell_Önk kiegészítés2020'!$A87,'13.mell_ÖNKfeladatok2020'!T$171:T$329)</f>
        <v>0</v>
      </c>
      <c r="M87" s="515">
        <f>+SUMIF('13.mell_ÖNKfeladatok2020'!$B$171:$B$329,'14.mell_Önk kiegészítés2020'!$A87,'13.mell_ÖNKfeladatok2020'!X$171:X$329)</f>
        <v>3412</v>
      </c>
      <c r="N87" s="515">
        <f>+SUMIF('13.mell_ÖNKfeladatok2020'!$B$171:$B$329,'14.mell_Önk kiegészítés2020'!$A87,'13.mell_ÖNKfeladatok2020'!AB$171:AB$329)</f>
        <v>0</v>
      </c>
      <c r="O87" s="515">
        <f>+SUMIF('13.mell_ÖNKfeladatok2020'!$B$171:$B$329,'14.mell_Önk kiegészítés2020'!$A87,'13.mell_ÖNKfeladatok2020'!AF$171:AF$329)</f>
        <v>316</v>
      </c>
      <c r="P87" s="515">
        <f>+SUMIF('13.mell_ÖNKfeladatok2020'!$B$171:$B$329,'14.mell_Önk kiegészítés2020'!$A87,'13.mell_ÖNKfeladatok2020'!AN$171:AN$329)</f>
        <v>62605</v>
      </c>
      <c r="Q87" s="515">
        <f>+SUMIF('13.mell_ÖNKfeladatok2020'!$B$171:$B$329,'14.mell_Önk kiegészítés2020'!$A87,'13.mell_ÖNKfeladatok2020'!AR$171:AR$329)</f>
        <v>0</v>
      </c>
      <c r="R87" s="515">
        <f>+SUMIF('13.mell_ÖNKfeladatok2020'!$B$171:$B$329,'14.mell_Önk kiegészítés2020'!$A87,'13.mell_ÖNKfeladatok2020'!AV$171:AV$329)</f>
        <v>0</v>
      </c>
      <c r="S87" s="554">
        <f>SUM(K87:R87)</f>
        <v>66333</v>
      </c>
      <c r="T87" s="516">
        <f>S87-J87</f>
        <v>60619</v>
      </c>
      <c r="U87" s="1043">
        <f>+ROUND(SUMIF('10.mell_támogatások2020'!$B$6:$B$137,'14.mell_Önk kiegészítés2020'!$A87,'10.mell_támogatások2020'!E$6:E$137)/1000,0)</f>
        <v>0</v>
      </c>
      <c r="V87" s="1023"/>
      <c r="W87" s="516">
        <f>+T87-U87-V87</f>
        <v>60619</v>
      </c>
    </row>
    <row r="88" spans="1:42" s="507" customFormat="1" ht="12.75" thickBot="1">
      <c r="A88" s="519" t="s">
        <v>588</v>
      </c>
      <c r="B88" s="520" t="s">
        <v>411</v>
      </c>
      <c r="C88" s="521">
        <f t="shared" ref="C88:U88" si="36">SUM(C86:C87)</f>
        <v>125</v>
      </c>
      <c r="D88" s="522">
        <f t="shared" si="36"/>
        <v>0</v>
      </c>
      <c r="E88" s="522">
        <f t="shared" si="36"/>
        <v>0</v>
      </c>
      <c r="F88" s="522">
        <f t="shared" si="36"/>
        <v>0</v>
      </c>
      <c r="G88" s="522">
        <f t="shared" si="36"/>
        <v>0</v>
      </c>
      <c r="H88" s="522">
        <f t="shared" si="36"/>
        <v>0</v>
      </c>
      <c r="I88" s="525">
        <f t="shared" si="36"/>
        <v>5714</v>
      </c>
      <c r="J88" s="524">
        <f t="shared" si="36"/>
        <v>5839</v>
      </c>
      <c r="K88" s="521">
        <f t="shared" si="36"/>
        <v>0</v>
      </c>
      <c r="L88" s="521">
        <f t="shared" si="36"/>
        <v>0</v>
      </c>
      <c r="M88" s="521">
        <f t="shared" si="36"/>
        <v>6341</v>
      </c>
      <c r="N88" s="521">
        <f t="shared" si="36"/>
        <v>0</v>
      </c>
      <c r="O88" s="521">
        <f t="shared" si="36"/>
        <v>621</v>
      </c>
      <c r="P88" s="521">
        <f t="shared" si="36"/>
        <v>62605</v>
      </c>
      <c r="Q88" s="521">
        <f t="shared" si="36"/>
        <v>0</v>
      </c>
      <c r="R88" s="521">
        <f t="shared" si="36"/>
        <v>0</v>
      </c>
      <c r="S88" s="524">
        <f t="shared" si="36"/>
        <v>69567</v>
      </c>
      <c r="T88" s="524">
        <f t="shared" si="36"/>
        <v>63728</v>
      </c>
      <c r="U88" s="1044">
        <f t="shared" si="36"/>
        <v>0</v>
      </c>
      <c r="V88" s="525">
        <f>SUM(V86:V87)</f>
        <v>0</v>
      </c>
      <c r="W88" s="524">
        <f>SUM(W86:W87)</f>
        <v>63728</v>
      </c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</row>
    <row r="89" spans="1:42" ht="12.75" thickBot="1">
      <c r="A89" s="784">
        <f>+A87+1</f>
        <v>11</v>
      </c>
      <c r="B89" s="526" t="s">
        <v>412</v>
      </c>
      <c r="C89" s="527">
        <f>+SUMIF('13.mell_ÖNKfeladatok2020'!$B$5:$B$163,'14.mell_Önk kiegészítés2020'!$A89,'13.mell_ÖNKfeladatok2020'!P$5:P$163)</f>
        <v>0</v>
      </c>
      <c r="D89" s="527">
        <f>+SUMIF('13.mell_ÖNKfeladatok2020'!$B$5:$B$163,'14.mell_Önk kiegészítés2020'!$A89,'13.mell_ÖNKfeladatok2020'!T$5:T$163)</f>
        <v>0</v>
      </c>
      <c r="E89" s="527">
        <f>+SUMIF('13.mell_ÖNKfeladatok2020'!$B$5:$B$163,'14.mell_Önk kiegészítés2020'!$A89,'13.mell_ÖNKfeladatok2020'!X$5:X$163)</f>
        <v>0</v>
      </c>
      <c r="F89" s="527">
        <f>+SUMIF('13.mell_ÖNKfeladatok2020'!$B$5:$B$163,'14.mell_Önk kiegészítés2020'!$A89,'13.mell_ÖNKfeladatok2020'!AB$5:AB$163)</f>
        <v>0</v>
      </c>
      <c r="G89" s="527">
        <f>+SUMIF('13.mell_ÖNKfeladatok2020'!$B$5:$B$163,'14.mell_Önk kiegészítés2020'!$A89,'13.mell_ÖNKfeladatok2020'!AJ$5:AJ$163)</f>
        <v>0</v>
      </c>
      <c r="H89" s="527">
        <f>+SUMIF('13.mell_ÖNKfeladatok2020'!$B$5:$B$163,'14.mell_Önk kiegészítés2020'!$A89,'13.mell_ÖNKfeladatok2020'!AN$5:AN$163)</f>
        <v>0</v>
      </c>
      <c r="I89" s="527">
        <f>+SUMIF('13.mell_ÖNKfeladatok2020'!$B$5:$B$163,'14.mell_Önk kiegészítés2020'!$A89,'13.mell_ÖNKfeladatok2020'!AR$5:AR$163)</f>
        <v>0</v>
      </c>
      <c r="J89" s="556">
        <f>SUM(C89:I89)</f>
        <v>0</v>
      </c>
      <c r="K89" s="515">
        <f>+SUMIF('13.mell_ÖNKfeladatok2020'!$B$171:$B$329,'14.mell_Önk kiegészítés2020'!$A89,'13.mell_ÖNKfeladatok2020'!P$171:P$329)</f>
        <v>0</v>
      </c>
      <c r="L89" s="515">
        <f>+SUMIF('13.mell_ÖNKfeladatok2020'!$B$171:$B$329,'14.mell_Önk kiegészítés2020'!$A89,'13.mell_ÖNKfeladatok2020'!T$171:T$329)</f>
        <v>0</v>
      </c>
      <c r="M89" s="515">
        <f>+SUMIF('13.mell_ÖNKfeladatok2020'!$B$171:$B$329,'14.mell_Önk kiegészítés2020'!$A89,'13.mell_ÖNKfeladatok2020'!X$171:X$329)</f>
        <v>0</v>
      </c>
      <c r="N89" s="515">
        <f>+SUMIF('13.mell_ÖNKfeladatok2020'!$B$171:$B$329,'14.mell_Önk kiegészítés2020'!$A89,'13.mell_ÖNKfeladatok2020'!AB$171:AB$329)</f>
        <v>0</v>
      </c>
      <c r="O89" s="515">
        <f>+SUMIF('13.mell_ÖNKfeladatok2020'!$B$171:$B$329,'14.mell_Önk kiegészítés2020'!$A89,'13.mell_ÖNKfeladatok2020'!AF$171:AF$329)</f>
        <v>0</v>
      </c>
      <c r="P89" s="515">
        <f>+SUMIF('13.mell_ÖNKfeladatok2020'!$B$171:$B$329,'14.mell_Önk kiegészítés2020'!$A89,'13.mell_ÖNKfeladatok2020'!AN$171:AN$329)</f>
        <v>0</v>
      </c>
      <c r="Q89" s="515">
        <f>+SUMIF('13.mell_ÖNKfeladatok2020'!$B$171:$B$329,'14.mell_Önk kiegészítés2020'!$A89,'13.mell_ÖNKfeladatok2020'!AR$171:AR$329)</f>
        <v>0</v>
      </c>
      <c r="R89" s="515">
        <f>+SUMIF('13.mell_ÖNKfeladatok2020'!$B$171:$B$329,'14.mell_Önk kiegészítés2020'!$A89,'13.mell_ÖNKfeladatok2020'!AV$171:AV$329)</f>
        <v>0</v>
      </c>
      <c r="S89" s="554">
        <f>SUM(K89:R89)</f>
        <v>0</v>
      </c>
      <c r="T89" s="516">
        <f>S89-J89</f>
        <v>0</v>
      </c>
      <c r="U89" s="1043">
        <f>+ROUND(SUMIF('10.mell_támogatások2020'!$B$6:$B$137,'14.mell_Önk kiegészítés2020'!$A89,'10.mell_támogatások2020'!E$6:E$137)/1000,0)</f>
        <v>0</v>
      </c>
      <c r="V89" s="1023"/>
      <c r="W89" s="516">
        <f>+T89-U89-V89</f>
        <v>0</v>
      </c>
    </row>
    <row r="90" spans="1:42" s="507" customFormat="1" ht="12.75" thickBot="1">
      <c r="A90" s="519" t="s">
        <v>589</v>
      </c>
      <c r="B90" s="520" t="s">
        <v>412</v>
      </c>
      <c r="C90" s="521">
        <f>SUM(C89)</f>
        <v>0</v>
      </c>
      <c r="D90" s="522">
        <f t="shared" ref="D90:W90" si="37">SUM(D89)</f>
        <v>0</v>
      </c>
      <c r="E90" s="522">
        <f t="shared" si="37"/>
        <v>0</v>
      </c>
      <c r="F90" s="522">
        <f t="shared" si="37"/>
        <v>0</v>
      </c>
      <c r="G90" s="522">
        <f t="shared" si="37"/>
        <v>0</v>
      </c>
      <c r="H90" s="522">
        <f t="shared" si="37"/>
        <v>0</v>
      </c>
      <c r="I90" s="525">
        <f t="shared" si="37"/>
        <v>0</v>
      </c>
      <c r="J90" s="524">
        <f t="shared" si="37"/>
        <v>0</v>
      </c>
      <c r="K90" s="521">
        <f t="shared" si="37"/>
        <v>0</v>
      </c>
      <c r="L90" s="521">
        <f t="shared" si="37"/>
        <v>0</v>
      </c>
      <c r="M90" s="521">
        <f t="shared" si="37"/>
        <v>0</v>
      </c>
      <c r="N90" s="521">
        <f t="shared" si="37"/>
        <v>0</v>
      </c>
      <c r="O90" s="521">
        <f t="shared" si="37"/>
        <v>0</v>
      </c>
      <c r="P90" s="521">
        <f t="shared" si="37"/>
        <v>0</v>
      </c>
      <c r="Q90" s="521">
        <f t="shared" si="37"/>
        <v>0</v>
      </c>
      <c r="R90" s="521">
        <f t="shared" si="37"/>
        <v>0</v>
      </c>
      <c r="S90" s="524">
        <f t="shared" si="37"/>
        <v>0</v>
      </c>
      <c r="T90" s="524">
        <f t="shared" si="37"/>
        <v>0</v>
      </c>
      <c r="U90" s="1044">
        <f t="shared" si="37"/>
        <v>0</v>
      </c>
      <c r="V90" s="525">
        <f t="shared" si="37"/>
        <v>0</v>
      </c>
      <c r="W90" s="524">
        <f t="shared" si="37"/>
        <v>0</v>
      </c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</row>
    <row r="91" spans="1:42" s="507" customFormat="1" ht="12.75" thickBot="1">
      <c r="A91" s="528" t="s">
        <v>23</v>
      </c>
      <c r="B91" s="529" t="s">
        <v>413</v>
      </c>
      <c r="C91" s="530">
        <f t="shared" ref="C91:W91" si="38">+C85+C88+C90</f>
        <v>1306046</v>
      </c>
      <c r="D91" s="531">
        <f t="shared" si="38"/>
        <v>538381</v>
      </c>
      <c r="E91" s="531">
        <f t="shared" si="38"/>
        <v>108311</v>
      </c>
      <c r="F91" s="531">
        <f t="shared" si="38"/>
        <v>19940</v>
      </c>
      <c r="G91" s="531">
        <f t="shared" si="38"/>
        <v>219051</v>
      </c>
      <c r="H91" s="531">
        <f t="shared" si="38"/>
        <v>42427</v>
      </c>
      <c r="I91" s="532">
        <f t="shared" si="38"/>
        <v>5714</v>
      </c>
      <c r="J91" s="533">
        <f t="shared" si="38"/>
        <v>2239870</v>
      </c>
      <c r="K91" s="530">
        <f t="shared" si="38"/>
        <v>268802</v>
      </c>
      <c r="L91" s="530">
        <f t="shared" si="38"/>
        <v>34247</v>
      </c>
      <c r="M91" s="530">
        <f t="shared" si="38"/>
        <v>522928</v>
      </c>
      <c r="N91" s="530">
        <f t="shared" si="38"/>
        <v>48429</v>
      </c>
      <c r="O91" s="530">
        <f t="shared" si="38"/>
        <v>2423165</v>
      </c>
      <c r="P91" s="530">
        <f t="shared" si="38"/>
        <v>781783</v>
      </c>
      <c r="Q91" s="530">
        <f t="shared" si="38"/>
        <v>539711</v>
      </c>
      <c r="R91" s="530">
        <f t="shared" si="38"/>
        <v>0</v>
      </c>
      <c r="S91" s="533">
        <f t="shared" si="38"/>
        <v>4619065</v>
      </c>
      <c r="T91" s="533">
        <f t="shared" si="38"/>
        <v>2379195</v>
      </c>
      <c r="U91" s="1046">
        <f t="shared" si="38"/>
        <v>-674355</v>
      </c>
      <c r="V91" s="532">
        <f t="shared" si="38"/>
        <v>2877888</v>
      </c>
      <c r="W91" s="533">
        <f t="shared" si="38"/>
        <v>175662</v>
      </c>
      <c r="Y91" s="507">
        <f>+'13.mell_ÖNKfeladatok2020'!$H$93-J91</f>
        <v>0</v>
      </c>
      <c r="Z91" s="507">
        <f>+'13.mell_ÖNKfeladatok2020'!$H$259-S91</f>
        <v>0</v>
      </c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</row>
    <row r="92" spans="1:42" s="507" customFormat="1" ht="12.75" thickBot="1">
      <c r="A92" s="539"/>
      <c r="B92" s="540"/>
      <c r="C92" s="541"/>
      <c r="D92" s="541"/>
      <c r="E92" s="541"/>
      <c r="F92" s="541"/>
      <c r="G92" s="541"/>
      <c r="H92" s="541"/>
      <c r="I92" s="823"/>
      <c r="J92" s="544"/>
      <c r="K92" s="541"/>
      <c r="L92" s="541"/>
      <c r="M92" s="541"/>
      <c r="N92" s="541"/>
      <c r="O92" s="541"/>
      <c r="P92" s="541"/>
      <c r="Q92" s="541"/>
      <c r="R92" s="541"/>
      <c r="S92" s="544"/>
      <c r="T92" s="544"/>
      <c r="U92" s="823"/>
      <c r="V92" s="543"/>
      <c r="W92" s="544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1"/>
      <c r="AP92" s="261"/>
    </row>
    <row r="93" spans="1:42">
      <c r="A93" s="824">
        <f>+A89+1</f>
        <v>12</v>
      </c>
      <c r="B93" s="825" t="s">
        <v>773</v>
      </c>
      <c r="C93" s="527">
        <f>+SUMIF('13.mell_ÖNKfeladatok2020'!$B$5:$B$163,'14.mell_Önk kiegészítés2020'!$A93,'13.mell_ÖNKfeladatok2020'!P$5:P$163)</f>
        <v>3033</v>
      </c>
      <c r="D93" s="527">
        <f>+SUMIF('13.mell_ÖNKfeladatok2020'!$B$5:$B$163,'14.mell_Önk kiegészítés2020'!$A93,'13.mell_ÖNKfeladatok2020'!T$5:T$163)</f>
        <v>10</v>
      </c>
      <c r="E93" s="527">
        <f>+SUMIF('13.mell_ÖNKfeladatok2020'!$B$5:$B$163,'14.mell_Önk kiegészítés2020'!$A93,'13.mell_ÖNKfeladatok2020'!X$5:X$163)</f>
        <v>11869</v>
      </c>
      <c r="F93" s="527">
        <f>+SUMIF('13.mell_ÖNKfeladatok2020'!$B$5:$B$163,'14.mell_Önk kiegészítés2020'!$A93,'13.mell_ÖNKfeladatok2020'!AB$5:AB$163)</f>
        <v>0</v>
      </c>
      <c r="G93" s="527">
        <f>+SUMIF('13.mell_ÖNKfeladatok2020'!$B$5:$B$163,'14.mell_Önk kiegészítés2020'!$A93,'13.mell_ÖNKfeladatok2020'!AJ$5:AJ$163)</f>
        <v>0</v>
      </c>
      <c r="H93" s="527">
        <f>+SUMIF('13.mell_ÖNKfeladatok2020'!$B$5:$B$163,'14.mell_Önk kiegészítés2020'!$A93,'13.mell_ÖNKfeladatok2020'!AN$5:AN$163)</f>
        <v>0</v>
      </c>
      <c r="I93" s="527">
        <f>+SUMIF('13.mell_ÖNKfeladatok2020'!$B$5:$B$163,'14.mell_Önk kiegészítés2020'!$A93,'13.mell_ÖNKfeladatok2020'!AR$5:AR$163)</f>
        <v>0</v>
      </c>
      <c r="J93" s="553">
        <f>SUM(C93:I93)</f>
        <v>14912</v>
      </c>
      <c r="K93" s="512">
        <f>+SUMIF('13.mell_ÖNKfeladatok2020'!$B$171:$B$329,'14.mell_Önk kiegészítés2020'!$A93,'13.mell_ÖNKfeladatok2020'!P$171:P$329)</f>
        <v>174559</v>
      </c>
      <c r="L93" s="512">
        <f>+SUMIF('13.mell_ÖNKfeladatok2020'!$B$171:$B$329,'14.mell_Önk kiegészítés2020'!$A93,'13.mell_ÖNKfeladatok2020'!T$171:T$329)</f>
        <v>32882</v>
      </c>
      <c r="M93" s="512">
        <f>+SUMIF('13.mell_ÖNKfeladatok2020'!$B$171:$B$329,'14.mell_Önk kiegészítés2020'!$A93,'13.mell_ÖNKfeladatok2020'!X$171:X$329)</f>
        <v>39710</v>
      </c>
      <c r="N93" s="512">
        <f>+SUMIF('13.mell_ÖNKfeladatok2020'!$B$171:$B$329,'14.mell_Önk kiegészítés2020'!$A93,'13.mell_ÖNKfeladatok2020'!AB$171:AB$329)</f>
        <v>0</v>
      </c>
      <c r="O93" s="512">
        <f>+SUMIF('13.mell_ÖNKfeladatok2020'!$B$171:$B$329,'14.mell_Önk kiegészítés2020'!$A93,'13.mell_ÖNKfeladatok2020'!AF$171:AF$329)</f>
        <v>0</v>
      </c>
      <c r="P93" s="512">
        <f>+SUMIF('13.mell_ÖNKfeladatok2020'!$B$171:$B$329,'14.mell_Önk kiegészítés2020'!$A93,'13.mell_ÖNKfeladatok2020'!AN$171:AN$329)</f>
        <v>4005</v>
      </c>
      <c r="Q93" s="512">
        <f>+SUMIF('13.mell_ÖNKfeladatok2020'!$B$171:$B$329,'14.mell_Önk kiegészítés2020'!$A93,'13.mell_ÖNKfeladatok2020'!AR$171:AR$329)</f>
        <v>0</v>
      </c>
      <c r="R93" s="512">
        <f>+SUMIF('13.mell_ÖNKfeladatok2020'!$B$171:$B$329,'14.mell_Önk kiegészítés2020'!$A93,'13.mell_ÖNKfeladatok2020'!AV$171:AV$329)</f>
        <v>0</v>
      </c>
      <c r="S93" s="553">
        <f>SUM(K93:R93)</f>
        <v>251156</v>
      </c>
      <c r="T93" s="513">
        <f>S93-J93</f>
        <v>236244</v>
      </c>
      <c r="U93" s="1042">
        <f>+ROUND(SUMIF('10.mell_támogatások2020'!$B$6:$B$137,'14.mell_Önk kiegészítés2020'!$A93,'10.mell_támogatások2020'!E$6:E$137)/1000,0)</f>
        <v>173174</v>
      </c>
      <c r="V93" s="1022">
        <f>26419+10024+125-77159</f>
        <v>-40591</v>
      </c>
      <c r="W93" s="513">
        <f>+T93-U93-V93</f>
        <v>103661</v>
      </c>
      <c r="AE93" s="261">
        <v>26419</v>
      </c>
      <c r="AF93" s="261">
        <v>10024</v>
      </c>
      <c r="AG93" s="261">
        <f>((49+9)+(29+5))+(29+4)</f>
        <v>125</v>
      </c>
      <c r="AI93" s="261">
        <f>-13930-61637-1592</f>
        <v>-77159</v>
      </c>
    </row>
    <row r="94" spans="1:42">
      <c r="A94" s="784">
        <f>+A93+1</f>
        <v>13</v>
      </c>
      <c r="B94" s="514" t="s">
        <v>774</v>
      </c>
      <c r="C94" s="518">
        <f>+SUMIF('13.mell_ÖNKfeladatok2020'!$B$5:$B$163,'14.mell_Önk kiegészítés2020'!$A94,'13.mell_ÖNKfeladatok2020'!P$5:P$163)</f>
        <v>34897</v>
      </c>
      <c r="D94" s="518">
        <f>+SUMIF('13.mell_ÖNKfeladatok2020'!$B$5:$B$163,'14.mell_Önk kiegészítés2020'!$A94,'13.mell_ÖNKfeladatok2020'!T$5:T$163)</f>
        <v>0</v>
      </c>
      <c r="E94" s="518">
        <f>+SUMIF('13.mell_ÖNKfeladatok2020'!$B$5:$B$163,'14.mell_Önk kiegészítés2020'!$A94,'13.mell_ÖNKfeladatok2020'!X$5:X$163)</f>
        <v>0</v>
      </c>
      <c r="F94" s="518">
        <f>+SUMIF('13.mell_ÖNKfeladatok2020'!$B$5:$B$163,'14.mell_Önk kiegészítés2020'!$A94,'13.mell_ÖNKfeladatok2020'!AB$5:AB$163)</f>
        <v>0</v>
      </c>
      <c r="G94" s="518">
        <f>+SUMIF('13.mell_ÖNKfeladatok2020'!$B$5:$B$163,'14.mell_Önk kiegészítés2020'!$A94,'13.mell_ÖNKfeladatok2020'!AJ$5:AJ$163)</f>
        <v>0</v>
      </c>
      <c r="H94" s="518">
        <f>+SUMIF('13.mell_ÖNKfeladatok2020'!$B$5:$B$163,'14.mell_Önk kiegészítés2020'!$A94,'13.mell_ÖNKfeladatok2020'!AN$5:AN$163)</f>
        <v>0</v>
      </c>
      <c r="I94" s="518">
        <f>+SUMIF('13.mell_ÖNKfeladatok2020'!$B$5:$B$163,'14.mell_Önk kiegészítés2020'!$A94,'13.mell_ÖNKfeladatok2020'!AR$5:AR$163)</f>
        <v>0</v>
      </c>
      <c r="J94" s="554">
        <f>SUM(C94:I94)</f>
        <v>34897</v>
      </c>
      <c r="K94" s="515">
        <f>+SUMIF('13.mell_ÖNKfeladatok2020'!$B$171:$B$329,'14.mell_Önk kiegészítés2020'!$A94,'13.mell_ÖNKfeladatok2020'!P$171:P$329)</f>
        <v>20842</v>
      </c>
      <c r="L94" s="515">
        <f>+SUMIF('13.mell_ÖNKfeladatok2020'!$B$171:$B$329,'14.mell_Önk kiegészítés2020'!$A94,'13.mell_ÖNKfeladatok2020'!T$171:T$329)</f>
        <v>3338</v>
      </c>
      <c r="M94" s="515">
        <f>+SUMIF('13.mell_ÖNKfeladatok2020'!$B$171:$B$329,'14.mell_Önk kiegészítés2020'!$A94,'13.mell_ÖNKfeladatok2020'!X$171:X$329)</f>
        <v>8317</v>
      </c>
      <c r="N94" s="515">
        <f>+SUMIF('13.mell_ÖNKfeladatok2020'!$B$171:$B$329,'14.mell_Önk kiegészítés2020'!$A94,'13.mell_ÖNKfeladatok2020'!AB$171:AB$329)</f>
        <v>0</v>
      </c>
      <c r="O94" s="515">
        <f>+SUMIF('13.mell_ÖNKfeladatok2020'!$B$171:$B$329,'14.mell_Önk kiegészítés2020'!$A94,'13.mell_ÖNKfeladatok2020'!AF$171:AF$329)</f>
        <v>0</v>
      </c>
      <c r="P94" s="515">
        <f>+SUMIF('13.mell_ÖNKfeladatok2020'!$B$171:$B$329,'14.mell_Önk kiegészítés2020'!$A94,'13.mell_ÖNKfeladatok2020'!AN$171:AN$329)</f>
        <v>0</v>
      </c>
      <c r="Q94" s="515">
        <f>+SUMIF('13.mell_ÖNKfeladatok2020'!$B$171:$B$329,'14.mell_Önk kiegészítés2020'!$A94,'13.mell_ÖNKfeladatok2020'!AR$171:AR$329)</f>
        <v>0</v>
      </c>
      <c r="R94" s="515">
        <f>+SUMIF('13.mell_ÖNKfeladatok2020'!$B$171:$B$329,'14.mell_Önk kiegészítés2020'!$A94,'13.mell_ÖNKfeladatok2020'!AV$171:AV$329)</f>
        <v>0</v>
      </c>
      <c r="S94" s="554">
        <f>SUM(K94:R94)</f>
        <v>32497</v>
      </c>
      <c r="T94" s="516">
        <f>S94-J94</f>
        <v>-2400</v>
      </c>
      <c r="U94" s="1043">
        <f>+ROUND(SUMIF('10.mell_támogatások2020'!$B$6:$B$137,'14.mell_Önk kiegészítés2020'!$A94,'10.mell_támogatások2020'!E$6:E$137)/1000,0)</f>
        <v>0</v>
      </c>
      <c r="V94" s="1023"/>
      <c r="W94" s="516">
        <f>+T94-U94-V94</f>
        <v>-2400</v>
      </c>
    </row>
    <row r="95" spans="1:42" ht="12.75" thickBot="1">
      <c r="A95" s="784">
        <f>+A94+1</f>
        <v>14</v>
      </c>
      <c r="B95" s="517" t="s">
        <v>759</v>
      </c>
      <c r="C95" s="518">
        <f>+SUMIF('13.mell_ÖNKfeladatok2020'!$B$5:$B$163,'14.mell_Önk kiegészítés2020'!$A95,'13.mell_ÖNKfeladatok2020'!P$5:P$163)</f>
        <v>0</v>
      </c>
      <c r="D95" s="518">
        <f>+SUMIF('13.mell_ÖNKfeladatok2020'!$B$5:$B$163,'14.mell_Önk kiegészítés2020'!$A95,'13.mell_ÖNKfeladatok2020'!T$5:T$163)</f>
        <v>0</v>
      </c>
      <c r="E95" s="518">
        <f>+SUMIF('13.mell_ÖNKfeladatok2020'!$B$5:$B$163,'14.mell_Önk kiegészítés2020'!$A95,'13.mell_ÖNKfeladatok2020'!X$5:X$163)</f>
        <v>7621</v>
      </c>
      <c r="F95" s="518">
        <f>+SUMIF('13.mell_ÖNKfeladatok2020'!$B$5:$B$163,'14.mell_Önk kiegészítés2020'!$A95,'13.mell_ÖNKfeladatok2020'!AB$5:AB$163)</f>
        <v>0</v>
      </c>
      <c r="G95" s="518">
        <f>+SUMIF('13.mell_ÖNKfeladatok2020'!$B$5:$B$163,'14.mell_Önk kiegészítés2020'!$A95,'13.mell_ÖNKfeladatok2020'!AJ$5:AJ$163)</f>
        <v>0</v>
      </c>
      <c r="H95" s="518">
        <f>+SUMIF('13.mell_ÖNKfeladatok2020'!$B$5:$B$163,'14.mell_Önk kiegészítés2020'!$A95,'13.mell_ÖNKfeladatok2020'!AN$5:AN$163)</f>
        <v>0</v>
      </c>
      <c r="I95" s="518">
        <f>+SUMIF('13.mell_ÖNKfeladatok2020'!$B$5:$B$163,'14.mell_Önk kiegészítés2020'!$A95,'13.mell_ÖNKfeladatok2020'!AR$5:AR$163)</f>
        <v>0</v>
      </c>
      <c r="J95" s="554">
        <f>SUM(C95:I95)</f>
        <v>7621</v>
      </c>
      <c r="K95" s="515">
        <f>+SUMIF('13.mell_ÖNKfeladatok2020'!$B$171:$B$329,'14.mell_Önk kiegészítés2020'!$A95,'13.mell_ÖNKfeladatok2020'!P$171:P$329)</f>
        <v>104070</v>
      </c>
      <c r="L95" s="515">
        <f>+SUMIF('13.mell_ÖNKfeladatok2020'!$B$171:$B$329,'14.mell_Önk kiegészítés2020'!$A95,'13.mell_ÖNKfeladatok2020'!T$171:T$329)</f>
        <v>19170</v>
      </c>
      <c r="M95" s="515">
        <f>+SUMIF('13.mell_ÖNKfeladatok2020'!$B$171:$B$329,'14.mell_Önk kiegészítés2020'!$A95,'13.mell_ÖNKfeladatok2020'!X$171:X$329)</f>
        <v>12289</v>
      </c>
      <c r="N95" s="515">
        <f>+SUMIF('13.mell_ÖNKfeladatok2020'!$B$171:$B$329,'14.mell_Önk kiegészítés2020'!$A95,'13.mell_ÖNKfeladatok2020'!AB$171:AB$329)</f>
        <v>0</v>
      </c>
      <c r="O95" s="515">
        <f>+SUMIF('13.mell_ÖNKfeladatok2020'!$B$171:$B$329,'14.mell_Önk kiegészítés2020'!$A95,'13.mell_ÖNKfeladatok2020'!AF$171:AF$329)</f>
        <v>464</v>
      </c>
      <c r="P95" s="515">
        <f>+SUMIF('13.mell_ÖNKfeladatok2020'!$B$171:$B$329,'14.mell_Önk kiegészítés2020'!$A95,'13.mell_ÖNKfeladatok2020'!AN$171:AN$329)</f>
        <v>0</v>
      </c>
      <c r="Q95" s="515">
        <f>+SUMIF('13.mell_ÖNKfeladatok2020'!$B$171:$B$329,'14.mell_Önk kiegészítés2020'!$A95,'13.mell_ÖNKfeladatok2020'!AR$171:AR$329)</f>
        <v>0</v>
      </c>
      <c r="R95" s="515">
        <f>+SUMIF('13.mell_ÖNKfeladatok2020'!$B$171:$B$329,'14.mell_Önk kiegészítés2020'!$A95,'13.mell_ÖNKfeladatok2020'!AV$171:AV$329)</f>
        <v>0</v>
      </c>
      <c r="S95" s="554">
        <f>SUM(K95:R95)</f>
        <v>135993</v>
      </c>
      <c r="T95" s="516">
        <f>S95-J95</f>
        <v>128372</v>
      </c>
      <c r="U95" s="1043">
        <f>+ROUND(SUMIF('10.mell_támogatások2020'!$B$6:$B$137,'14.mell_Önk kiegészítés2020'!$A95,'10.mell_támogatások2020'!E$6:E$137)/1000,0)</f>
        <v>0</v>
      </c>
      <c r="V95" s="1023"/>
      <c r="W95" s="516">
        <f>+T95-U95-V95</f>
        <v>128372</v>
      </c>
    </row>
    <row r="96" spans="1:42" s="507" customFormat="1" ht="12.75" thickBot="1">
      <c r="A96" s="519" t="s">
        <v>590</v>
      </c>
      <c r="B96" s="520" t="s">
        <v>865</v>
      </c>
      <c r="C96" s="521">
        <f t="shared" ref="C96:U96" si="39">SUM(C93:C95)</f>
        <v>37930</v>
      </c>
      <c r="D96" s="522">
        <f t="shared" si="39"/>
        <v>10</v>
      </c>
      <c r="E96" s="522">
        <f t="shared" si="39"/>
        <v>19490</v>
      </c>
      <c r="F96" s="522">
        <f t="shared" si="39"/>
        <v>0</v>
      </c>
      <c r="G96" s="522">
        <f t="shared" si="39"/>
        <v>0</v>
      </c>
      <c r="H96" s="522">
        <f t="shared" si="39"/>
        <v>0</v>
      </c>
      <c r="I96" s="523">
        <f t="shared" si="39"/>
        <v>0</v>
      </c>
      <c r="J96" s="524">
        <f t="shared" si="39"/>
        <v>57430</v>
      </c>
      <c r="K96" s="521">
        <f t="shared" si="39"/>
        <v>299471</v>
      </c>
      <c r="L96" s="521">
        <f t="shared" si="39"/>
        <v>55390</v>
      </c>
      <c r="M96" s="521">
        <f t="shared" si="39"/>
        <v>60316</v>
      </c>
      <c r="N96" s="521">
        <f t="shared" si="39"/>
        <v>0</v>
      </c>
      <c r="O96" s="521">
        <f t="shared" si="39"/>
        <v>464</v>
      </c>
      <c r="P96" s="521">
        <f t="shared" si="39"/>
        <v>4005</v>
      </c>
      <c r="Q96" s="521">
        <f t="shared" si="39"/>
        <v>0</v>
      </c>
      <c r="R96" s="521">
        <f t="shared" si="39"/>
        <v>0</v>
      </c>
      <c r="S96" s="524">
        <f t="shared" si="39"/>
        <v>419646</v>
      </c>
      <c r="T96" s="524">
        <f t="shared" si="39"/>
        <v>362216</v>
      </c>
      <c r="U96" s="1044">
        <f t="shared" si="39"/>
        <v>173174</v>
      </c>
      <c r="V96" s="525">
        <f>SUM(V93:V95)</f>
        <v>-40591</v>
      </c>
      <c r="W96" s="524">
        <f>SUM(W93:W95)</f>
        <v>229633</v>
      </c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1"/>
      <c r="AP96" s="261"/>
    </row>
    <row r="97" spans="1:42">
      <c r="A97" s="784">
        <f>+A95+1</f>
        <v>15</v>
      </c>
      <c r="B97" s="538" t="s">
        <v>416</v>
      </c>
      <c r="C97" s="512">
        <f>+SUMIF('13.mell_ÖNKfeladatok2020'!$B$5:$B$163,'14.mell_Önk kiegészítés2020'!$A97,'13.mell_ÖNKfeladatok2020'!P$5:P$163)</f>
        <v>0</v>
      </c>
      <c r="D97" s="512">
        <f>+SUMIF('13.mell_ÖNKfeladatok2020'!$B$5:$B$163,'14.mell_Önk kiegészítés2020'!$A97,'13.mell_ÖNKfeladatok2020'!T$5:T$163)</f>
        <v>0</v>
      </c>
      <c r="E97" s="512">
        <f>+SUMIF('13.mell_ÖNKfeladatok2020'!$B$5:$B$163,'14.mell_Önk kiegészítés2020'!$A97,'13.mell_ÖNKfeladatok2020'!X$5:X$163)</f>
        <v>28607</v>
      </c>
      <c r="F97" s="512">
        <f>+SUMIF('13.mell_ÖNKfeladatok2020'!$B$5:$B$163,'14.mell_Önk kiegészítés2020'!$A97,'13.mell_ÖNKfeladatok2020'!AB$5:AB$163)</f>
        <v>0</v>
      </c>
      <c r="G97" s="512">
        <f>+SUMIF('13.mell_ÖNKfeladatok2020'!$B$5:$B$163,'14.mell_Önk kiegészítés2020'!$A97,'13.mell_ÖNKfeladatok2020'!AJ$5:AJ$163)</f>
        <v>0</v>
      </c>
      <c r="H97" s="512">
        <f>+SUMIF('13.mell_ÖNKfeladatok2020'!$B$5:$B$163,'14.mell_Önk kiegészítés2020'!$A97,'13.mell_ÖNKfeladatok2020'!AN$5:AN$163)</f>
        <v>0</v>
      </c>
      <c r="I97" s="512">
        <f>+SUMIF('13.mell_ÖNKfeladatok2020'!$B$5:$B$163,'14.mell_Önk kiegészítés2020'!$A97,'13.mell_ÖNKfeladatok2020'!AR$5:AR$163)</f>
        <v>0</v>
      </c>
      <c r="J97" s="554">
        <f>SUM(C97:I97)</f>
        <v>28607</v>
      </c>
      <c r="K97" s="515">
        <f>+SUMIF('13.mell_ÖNKfeladatok2020'!$B$171:$B$329,'14.mell_Önk kiegészítés2020'!$A97,'13.mell_ÖNKfeladatok2020'!P$171:P$329)</f>
        <v>9232</v>
      </c>
      <c r="L97" s="515">
        <f>+SUMIF('13.mell_ÖNKfeladatok2020'!$B$171:$B$329,'14.mell_Önk kiegészítés2020'!$A97,'13.mell_ÖNKfeladatok2020'!T$171:T$329)</f>
        <v>1235</v>
      </c>
      <c r="M97" s="515">
        <f>+SUMIF('13.mell_ÖNKfeladatok2020'!$B$171:$B$329,'14.mell_Önk kiegészítés2020'!$A97,'13.mell_ÖNKfeladatok2020'!X$171:X$329)</f>
        <v>28710</v>
      </c>
      <c r="N97" s="515">
        <f>+SUMIF('13.mell_ÖNKfeladatok2020'!$B$171:$B$329,'14.mell_Önk kiegészítés2020'!$A97,'13.mell_ÖNKfeladatok2020'!AB$171:AB$329)</f>
        <v>0</v>
      </c>
      <c r="O97" s="515">
        <f>+SUMIF('13.mell_ÖNKfeladatok2020'!$B$171:$B$329,'14.mell_Önk kiegészítés2020'!$A97,'13.mell_ÖNKfeladatok2020'!AF$171:AF$329)</f>
        <v>0</v>
      </c>
      <c r="P97" s="515">
        <f>+SUMIF('13.mell_ÖNKfeladatok2020'!$B$171:$B$329,'14.mell_Önk kiegészítés2020'!$A97,'13.mell_ÖNKfeladatok2020'!AN$171:AN$329)</f>
        <v>2794</v>
      </c>
      <c r="Q97" s="515">
        <f>+SUMIF('13.mell_ÖNKfeladatok2020'!$B$171:$B$329,'14.mell_Önk kiegészítés2020'!$A97,'13.mell_ÖNKfeladatok2020'!AR$171:AR$329)</f>
        <v>0</v>
      </c>
      <c r="R97" s="515">
        <f>+SUMIF('13.mell_ÖNKfeladatok2020'!$B$171:$B$329,'14.mell_Önk kiegészítés2020'!$A97,'13.mell_ÖNKfeladatok2020'!AV$171:AV$329)</f>
        <v>0</v>
      </c>
      <c r="S97" s="554">
        <f>SUM(K97:R97)</f>
        <v>41971</v>
      </c>
      <c r="T97" s="516">
        <f>S97-J97</f>
        <v>13364</v>
      </c>
      <c r="U97" s="1043">
        <f>+ROUND(SUMIF('10.mell_támogatások2020'!$B$6:$B$137,'14.mell_Önk kiegészítés2020'!$A97,'10.mell_támogatások2020'!E$6:E$137)/1000,0)</f>
        <v>0</v>
      </c>
      <c r="V97" s="1023"/>
      <c r="W97" s="516">
        <f>+T97-U97-V97</f>
        <v>13364</v>
      </c>
    </row>
    <row r="98" spans="1:42">
      <c r="A98" s="784">
        <f>+A97+1</f>
        <v>16</v>
      </c>
      <c r="B98" s="517" t="s">
        <v>647</v>
      </c>
      <c r="C98" s="518">
        <f>+SUMIF('13.mell_ÖNKfeladatok2020'!$B$5:$B$163,'14.mell_Önk kiegészítés2020'!$A98,'13.mell_ÖNKfeladatok2020'!P$5:P$163)</f>
        <v>0</v>
      </c>
      <c r="D98" s="518">
        <f>+SUMIF('13.mell_ÖNKfeladatok2020'!$B$5:$B$163,'14.mell_Önk kiegészítés2020'!$A98,'13.mell_ÖNKfeladatok2020'!T$5:T$163)</f>
        <v>0</v>
      </c>
      <c r="E98" s="518">
        <f>+SUMIF('13.mell_ÖNKfeladatok2020'!$B$5:$B$163,'14.mell_Önk kiegészítés2020'!$A98,'13.mell_ÖNKfeladatok2020'!X$5:X$163)</f>
        <v>0</v>
      </c>
      <c r="F98" s="518">
        <f>+SUMIF('13.mell_ÖNKfeladatok2020'!$B$5:$B$163,'14.mell_Önk kiegészítés2020'!$A98,'13.mell_ÖNKfeladatok2020'!AB$5:AB$163)</f>
        <v>0</v>
      </c>
      <c r="G98" s="518">
        <f>+SUMIF('13.mell_ÖNKfeladatok2020'!$B$5:$B$163,'14.mell_Önk kiegészítés2020'!$A98,'13.mell_ÖNKfeladatok2020'!AJ$5:AJ$163)</f>
        <v>0</v>
      </c>
      <c r="H98" s="518">
        <f>+SUMIF('13.mell_ÖNKfeladatok2020'!$B$5:$B$163,'14.mell_Önk kiegészítés2020'!$A98,'13.mell_ÖNKfeladatok2020'!AN$5:AN$163)</f>
        <v>0</v>
      </c>
      <c r="I98" s="518">
        <f>+SUMIF('13.mell_ÖNKfeladatok2020'!$B$5:$B$163,'14.mell_Önk kiegészítés2020'!$A98,'13.mell_ÖNKfeladatok2020'!AR$5:AR$163)</f>
        <v>0</v>
      </c>
      <c r="J98" s="555">
        <f>SUM(C98:I98)</f>
        <v>0</v>
      </c>
      <c r="K98" s="515">
        <f>+SUMIF('13.mell_ÖNKfeladatok2020'!$B$171:$B$329,'14.mell_Önk kiegészítés2020'!$A98,'13.mell_ÖNKfeladatok2020'!P$171:P$329)</f>
        <v>0</v>
      </c>
      <c r="L98" s="515">
        <f>+SUMIF('13.mell_ÖNKfeladatok2020'!$B$171:$B$329,'14.mell_Önk kiegészítés2020'!$A98,'13.mell_ÖNKfeladatok2020'!T$171:T$329)</f>
        <v>0</v>
      </c>
      <c r="M98" s="515">
        <f>+SUMIF('13.mell_ÖNKfeladatok2020'!$B$171:$B$329,'14.mell_Önk kiegészítés2020'!$A98,'13.mell_ÖNKfeladatok2020'!X$171:X$329)</f>
        <v>0</v>
      </c>
      <c r="N98" s="515">
        <f>+SUMIF('13.mell_ÖNKfeladatok2020'!$B$171:$B$329,'14.mell_Önk kiegészítés2020'!$A98,'13.mell_ÖNKfeladatok2020'!AB$171:AB$329)</f>
        <v>0</v>
      </c>
      <c r="O98" s="515">
        <f>+SUMIF('13.mell_ÖNKfeladatok2020'!$B$171:$B$329,'14.mell_Önk kiegészítés2020'!$A98,'13.mell_ÖNKfeladatok2020'!AF$171:AF$329)</f>
        <v>0</v>
      </c>
      <c r="P98" s="515">
        <f>+SUMIF('13.mell_ÖNKfeladatok2020'!$B$171:$B$329,'14.mell_Önk kiegészítés2020'!$A98,'13.mell_ÖNKfeladatok2020'!AN$171:AN$329)</f>
        <v>0</v>
      </c>
      <c r="Q98" s="515">
        <f>+SUMIF('13.mell_ÖNKfeladatok2020'!$B$171:$B$329,'14.mell_Önk kiegészítés2020'!$A98,'13.mell_ÖNKfeladatok2020'!AR$171:AR$329)</f>
        <v>0</v>
      </c>
      <c r="R98" s="515">
        <f>+SUMIF('13.mell_ÖNKfeladatok2020'!$B$171:$B$329,'14.mell_Önk kiegészítés2020'!$A98,'13.mell_ÖNKfeladatok2020'!AV$171:AV$329)</f>
        <v>0</v>
      </c>
      <c r="S98" s="554">
        <f>SUM(K98:R98)</f>
        <v>0</v>
      </c>
      <c r="T98" s="516">
        <f>S98-J98</f>
        <v>0</v>
      </c>
      <c r="U98" s="1043">
        <f>+ROUND(SUMIF('10.mell_támogatások2020'!$B$6:$B$137,'14.mell_Önk kiegészítés2020'!$A98,'10.mell_támogatások2020'!E$6:E$137)/1000,0)</f>
        <v>0</v>
      </c>
      <c r="V98" s="1023"/>
      <c r="W98" s="516">
        <f>+T98-U98-V98</f>
        <v>0</v>
      </c>
    </row>
    <row r="99" spans="1:42" ht="12.75" thickBot="1">
      <c r="A99" s="784">
        <f>+A98+1</f>
        <v>17</v>
      </c>
      <c r="B99" s="517" t="s">
        <v>890</v>
      </c>
      <c r="C99" s="518">
        <f>+SUMIF('13.mell_ÖNKfeladatok2020'!$B$5:$B$163,'14.mell_Önk kiegészítés2020'!$A99,'13.mell_ÖNKfeladatok2020'!P$5:P$163)</f>
        <v>0</v>
      </c>
      <c r="D99" s="518">
        <f>+SUMIF('13.mell_ÖNKfeladatok2020'!$B$5:$B$163,'14.mell_Önk kiegészítés2020'!$A99,'13.mell_ÖNKfeladatok2020'!T$5:T$163)</f>
        <v>0</v>
      </c>
      <c r="E99" s="518">
        <f>+SUMIF('13.mell_ÖNKfeladatok2020'!$B$5:$B$163,'14.mell_Önk kiegészítés2020'!$A99,'13.mell_ÖNKfeladatok2020'!X$5:X$163)</f>
        <v>0</v>
      </c>
      <c r="F99" s="518">
        <f>+SUMIF('13.mell_ÖNKfeladatok2020'!$B$5:$B$163,'14.mell_Önk kiegészítés2020'!$A99,'13.mell_ÖNKfeladatok2020'!AB$5:AB$163)</f>
        <v>0</v>
      </c>
      <c r="G99" s="518">
        <f>+SUMIF('13.mell_ÖNKfeladatok2020'!$B$5:$B$163,'14.mell_Önk kiegészítés2020'!$A99,'13.mell_ÖNKfeladatok2020'!AJ$5:AJ$163)</f>
        <v>0</v>
      </c>
      <c r="H99" s="518">
        <f>+SUMIF('13.mell_ÖNKfeladatok2020'!$B$5:$B$163,'14.mell_Önk kiegészítés2020'!$A99,'13.mell_ÖNKfeladatok2020'!AN$5:AN$163)</f>
        <v>0</v>
      </c>
      <c r="I99" s="518">
        <f>+SUMIF('13.mell_ÖNKfeladatok2020'!$B$5:$B$163,'14.mell_Önk kiegészítés2020'!$A99,'13.mell_ÖNKfeladatok2020'!AR$5:AR$163)</f>
        <v>0</v>
      </c>
      <c r="J99" s="555">
        <f>SUM(C99:I99)</f>
        <v>0</v>
      </c>
      <c r="K99" s="515">
        <f>+SUMIF('13.mell_ÖNKfeladatok2020'!$B$171:$B$329,'14.mell_Önk kiegészítés2020'!$A99,'13.mell_ÖNKfeladatok2020'!P$171:P$329)</f>
        <v>0</v>
      </c>
      <c r="L99" s="515">
        <f>+SUMIF('13.mell_ÖNKfeladatok2020'!$B$171:$B$329,'14.mell_Önk kiegészítés2020'!$A99,'13.mell_ÖNKfeladatok2020'!T$171:T$329)</f>
        <v>0</v>
      </c>
      <c r="M99" s="515">
        <f>+SUMIF('13.mell_ÖNKfeladatok2020'!$B$171:$B$329,'14.mell_Önk kiegészítés2020'!$A99,'13.mell_ÖNKfeladatok2020'!X$171:X$329)</f>
        <v>0</v>
      </c>
      <c r="N99" s="515">
        <f>+SUMIF('13.mell_ÖNKfeladatok2020'!$B$171:$B$329,'14.mell_Önk kiegészítés2020'!$A99,'13.mell_ÖNKfeladatok2020'!AB$171:AB$329)</f>
        <v>0</v>
      </c>
      <c r="O99" s="515">
        <f>+SUMIF('13.mell_ÖNKfeladatok2020'!$B$171:$B$329,'14.mell_Önk kiegészítés2020'!$A99,'13.mell_ÖNKfeladatok2020'!AF$171:AF$329)</f>
        <v>0</v>
      </c>
      <c r="P99" s="515">
        <f>+SUMIF('13.mell_ÖNKfeladatok2020'!$B$171:$B$329,'14.mell_Önk kiegészítés2020'!$A99,'13.mell_ÖNKfeladatok2020'!AN$171:AN$329)</f>
        <v>0</v>
      </c>
      <c r="Q99" s="515">
        <f>+SUMIF('13.mell_ÖNKfeladatok2020'!$B$171:$B$329,'14.mell_Önk kiegészítés2020'!$A99,'13.mell_ÖNKfeladatok2020'!AR$171:AR$329)</f>
        <v>0</v>
      </c>
      <c r="R99" s="515">
        <f>+SUMIF('13.mell_ÖNKfeladatok2020'!$B$171:$B$329,'14.mell_Önk kiegészítés2020'!$A99,'13.mell_ÖNKfeladatok2020'!AV$171:AV$329)</f>
        <v>0</v>
      </c>
      <c r="S99" s="554">
        <f>SUM(K99:R99)</f>
        <v>0</v>
      </c>
      <c r="T99" s="516">
        <f>S99-J99</f>
        <v>0</v>
      </c>
      <c r="U99" s="1043">
        <f>+ROUND(SUMIF('10.mell_támogatások2020'!$B$6:$B$137,'14.mell_Önk kiegészítés2020'!$A99,'10.mell_támogatások2020'!E$6:E$137)/1000,0)</f>
        <v>0</v>
      </c>
      <c r="V99" s="1023"/>
      <c r="W99" s="516">
        <f>+T99-U99-V99</f>
        <v>0</v>
      </c>
    </row>
    <row r="100" spans="1:42" s="507" customFormat="1" ht="12.75" thickBot="1">
      <c r="A100" s="519" t="s">
        <v>632</v>
      </c>
      <c r="B100" s="520" t="s">
        <v>866</v>
      </c>
      <c r="C100" s="521">
        <f>SUM(C97:C99)</f>
        <v>0</v>
      </c>
      <c r="D100" s="522">
        <f t="shared" ref="D100:W100" si="40">SUM(D97:D99)</f>
        <v>0</v>
      </c>
      <c r="E100" s="522">
        <f t="shared" si="40"/>
        <v>28607</v>
      </c>
      <c r="F100" s="522">
        <f t="shared" si="40"/>
        <v>0</v>
      </c>
      <c r="G100" s="522">
        <f t="shared" si="40"/>
        <v>0</v>
      </c>
      <c r="H100" s="522">
        <f t="shared" si="40"/>
        <v>0</v>
      </c>
      <c r="I100" s="525">
        <f t="shared" si="40"/>
        <v>0</v>
      </c>
      <c r="J100" s="524">
        <f t="shared" si="40"/>
        <v>28607</v>
      </c>
      <c r="K100" s="521">
        <f t="shared" si="40"/>
        <v>9232</v>
      </c>
      <c r="L100" s="521">
        <f t="shared" si="40"/>
        <v>1235</v>
      </c>
      <c r="M100" s="521">
        <f t="shared" si="40"/>
        <v>28710</v>
      </c>
      <c r="N100" s="521">
        <f t="shared" si="40"/>
        <v>0</v>
      </c>
      <c r="O100" s="521">
        <f t="shared" si="40"/>
        <v>0</v>
      </c>
      <c r="P100" s="521">
        <f t="shared" si="40"/>
        <v>2794</v>
      </c>
      <c r="Q100" s="521">
        <f t="shared" si="40"/>
        <v>0</v>
      </c>
      <c r="R100" s="521">
        <f t="shared" si="40"/>
        <v>0</v>
      </c>
      <c r="S100" s="524">
        <f t="shared" si="40"/>
        <v>41971</v>
      </c>
      <c r="T100" s="524">
        <f t="shared" si="40"/>
        <v>13364</v>
      </c>
      <c r="U100" s="1044">
        <f t="shared" si="40"/>
        <v>0</v>
      </c>
      <c r="V100" s="525">
        <f t="shared" si="40"/>
        <v>0</v>
      </c>
      <c r="W100" s="524">
        <f t="shared" si="40"/>
        <v>13364</v>
      </c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</row>
    <row r="101" spans="1:42" ht="12.75" thickBot="1">
      <c r="A101" s="784">
        <f>+A99+1</f>
        <v>18</v>
      </c>
      <c r="B101" s="526" t="s">
        <v>867</v>
      </c>
      <c r="C101" s="527">
        <f>+SUMIF('13.mell_ÖNKfeladatok2020'!$B$5:$B$163,'14.mell_Önk kiegészítés2020'!$A101,'13.mell_ÖNKfeladatok2020'!P$5:P$163)</f>
        <v>0</v>
      </c>
      <c r="D101" s="527">
        <f>+SUMIF('13.mell_ÖNKfeladatok2020'!$B$5:$B$163,'14.mell_Önk kiegészítés2020'!$A101,'13.mell_ÖNKfeladatok2020'!T$5:T$163)</f>
        <v>0</v>
      </c>
      <c r="E101" s="527">
        <f>+SUMIF('13.mell_ÖNKfeladatok2020'!$B$5:$B$163,'14.mell_Önk kiegészítés2020'!$A101,'13.mell_ÖNKfeladatok2020'!X$5:X$163)</f>
        <v>0</v>
      </c>
      <c r="F101" s="527">
        <f>+SUMIF('13.mell_ÖNKfeladatok2020'!$B$5:$B$163,'14.mell_Önk kiegészítés2020'!$A101,'13.mell_ÖNKfeladatok2020'!AB$5:AB$163)</f>
        <v>0</v>
      </c>
      <c r="G101" s="527">
        <f>+SUMIF('13.mell_ÖNKfeladatok2020'!$B$5:$B$163,'14.mell_Önk kiegészítés2020'!$A101,'13.mell_ÖNKfeladatok2020'!AJ$5:AJ$163)</f>
        <v>0</v>
      </c>
      <c r="H101" s="527">
        <f>+SUMIF('13.mell_ÖNKfeladatok2020'!$B$5:$B$163,'14.mell_Önk kiegészítés2020'!$A101,'13.mell_ÖNKfeladatok2020'!AN$5:AN$163)</f>
        <v>0</v>
      </c>
      <c r="I101" s="527">
        <f>+SUMIF('13.mell_ÖNKfeladatok2020'!$B$5:$B$163,'14.mell_Önk kiegészítés2020'!$A101,'13.mell_ÖNKfeladatok2020'!AR$5:AR$163)</f>
        <v>0</v>
      </c>
      <c r="J101" s="556">
        <f>SUM(C101:I101)</f>
        <v>0</v>
      </c>
      <c r="K101" s="515">
        <f>+SUMIF('13.mell_ÖNKfeladatok2020'!$B$171:$B$329,'14.mell_Önk kiegészítés2020'!$A101,'13.mell_ÖNKfeladatok2020'!P$171:P$329)</f>
        <v>0</v>
      </c>
      <c r="L101" s="515">
        <f>+SUMIF('13.mell_ÖNKfeladatok2020'!$B$171:$B$329,'14.mell_Önk kiegészítés2020'!$A101,'13.mell_ÖNKfeladatok2020'!T$171:T$329)</f>
        <v>0</v>
      </c>
      <c r="M101" s="515">
        <f>+SUMIF('13.mell_ÖNKfeladatok2020'!$B$171:$B$329,'14.mell_Önk kiegészítés2020'!$A101,'13.mell_ÖNKfeladatok2020'!X$171:X$329)</f>
        <v>0</v>
      </c>
      <c r="N101" s="515">
        <f>+SUMIF('13.mell_ÖNKfeladatok2020'!$B$171:$B$329,'14.mell_Önk kiegészítés2020'!$A101,'13.mell_ÖNKfeladatok2020'!AB$171:AB$329)</f>
        <v>0</v>
      </c>
      <c r="O101" s="515">
        <f>+SUMIF('13.mell_ÖNKfeladatok2020'!$B$171:$B$329,'14.mell_Önk kiegészítés2020'!$A101,'13.mell_ÖNKfeladatok2020'!AF$171:AF$329)</f>
        <v>0</v>
      </c>
      <c r="P101" s="515">
        <f>+SUMIF('13.mell_ÖNKfeladatok2020'!$B$171:$B$329,'14.mell_Önk kiegészítés2020'!$A101,'13.mell_ÖNKfeladatok2020'!AN$171:AN$329)</f>
        <v>0</v>
      </c>
      <c r="Q101" s="515">
        <f>+SUMIF('13.mell_ÖNKfeladatok2020'!$B$171:$B$329,'14.mell_Önk kiegészítés2020'!$A101,'13.mell_ÖNKfeladatok2020'!AR$171:AR$329)</f>
        <v>0</v>
      </c>
      <c r="R101" s="515">
        <f>+SUMIF('13.mell_ÖNKfeladatok2020'!$B$171:$B$329,'14.mell_Önk kiegészítés2020'!$A101,'13.mell_ÖNKfeladatok2020'!AV$171:AV$329)</f>
        <v>0</v>
      </c>
      <c r="S101" s="554">
        <f>SUM(K101:R101)</f>
        <v>0</v>
      </c>
      <c r="T101" s="516">
        <f>S101-J101</f>
        <v>0</v>
      </c>
      <c r="U101" s="1043">
        <f>+ROUND(SUMIF('10.mell_támogatások2020'!$B$6:$B$137,'14.mell_Önk kiegészítés2020'!$A101,'10.mell_támogatások2020'!E$6:E$137)/1000,0)</f>
        <v>0</v>
      </c>
      <c r="V101" s="1023"/>
      <c r="W101" s="516">
        <f>+T101-U101-V101</f>
        <v>0</v>
      </c>
    </row>
    <row r="102" spans="1:42" s="507" customFormat="1" ht="12.75" thickBot="1">
      <c r="A102" s="519" t="s">
        <v>746</v>
      </c>
      <c r="B102" s="520" t="s">
        <v>867</v>
      </c>
      <c r="C102" s="521">
        <f>SUM(C101)</f>
        <v>0</v>
      </c>
      <c r="D102" s="522">
        <f t="shared" ref="D102:W102" si="41">SUM(D101)</f>
        <v>0</v>
      </c>
      <c r="E102" s="522">
        <f t="shared" si="41"/>
        <v>0</v>
      </c>
      <c r="F102" s="522">
        <f t="shared" si="41"/>
        <v>0</v>
      </c>
      <c r="G102" s="522">
        <f t="shared" si="41"/>
        <v>0</v>
      </c>
      <c r="H102" s="522">
        <f t="shared" si="41"/>
        <v>0</v>
      </c>
      <c r="I102" s="525">
        <f t="shared" si="41"/>
        <v>0</v>
      </c>
      <c r="J102" s="524">
        <f t="shared" si="41"/>
        <v>0</v>
      </c>
      <c r="K102" s="521">
        <f t="shared" si="41"/>
        <v>0</v>
      </c>
      <c r="L102" s="521">
        <f t="shared" si="41"/>
        <v>0</v>
      </c>
      <c r="M102" s="521">
        <f t="shared" si="41"/>
        <v>0</v>
      </c>
      <c r="N102" s="521">
        <f t="shared" si="41"/>
        <v>0</v>
      </c>
      <c r="O102" s="521">
        <f t="shared" si="41"/>
        <v>0</v>
      </c>
      <c r="P102" s="521">
        <f t="shared" si="41"/>
        <v>0</v>
      </c>
      <c r="Q102" s="521">
        <f t="shared" si="41"/>
        <v>0</v>
      </c>
      <c r="R102" s="521">
        <f t="shared" si="41"/>
        <v>0</v>
      </c>
      <c r="S102" s="524">
        <f t="shared" si="41"/>
        <v>0</v>
      </c>
      <c r="T102" s="524">
        <f t="shared" si="41"/>
        <v>0</v>
      </c>
      <c r="U102" s="1044">
        <f t="shared" si="41"/>
        <v>0</v>
      </c>
      <c r="V102" s="525">
        <f t="shared" si="41"/>
        <v>0</v>
      </c>
      <c r="W102" s="524">
        <f t="shared" si="41"/>
        <v>0</v>
      </c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1"/>
    </row>
    <row r="103" spans="1:42" s="507" customFormat="1" ht="12.75" thickBot="1">
      <c r="A103" s="528" t="s">
        <v>22</v>
      </c>
      <c r="B103" s="529" t="s">
        <v>868</v>
      </c>
      <c r="C103" s="530">
        <f>+C96+C100+C102</f>
        <v>37930</v>
      </c>
      <c r="D103" s="531">
        <f t="shared" ref="D103:W103" si="42">+D96+D100+D102</f>
        <v>10</v>
      </c>
      <c r="E103" s="531">
        <f t="shared" si="42"/>
        <v>48097</v>
      </c>
      <c r="F103" s="531">
        <f t="shared" si="42"/>
        <v>0</v>
      </c>
      <c r="G103" s="531">
        <f t="shared" si="42"/>
        <v>0</v>
      </c>
      <c r="H103" s="531">
        <f t="shared" si="42"/>
        <v>0</v>
      </c>
      <c r="I103" s="532">
        <f t="shared" si="42"/>
        <v>0</v>
      </c>
      <c r="J103" s="533">
        <f t="shared" si="42"/>
        <v>86037</v>
      </c>
      <c r="K103" s="530">
        <f t="shared" si="42"/>
        <v>308703</v>
      </c>
      <c r="L103" s="530">
        <f t="shared" si="42"/>
        <v>56625</v>
      </c>
      <c r="M103" s="530">
        <f t="shared" si="42"/>
        <v>89026</v>
      </c>
      <c r="N103" s="530">
        <f t="shared" si="42"/>
        <v>0</v>
      </c>
      <c r="O103" s="530">
        <f t="shared" si="42"/>
        <v>464</v>
      </c>
      <c r="P103" s="530">
        <f t="shared" si="42"/>
        <v>6799</v>
      </c>
      <c r="Q103" s="530">
        <f t="shared" si="42"/>
        <v>0</v>
      </c>
      <c r="R103" s="530">
        <f t="shared" si="42"/>
        <v>0</v>
      </c>
      <c r="S103" s="533">
        <f t="shared" si="42"/>
        <v>461617</v>
      </c>
      <c r="T103" s="533">
        <f t="shared" si="42"/>
        <v>375580</v>
      </c>
      <c r="U103" s="1046">
        <f t="shared" si="42"/>
        <v>173174</v>
      </c>
      <c r="V103" s="532">
        <f t="shared" si="42"/>
        <v>-40591</v>
      </c>
      <c r="W103" s="533">
        <f t="shared" si="42"/>
        <v>242997</v>
      </c>
      <c r="Y103" s="507">
        <f>+'13.mell_ÖNKfeladatok2020'!$H$113-J103</f>
        <v>0</v>
      </c>
      <c r="Z103" s="507">
        <f>+'13.mell_ÖNKfeladatok2020'!$H$279-S103</f>
        <v>0</v>
      </c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1"/>
    </row>
    <row r="104" spans="1:42" s="507" customFormat="1" ht="12.75" thickBot="1">
      <c r="A104" s="539"/>
      <c r="B104" s="540"/>
      <c r="C104" s="541"/>
      <c r="D104" s="541"/>
      <c r="E104" s="541"/>
      <c r="F104" s="541"/>
      <c r="G104" s="541"/>
      <c r="H104" s="541"/>
      <c r="I104" s="823"/>
      <c r="J104" s="544"/>
      <c r="K104" s="541"/>
      <c r="L104" s="541"/>
      <c r="M104" s="541"/>
      <c r="N104" s="541"/>
      <c r="O104" s="541"/>
      <c r="P104" s="541"/>
      <c r="Q104" s="541"/>
      <c r="R104" s="541"/>
      <c r="S104" s="544"/>
      <c r="T104" s="544"/>
      <c r="U104" s="823"/>
      <c r="V104" s="543"/>
      <c r="W104" s="544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</row>
    <row r="105" spans="1:42">
      <c r="A105" s="783">
        <f>+A101+1</f>
        <v>19</v>
      </c>
      <c r="B105" s="695" t="s">
        <v>1074</v>
      </c>
      <c r="C105" s="826">
        <f>+SUMIF('13.mell_ÖNKfeladatok2020'!$B$5:$B$163,'14.mell_Önk kiegészítés2020'!$A105,'13.mell_ÖNKfeladatok2020'!P$5:P$163)</f>
        <v>0</v>
      </c>
      <c r="D105" s="826">
        <f>+SUMIF('13.mell_ÖNKfeladatok2020'!$B$5:$B$163,'14.mell_Önk kiegészítés2020'!$A105,'13.mell_ÖNKfeladatok2020'!T$5:T$163)</f>
        <v>0</v>
      </c>
      <c r="E105" s="826">
        <f>+SUMIF('13.mell_ÖNKfeladatok2020'!$B$5:$B$163,'14.mell_Önk kiegészítés2020'!$A105,'13.mell_ÖNKfeladatok2020'!X$5:X$163)</f>
        <v>2573</v>
      </c>
      <c r="F105" s="826">
        <f>+SUMIF('13.mell_ÖNKfeladatok2020'!$B$5:$B$163,'14.mell_Önk kiegészítés2020'!$A105,'13.mell_ÖNKfeladatok2020'!AB$5:AB$163)</f>
        <v>0</v>
      </c>
      <c r="G105" s="826">
        <f>+SUMIF('13.mell_ÖNKfeladatok2020'!$B$5:$B$163,'14.mell_Önk kiegészítés2020'!$A105,'13.mell_ÖNKfeladatok2020'!AJ$5:AJ$163)</f>
        <v>0</v>
      </c>
      <c r="H105" s="826">
        <f>+SUMIF('13.mell_ÖNKfeladatok2020'!$B$5:$B$163,'14.mell_Önk kiegészítés2020'!$A105,'13.mell_ÖNKfeladatok2020'!AN$5:AN$163)</f>
        <v>0</v>
      </c>
      <c r="I105" s="826">
        <f>+SUMIF('13.mell_ÖNKfeladatok2020'!$B$5:$B$163,'14.mell_Önk kiegészítés2020'!$A105,'13.mell_ÖNKfeladatok2020'!AR$5:AR$163)</f>
        <v>0</v>
      </c>
      <c r="J105" s="696">
        <f>SUM(C105:I105)</f>
        <v>2573</v>
      </c>
      <c r="K105" s="826">
        <f>+SUMIF('13.mell_ÖNKfeladatok2020'!$B$171:$B$329,'14.mell_Önk kiegészítés2020'!$A105,'13.mell_ÖNKfeladatok2020'!P$171:P$329)</f>
        <v>227908</v>
      </c>
      <c r="L105" s="826">
        <f>+SUMIF('13.mell_ÖNKfeladatok2020'!$B$171:$B$329,'14.mell_Önk kiegészítés2020'!$A105,'13.mell_ÖNKfeladatok2020'!T$171:T$329)</f>
        <v>50201</v>
      </c>
      <c r="M105" s="826">
        <f>+SUMIF('13.mell_ÖNKfeladatok2020'!$B$171:$B$329,'14.mell_Önk kiegészítés2020'!$A105,'13.mell_ÖNKfeladatok2020'!X$171:X$329)</f>
        <v>24613</v>
      </c>
      <c r="N105" s="826">
        <f>+SUMIF('13.mell_ÖNKfeladatok2020'!$B$171:$B$329,'14.mell_Önk kiegészítés2020'!$A105,'13.mell_ÖNKfeladatok2020'!AB$171:AB$329)</f>
        <v>0</v>
      </c>
      <c r="O105" s="826">
        <f>+SUMIF('13.mell_ÖNKfeladatok2020'!$B$171:$B$329,'14.mell_Önk kiegészítés2020'!$A105,'13.mell_ÖNKfeladatok2020'!AF$171:AF$329)</f>
        <v>315</v>
      </c>
      <c r="P105" s="826">
        <f>+SUMIF('13.mell_ÖNKfeladatok2020'!$B$171:$B$329,'14.mell_Önk kiegészítés2020'!$A105,'13.mell_ÖNKfeladatok2020'!AN$171:AN$329)</f>
        <v>275</v>
      </c>
      <c r="Q105" s="826">
        <f>+SUMIF('13.mell_ÖNKfeladatok2020'!$B$171:$B$329,'14.mell_Önk kiegészítés2020'!$A105,'13.mell_ÖNKfeladatok2020'!AR$171:AR$329)</f>
        <v>0</v>
      </c>
      <c r="R105" s="826">
        <f>+SUMIF('13.mell_ÖNKfeladatok2020'!$B$171:$B$329,'14.mell_Önk kiegészítés2020'!$A105,'13.mell_ÖNKfeladatok2020'!AV$171:AV$329)</f>
        <v>0</v>
      </c>
      <c r="S105" s="696">
        <f>SUM(K105:R105)</f>
        <v>303312</v>
      </c>
      <c r="T105" s="697">
        <f>S105-J105</f>
        <v>300739</v>
      </c>
      <c r="U105" s="1047">
        <f>+ROUND(SUMIF('10.mell_támogatások2020'!$B$6:$B$137,'14.mell_Önk kiegészítés2020'!$A105,'10.mell_támogatások2020'!E$6:E$137)/1000,0)</f>
        <v>259126</v>
      </c>
      <c r="V105" s="1025">
        <v>69</v>
      </c>
      <c r="W105" s="697">
        <f>+T105-U105-V105</f>
        <v>41544</v>
      </c>
      <c r="AG105" s="261">
        <f>((24+4)+(18+3))+(17+3)</f>
        <v>69</v>
      </c>
    </row>
    <row r="106" spans="1:42">
      <c r="A106" s="784">
        <f>+A105+1</f>
        <v>20</v>
      </c>
      <c r="B106" s="514" t="s">
        <v>1147</v>
      </c>
      <c r="C106" s="515">
        <f>+SUMIF('13.mell_ÖNKfeladatok2020'!$B$5:$B$163,'14.mell_Önk kiegészítés2020'!$A106,'13.mell_ÖNKfeladatok2020'!P$5:P$163)</f>
        <v>0</v>
      </c>
      <c r="D106" s="515">
        <f>+SUMIF('13.mell_ÖNKfeladatok2020'!$B$5:$B$163,'14.mell_Önk kiegészítés2020'!$A106,'13.mell_ÖNKfeladatok2020'!T$5:T$163)</f>
        <v>0</v>
      </c>
      <c r="E106" s="515">
        <f>+SUMIF('13.mell_ÖNKfeladatok2020'!$B$5:$B$163,'14.mell_Önk kiegészítés2020'!$A106,'13.mell_ÖNKfeladatok2020'!X$5:X$163)</f>
        <v>8773</v>
      </c>
      <c r="F106" s="515">
        <f>+SUMIF('13.mell_ÖNKfeladatok2020'!$B$5:$B$163,'14.mell_Önk kiegészítés2020'!$A106,'13.mell_ÖNKfeladatok2020'!AB$5:AB$163)</f>
        <v>0</v>
      </c>
      <c r="G106" s="515">
        <f>+SUMIF('13.mell_ÖNKfeladatok2020'!$B$5:$B$163,'14.mell_Önk kiegészítés2020'!$A106,'13.mell_ÖNKfeladatok2020'!AJ$5:AJ$163)</f>
        <v>0</v>
      </c>
      <c r="H106" s="515">
        <f>+SUMIF('13.mell_ÖNKfeladatok2020'!$B$5:$B$163,'14.mell_Önk kiegészítés2020'!$A106,'13.mell_ÖNKfeladatok2020'!AN$5:AN$163)</f>
        <v>0</v>
      </c>
      <c r="I106" s="515">
        <f>+SUMIF('13.mell_ÖNKfeladatok2020'!$B$5:$B$163,'14.mell_Önk kiegészítés2020'!$A106,'13.mell_ÖNKfeladatok2020'!AR$5:AR$163)</f>
        <v>0</v>
      </c>
      <c r="J106" s="554">
        <f>SUM(C106:I106)</f>
        <v>8773</v>
      </c>
      <c r="K106" s="515">
        <f>+SUMIF('13.mell_ÖNKfeladatok2020'!$B$171:$B$329,'14.mell_Önk kiegészítés2020'!$A106,'13.mell_ÖNKfeladatok2020'!P$171:P$329)</f>
        <v>0</v>
      </c>
      <c r="L106" s="515">
        <f>+SUMIF('13.mell_ÖNKfeladatok2020'!$B$171:$B$329,'14.mell_Önk kiegészítés2020'!$A106,'13.mell_ÖNKfeladatok2020'!T$171:T$329)</f>
        <v>0</v>
      </c>
      <c r="M106" s="515">
        <f>+SUMIF('13.mell_ÖNKfeladatok2020'!$B$171:$B$329,'14.mell_Önk kiegészítés2020'!$A106,'13.mell_ÖNKfeladatok2020'!X$171:X$329)</f>
        <v>84967</v>
      </c>
      <c r="N106" s="515">
        <f>+SUMIF('13.mell_ÖNKfeladatok2020'!$B$171:$B$329,'14.mell_Önk kiegészítés2020'!$A106,'13.mell_ÖNKfeladatok2020'!AB$171:AB$329)</f>
        <v>0</v>
      </c>
      <c r="O106" s="515">
        <f>+SUMIF('13.mell_ÖNKfeladatok2020'!$B$171:$B$329,'14.mell_Önk kiegészítés2020'!$A106,'13.mell_ÖNKfeladatok2020'!AF$171:AF$329)</f>
        <v>0</v>
      </c>
      <c r="P106" s="515">
        <f>+SUMIF('13.mell_ÖNKfeladatok2020'!$B$171:$B$329,'14.mell_Önk kiegészítés2020'!$A106,'13.mell_ÖNKfeladatok2020'!AN$171:AN$329)</f>
        <v>0</v>
      </c>
      <c r="Q106" s="515">
        <f>+SUMIF('13.mell_ÖNKfeladatok2020'!$B$171:$B$329,'14.mell_Önk kiegészítés2020'!$A106,'13.mell_ÖNKfeladatok2020'!AR$171:AR$329)</f>
        <v>0</v>
      </c>
      <c r="R106" s="515">
        <f>+SUMIF('13.mell_ÖNKfeladatok2020'!$B$171:$B$329,'14.mell_Önk kiegészítés2020'!$A106,'13.mell_ÖNKfeladatok2020'!AV$171:AV$329)</f>
        <v>0</v>
      </c>
      <c r="S106" s="554">
        <f>SUM(K106:R106)</f>
        <v>84967</v>
      </c>
      <c r="T106" s="516">
        <f>S106-J106</f>
        <v>76194</v>
      </c>
      <c r="U106" s="1043">
        <f>+ROUND(SUMIF('10.mell_támogatások2020'!$B$6:$B$137,'14.mell_Önk kiegészítés2020'!$A106,'10.mell_támogatások2020'!E$6:E$137)/1000,0)</f>
        <v>78944</v>
      </c>
      <c r="V106" s="1023">
        <v>1592</v>
      </c>
      <c r="W106" s="516">
        <f>+T106-U106-V106</f>
        <v>-4342</v>
      </c>
      <c r="AI106" s="261">
        <v>1592</v>
      </c>
    </row>
    <row r="107" spans="1:42" ht="12.75" thickBot="1">
      <c r="A107" s="824">
        <f>+A106+1</f>
        <v>21</v>
      </c>
      <c r="B107" s="526" t="s">
        <v>1140</v>
      </c>
      <c r="C107" s="527">
        <f>+SUMIF('13.mell_ÖNKfeladatok2020'!$B$5:$B$163,'14.mell_Önk kiegészítés2020'!$A107,'13.mell_ÖNKfeladatok2020'!P$5:P$163)</f>
        <v>0</v>
      </c>
      <c r="D107" s="527">
        <f>+SUMIF('13.mell_ÖNKfeladatok2020'!$B$5:$B$163,'14.mell_Önk kiegészítés2020'!$A107,'13.mell_ÖNKfeladatok2020'!T$5:T$163)</f>
        <v>0</v>
      </c>
      <c r="E107" s="527">
        <f>+SUMIF('13.mell_ÖNKfeladatok2020'!$B$5:$B$163,'14.mell_Önk kiegészítés2020'!$A107,'13.mell_ÖNKfeladatok2020'!X$5:X$163)</f>
        <v>0</v>
      </c>
      <c r="F107" s="527">
        <f>+SUMIF('13.mell_ÖNKfeladatok2020'!$B$5:$B$163,'14.mell_Önk kiegészítés2020'!$A107,'13.mell_ÖNKfeladatok2020'!AB$5:AB$163)</f>
        <v>0</v>
      </c>
      <c r="G107" s="527">
        <f>+SUMIF('13.mell_ÖNKfeladatok2020'!$B$5:$B$163,'14.mell_Önk kiegészítés2020'!$A107,'13.mell_ÖNKfeladatok2020'!AJ$5:AJ$163)</f>
        <v>0</v>
      </c>
      <c r="H107" s="527">
        <f>+SUMIF('13.mell_ÖNKfeladatok2020'!$B$5:$B$163,'14.mell_Önk kiegészítés2020'!$A107,'13.mell_ÖNKfeladatok2020'!AN$5:AN$163)</f>
        <v>0</v>
      </c>
      <c r="I107" s="527">
        <f>+SUMIF('13.mell_ÖNKfeladatok2020'!$B$5:$B$163,'14.mell_Önk kiegészítés2020'!$A107,'13.mell_ÖNKfeladatok2020'!AR$5:AR$163)</f>
        <v>0</v>
      </c>
      <c r="J107" s="556">
        <f>SUM(C107:I107)</f>
        <v>0</v>
      </c>
      <c r="K107" s="512">
        <f>+SUMIF('13.mell_ÖNKfeladatok2020'!$B$171:$B$329,'14.mell_Önk kiegészítés2020'!$A107,'13.mell_ÖNKfeladatok2020'!P$171:P$329)</f>
        <v>37813</v>
      </c>
      <c r="L107" s="512">
        <f>+SUMIF('13.mell_ÖNKfeladatok2020'!$B$171:$B$329,'14.mell_Önk kiegészítés2020'!$A107,'13.mell_ÖNKfeladatok2020'!T$171:T$329)</f>
        <v>7301</v>
      </c>
      <c r="M107" s="512">
        <f>+SUMIF('13.mell_ÖNKfeladatok2020'!$B$171:$B$329,'14.mell_Önk kiegészítés2020'!$A107,'13.mell_ÖNKfeladatok2020'!X$171:X$329)</f>
        <v>3649</v>
      </c>
      <c r="N107" s="512">
        <f>+SUMIF('13.mell_ÖNKfeladatok2020'!$B$171:$B$329,'14.mell_Önk kiegészítés2020'!$A107,'13.mell_ÖNKfeladatok2020'!AB$171:AB$329)</f>
        <v>0</v>
      </c>
      <c r="O107" s="512">
        <f>+SUMIF('13.mell_ÖNKfeladatok2020'!$B$171:$B$329,'14.mell_Önk kiegészítés2020'!$A107,'13.mell_ÖNKfeladatok2020'!AF$171:AF$329)</f>
        <v>0</v>
      </c>
      <c r="P107" s="512">
        <f>+SUMIF('13.mell_ÖNKfeladatok2020'!$B$171:$B$329,'14.mell_Önk kiegészítés2020'!$A107,'13.mell_ÖNKfeladatok2020'!AN$171:AN$329)</f>
        <v>405</v>
      </c>
      <c r="Q107" s="512">
        <f>+SUMIF('13.mell_ÖNKfeladatok2020'!$B$171:$B$329,'14.mell_Önk kiegészítés2020'!$A107,'13.mell_ÖNKfeladatok2020'!AR$171:AR$329)</f>
        <v>0</v>
      </c>
      <c r="R107" s="512">
        <f>+SUMIF('13.mell_ÖNKfeladatok2020'!$B$171:$B$329,'14.mell_Önk kiegészítés2020'!$A107,'13.mell_ÖNKfeladatok2020'!AV$171:AV$329)</f>
        <v>0</v>
      </c>
      <c r="S107" s="553">
        <f>SUM(K107:R107)</f>
        <v>49168</v>
      </c>
      <c r="T107" s="513">
        <f>S107-J107</f>
        <v>49168</v>
      </c>
      <c r="U107" s="1042">
        <f>+ROUND(SUMIF('10.mell_támogatások2020'!$B$6:$B$137,'14.mell_Önk kiegészítés2020'!$A107,'10.mell_támogatások2020'!E$6:E$137)/1000,0)</f>
        <v>31525</v>
      </c>
      <c r="V107" s="1022"/>
      <c r="W107" s="513">
        <f>+T107-U107-V107</f>
        <v>17643</v>
      </c>
    </row>
    <row r="108" spans="1:42" s="507" customFormat="1" ht="12.75" thickBot="1">
      <c r="A108" s="343" t="s">
        <v>747</v>
      </c>
      <c r="B108" s="471" t="s">
        <v>417</v>
      </c>
      <c r="C108" s="521">
        <f>SUM(C105:C107)</f>
        <v>0</v>
      </c>
      <c r="D108" s="521">
        <f t="shared" ref="D108:W108" si="43">SUM(D105:D107)</f>
        <v>0</v>
      </c>
      <c r="E108" s="521">
        <f t="shared" si="43"/>
        <v>11346</v>
      </c>
      <c r="F108" s="521">
        <f t="shared" si="43"/>
        <v>0</v>
      </c>
      <c r="G108" s="521">
        <f t="shared" si="43"/>
        <v>0</v>
      </c>
      <c r="H108" s="521">
        <f t="shared" si="43"/>
        <v>0</v>
      </c>
      <c r="I108" s="521">
        <f t="shared" si="43"/>
        <v>0</v>
      </c>
      <c r="J108" s="524">
        <f t="shared" si="43"/>
        <v>11346</v>
      </c>
      <c r="K108" s="521">
        <f t="shared" si="43"/>
        <v>265721</v>
      </c>
      <c r="L108" s="521">
        <f t="shared" si="43"/>
        <v>57502</v>
      </c>
      <c r="M108" s="521">
        <f t="shared" si="43"/>
        <v>113229</v>
      </c>
      <c r="N108" s="521">
        <f t="shared" si="43"/>
        <v>0</v>
      </c>
      <c r="O108" s="521">
        <f t="shared" si="43"/>
        <v>315</v>
      </c>
      <c r="P108" s="521">
        <f t="shared" si="43"/>
        <v>680</v>
      </c>
      <c r="Q108" s="521">
        <f t="shared" si="43"/>
        <v>0</v>
      </c>
      <c r="R108" s="521">
        <f t="shared" si="43"/>
        <v>0</v>
      </c>
      <c r="S108" s="524">
        <f t="shared" si="43"/>
        <v>437447</v>
      </c>
      <c r="T108" s="524">
        <f t="shared" si="43"/>
        <v>426101</v>
      </c>
      <c r="U108" s="1044">
        <f t="shared" si="43"/>
        <v>369595</v>
      </c>
      <c r="V108" s="525">
        <f t="shared" si="43"/>
        <v>1661</v>
      </c>
      <c r="W108" s="524">
        <f t="shared" si="43"/>
        <v>54845</v>
      </c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  <c r="AM108" s="261"/>
      <c r="AN108" s="261"/>
      <c r="AO108" s="261"/>
      <c r="AP108" s="261"/>
    </row>
    <row r="109" spans="1:42" ht="12.75" thickBot="1">
      <c r="A109" s="827">
        <f>+A107+1</f>
        <v>22</v>
      </c>
      <c r="B109" s="526" t="s">
        <v>418</v>
      </c>
      <c r="C109" s="527">
        <f>+SUMIF('13.mell_ÖNKfeladatok2020'!$B$5:$B$163,'14.mell_Önk kiegészítés2020'!$A109,'13.mell_ÖNKfeladatok2020'!P$5:P$163)</f>
        <v>0</v>
      </c>
      <c r="D109" s="527">
        <f>+SUMIF('13.mell_ÖNKfeladatok2020'!$B$5:$B$163,'14.mell_Önk kiegészítés2020'!$A109,'13.mell_ÖNKfeladatok2020'!T$5:T$163)</f>
        <v>0</v>
      </c>
      <c r="E109" s="527">
        <f>+SUMIF('13.mell_ÖNKfeladatok2020'!$B$5:$B$163,'14.mell_Önk kiegészítés2020'!$A109,'13.mell_ÖNKfeladatok2020'!X$5:X$163)</f>
        <v>0</v>
      </c>
      <c r="F109" s="527">
        <f>+SUMIF('13.mell_ÖNKfeladatok2020'!$B$5:$B$163,'14.mell_Önk kiegészítés2020'!$A109,'13.mell_ÖNKfeladatok2020'!AB$5:AB$163)</f>
        <v>0</v>
      </c>
      <c r="G109" s="527">
        <f>+SUMIF('13.mell_ÖNKfeladatok2020'!$B$5:$B$163,'14.mell_Önk kiegészítés2020'!$A109,'13.mell_ÖNKfeladatok2020'!AJ$5:AJ$163)</f>
        <v>0</v>
      </c>
      <c r="H109" s="527">
        <f>+SUMIF('13.mell_ÖNKfeladatok2020'!$B$5:$B$163,'14.mell_Önk kiegészítés2020'!$A109,'13.mell_ÖNKfeladatok2020'!AN$5:AN$163)</f>
        <v>0</v>
      </c>
      <c r="I109" s="527">
        <f>+SUMIF('13.mell_ÖNKfeladatok2020'!$B$5:$B$163,'14.mell_Önk kiegészítés2020'!$A109,'13.mell_ÖNKfeladatok2020'!AR$5:AR$163)</f>
        <v>0</v>
      </c>
      <c r="J109" s="556">
        <f>SUM(C109:I109)</f>
        <v>0</v>
      </c>
      <c r="K109" s="518">
        <f>+SUMIF('13.mell_ÖNKfeladatok2020'!$B$171:$B$329,'14.mell_Önk kiegészítés2020'!$A109,'13.mell_ÖNKfeladatok2020'!P$171:P$329)</f>
        <v>0</v>
      </c>
      <c r="L109" s="518">
        <f>+SUMIF('13.mell_ÖNKfeladatok2020'!$B$171:$B$329,'14.mell_Önk kiegészítés2020'!$A109,'13.mell_ÖNKfeladatok2020'!T$171:T$329)</f>
        <v>0</v>
      </c>
      <c r="M109" s="518">
        <f>+SUMIF('13.mell_ÖNKfeladatok2020'!$B$171:$B$329,'14.mell_Önk kiegészítés2020'!$A109,'13.mell_ÖNKfeladatok2020'!X$171:X$329)</f>
        <v>0</v>
      </c>
      <c r="N109" s="518">
        <f>+SUMIF('13.mell_ÖNKfeladatok2020'!$B$171:$B$329,'14.mell_Önk kiegészítés2020'!$A109,'13.mell_ÖNKfeladatok2020'!AB$171:AB$329)</f>
        <v>0</v>
      </c>
      <c r="O109" s="518">
        <f>+SUMIF('13.mell_ÖNKfeladatok2020'!$B$171:$B$329,'14.mell_Önk kiegészítés2020'!$A109,'13.mell_ÖNKfeladatok2020'!AF$171:AF$329)</f>
        <v>0</v>
      </c>
      <c r="P109" s="518">
        <f>+SUMIF('13.mell_ÖNKfeladatok2020'!$B$171:$B$329,'14.mell_Önk kiegészítés2020'!$A109,'13.mell_ÖNKfeladatok2020'!AN$171:AN$329)</f>
        <v>0</v>
      </c>
      <c r="Q109" s="518">
        <f>+SUMIF('13.mell_ÖNKfeladatok2020'!$B$171:$B$329,'14.mell_Önk kiegészítés2020'!$A109,'13.mell_ÖNKfeladatok2020'!AR$171:AR$329)</f>
        <v>0</v>
      </c>
      <c r="R109" s="518">
        <f>+SUMIF('13.mell_ÖNKfeladatok2020'!$B$171:$B$329,'14.mell_Önk kiegészítés2020'!$A109,'13.mell_ÖNKfeladatok2020'!AV$171:AV$329)</f>
        <v>0</v>
      </c>
      <c r="S109" s="555">
        <f>SUM(K109:R109)</f>
        <v>0</v>
      </c>
      <c r="T109" s="828">
        <f>S109-J109</f>
        <v>0</v>
      </c>
      <c r="U109" s="1048">
        <f>+ROUND(SUMIF('10.mell_támogatások2020'!$B$6:$B$137,'14.mell_Önk kiegészítés2020'!$A109,'10.mell_támogatások2020'!E$6:E$137)/1000,0)</f>
        <v>0</v>
      </c>
      <c r="V109" s="1026"/>
      <c r="W109" s="828">
        <f>+T109-U109-V109</f>
        <v>0</v>
      </c>
    </row>
    <row r="110" spans="1:42" s="507" customFormat="1" ht="12.75" thickBot="1">
      <c r="A110" s="343" t="s">
        <v>748</v>
      </c>
      <c r="B110" s="471" t="s">
        <v>418</v>
      </c>
      <c r="C110" s="521">
        <f>SUM(C109)</f>
        <v>0</v>
      </c>
      <c r="D110" s="521">
        <f t="shared" ref="D110:W110" si="44">SUM(D109)</f>
        <v>0</v>
      </c>
      <c r="E110" s="521">
        <f t="shared" si="44"/>
        <v>0</v>
      </c>
      <c r="F110" s="521">
        <f t="shared" si="44"/>
        <v>0</v>
      </c>
      <c r="G110" s="521">
        <f t="shared" si="44"/>
        <v>0</v>
      </c>
      <c r="H110" s="521">
        <f t="shared" si="44"/>
        <v>0</v>
      </c>
      <c r="I110" s="521">
        <f t="shared" si="44"/>
        <v>0</v>
      </c>
      <c r="J110" s="524">
        <f t="shared" si="44"/>
        <v>0</v>
      </c>
      <c r="K110" s="521">
        <f t="shared" si="44"/>
        <v>0</v>
      </c>
      <c r="L110" s="521">
        <f t="shared" si="44"/>
        <v>0</v>
      </c>
      <c r="M110" s="521">
        <f t="shared" si="44"/>
        <v>0</v>
      </c>
      <c r="N110" s="521">
        <f t="shared" si="44"/>
        <v>0</v>
      </c>
      <c r="O110" s="521">
        <f t="shared" si="44"/>
        <v>0</v>
      </c>
      <c r="P110" s="521">
        <f t="shared" si="44"/>
        <v>0</v>
      </c>
      <c r="Q110" s="521">
        <f t="shared" si="44"/>
        <v>0</v>
      </c>
      <c r="R110" s="521">
        <f t="shared" si="44"/>
        <v>0</v>
      </c>
      <c r="S110" s="524">
        <f t="shared" si="44"/>
        <v>0</v>
      </c>
      <c r="T110" s="524">
        <f t="shared" si="44"/>
        <v>0</v>
      </c>
      <c r="U110" s="1044">
        <f t="shared" si="44"/>
        <v>0</v>
      </c>
      <c r="V110" s="525">
        <f t="shared" si="44"/>
        <v>0</v>
      </c>
      <c r="W110" s="524">
        <f t="shared" si="44"/>
        <v>0</v>
      </c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1"/>
    </row>
    <row r="111" spans="1:42" ht="12.75" thickBot="1">
      <c r="A111" s="827">
        <f>+A109+1</f>
        <v>23</v>
      </c>
      <c r="B111" s="526" t="s">
        <v>766</v>
      </c>
      <c r="C111" s="527">
        <f>+SUMIF('13.mell_ÖNKfeladatok2020'!$B$5:$B$163,'14.mell_Önk kiegészítés2020'!$A111,'13.mell_ÖNKfeladatok2020'!P$5:P$163)</f>
        <v>0</v>
      </c>
      <c r="D111" s="527">
        <f>+SUMIF('13.mell_ÖNKfeladatok2020'!$B$5:$B$163,'14.mell_Önk kiegészítés2020'!$A111,'13.mell_ÖNKfeladatok2020'!T$5:T$163)</f>
        <v>0</v>
      </c>
      <c r="E111" s="527">
        <f>+SUMIF('13.mell_ÖNKfeladatok2020'!$B$5:$B$163,'14.mell_Önk kiegészítés2020'!$A111,'13.mell_ÖNKfeladatok2020'!X$5:X$163)</f>
        <v>0</v>
      </c>
      <c r="F111" s="527">
        <f>+SUMIF('13.mell_ÖNKfeladatok2020'!$B$5:$B$163,'14.mell_Önk kiegészítés2020'!$A111,'13.mell_ÖNKfeladatok2020'!AB$5:AB$163)</f>
        <v>0</v>
      </c>
      <c r="G111" s="527">
        <f>+SUMIF('13.mell_ÖNKfeladatok2020'!$B$5:$B$163,'14.mell_Önk kiegészítés2020'!$A111,'13.mell_ÖNKfeladatok2020'!AJ$5:AJ$163)</f>
        <v>0</v>
      </c>
      <c r="H111" s="527">
        <f>+SUMIF('13.mell_ÖNKfeladatok2020'!$B$5:$B$163,'14.mell_Önk kiegészítés2020'!$A111,'13.mell_ÖNKfeladatok2020'!AN$5:AN$163)</f>
        <v>0</v>
      </c>
      <c r="I111" s="527">
        <f>+SUMIF('13.mell_ÖNKfeladatok2020'!$B$5:$B$163,'14.mell_Önk kiegészítés2020'!$A111,'13.mell_ÖNKfeladatok2020'!AR$5:AR$163)</f>
        <v>0</v>
      </c>
      <c r="J111" s="556">
        <f>SUM(C111:I111)</f>
        <v>0</v>
      </c>
      <c r="K111" s="518">
        <f>+SUMIF('13.mell_ÖNKfeladatok2020'!$B$171:$B$329,'14.mell_Önk kiegészítés2020'!$A111,'13.mell_ÖNKfeladatok2020'!P$171:P$329)</f>
        <v>0</v>
      </c>
      <c r="L111" s="518">
        <f>+SUMIF('13.mell_ÖNKfeladatok2020'!$B$171:$B$329,'14.mell_Önk kiegészítés2020'!$A111,'13.mell_ÖNKfeladatok2020'!T$171:T$329)</f>
        <v>0</v>
      </c>
      <c r="M111" s="518">
        <f>+SUMIF('13.mell_ÖNKfeladatok2020'!$B$171:$B$329,'14.mell_Önk kiegészítés2020'!$A111,'13.mell_ÖNKfeladatok2020'!X$171:X$329)</f>
        <v>0</v>
      </c>
      <c r="N111" s="518">
        <f>+SUMIF('13.mell_ÖNKfeladatok2020'!$B$171:$B$329,'14.mell_Önk kiegészítés2020'!$A111,'13.mell_ÖNKfeladatok2020'!AB$171:AB$329)</f>
        <v>0</v>
      </c>
      <c r="O111" s="518">
        <f>+SUMIF('13.mell_ÖNKfeladatok2020'!$B$171:$B$329,'14.mell_Önk kiegészítés2020'!$A111,'13.mell_ÖNKfeladatok2020'!AF$171:AF$329)</f>
        <v>0</v>
      </c>
      <c r="P111" s="518">
        <f>+SUMIF('13.mell_ÖNKfeladatok2020'!$B$171:$B$329,'14.mell_Önk kiegészítés2020'!$A111,'13.mell_ÖNKfeladatok2020'!AN$171:AN$329)</f>
        <v>0</v>
      </c>
      <c r="Q111" s="518">
        <f>+SUMIF('13.mell_ÖNKfeladatok2020'!$B$171:$B$329,'14.mell_Önk kiegészítés2020'!$A111,'13.mell_ÖNKfeladatok2020'!AR$171:AR$329)</f>
        <v>0</v>
      </c>
      <c r="R111" s="518">
        <f>+SUMIF('13.mell_ÖNKfeladatok2020'!$B$171:$B$329,'14.mell_Önk kiegészítés2020'!$A111,'13.mell_ÖNKfeladatok2020'!AV$171:AV$329)</f>
        <v>0</v>
      </c>
      <c r="S111" s="555">
        <f>SUM(K111:R111)</f>
        <v>0</v>
      </c>
      <c r="T111" s="828">
        <f>S111-J111</f>
        <v>0</v>
      </c>
      <c r="U111" s="1048">
        <f>+ROUND(SUMIF('10.mell_támogatások2020'!$B$6:$B$137,'14.mell_Önk kiegészítés2020'!$A111,'10.mell_támogatások2020'!E$6:E$137)/1000,0)</f>
        <v>0</v>
      </c>
      <c r="V111" s="1026"/>
      <c r="W111" s="828">
        <f>+T111-U111-V111</f>
        <v>0</v>
      </c>
    </row>
    <row r="112" spans="1:42" s="507" customFormat="1" ht="12.75" thickBot="1">
      <c r="A112" s="343" t="s">
        <v>749</v>
      </c>
      <c r="B112" s="471" t="s">
        <v>766</v>
      </c>
      <c r="C112" s="521">
        <f>SUM(C111)</f>
        <v>0</v>
      </c>
      <c r="D112" s="521">
        <f t="shared" ref="D112:W112" si="45">SUM(D111)</f>
        <v>0</v>
      </c>
      <c r="E112" s="521">
        <f t="shared" si="45"/>
        <v>0</v>
      </c>
      <c r="F112" s="521">
        <f t="shared" si="45"/>
        <v>0</v>
      </c>
      <c r="G112" s="521">
        <f t="shared" si="45"/>
        <v>0</v>
      </c>
      <c r="H112" s="521">
        <f t="shared" si="45"/>
        <v>0</v>
      </c>
      <c r="I112" s="521">
        <f t="shared" si="45"/>
        <v>0</v>
      </c>
      <c r="J112" s="524">
        <f t="shared" si="45"/>
        <v>0</v>
      </c>
      <c r="K112" s="521">
        <f t="shared" si="45"/>
        <v>0</v>
      </c>
      <c r="L112" s="521">
        <f t="shared" si="45"/>
        <v>0</v>
      </c>
      <c r="M112" s="521">
        <f t="shared" si="45"/>
        <v>0</v>
      </c>
      <c r="N112" s="521">
        <f t="shared" si="45"/>
        <v>0</v>
      </c>
      <c r="O112" s="521">
        <f t="shared" si="45"/>
        <v>0</v>
      </c>
      <c r="P112" s="521">
        <f t="shared" si="45"/>
        <v>0</v>
      </c>
      <c r="Q112" s="521">
        <f t="shared" si="45"/>
        <v>0</v>
      </c>
      <c r="R112" s="521">
        <f t="shared" si="45"/>
        <v>0</v>
      </c>
      <c r="S112" s="524">
        <f t="shared" si="45"/>
        <v>0</v>
      </c>
      <c r="T112" s="524">
        <f t="shared" si="45"/>
        <v>0</v>
      </c>
      <c r="U112" s="1044">
        <f t="shared" si="45"/>
        <v>0</v>
      </c>
      <c r="V112" s="525">
        <f t="shared" si="45"/>
        <v>0</v>
      </c>
      <c r="W112" s="524">
        <f t="shared" si="45"/>
        <v>0</v>
      </c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</row>
    <row r="113" spans="1:42" s="507" customFormat="1" ht="12.75" thickBot="1">
      <c r="A113" s="473" t="s">
        <v>21</v>
      </c>
      <c r="B113" s="483" t="s">
        <v>419</v>
      </c>
      <c r="C113" s="530">
        <f>+C108+C110+C112</f>
        <v>0</v>
      </c>
      <c r="D113" s="531">
        <f t="shared" ref="D113:W113" si="46">+D108+D110+D112</f>
        <v>0</v>
      </c>
      <c r="E113" s="531">
        <f t="shared" si="46"/>
        <v>11346</v>
      </c>
      <c r="F113" s="531">
        <f t="shared" si="46"/>
        <v>0</v>
      </c>
      <c r="G113" s="531">
        <f t="shared" si="46"/>
        <v>0</v>
      </c>
      <c r="H113" s="531">
        <f t="shared" si="46"/>
        <v>0</v>
      </c>
      <c r="I113" s="532">
        <f t="shared" si="46"/>
        <v>0</v>
      </c>
      <c r="J113" s="533">
        <f t="shared" si="46"/>
        <v>11346</v>
      </c>
      <c r="K113" s="530">
        <f t="shared" si="46"/>
        <v>265721</v>
      </c>
      <c r="L113" s="530">
        <f t="shared" si="46"/>
        <v>57502</v>
      </c>
      <c r="M113" s="530">
        <f t="shared" si="46"/>
        <v>113229</v>
      </c>
      <c r="N113" s="530">
        <f t="shared" si="46"/>
        <v>0</v>
      </c>
      <c r="O113" s="530">
        <f t="shared" si="46"/>
        <v>315</v>
      </c>
      <c r="P113" s="530">
        <f t="shared" si="46"/>
        <v>680</v>
      </c>
      <c r="Q113" s="530">
        <f t="shared" si="46"/>
        <v>0</v>
      </c>
      <c r="R113" s="530">
        <f t="shared" si="46"/>
        <v>0</v>
      </c>
      <c r="S113" s="533">
        <f t="shared" si="46"/>
        <v>437447</v>
      </c>
      <c r="T113" s="533">
        <f t="shared" si="46"/>
        <v>426101</v>
      </c>
      <c r="U113" s="1046">
        <f t="shared" si="46"/>
        <v>369595</v>
      </c>
      <c r="V113" s="532">
        <f t="shared" si="46"/>
        <v>1661</v>
      </c>
      <c r="W113" s="533">
        <f t="shared" si="46"/>
        <v>54845</v>
      </c>
      <c r="Y113" s="507">
        <f>+'13.mell_ÖNKfeladatok2020'!$H$126-J113</f>
        <v>0</v>
      </c>
      <c r="Z113" s="507">
        <f>+'13.mell_ÖNKfeladatok2020'!$H$292-S113</f>
        <v>0</v>
      </c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</row>
    <row r="114" spans="1:42" s="194" customFormat="1" ht="12.75" thickBot="1">
      <c r="A114" s="343"/>
      <c r="B114" s="471"/>
      <c r="C114" s="541"/>
      <c r="D114" s="542"/>
      <c r="E114" s="542"/>
      <c r="F114" s="542"/>
      <c r="G114" s="542"/>
      <c r="H114" s="542"/>
      <c r="I114" s="543"/>
      <c r="J114" s="544"/>
      <c r="K114" s="541"/>
      <c r="L114" s="541"/>
      <c r="M114" s="541"/>
      <c r="N114" s="541"/>
      <c r="O114" s="541"/>
      <c r="P114" s="541"/>
      <c r="Q114" s="541"/>
      <c r="R114" s="541"/>
      <c r="S114" s="544"/>
      <c r="T114" s="544"/>
      <c r="U114" s="823"/>
      <c r="V114" s="543"/>
      <c r="W114" s="544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</row>
    <row r="115" spans="1:42">
      <c r="A115" s="783">
        <f>+A111+1</f>
        <v>24</v>
      </c>
      <c r="B115" s="695" t="s">
        <v>1084</v>
      </c>
      <c r="C115" s="826">
        <f>+SUMIF('13.mell_ÖNKfeladatok2020'!$B$5:$B$163,'14.mell_Önk kiegészítés2020'!$A115,'13.mell_ÖNKfeladatok2020'!P$5:P$163)</f>
        <v>0</v>
      </c>
      <c r="D115" s="826">
        <f>+SUMIF('13.mell_ÖNKfeladatok2020'!$B$5:$B$163,'14.mell_Önk kiegészítés2020'!$A115,'13.mell_ÖNKfeladatok2020'!T$5:T$163)</f>
        <v>0</v>
      </c>
      <c r="E115" s="826">
        <f>+SUMIF('13.mell_ÖNKfeladatok2020'!$B$5:$B$163,'14.mell_Önk kiegészítés2020'!$A115,'13.mell_ÖNKfeladatok2020'!X$5:X$163)</f>
        <v>0</v>
      </c>
      <c r="F115" s="826">
        <f>+SUMIF('13.mell_ÖNKfeladatok2020'!$B$5:$B$163,'14.mell_Önk kiegészítés2020'!$A115,'13.mell_ÖNKfeladatok2020'!AB$5:AB$163)</f>
        <v>0</v>
      </c>
      <c r="G115" s="826">
        <f>+SUMIF('13.mell_ÖNKfeladatok2020'!$B$5:$B$163,'14.mell_Önk kiegészítés2020'!$A115,'13.mell_ÖNKfeladatok2020'!AJ$5:AJ$163)</f>
        <v>0</v>
      </c>
      <c r="H115" s="826">
        <f>+SUMIF('13.mell_ÖNKfeladatok2020'!$B$5:$B$163,'14.mell_Önk kiegészítés2020'!$A115,'13.mell_ÖNKfeladatok2020'!AN$5:AN$163)</f>
        <v>0</v>
      </c>
      <c r="I115" s="826">
        <f>+SUMIF('13.mell_ÖNKfeladatok2020'!$B$5:$B$163,'14.mell_Önk kiegészítés2020'!$A115,'13.mell_ÖNKfeladatok2020'!AR$5:AR$163)</f>
        <v>0</v>
      </c>
      <c r="J115" s="696">
        <f>SUM(C115:I115)</f>
        <v>0</v>
      </c>
      <c r="K115" s="826">
        <f>+SUMIF('13.mell_ÖNKfeladatok2020'!$B$171:$B$329,'14.mell_Önk kiegészítés2020'!$A115,'13.mell_ÖNKfeladatok2020'!P$171:P$329)</f>
        <v>0</v>
      </c>
      <c r="L115" s="826">
        <f>+SUMIF('13.mell_ÖNKfeladatok2020'!$B$171:$B$329,'14.mell_Önk kiegészítés2020'!$A115,'13.mell_ÖNKfeladatok2020'!T$171:T$329)</f>
        <v>0</v>
      </c>
      <c r="M115" s="826">
        <f>+SUMIF('13.mell_ÖNKfeladatok2020'!$B$171:$B$329,'14.mell_Önk kiegészítés2020'!$A115,'13.mell_ÖNKfeladatok2020'!X$171:X$329)</f>
        <v>1684</v>
      </c>
      <c r="N115" s="826">
        <f>+SUMIF('13.mell_ÖNKfeladatok2020'!$B$171:$B$329,'14.mell_Önk kiegészítés2020'!$A115,'13.mell_ÖNKfeladatok2020'!AB$171:AB$329)</f>
        <v>0</v>
      </c>
      <c r="O115" s="826">
        <f>+SUMIF('13.mell_ÖNKfeladatok2020'!$B$171:$B$329,'14.mell_Önk kiegészítés2020'!$A115,'13.mell_ÖNKfeladatok2020'!AF$171:AF$329)</f>
        <v>0</v>
      </c>
      <c r="P115" s="826">
        <f>+SUMIF('13.mell_ÖNKfeladatok2020'!$B$171:$B$329,'14.mell_Önk kiegészítés2020'!$A115,'13.mell_ÖNKfeladatok2020'!AN$171:AN$329)</f>
        <v>0</v>
      </c>
      <c r="Q115" s="826">
        <f>+SUMIF('13.mell_ÖNKfeladatok2020'!$B$171:$B$329,'14.mell_Önk kiegészítés2020'!$A115,'13.mell_ÖNKfeladatok2020'!AR$171:AR$329)</f>
        <v>0</v>
      </c>
      <c r="R115" s="826">
        <f>+SUMIF('13.mell_ÖNKfeladatok2020'!$B$171:$B$329,'14.mell_Önk kiegészítés2020'!$A115,'13.mell_ÖNKfeladatok2020'!AV$171:AV$329)</f>
        <v>0</v>
      </c>
      <c r="S115" s="696">
        <f>SUM(K115:R115)</f>
        <v>1684</v>
      </c>
      <c r="T115" s="697">
        <f>S115-J115</f>
        <v>1684</v>
      </c>
      <c r="U115" s="1047">
        <f>+ROUND(SUMIF('10.mell_támogatások2020'!$B$6:$B$137,'14.mell_Önk kiegészítés2020'!$A115,'10.mell_támogatások2020'!E$6:E$137)/1000,0)</f>
        <v>360</v>
      </c>
      <c r="V115" s="1025">
        <v>1321</v>
      </c>
      <c r="W115" s="697">
        <f>+T115-U115-V115</f>
        <v>3</v>
      </c>
      <c r="AB115" s="261">
        <v>1321</v>
      </c>
    </row>
    <row r="116" spans="1:42">
      <c r="A116" s="784">
        <f>+A115+1</f>
        <v>25</v>
      </c>
      <c r="B116" s="514" t="s">
        <v>1141</v>
      </c>
      <c r="C116" s="515">
        <f>+SUMIF('13.mell_ÖNKfeladatok2020'!$B$5:$B$163,'14.mell_Önk kiegészítés2020'!$A116,'13.mell_ÖNKfeladatok2020'!P$5:P$163)</f>
        <v>3714</v>
      </c>
      <c r="D116" s="515">
        <f>+SUMIF('13.mell_ÖNKfeladatok2020'!$B$5:$B$163,'14.mell_Önk kiegészítés2020'!$A116,'13.mell_ÖNKfeladatok2020'!T$5:T$163)</f>
        <v>0</v>
      </c>
      <c r="E116" s="515">
        <f>+SUMIF('13.mell_ÖNKfeladatok2020'!$B$5:$B$163,'14.mell_Önk kiegészítés2020'!$A116,'13.mell_ÖNKfeladatok2020'!X$5:X$163)</f>
        <v>1865</v>
      </c>
      <c r="F116" s="515">
        <f>+SUMIF('13.mell_ÖNKfeladatok2020'!$B$5:$B$163,'14.mell_Önk kiegészítés2020'!$A116,'13.mell_ÖNKfeladatok2020'!AB$5:AB$163)</f>
        <v>12</v>
      </c>
      <c r="G116" s="515">
        <f>+SUMIF('13.mell_ÖNKfeladatok2020'!$B$5:$B$163,'14.mell_Önk kiegészítés2020'!$A116,'13.mell_ÖNKfeladatok2020'!AJ$5:AJ$163)</f>
        <v>0</v>
      </c>
      <c r="H116" s="515">
        <f>+SUMIF('13.mell_ÖNKfeladatok2020'!$B$5:$B$163,'14.mell_Önk kiegészítés2020'!$A116,'13.mell_ÖNKfeladatok2020'!AN$5:AN$163)</f>
        <v>0</v>
      </c>
      <c r="I116" s="515">
        <f>+SUMIF('13.mell_ÖNKfeladatok2020'!$B$5:$B$163,'14.mell_Önk kiegészítés2020'!$A116,'13.mell_ÖNKfeladatok2020'!AR$5:AR$163)</f>
        <v>0</v>
      </c>
      <c r="J116" s="554">
        <f>SUM(C116:I116)</f>
        <v>5591</v>
      </c>
      <c r="K116" s="515">
        <f>+SUMIF('13.mell_ÖNKfeladatok2020'!$B$171:$B$329,'14.mell_Önk kiegészítés2020'!$A116,'13.mell_ÖNKfeladatok2020'!P$171:P$329)</f>
        <v>19143</v>
      </c>
      <c r="L116" s="515">
        <f>+SUMIF('13.mell_ÖNKfeladatok2020'!$B$171:$B$329,'14.mell_Önk kiegészítés2020'!$A116,'13.mell_ÖNKfeladatok2020'!T$171:T$329)</f>
        <v>3644</v>
      </c>
      <c r="M116" s="515">
        <f>+SUMIF('13.mell_ÖNKfeladatok2020'!$B$171:$B$329,'14.mell_Önk kiegészítés2020'!$A116,'13.mell_ÖNKfeladatok2020'!X$171:X$329)</f>
        <v>7817</v>
      </c>
      <c r="N116" s="515">
        <f>+SUMIF('13.mell_ÖNKfeladatok2020'!$B$171:$B$329,'14.mell_Önk kiegészítés2020'!$A116,'13.mell_ÖNKfeladatok2020'!AB$171:AB$329)</f>
        <v>0</v>
      </c>
      <c r="O116" s="515">
        <f>+SUMIF('13.mell_ÖNKfeladatok2020'!$B$171:$B$329,'14.mell_Önk kiegészítés2020'!$A116,'13.mell_ÖNKfeladatok2020'!AF$171:AF$329)</f>
        <v>332</v>
      </c>
      <c r="P116" s="515">
        <f>+SUMIF('13.mell_ÖNKfeladatok2020'!$B$171:$B$329,'14.mell_Önk kiegészítés2020'!$A116,'13.mell_ÖNKfeladatok2020'!AN$171:AN$329)</f>
        <v>3046</v>
      </c>
      <c r="Q116" s="515">
        <f>+SUMIF('13.mell_ÖNKfeladatok2020'!$B$171:$B$329,'14.mell_Önk kiegészítés2020'!$A116,'13.mell_ÖNKfeladatok2020'!AR$171:AR$329)</f>
        <v>0</v>
      </c>
      <c r="R116" s="515">
        <f>+SUMIF('13.mell_ÖNKfeladatok2020'!$B$171:$B$329,'14.mell_Önk kiegészítés2020'!$A116,'13.mell_ÖNKfeladatok2020'!AV$171:AV$329)</f>
        <v>0</v>
      </c>
      <c r="S116" s="554">
        <f>SUM(K116:R116)</f>
        <v>33982</v>
      </c>
      <c r="T116" s="516">
        <f>S116-J116</f>
        <v>28391</v>
      </c>
      <c r="U116" s="1043">
        <f>+ROUND(SUMIF('10.mell_támogatások2020'!$B$6:$B$137,'14.mell_Önk kiegészítés2020'!$A116,'10.mell_támogatások2020'!E$6:E$137)/1000,0)</f>
        <v>19912</v>
      </c>
      <c r="V116" s="1023">
        <f>-1321+53</f>
        <v>-1268</v>
      </c>
      <c r="W116" s="516">
        <f>+T116-U116-V116</f>
        <v>9747</v>
      </c>
      <c r="AB116" s="261">
        <v>-1321</v>
      </c>
      <c r="AG116" s="261">
        <f>((29+5)+(8+1))+(9+1)</f>
        <v>53</v>
      </c>
    </row>
    <row r="117" spans="1:42" ht="12.75" thickBot="1">
      <c r="A117" s="829">
        <f>+A116+1</f>
        <v>26</v>
      </c>
      <c r="B117" s="526" t="s">
        <v>1091</v>
      </c>
      <c r="C117" s="527">
        <f>+SUMIF('13.mell_ÖNKfeladatok2020'!$B$5:$B$163,'14.mell_Önk kiegészítés2020'!$A117,'13.mell_ÖNKfeladatok2020'!P$5:P$163)</f>
        <v>0</v>
      </c>
      <c r="D117" s="527">
        <f>+SUMIF('13.mell_ÖNKfeladatok2020'!$B$5:$B$163,'14.mell_Önk kiegészítés2020'!$A117,'13.mell_ÖNKfeladatok2020'!T$5:T$163)</f>
        <v>0</v>
      </c>
      <c r="E117" s="527">
        <f>+SUMIF('13.mell_ÖNKfeladatok2020'!$B$5:$B$163,'14.mell_Önk kiegészítés2020'!$A117,'13.mell_ÖNKfeladatok2020'!X$5:X$163)</f>
        <v>92</v>
      </c>
      <c r="F117" s="527">
        <f>+SUMIF('13.mell_ÖNKfeladatok2020'!$B$5:$B$163,'14.mell_Önk kiegészítés2020'!$A117,'13.mell_ÖNKfeladatok2020'!AB$5:AB$163)</f>
        <v>0</v>
      </c>
      <c r="G117" s="527">
        <f>+SUMIF('13.mell_ÖNKfeladatok2020'!$B$5:$B$163,'14.mell_Önk kiegészítés2020'!$A117,'13.mell_ÖNKfeladatok2020'!AJ$5:AJ$163)</f>
        <v>0</v>
      </c>
      <c r="H117" s="527">
        <f>+SUMIF('13.mell_ÖNKfeladatok2020'!$B$5:$B$163,'14.mell_Önk kiegészítés2020'!$A117,'13.mell_ÖNKfeladatok2020'!AN$5:AN$163)</f>
        <v>0</v>
      </c>
      <c r="I117" s="527">
        <f>+SUMIF('13.mell_ÖNKfeladatok2020'!$B$5:$B$163,'14.mell_Önk kiegészítés2020'!$A117,'13.mell_ÖNKfeladatok2020'!AR$5:AR$163)</f>
        <v>0</v>
      </c>
      <c r="J117" s="556">
        <f>SUM(C117:I117)</f>
        <v>92</v>
      </c>
      <c r="K117" s="527">
        <f>+SUMIF('13.mell_ÖNKfeladatok2020'!$B$171:$B$329,'14.mell_Önk kiegészítés2020'!$A117,'13.mell_ÖNKfeladatok2020'!P$171:P$329)</f>
        <v>5084</v>
      </c>
      <c r="L117" s="527">
        <f>+SUMIF('13.mell_ÖNKfeladatok2020'!$B$171:$B$329,'14.mell_Önk kiegészítés2020'!$A117,'13.mell_ÖNKfeladatok2020'!T$171:T$329)</f>
        <v>862</v>
      </c>
      <c r="M117" s="527">
        <f>+SUMIF('13.mell_ÖNKfeladatok2020'!$B$171:$B$329,'14.mell_Önk kiegészítés2020'!$A117,'13.mell_ÖNKfeladatok2020'!X$171:X$329)</f>
        <v>2133</v>
      </c>
      <c r="N117" s="527">
        <f>+SUMIF('13.mell_ÖNKfeladatok2020'!$B$171:$B$329,'14.mell_Önk kiegészítés2020'!$A117,'13.mell_ÖNKfeladatok2020'!AB$171:AB$329)</f>
        <v>0</v>
      </c>
      <c r="O117" s="527">
        <f>+SUMIF('13.mell_ÖNKfeladatok2020'!$B$171:$B$329,'14.mell_Önk kiegészítés2020'!$A117,'13.mell_ÖNKfeladatok2020'!AF$171:AF$329)</f>
        <v>0</v>
      </c>
      <c r="P117" s="527">
        <f>+SUMIF('13.mell_ÖNKfeladatok2020'!$B$171:$B$329,'14.mell_Önk kiegészítés2020'!$A117,'13.mell_ÖNKfeladatok2020'!AN$171:AN$329)</f>
        <v>0</v>
      </c>
      <c r="Q117" s="527">
        <f>+SUMIF('13.mell_ÖNKfeladatok2020'!$B$171:$B$329,'14.mell_Önk kiegészítés2020'!$A117,'13.mell_ÖNKfeladatok2020'!AR$171:AR$329)</f>
        <v>0</v>
      </c>
      <c r="R117" s="527">
        <f>+SUMIF('13.mell_ÖNKfeladatok2020'!$B$171:$B$329,'14.mell_Önk kiegészítés2020'!$A117,'13.mell_ÖNKfeladatok2020'!AV$171:AV$329)</f>
        <v>0</v>
      </c>
      <c r="S117" s="556">
        <f>SUM(K117:R117)</f>
        <v>8079</v>
      </c>
      <c r="T117" s="830">
        <f>S117-J117</f>
        <v>7987</v>
      </c>
      <c r="U117" s="1049">
        <f>+ROUND(SUMIF('10.mell_támogatások2020'!$B$6:$B$137,'14.mell_Önk kiegészítés2020'!$A117,'10.mell_támogatások2020'!E$6:E$137)/1000,0)</f>
        <v>6679</v>
      </c>
      <c r="V117" s="1027"/>
      <c r="W117" s="830">
        <f>+T117-U117-V117</f>
        <v>1308</v>
      </c>
    </row>
    <row r="118" spans="1:42" s="507" customFormat="1" ht="12.75" thickBot="1">
      <c r="A118" s="343" t="s">
        <v>750</v>
      </c>
      <c r="B118" s="471" t="s">
        <v>420</v>
      </c>
      <c r="C118" s="521">
        <f>SUM(C115:C117)</f>
        <v>3714</v>
      </c>
      <c r="D118" s="521">
        <f t="shared" ref="D118:W118" si="47">SUM(D115:D117)</f>
        <v>0</v>
      </c>
      <c r="E118" s="521">
        <f t="shared" si="47"/>
        <v>1957</v>
      </c>
      <c r="F118" s="521">
        <f t="shared" si="47"/>
        <v>12</v>
      </c>
      <c r="G118" s="521">
        <f t="shared" si="47"/>
        <v>0</v>
      </c>
      <c r="H118" s="521">
        <f t="shared" si="47"/>
        <v>0</v>
      </c>
      <c r="I118" s="521">
        <f t="shared" si="47"/>
        <v>0</v>
      </c>
      <c r="J118" s="524">
        <f t="shared" si="47"/>
        <v>5683</v>
      </c>
      <c r="K118" s="521">
        <f t="shared" si="47"/>
        <v>24227</v>
      </c>
      <c r="L118" s="521">
        <f t="shared" si="47"/>
        <v>4506</v>
      </c>
      <c r="M118" s="521">
        <f t="shared" si="47"/>
        <v>11634</v>
      </c>
      <c r="N118" s="521">
        <f t="shared" si="47"/>
        <v>0</v>
      </c>
      <c r="O118" s="521">
        <f t="shared" si="47"/>
        <v>332</v>
      </c>
      <c r="P118" s="521">
        <f t="shared" si="47"/>
        <v>3046</v>
      </c>
      <c r="Q118" s="521">
        <f t="shared" si="47"/>
        <v>0</v>
      </c>
      <c r="R118" s="521">
        <f t="shared" si="47"/>
        <v>0</v>
      </c>
      <c r="S118" s="524">
        <f t="shared" si="47"/>
        <v>43745</v>
      </c>
      <c r="T118" s="524">
        <f t="shared" si="47"/>
        <v>38062</v>
      </c>
      <c r="U118" s="1044">
        <f t="shared" si="47"/>
        <v>26951</v>
      </c>
      <c r="V118" s="525">
        <f t="shared" si="47"/>
        <v>53</v>
      </c>
      <c r="W118" s="524">
        <f t="shared" si="47"/>
        <v>11058</v>
      </c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  <c r="AM118" s="261"/>
      <c r="AN118" s="261"/>
      <c r="AO118" s="261"/>
      <c r="AP118" s="261"/>
    </row>
    <row r="119" spans="1:42" ht="12.75" thickBot="1">
      <c r="A119" s="833">
        <f>+A117+1</f>
        <v>27</v>
      </c>
      <c r="B119" s="834" t="s">
        <v>752</v>
      </c>
      <c r="C119" s="835">
        <f>+SUMIF('13.mell_ÖNKfeladatok2020'!$B$5:$B$163,'14.mell_Önk kiegészítés2020'!$A119,'13.mell_ÖNKfeladatok2020'!P$5:P$163)</f>
        <v>0</v>
      </c>
      <c r="D119" s="835">
        <f>+SUMIF('13.mell_ÖNKfeladatok2020'!$B$5:$B$163,'14.mell_Önk kiegészítés2020'!$A119,'13.mell_ÖNKfeladatok2020'!T$5:T$163)</f>
        <v>0</v>
      </c>
      <c r="E119" s="835">
        <f>+SUMIF('13.mell_ÖNKfeladatok2020'!$B$5:$B$163,'14.mell_Önk kiegészítés2020'!$A119,'13.mell_ÖNKfeladatok2020'!X$5:X$163)</f>
        <v>0</v>
      </c>
      <c r="F119" s="835">
        <f>+SUMIF('13.mell_ÖNKfeladatok2020'!$B$5:$B$163,'14.mell_Önk kiegészítés2020'!$A119,'13.mell_ÖNKfeladatok2020'!AB$5:AB$163)</f>
        <v>0</v>
      </c>
      <c r="G119" s="835">
        <f>+SUMIF('13.mell_ÖNKfeladatok2020'!$B$5:$B$163,'14.mell_Önk kiegészítés2020'!$A119,'13.mell_ÖNKfeladatok2020'!AJ$5:AJ$163)</f>
        <v>0</v>
      </c>
      <c r="H119" s="835">
        <f>+SUMIF('13.mell_ÖNKfeladatok2020'!$B$5:$B$163,'14.mell_Önk kiegészítés2020'!$A119,'13.mell_ÖNKfeladatok2020'!AN$5:AN$163)</f>
        <v>0</v>
      </c>
      <c r="I119" s="835">
        <f>+SUMIF('13.mell_ÖNKfeladatok2020'!$B$5:$B$163,'14.mell_Önk kiegészítés2020'!$A119,'13.mell_ÖNKfeladatok2020'!AR$5:AR$163)</f>
        <v>0</v>
      </c>
      <c r="J119" s="836">
        <f>SUM(C119:I119)</f>
        <v>0</v>
      </c>
      <c r="K119" s="835">
        <f>+SUMIF('13.mell_ÖNKfeladatok2020'!$B$171:$B$329,'14.mell_Önk kiegészítés2020'!$A119,'13.mell_ÖNKfeladatok2020'!P$171:P$329)</f>
        <v>0</v>
      </c>
      <c r="L119" s="835">
        <f>+SUMIF('13.mell_ÖNKfeladatok2020'!$B$171:$B$329,'14.mell_Önk kiegészítés2020'!$A119,'13.mell_ÖNKfeladatok2020'!T$171:T$329)</f>
        <v>0</v>
      </c>
      <c r="M119" s="835">
        <f>+SUMIF('13.mell_ÖNKfeladatok2020'!$B$171:$B$329,'14.mell_Önk kiegészítés2020'!$A119,'13.mell_ÖNKfeladatok2020'!X$171:X$329)</f>
        <v>0</v>
      </c>
      <c r="N119" s="835">
        <f>+SUMIF('13.mell_ÖNKfeladatok2020'!$B$171:$B$329,'14.mell_Önk kiegészítés2020'!$A119,'13.mell_ÖNKfeladatok2020'!AB$171:AB$329)</f>
        <v>0</v>
      </c>
      <c r="O119" s="835">
        <f>+SUMIF('13.mell_ÖNKfeladatok2020'!$B$171:$B$329,'14.mell_Önk kiegészítés2020'!$A119,'13.mell_ÖNKfeladatok2020'!AF$171:AF$329)</f>
        <v>0</v>
      </c>
      <c r="P119" s="835">
        <f>+SUMIF('13.mell_ÖNKfeladatok2020'!$B$171:$B$329,'14.mell_Önk kiegészítés2020'!$A119,'13.mell_ÖNKfeladatok2020'!AN$171:AN$329)</f>
        <v>0</v>
      </c>
      <c r="Q119" s="835">
        <f>+SUMIF('13.mell_ÖNKfeladatok2020'!$B$171:$B$329,'14.mell_Önk kiegészítés2020'!$A119,'13.mell_ÖNKfeladatok2020'!AR$171:AR$329)</f>
        <v>0</v>
      </c>
      <c r="R119" s="835">
        <f>+SUMIF('13.mell_ÖNKfeladatok2020'!$B$171:$B$329,'14.mell_Önk kiegészítés2020'!$A119,'13.mell_ÖNKfeladatok2020'!AV$171:AV$329)</f>
        <v>0</v>
      </c>
      <c r="S119" s="836">
        <f>SUM(K119:R119)</f>
        <v>0</v>
      </c>
      <c r="T119" s="524">
        <f>S119-J119</f>
        <v>0</v>
      </c>
      <c r="U119" s="1050">
        <f>+ROUND(SUMIF('10.mell_támogatások2020'!$B$6:$B$137,'14.mell_Önk kiegészítés2020'!$A119,'10.mell_támogatások2020'!E$6:E$137)/1000,0)</f>
        <v>0</v>
      </c>
      <c r="V119" s="1028"/>
      <c r="W119" s="524">
        <f>+T119-U119-V119</f>
        <v>0</v>
      </c>
    </row>
    <row r="120" spans="1:42" s="507" customFormat="1" ht="12.75" thickBot="1">
      <c r="A120" s="479" t="s">
        <v>633</v>
      </c>
      <c r="B120" s="480" t="s">
        <v>752</v>
      </c>
      <c r="C120" s="831">
        <f>SUM(C119)</f>
        <v>0</v>
      </c>
      <c r="D120" s="831">
        <f t="shared" ref="D120:W120" si="48">SUM(D119)</f>
        <v>0</v>
      </c>
      <c r="E120" s="831">
        <f t="shared" si="48"/>
        <v>0</v>
      </c>
      <c r="F120" s="831">
        <f t="shared" si="48"/>
        <v>0</v>
      </c>
      <c r="G120" s="831">
        <f t="shared" si="48"/>
        <v>0</v>
      </c>
      <c r="H120" s="831">
        <f t="shared" si="48"/>
        <v>0</v>
      </c>
      <c r="I120" s="831">
        <f t="shared" si="48"/>
        <v>0</v>
      </c>
      <c r="J120" s="832">
        <f t="shared" si="48"/>
        <v>0</v>
      </c>
      <c r="K120" s="831">
        <f t="shared" si="48"/>
        <v>0</v>
      </c>
      <c r="L120" s="831">
        <f t="shared" si="48"/>
        <v>0</v>
      </c>
      <c r="M120" s="831">
        <f t="shared" si="48"/>
        <v>0</v>
      </c>
      <c r="N120" s="831">
        <f t="shared" si="48"/>
        <v>0</v>
      </c>
      <c r="O120" s="831">
        <f t="shared" si="48"/>
        <v>0</v>
      </c>
      <c r="P120" s="831">
        <f t="shared" si="48"/>
        <v>0</v>
      </c>
      <c r="Q120" s="831">
        <f t="shared" si="48"/>
        <v>0</v>
      </c>
      <c r="R120" s="831">
        <f t="shared" si="48"/>
        <v>0</v>
      </c>
      <c r="S120" s="832">
        <f t="shared" si="48"/>
        <v>0</v>
      </c>
      <c r="T120" s="832">
        <f t="shared" si="48"/>
        <v>0</v>
      </c>
      <c r="U120" s="1051">
        <f t="shared" si="48"/>
        <v>0</v>
      </c>
      <c r="V120" s="1029">
        <f t="shared" si="48"/>
        <v>0</v>
      </c>
      <c r="W120" s="832">
        <f t="shared" si="48"/>
        <v>0</v>
      </c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  <c r="AM120" s="261"/>
      <c r="AN120" s="261"/>
      <c r="AO120" s="261"/>
      <c r="AP120" s="261"/>
    </row>
    <row r="121" spans="1:42" ht="12.75" thickBot="1">
      <c r="A121" s="833">
        <f>+A119+1</f>
        <v>28</v>
      </c>
      <c r="B121" s="834" t="s">
        <v>767</v>
      </c>
      <c r="C121" s="835">
        <f>+SUMIF('13.mell_ÖNKfeladatok2020'!$B$5:$B$163,'14.mell_Önk kiegészítés2020'!$A121,'13.mell_ÖNKfeladatok2020'!P$5:P$163)</f>
        <v>0</v>
      </c>
      <c r="D121" s="835">
        <f>+SUMIF('13.mell_ÖNKfeladatok2020'!$B$5:$B$163,'14.mell_Önk kiegészítés2020'!$A121,'13.mell_ÖNKfeladatok2020'!T$5:T$163)</f>
        <v>0</v>
      </c>
      <c r="E121" s="835">
        <f>+SUMIF('13.mell_ÖNKfeladatok2020'!$B$5:$B$163,'14.mell_Önk kiegészítés2020'!$A121,'13.mell_ÖNKfeladatok2020'!X$5:X$163)</f>
        <v>0</v>
      </c>
      <c r="F121" s="835">
        <f>+SUMIF('13.mell_ÖNKfeladatok2020'!$B$5:$B$163,'14.mell_Önk kiegészítés2020'!$A121,'13.mell_ÖNKfeladatok2020'!AB$5:AB$163)</f>
        <v>0</v>
      </c>
      <c r="G121" s="835">
        <f>+SUMIF('13.mell_ÖNKfeladatok2020'!$B$5:$B$163,'14.mell_Önk kiegészítés2020'!$A121,'13.mell_ÖNKfeladatok2020'!AJ$5:AJ$163)</f>
        <v>0</v>
      </c>
      <c r="H121" s="835">
        <f>+SUMIF('13.mell_ÖNKfeladatok2020'!$B$5:$B$163,'14.mell_Önk kiegészítés2020'!$A121,'13.mell_ÖNKfeladatok2020'!AN$5:AN$163)</f>
        <v>0</v>
      </c>
      <c r="I121" s="835">
        <f>+SUMIF('13.mell_ÖNKfeladatok2020'!$B$5:$B$163,'14.mell_Önk kiegészítés2020'!$A121,'13.mell_ÖNKfeladatok2020'!AR$5:AR$163)</f>
        <v>0</v>
      </c>
      <c r="J121" s="836">
        <f>SUM(C121:I121)</f>
        <v>0</v>
      </c>
      <c r="K121" s="835">
        <f>+SUMIF('13.mell_ÖNKfeladatok2020'!$B$171:$B$329,'14.mell_Önk kiegészítés2020'!$A121,'13.mell_ÖNKfeladatok2020'!P$171:P$329)</f>
        <v>0</v>
      </c>
      <c r="L121" s="835">
        <f>+SUMIF('13.mell_ÖNKfeladatok2020'!$B$171:$B$329,'14.mell_Önk kiegészítés2020'!$A121,'13.mell_ÖNKfeladatok2020'!T$171:T$329)</f>
        <v>0</v>
      </c>
      <c r="M121" s="835">
        <f>+SUMIF('13.mell_ÖNKfeladatok2020'!$B$171:$B$329,'14.mell_Önk kiegészítés2020'!$A121,'13.mell_ÖNKfeladatok2020'!X$171:X$329)</f>
        <v>0</v>
      </c>
      <c r="N121" s="835">
        <f>+SUMIF('13.mell_ÖNKfeladatok2020'!$B$171:$B$329,'14.mell_Önk kiegészítés2020'!$A121,'13.mell_ÖNKfeladatok2020'!AB$171:AB$329)</f>
        <v>0</v>
      </c>
      <c r="O121" s="835">
        <f>+SUMIF('13.mell_ÖNKfeladatok2020'!$B$171:$B$329,'14.mell_Önk kiegészítés2020'!$A121,'13.mell_ÖNKfeladatok2020'!AF$171:AF$329)</f>
        <v>0</v>
      </c>
      <c r="P121" s="835">
        <f>+SUMIF('13.mell_ÖNKfeladatok2020'!$B$171:$B$329,'14.mell_Önk kiegészítés2020'!$A121,'13.mell_ÖNKfeladatok2020'!AN$171:AN$329)</f>
        <v>0</v>
      </c>
      <c r="Q121" s="835">
        <f>+SUMIF('13.mell_ÖNKfeladatok2020'!$B$171:$B$329,'14.mell_Önk kiegészítés2020'!$A121,'13.mell_ÖNKfeladatok2020'!AR$171:AR$329)</f>
        <v>0</v>
      </c>
      <c r="R121" s="835">
        <f>+SUMIF('13.mell_ÖNKfeladatok2020'!$B$171:$B$329,'14.mell_Önk kiegészítés2020'!$A121,'13.mell_ÖNKfeladatok2020'!AV$171:AV$329)</f>
        <v>0</v>
      </c>
      <c r="S121" s="836">
        <f>SUM(K121:R121)</f>
        <v>0</v>
      </c>
      <c r="T121" s="524">
        <f>S121-J121</f>
        <v>0</v>
      </c>
      <c r="U121" s="1050">
        <f>+ROUND(SUMIF('10.mell_támogatások2020'!$B$6:$B$137,'14.mell_Önk kiegészítés2020'!$A121,'10.mell_támogatások2020'!E$6:E$137)/1000,0)</f>
        <v>0</v>
      </c>
      <c r="V121" s="1028"/>
      <c r="W121" s="524">
        <f>+T121-U121-V121</f>
        <v>0</v>
      </c>
    </row>
    <row r="122" spans="1:42" s="507" customFormat="1" ht="12.75" thickBot="1">
      <c r="A122" s="479" t="s">
        <v>751</v>
      </c>
      <c r="B122" s="480" t="s">
        <v>767</v>
      </c>
      <c r="C122" s="831">
        <f>SUM(C121)</f>
        <v>0</v>
      </c>
      <c r="D122" s="831">
        <f t="shared" ref="D122:W122" si="49">SUM(D121)</f>
        <v>0</v>
      </c>
      <c r="E122" s="831">
        <f t="shared" si="49"/>
        <v>0</v>
      </c>
      <c r="F122" s="831">
        <f t="shared" si="49"/>
        <v>0</v>
      </c>
      <c r="G122" s="831">
        <f t="shared" si="49"/>
        <v>0</v>
      </c>
      <c r="H122" s="831">
        <f t="shared" si="49"/>
        <v>0</v>
      </c>
      <c r="I122" s="831">
        <f t="shared" si="49"/>
        <v>0</v>
      </c>
      <c r="J122" s="832">
        <f t="shared" si="49"/>
        <v>0</v>
      </c>
      <c r="K122" s="831">
        <f t="shared" si="49"/>
        <v>0</v>
      </c>
      <c r="L122" s="831">
        <f t="shared" si="49"/>
        <v>0</v>
      </c>
      <c r="M122" s="831">
        <f t="shared" si="49"/>
        <v>0</v>
      </c>
      <c r="N122" s="831">
        <f t="shared" si="49"/>
        <v>0</v>
      </c>
      <c r="O122" s="831">
        <f t="shared" si="49"/>
        <v>0</v>
      </c>
      <c r="P122" s="831">
        <f t="shared" si="49"/>
        <v>0</v>
      </c>
      <c r="Q122" s="831">
        <f t="shared" si="49"/>
        <v>0</v>
      </c>
      <c r="R122" s="831">
        <f t="shared" si="49"/>
        <v>0</v>
      </c>
      <c r="S122" s="832">
        <f t="shared" si="49"/>
        <v>0</v>
      </c>
      <c r="T122" s="832">
        <f t="shared" si="49"/>
        <v>0</v>
      </c>
      <c r="U122" s="1051">
        <f t="shared" si="49"/>
        <v>0</v>
      </c>
      <c r="V122" s="1029">
        <f t="shared" si="49"/>
        <v>0</v>
      </c>
      <c r="W122" s="832">
        <f t="shared" si="49"/>
        <v>0</v>
      </c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  <c r="AM122" s="261"/>
      <c r="AN122" s="261"/>
      <c r="AO122" s="261"/>
      <c r="AP122" s="261"/>
    </row>
    <row r="123" spans="1:42" s="507" customFormat="1" ht="12.75" thickBot="1">
      <c r="A123" s="473" t="s">
        <v>20</v>
      </c>
      <c r="B123" s="483" t="s">
        <v>422</v>
      </c>
      <c r="C123" s="530">
        <f>+C118+C120+C122</f>
        <v>3714</v>
      </c>
      <c r="D123" s="531">
        <f t="shared" ref="D123:W123" si="50">+D118+D120+D122</f>
        <v>0</v>
      </c>
      <c r="E123" s="531">
        <f t="shared" si="50"/>
        <v>1957</v>
      </c>
      <c r="F123" s="531">
        <f t="shared" si="50"/>
        <v>12</v>
      </c>
      <c r="G123" s="531">
        <f t="shared" si="50"/>
        <v>0</v>
      </c>
      <c r="H123" s="531">
        <f t="shared" si="50"/>
        <v>0</v>
      </c>
      <c r="I123" s="532">
        <f t="shared" si="50"/>
        <v>0</v>
      </c>
      <c r="J123" s="533">
        <f t="shared" si="50"/>
        <v>5683</v>
      </c>
      <c r="K123" s="530">
        <f t="shared" si="50"/>
        <v>24227</v>
      </c>
      <c r="L123" s="530">
        <f t="shared" si="50"/>
        <v>4506</v>
      </c>
      <c r="M123" s="530">
        <f t="shared" si="50"/>
        <v>11634</v>
      </c>
      <c r="N123" s="530">
        <f t="shared" si="50"/>
        <v>0</v>
      </c>
      <c r="O123" s="530">
        <f t="shared" si="50"/>
        <v>332</v>
      </c>
      <c r="P123" s="530">
        <f t="shared" si="50"/>
        <v>3046</v>
      </c>
      <c r="Q123" s="530">
        <f t="shared" si="50"/>
        <v>0</v>
      </c>
      <c r="R123" s="530">
        <f t="shared" si="50"/>
        <v>0</v>
      </c>
      <c r="S123" s="533">
        <f t="shared" si="50"/>
        <v>43745</v>
      </c>
      <c r="T123" s="533">
        <f t="shared" si="50"/>
        <v>38062</v>
      </c>
      <c r="U123" s="1046">
        <f t="shared" si="50"/>
        <v>26951</v>
      </c>
      <c r="V123" s="532">
        <f t="shared" si="50"/>
        <v>53</v>
      </c>
      <c r="W123" s="533">
        <f t="shared" si="50"/>
        <v>11058</v>
      </c>
      <c r="Y123" s="507">
        <f>+'13.mell_ÖNKfeladatok2020'!$H$140-J123</f>
        <v>0</v>
      </c>
      <c r="Z123" s="507">
        <f>+'13.mell_ÖNKfeladatok2020'!$H$306-S123</f>
        <v>0</v>
      </c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  <c r="AM123" s="261"/>
      <c r="AN123" s="261"/>
      <c r="AO123" s="261"/>
      <c r="AP123" s="261"/>
    </row>
    <row r="124" spans="1:42" s="194" customFormat="1" ht="12.75" thickBot="1">
      <c r="A124" s="494"/>
      <c r="B124" s="545"/>
      <c r="C124" s="534"/>
      <c r="D124" s="535"/>
      <c r="E124" s="535"/>
      <c r="F124" s="535"/>
      <c r="G124" s="535"/>
      <c r="H124" s="535"/>
      <c r="I124" s="536"/>
      <c r="J124" s="537"/>
      <c r="K124" s="546"/>
      <c r="L124" s="546"/>
      <c r="M124" s="546"/>
      <c r="N124" s="546"/>
      <c r="O124" s="546"/>
      <c r="P124" s="546"/>
      <c r="Q124" s="546"/>
      <c r="R124" s="546"/>
      <c r="S124" s="544"/>
      <c r="T124" s="544"/>
      <c r="U124" s="1052"/>
      <c r="V124" s="1030"/>
      <c r="W124" s="544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</row>
    <row r="125" spans="1:42" ht="12.75" thickBot="1">
      <c r="A125" s="783">
        <f>+A121+1</f>
        <v>29</v>
      </c>
      <c r="B125" s="695" t="s">
        <v>856</v>
      </c>
      <c r="C125" s="826">
        <f>+SUMIF('13.mell_ÖNKfeladatok2020'!$B$5:$B$163,'14.mell_Önk kiegészítés2020'!$A125,'13.mell_ÖNKfeladatok2020'!P$5:P$163)</f>
        <v>0</v>
      </c>
      <c r="D125" s="826">
        <f>+SUMIF('13.mell_ÖNKfeladatok2020'!$B$5:$B$163,'14.mell_Önk kiegészítés2020'!$A125,'13.mell_ÖNKfeladatok2020'!T$5:T$163)</f>
        <v>0</v>
      </c>
      <c r="E125" s="826">
        <f>+SUMIF('13.mell_ÖNKfeladatok2020'!$B$5:$B$163,'14.mell_Önk kiegészítés2020'!$A125,'13.mell_ÖNKfeladatok2020'!X$5:X$163)</f>
        <v>0</v>
      </c>
      <c r="F125" s="826">
        <f>+SUMIF('13.mell_ÖNKfeladatok2020'!$B$5:$B$163,'14.mell_Önk kiegészítés2020'!$A125,'13.mell_ÖNKfeladatok2020'!AB$5:AB$163)</f>
        <v>0</v>
      </c>
      <c r="G125" s="826">
        <f>+SUMIF('13.mell_ÖNKfeladatok2020'!$B$5:$B$163,'14.mell_Önk kiegészítés2020'!$A125,'13.mell_ÖNKfeladatok2020'!AJ$5:AJ$163)</f>
        <v>0</v>
      </c>
      <c r="H125" s="826">
        <f>+SUMIF('13.mell_ÖNKfeladatok2020'!$B$5:$B$163,'14.mell_Önk kiegészítés2020'!$A125,'13.mell_ÖNKfeladatok2020'!AN$5:AN$163)</f>
        <v>0</v>
      </c>
      <c r="I125" s="826">
        <f>+SUMIF('13.mell_ÖNKfeladatok2020'!$B$5:$B$163,'14.mell_Önk kiegészítés2020'!$A125,'13.mell_ÖNKfeladatok2020'!AR$5:AR$163)</f>
        <v>0</v>
      </c>
      <c r="J125" s="696">
        <f>SUM(C125:I125)</f>
        <v>0</v>
      </c>
      <c r="K125" s="826">
        <f>+SUMIF('13.mell_ÖNKfeladatok2020'!$B$171:$B$329,'14.mell_Önk kiegészítés2020'!$A125,'13.mell_ÖNKfeladatok2020'!P$171:P$329)</f>
        <v>0</v>
      </c>
      <c r="L125" s="826">
        <f>+SUMIF('13.mell_ÖNKfeladatok2020'!$B$171:$B$329,'14.mell_Önk kiegészítés2020'!$A125,'13.mell_ÖNKfeladatok2020'!T$171:T$329)</f>
        <v>0</v>
      </c>
      <c r="M125" s="826">
        <f>+SUMIF('13.mell_ÖNKfeladatok2020'!$B$171:$B$329,'14.mell_Önk kiegészítés2020'!$A125,'13.mell_ÖNKfeladatok2020'!X$171:X$329)</f>
        <v>0</v>
      </c>
      <c r="N125" s="826">
        <f>+SUMIF('13.mell_ÖNKfeladatok2020'!$B$171:$B$329,'14.mell_Önk kiegészítés2020'!$A125,'13.mell_ÖNKfeladatok2020'!AB$171:AB$329)</f>
        <v>0</v>
      </c>
      <c r="O125" s="826">
        <f>+SUMIF('13.mell_ÖNKfeladatok2020'!$B$171:$B$329,'14.mell_Önk kiegészítés2020'!$A125,'13.mell_ÖNKfeladatok2020'!AF$171:AF$329)</f>
        <v>0</v>
      </c>
      <c r="P125" s="826">
        <f>+SUMIF('13.mell_ÖNKfeladatok2020'!$B$171:$B$329,'14.mell_Önk kiegészítés2020'!$A125,'13.mell_ÖNKfeladatok2020'!AN$171:AN$329)</f>
        <v>0</v>
      </c>
      <c r="Q125" s="826">
        <f>+SUMIF('13.mell_ÖNKfeladatok2020'!$B$171:$B$329,'14.mell_Önk kiegészítés2020'!$A125,'13.mell_ÖNKfeladatok2020'!AR$171:AR$329)</f>
        <v>0</v>
      </c>
      <c r="R125" s="826">
        <f>+SUMIF('13.mell_ÖNKfeladatok2020'!$B$171:$B$329,'14.mell_Önk kiegészítés2020'!$A125,'13.mell_ÖNKfeladatok2020'!AV$171:AV$329)</f>
        <v>0</v>
      </c>
      <c r="S125" s="696">
        <f>SUM(K125:R125)</f>
        <v>0</v>
      </c>
      <c r="T125" s="697">
        <f>S125-J125</f>
        <v>0</v>
      </c>
      <c r="U125" s="1047">
        <f>+ROUND(SUMIF('10.mell_támogatások2020'!$B$6:$B$137,'14.mell_Önk kiegészítés2020'!$A125,'10.mell_támogatások2020'!E$6:E$137)/1000,0)</f>
        <v>0</v>
      </c>
      <c r="V125" s="1025"/>
      <c r="W125" s="697">
        <f>+T125-U125-V125</f>
        <v>0</v>
      </c>
    </row>
    <row r="126" spans="1:42" s="507" customFormat="1" ht="12.75" thickBot="1">
      <c r="A126" s="343" t="s">
        <v>881</v>
      </c>
      <c r="B126" s="471" t="s">
        <v>856</v>
      </c>
      <c r="C126" s="521">
        <f>SUM(C125)</f>
        <v>0</v>
      </c>
      <c r="D126" s="521">
        <f t="shared" ref="D126:W126" si="51">SUM(D125)</f>
        <v>0</v>
      </c>
      <c r="E126" s="521">
        <f t="shared" si="51"/>
        <v>0</v>
      </c>
      <c r="F126" s="521">
        <f t="shared" si="51"/>
        <v>0</v>
      </c>
      <c r="G126" s="521">
        <f t="shared" si="51"/>
        <v>0</v>
      </c>
      <c r="H126" s="521">
        <f t="shared" si="51"/>
        <v>0</v>
      </c>
      <c r="I126" s="521">
        <f t="shared" si="51"/>
        <v>0</v>
      </c>
      <c r="J126" s="524">
        <f t="shared" si="51"/>
        <v>0</v>
      </c>
      <c r="K126" s="521">
        <f t="shared" si="51"/>
        <v>0</v>
      </c>
      <c r="L126" s="521">
        <f t="shared" si="51"/>
        <v>0</v>
      </c>
      <c r="M126" s="521">
        <f t="shared" si="51"/>
        <v>0</v>
      </c>
      <c r="N126" s="521">
        <f t="shared" si="51"/>
        <v>0</v>
      </c>
      <c r="O126" s="521">
        <f t="shared" si="51"/>
        <v>0</v>
      </c>
      <c r="P126" s="521">
        <f t="shared" si="51"/>
        <v>0</v>
      </c>
      <c r="Q126" s="521">
        <f t="shared" si="51"/>
        <v>0</v>
      </c>
      <c r="R126" s="521">
        <f t="shared" si="51"/>
        <v>0</v>
      </c>
      <c r="S126" s="524">
        <f t="shared" si="51"/>
        <v>0</v>
      </c>
      <c r="T126" s="524">
        <f t="shared" si="51"/>
        <v>0</v>
      </c>
      <c r="U126" s="1044">
        <f t="shared" si="51"/>
        <v>0</v>
      </c>
      <c r="V126" s="525">
        <f t="shared" si="51"/>
        <v>0</v>
      </c>
      <c r="W126" s="524">
        <f t="shared" si="51"/>
        <v>0</v>
      </c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1"/>
      <c r="AN126" s="261"/>
      <c r="AO126" s="261"/>
      <c r="AP126" s="261"/>
    </row>
    <row r="127" spans="1:42" ht="12.75" thickBot="1">
      <c r="A127" s="833">
        <f>+A125+1</f>
        <v>30</v>
      </c>
      <c r="B127" s="834" t="s">
        <v>1071</v>
      </c>
      <c r="C127" s="835">
        <f>+SUMIF('13.mell_ÖNKfeladatok2020'!$B$5:$B$163,'14.mell_Önk kiegészítés2020'!$A127,'13.mell_ÖNKfeladatok2020'!P$5:P$163)</f>
        <v>0</v>
      </c>
      <c r="D127" s="835">
        <f>+SUMIF('13.mell_ÖNKfeladatok2020'!$B$5:$B$163,'14.mell_Önk kiegészítés2020'!$A127,'13.mell_ÖNKfeladatok2020'!T$5:T$163)</f>
        <v>0</v>
      </c>
      <c r="E127" s="835">
        <f>+SUMIF('13.mell_ÖNKfeladatok2020'!$B$5:$B$163,'14.mell_Önk kiegészítés2020'!$A127,'13.mell_ÖNKfeladatok2020'!X$5:X$163)</f>
        <v>0</v>
      </c>
      <c r="F127" s="835">
        <f>+SUMIF('13.mell_ÖNKfeladatok2020'!$B$5:$B$163,'14.mell_Önk kiegészítés2020'!$A127,'13.mell_ÖNKfeladatok2020'!AB$5:AB$163)</f>
        <v>0</v>
      </c>
      <c r="G127" s="835">
        <f>+SUMIF('13.mell_ÖNKfeladatok2020'!$B$5:$B$163,'14.mell_Önk kiegészítés2020'!$A127,'13.mell_ÖNKfeladatok2020'!AJ$5:AJ$163)</f>
        <v>0</v>
      </c>
      <c r="H127" s="835">
        <f>+SUMIF('13.mell_ÖNKfeladatok2020'!$B$5:$B$163,'14.mell_Önk kiegészítés2020'!$A127,'13.mell_ÖNKfeladatok2020'!AN$5:AN$163)</f>
        <v>0</v>
      </c>
      <c r="I127" s="835">
        <f>+SUMIF('13.mell_ÖNKfeladatok2020'!$B$5:$B$163,'14.mell_Önk kiegészítés2020'!$A127,'13.mell_ÖNKfeladatok2020'!AR$5:AR$163)</f>
        <v>0</v>
      </c>
      <c r="J127" s="836">
        <f>SUM(C127:I127)</f>
        <v>0</v>
      </c>
      <c r="K127" s="835">
        <f>+SUMIF('13.mell_ÖNKfeladatok2020'!$B$171:$B$329,'14.mell_Önk kiegészítés2020'!$A127,'13.mell_ÖNKfeladatok2020'!P$171:P$329)</f>
        <v>7666</v>
      </c>
      <c r="L127" s="835">
        <f>+SUMIF('13.mell_ÖNKfeladatok2020'!$B$171:$B$329,'14.mell_Önk kiegészítés2020'!$A127,'13.mell_ÖNKfeladatok2020'!T$171:T$329)</f>
        <v>1324</v>
      </c>
      <c r="M127" s="835">
        <f>+SUMIF('13.mell_ÖNKfeladatok2020'!$B$171:$B$329,'14.mell_Önk kiegészítés2020'!$A127,'13.mell_ÖNKfeladatok2020'!X$171:X$329)</f>
        <v>1654</v>
      </c>
      <c r="N127" s="835">
        <f>+SUMIF('13.mell_ÖNKfeladatok2020'!$B$171:$B$329,'14.mell_Önk kiegészítés2020'!$A127,'13.mell_ÖNKfeladatok2020'!AB$171:AB$329)</f>
        <v>0</v>
      </c>
      <c r="O127" s="835">
        <f>+SUMIF('13.mell_ÖNKfeladatok2020'!$B$171:$B$329,'14.mell_Önk kiegészítés2020'!$A127,'13.mell_ÖNKfeladatok2020'!AF$171:AF$329)</f>
        <v>25</v>
      </c>
      <c r="P127" s="835">
        <f>+SUMIF('13.mell_ÖNKfeladatok2020'!$B$171:$B$329,'14.mell_Önk kiegészítés2020'!$A127,'13.mell_ÖNKfeladatok2020'!AN$171:AN$329)</f>
        <v>0</v>
      </c>
      <c r="Q127" s="835">
        <f>+SUMIF('13.mell_ÖNKfeladatok2020'!$B$171:$B$329,'14.mell_Önk kiegészítés2020'!$A127,'13.mell_ÖNKfeladatok2020'!AR$171:AR$329)</f>
        <v>0</v>
      </c>
      <c r="R127" s="835">
        <f>+SUMIF('13.mell_ÖNKfeladatok2020'!$B$171:$B$329,'14.mell_Önk kiegészítés2020'!$A127,'13.mell_ÖNKfeladatok2020'!AV$171:AV$329)</f>
        <v>0</v>
      </c>
      <c r="S127" s="836">
        <f>SUM(K127:R127)</f>
        <v>10669</v>
      </c>
      <c r="T127" s="524">
        <f>S127-J127</f>
        <v>10669</v>
      </c>
      <c r="U127" s="1050">
        <f>+ROUND(SUMIF('10.mell_támogatások2020'!$B$6:$B$137,'14.mell_Önk kiegészítés2020'!$A127,'10.mell_támogatások2020'!E$6:E$137)/1000,0)</f>
        <v>0</v>
      </c>
      <c r="V127" s="1028"/>
      <c r="W127" s="524">
        <f>+T127-U127-V127</f>
        <v>10669</v>
      </c>
    </row>
    <row r="128" spans="1:42" s="507" customFormat="1" ht="12.75" thickBot="1">
      <c r="A128" s="479" t="s">
        <v>882</v>
      </c>
      <c r="B128" s="480" t="s">
        <v>857</v>
      </c>
      <c r="C128" s="521">
        <f>SUM(C127)</f>
        <v>0</v>
      </c>
      <c r="D128" s="521">
        <f t="shared" ref="D128:W128" si="52">SUM(D127)</f>
        <v>0</v>
      </c>
      <c r="E128" s="521">
        <f t="shared" si="52"/>
        <v>0</v>
      </c>
      <c r="F128" s="521">
        <f t="shared" si="52"/>
        <v>0</v>
      </c>
      <c r="G128" s="521">
        <f t="shared" si="52"/>
        <v>0</v>
      </c>
      <c r="H128" s="521">
        <f t="shared" si="52"/>
        <v>0</v>
      </c>
      <c r="I128" s="521">
        <f t="shared" si="52"/>
        <v>0</v>
      </c>
      <c r="J128" s="524">
        <f t="shared" si="52"/>
        <v>0</v>
      </c>
      <c r="K128" s="521">
        <f t="shared" si="52"/>
        <v>7666</v>
      </c>
      <c r="L128" s="521">
        <f t="shared" si="52"/>
        <v>1324</v>
      </c>
      <c r="M128" s="521">
        <f t="shared" si="52"/>
        <v>1654</v>
      </c>
      <c r="N128" s="521">
        <f t="shared" si="52"/>
        <v>0</v>
      </c>
      <c r="O128" s="521">
        <f t="shared" si="52"/>
        <v>25</v>
      </c>
      <c r="P128" s="521">
        <f t="shared" si="52"/>
        <v>0</v>
      </c>
      <c r="Q128" s="521">
        <f t="shared" si="52"/>
        <v>0</v>
      </c>
      <c r="R128" s="521">
        <f t="shared" si="52"/>
        <v>0</v>
      </c>
      <c r="S128" s="524">
        <f t="shared" si="52"/>
        <v>10669</v>
      </c>
      <c r="T128" s="524">
        <f t="shared" si="52"/>
        <v>10669</v>
      </c>
      <c r="U128" s="1044">
        <f t="shared" si="52"/>
        <v>0</v>
      </c>
      <c r="V128" s="525">
        <f t="shared" si="52"/>
        <v>0</v>
      </c>
      <c r="W128" s="524">
        <f t="shared" si="52"/>
        <v>10669</v>
      </c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  <c r="AM128" s="261"/>
      <c r="AN128" s="261"/>
      <c r="AO128" s="261"/>
      <c r="AP128" s="261"/>
    </row>
    <row r="129" spans="1:42" ht="12.75" thickBot="1">
      <c r="A129" s="833">
        <f>+A127+1</f>
        <v>31</v>
      </c>
      <c r="B129" s="834" t="s">
        <v>884</v>
      </c>
      <c r="C129" s="835">
        <f>+SUMIF('13.mell_ÖNKfeladatok2020'!$B$5:$B$163,'14.mell_Önk kiegészítés2020'!$A129,'13.mell_ÖNKfeladatok2020'!P$5:P$163)</f>
        <v>0</v>
      </c>
      <c r="D129" s="835">
        <f>+SUMIF('13.mell_ÖNKfeladatok2020'!$B$5:$B$163,'14.mell_Önk kiegészítés2020'!$A129,'13.mell_ÖNKfeladatok2020'!T$5:T$163)</f>
        <v>0</v>
      </c>
      <c r="E129" s="835">
        <f>+SUMIF('13.mell_ÖNKfeladatok2020'!$B$5:$B$163,'14.mell_Önk kiegészítés2020'!$A129,'13.mell_ÖNKfeladatok2020'!X$5:X$163)</f>
        <v>0</v>
      </c>
      <c r="F129" s="835">
        <f>+SUMIF('13.mell_ÖNKfeladatok2020'!$B$5:$B$163,'14.mell_Önk kiegészítés2020'!$A129,'13.mell_ÖNKfeladatok2020'!AB$5:AB$163)</f>
        <v>0</v>
      </c>
      <c r="G129" s="835">
        <f>+SUMIF('13.mell_ÖNKfeladatok2020'!$B$5:$B$163,'14.mell_Önk kiegészítés2020'!$A129,'13.mell_ÖNKfeladatok2020'!AJ$5:AJ$163)</f>
        <v>0</v>
      </c>
      <c r="H129" s="835">
        <f>+SUMIF('13.mell_ÖNKfeladatok2020'!$B$5:$B$163,'14.mell_Önk kiegészítés2020'!$A129,'13.mell_ÖNKfeladatok2020'!AN$5:AN$163)</f>
        <v>0</v>
      </c>
      <c r="I129" s="835">
        <f>+SUMIF('13.mell_ÖNKfeladatok2020'!$B$5:$B$163,'14.mell_Önk kiegészítés2020'!$A129,'13.mell_ÖNKfeladatok2020'!AR$5:AR$163)</f>
        <v>0</v>
      </c>
      <c r="J129" s="836">
        <f>SUM(C129:I129)</f>
        <v>0</v>
      </c>
      <c r="K129" s="835">
        <f>+SUMIF('13.mell_ÖNKfeladatok2020'!$B$171:$B$329,'14.mell_Önk kiegészítés2020'!$A129,'13.mell_ÖNKfeladatok2020'!P$171:P$329)</f>
        <v>0</v>
      </c>
      <c r="L129" s="835">
        <f>+SUMIF('13.mell_ÖNKfeladatok2020'!$B$171:$B$329,'14.mell_Önk kiegészítés2020'!$A129,'13.mell_ÖNKfeladatok2020'!T$171:T$329)</f>
        <v>0</v>
      </c>
      <c r="M129" s="835">
        <f>+SUMIF('13.mell_ÖNKfeladatok2020'!$B$171:$B$329,'14.mell_Önk kiegészítés2020'!$A129,'13.mell_ÖNKfeladatok2020'!X$171:X$329)</f>
        <v>0</v>
      </c>
      <c r="N129" s="835">
        <f>+SUMIF('13.mell_ÖNKfeladatok2020'!$B$171:$B$329,'14.mell_Önk kiegészítés2020'!$A129,'13.mell_ÖNKfeladatok2020'!AB$171:AB$329)</f>
        <v>0</v>
      </c>
      <c r="O129" s="835">
        <f>+SUMIF('13.mell_ÖNKfeladatok2020'!$B$171:$B$329,'14.mell_Önk kiegészítés2020'!$A129,'13.mell_ÖNKfeladatok2020'!AF$171:AF$329)</f>
        <v>0</v>
      </c>
      <c r="P129" s="835">
        <f>+SUMIF('13.mell_ÖNKfeladatok2020'!$B$171:$B$329,'14.mell_Önk kiegészítés2020'!$A129,'13.mell_ÖNKfeladatok2020'!AN$171:AN$329)</f>
        <v>0</v>
      </c>
      <c r="Q129" s="835">
        <f>+SUMIF('13.mell_ÖNKfeladatok2020'!$B$171:$B$329,'14.mell_Önk kiegészítés2020'!$A129,'13.mell_ÖNKfeladatok2020'!AR$171:AR$329)</f>
        <v>0</v>
      </c>
      <c r="R129" s="835">
        <f>+SUMIF('13.mell_ÖNKfeladatok2020'!$B$171:$B$329,'14.mell_Önk kiegészítés2020'!$A129,'13.mell_ÖNKfeladatok2020'!AV$171:AV$329)</f>
        <v>0</v>
      </c>
      <c r="S129" s="836">
        <f>SUM(K129:R129)</f>
        <v>0</v>
      </c>
      <c r="T129" s="524">
        <f>S129-J129</f>
        <v>0</v>
      </c>
      <c r="U129" s="1050">
        <f>+ROUND(SUMIF('10.mell_támogatások2020'!$B$6:$B$137,'14.mell_Önk kiegészítés2020'!$A129,'10.mell_támogatások2020'!E$6:E$137)/1000,0)</f>
        <v>0</v>
      </c>
      <c r="V129" s="1028"/>
      <c r="W129" s="524">
        <f>+T129-U129-V129</f>
        <v>0</v>
      </c>
    </row>
    <row r="130" spans="1:42" s="507" customFormat="1" ht="12.75" thickBot="1">
      <c r="A130" s="479" t="s">
        <v>883</v>
      </c>
      <c r="B130" s="480" t="s">
        <v>884</v>
      </c>
      <c r="C130" s="521">
        <f>SUM(C129)</f>
        <v>0</v>
      </c>
      <c r="D130" s="521">
        <f t="shared" ref="D130:W130" si="53">SUM(D129)</f>
        <v>0</v>
      </c>
      <c r="E130" s="521">
        <f t="shared" si="53"/>
        <v>0</v>
      </c>
      <c r="F130" s="521">
        <f t="shared" si="53"/>
        <v>0</v>
      </c>
      <c r="G130" s="521">
        <f t="shared" si="53"/>
        <v>0</v>
      </c>
      <c r="H130" s="521">
        <f t="shared" si="53"/>
        <v>0</v>
      </c>
      <c r="I130" s="521">
        <f t="shared" si="53"/>
        <v>0</v>
      </c>
      <c r="J130" s="524">
        <f t="shared" si="53"/>
        <v>0</v>
      </c>
      <c r="K130" s="521">
        <f t="shared" si="53"/>
        <v>0</v>
      </c>
      <c r="L130" s="521">
        <f t="shared" si="53"/>
        <v>0</v>
      </c>
      <c r="M130" s="521">
        <f t="shared" si="53"/>
        <v>0</v>
      </c>
      <c r="N130" s="521">
        <f t="shared" si="53"/>
        <v>0</v>
      </c>
      <c r="O130" s="521">
        <f t="shared" si="53"/>
        <v>0</v>
      </c>
      <c r="P130" s="521">
        <f t="shared" si="53"/>
        <v>0</v>
      </c>
      <c r="Q130" s="521">
        <f t="shared" si="53"/>
        <v>0</v>
      </c>
      <c r="R130" s="521">
        <f t="shared" si="53"/>
        <v>0</v>
      </c>
      <c r="S130" s="524">
        <f t="shared" si="53"/>
        <v>0</v>
      </c>
      <c r="T130" s="524">
        <f t="shared" si="53"/>
        <v>0</v>
      </c>
      <c r="U130" s="1044">
        <f t="shared" si="53"/>
        <v>0</v>
      </c>
      <c r="V130" s="525">
        <f t="shared" si="53"/>
        <v>0</v>
      </c>
      <c r="W130" s="524">
        <f t="shared" si="53"/>
        <v>0</v>
      </c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  <c r="AM130" s="261"/>
      <c r="AN130" s="261"/>
      <c r="AO130" s="261"/>
      <c r="AP130" s="261"/>
    </row>
    <row r="131" spans="1:42" s="507" customFormat="1" ht="12.75" thickBot="1">
      <c r="A131" s="473" t="s">
        <v>552</v>
      </c>
      <c r="B131" s="483" t="s">
        <v>858</v>
      </c>
      <c r="C131" s="530">
        <f>+C126+C128+C130</f>
        <v>0</v>
      </c>
      <c r="D131" s="530">
        <f t="shared" ref="D131:W131" si="54">+D126+D128+D130</f>
        <v>0</v>
      </c>
      <c r="E131" s="530">
        <f t="shared" si="54"/>
        <v>0</v>
      </c>
      <c r="F131" s="530">
        <f t="shared" si="54"/>
        <v>0</v>
      </c>
      <c r="G131" s="530">
        <f t="shared" si="54"/>
        <v>0</v>
      </c>
      <c r="H131" s="530">
        <f t="shared" si="54"/>
        <v>0</v>
      </c>
      <c r="I131" s="530">
        <f t="shared" si="54"/>
        <v>0</v>
      </c>
      <c r="J131" s="533">
        <f t="shared" si="54"/>
        <v>0</v>
      </c>
      <c r="K131" s="530">
        <f t="shared" si="54"/>
        <v>7666</v>
      </c>
      <c r="L131" s="530">
        <f t="shared" si="54"/>
        <v>1324</v>
      </c>
      <c r="M131" s="530">
        <f t="shared" si="54"/>
        <v>1654</v>
      </c>
      <c r="N131" s="530">
        <f t="shared" si="54"/>
        <v>0</v>
      </c>
      <c r="O131" s="530">
        <f t="shared" si="54"/>
        <v>25</v>
      </c>
      <c r="P131" s="530">
        <f t="shared" si="54"/>
        <v>0</v>
      </c>
      <c r="Q131" s="530">
        <f t="shared" si="54"/>
        <v>0</v>
      </c>
      <c r="R131" s="530">
        <f t="shared" si="54"/>
        <v>0</v>
      </c>
      <c r="S131" s="533">
        <f t="shared" si="54"/>
        <v>10669</v>
      </c>
      <c r="T131" s="533">
        <f t="shared" si="54"/>
        <v>10669</v>
      </c>
      <c r="U131" s="1046">
        <f t="shared" si="54"/>
        <v>0</v>
      </c>
      <c r="V131" s="532">
        <f t="shared" si="54"/>
        <v>0</v>
      </c>
      <c r="W131" s="533">
        <f t="shared" si="54"/>
        <v>10669</v>
      </c>
      <c r="Y131" s="507">
        <f>+'13.mell_ÖNKfeladatok2020'!$H$149-J131</f>
        <v>0</v>
      </c>
      <c r="Z131" s="507">
        <f>+'13.mell_ÖNKfeladatok2020'!$H$315-S131</f>
        <v>0</v>
      </c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  <c r="AM131" s="261"/>
      <c r="AN131" s="261"/>
      <c r="AO131" s="261"/>
      <c r="AP131" s="261"/>
    </row>
    <row r="132" spans="1:42" s="194" customFormat="1" ht="12.75" thickBot="1">
      <c r="A132" s="494"/>
      <c r="B132" s="545"/>
      <c r="C132" s="534"/>
      <c r="D132" s="535"/>
      <c r="E132" s="535"/>
      <c r="F132" s="535"/>
      <c r="G132" s="535"/>
      <c r="H132" s="535"/>
      <c r="I132" s="536"/>
      <c r="J132" s="537"/>
      <c r="K132" s="546"/>
      <c r="L132" s="546"/>
      <c r="M132" s="546"/>
      <c r="N132" s="546"/>
      <c r="O132" s="546"/>
      <c r="P132" s="546"/>
      <c r="Q132" s="546"/>
      <c r="R132" s="546"/>
      <c r="S132" s="544"/>
      <c r="T132" s="544"/>
      <c r="U132" s="1052"/>
      <c r="V132" s="1030"/>
      <c r="W132" s="544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5"/>
      <c r="AO132" s="195"/>
      <c r="AP132" s="195"/>
    </row>
    <row r="133" spans="1:42" ht="12.75" thickBot="1">
      <c r="A133" s="783">
        <f>+A129+1</f>
        <v>32</v>
      </c>
      <c r="B133" s="695" t="s">
        <v>1148</v>
      </c>
      <c r="C133" s="826">
        <f>+SUMIF('13.mell_ÖNKfeladatok2020'!$B$5:$B$163,'14.mell_Önk kiegészítés2020'!$A133,'13.mell_ÖNKfeladatok2020'!P$5:P$163)</f>
        <v>0</v>
      </c>
      <c r="D133" s="826">
        <f>+SUMIF('13.mell_ÖNKfeladatok2020'!$B$5:$B$163,'14.mell_Önk kiegészítés2020'!$A133,'13.mell_ÖNKfeladatok2020'!T$5:T$163)</f>
        <v>0</v>
      </c>
      <c r="E133" s="826">
        <f>+SUMIF('13.mell_ÖNKfeladatok2020'!$B$5:$B$163,'14.mell_Önk kiegészítés2020'!$A133,'13.mell_ÖNKfeladatok2020'!X$5:X$163)</f>
        <v>2</v>
      </c>
      <c r="F133" s="826">
        <f>+SUMIF('13.mell_ÖNKfeladatok2020'!$B$5:$B$163,'14.mell_Önk kiegészítés2020'!$A133,'13.mell_ÖNKfeladatok2020'!AB$5:AB$163)</f>
        <v>0</v>
      </c>
      <c r="G133" s="826">
        <f>+SUMIF('13.mell_ÖNKfeladatok2020'!$B$5:$B$163,'14.mell_Önk kiegészítés2020'!$A133,'13.mell_ÖNKfeladatok2020'!AJ$5:AJ$163)</f>
        <v>0</v>
      </c>
      <c r="H133" s="826">
        <f>+SUMIF('13.mell_ÖNKfeladatok2020'!$B$5:$B$163,'14.mell_Önk kiegészítés2020'!$A133,'13.mell_ÖNKfeladatok2020'!AN$5:AN$163)</f>
        <v>0</v>
      </c>
      <c r="I133" s="826">
        <f>+SUMIF('13.mell_ÖNKfeladatok2020'!$B$5:$B$163,'14.mell_Önk kiegészítés2020'!$A133,'13.mell_ÖNKfeladatok2020'!AR$5:AR$163)</f>
        <v>0</v>
      </c>
      <c r="J133" s="696">
        <f>SUM(C133:I133)</f>
        <v>2</v>
      </c>
      <c r="K133" s="826">
        <f>+SUMIF('13.mell_ÖNKfeladatok2020'!$B$171:$B$329,'14.mell_Önk kiegészítés2020'!$A133,'13.mell_ÖNKfeladatok2020'!P$171:P$329)</f>
        <v>77800</v>
      </c>
      <c r="L133" s="826">
        <f>+SUMIF('13.mell_ÖNKfeladatok2020'!$B$171:$B$329,'14.mell_Önk kiegészítés2020'!$A133,'13.mell_ÖNKfeladatok2020'!T$171:T$329)</f>
        <v>12863</v>
      </c>
      <c r="M133" s="826">
        <f>+SUMIF('13.mell_ÖNKfeladatok2020'!$B$171:$B$329,'14.mell_Önk kiegészítés2020'!$A133,'13.mell_ÖNKfeladatok2020'!X$171:X$329)</f>
        <v>5889</v>
      </c>
      <c r="N133" s="826">
        <f>+SUMIF('13.mell_ÖNKfeladatok2020'!$B$171:$B$329,'14.mell_Önk kiegészítés2020'!$A133,'13.mell_ÖNKfeladatok2020'!AB$171:AB$329)</f>
        <v>0</v>
      </c>
      <c r="O133" s="826">
        <f>+SUMIF('13.mell_ÖNKfeladatok2020'!$B$171:$B$329,'14.mell_Önk kiegészítés2020'!$A133,'13.mell_ÖNKfeladatok2020'!AF$171:AF$329)</f>
        <v>40</v>
      </c>
      <c r="P133" s="826">
        <f>+SUMIF('13.mell_ÖNKfeladatok2020'!$B$171:$B$329,'14.mell_Önk kiegészítés2020'!$A133,'13.mell_ÖNKfeladatok2020'!AN$171:AN$329)</f>
        <v>15653</v>
      </c>
      <c r="Q133" s="826">
        <f>+SUMIF('13.mell_ÖNKfeladatok2020'!$B$171:$B$329,'14.mell_Önk kiegészítés2020'!$A133,'13.mell_ÖNKfeladatok2020'!AR$171:AR$329)</f>
        <v>0</v>
      </c>
      <c r="R133" s="826">
        <f>+SUMIF('13.mell_ÖNKfeladatok2020'!$B$171:$B$329,'14.mell_Önk kiegészítés2020'!$A133,'13.mell_ÖNKfeladatok2020'!AV$171:AV$329)</f>
        <v>0</v>
      </c>
      <c r="S133" s="696">
        <f>SUM(K133:R133)</f>
        <v>112245</v>
      </c>
      <c r="T133" s="697">
        <f>S133-J133</f>
        <v>112243</v>
      </c>
      <c r="U133" s="1047">
        <f>+ROUND(SUMIF('10.mell_támogatások2020'!$B$6:$B$137,'14.mell_Önk kiegészítés2020'!$A133,'10.mell_támogatások2020'!E$6:E$137)/1000,0)</f>
        <v>104635</v>
      </c>
      <c r="V133" s="1025">
        <f>6630+162</f>
        <v>6792</v>
      </c>
      <c r="W133" s="697">
        <f>+T133-U133-V133</f>
        <v>816</v>
      </c>
      <c r="AE133" s="261">
        <v>6630</v>
      </c>
      <c r="AG133" s="261">
        <f>((77+13)+(31+5))+(31+5)</f>
        <v>162</v>
      </c>
    </row>
    <row r="134" spans="1:42" s="507" customFormat="1" ht="12.75" thickBot="1">
      <c r="A134" s="343" t="s">
        <v>1137</v>
      </c>
      <c r="B134" s="471" t="s">
        <v>1094</v>
      </c>
      <c r="C134" s="521">
        <f t="shared" ref="C134:W134" si="55">SUM(C133)</f>
        <v>0</v>
      </c>
      <c r="D134" s="521">
        <f t="shared" si="55"/>
        <v>0</v>
      </c>
      <c r="E134" s="521">
        <f t="shared" si="55"/>
        <v>2</v>
      </c>
      <c r="F134" s="521">
        <f t="shared" si="55"/>
        <v>0</v>
      </c>
      <c r="G134" s="521">
        <f t="shared" si="55"/>
        <v>0</v>
      </c>
      <c r="H134" s="521">
        <f t="shared" si="55"/>
        <v>0</v>
      </c>
      <c r="I134" s="521">
        <f t="shared" si="55"/>
        <v>0</v>
      </c>
      <c r="J134" s="524">
        <f t="shared" si="55"/>
        <v>2</v>
      </c>
      <c r="K134" s="521">
        <f t="shared" si="55"/>
        <v>77800</v>
      </c>
      <c r="L134" s="521">
        <f t="shared" si="55"/>
        <v>12863</v>
      </c>
      <c r="M134" s="521">
        <f t="shared" si="55"/>
        <v>5889</v>
      </c>
      <c r="N134" s="521">
        <f t="shared" si="55"/>
        <v>0</v>
      </c>
      <c r="O134" s="521">
        <f t="shared" si="55"/>
        <v>40</v>
      </c>
      <c r="P134" s="521">
        <f t="shared" si="55"/>
        <v>15653</v>
      </c>
      <c r="Q134" s="521">
        <f t="shared" si="55"/>
        <v>0</v>
      </c>
      <c r="R134" s="521">
        <f t="shared" si="55"/>
        <v>0</v>
      </c>
      <c r="S134" s="524">
        <f t="shared" si="55"/>
        <v>112245</v>
      </c>
      <c r="T134" s="524">
        <f t="shared" si="55"/>
        <v>112243</v>
      </c>
      <c r="U134" s="1044">
        <f t="shared" si="55"/>
        <v>104635</v>
      </c>
      <c r="V134" s="525">
        <f t="shared" si="55"/>
        <v>6792</v>
      </c>
      <c r="W134" s="524">
        <f t="shared" si="55"/>
        <v>816</v>
      </c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  <c r="AM134" s="261"/>
      <c r="AN134" s="261"/>
      <c r="AO134" s="261"/>
      <c r="AP134" s="261"/>
    </row>
    <row r="135" spans="1:42" ht="12.75" thickBot="1">
      <c r="A135" s="833">
        <f>+A133+1</f>
        <v>33</v>
      </c>
      <c r="B135" s="834" t="s">
        <v>1096</v>
      </c>
      <c r="C135" s="835">
        <f>+SUMIF('13.mell_ÖNKfeladatok2020'!$B$5:$B$163,'14.mell_Önk kiegészítés2020'!$A135,'13.mell_ÖNKfeladatok2020'!P$5:P$163)</f>
        <v>0</v>
      </c>
      <c r="D135" s="835">
        <f>+SUMIF('13.mell_ÖNKfeladatok2020'!$B$5:$B$163,'14.mell_Önk kiegészítés2020'!$A135,'13.mell_ÖNKfeladatok2020'!T$5:T$163)</f>
        <v>0</v>
      </c>
      <c r="E135" s="835">
        <f>+SUMIF('13.mell_ÖNKfeladatok2020'!$B$5:$B$163,'14.mell_Önk kiegészítés2020'!$A135,'13.mell_ÖNKfeladatok2020'!X$5:X$163)</f>
        <v>0</v>
      </c>
      <c r="F135" s="835">
        <f>+SUMIF('13.mell_ÖNKfeladatok2020'!$B$5:$B$163,'14.mell_Önk kiegészítés2020'!$A135,'13.mell_ÖNKfeladatok2020'!AB$5:AB$163)</f>
        <v>0</v>
      </c>
      <c r="G135" s="835">
        <f>+SUMIF('13.mell_ÖNKfeladatok2020'!$B$5:$B$163,'14.mell_Önk kiegészítés2020'!$A135,'13.mell_ÖNKfeladatok2020'!AJ$5:AJ$163)</f>
        <v>0</v>
      </c>
      <c r="H135" s="835">
        <f>+SUMIF('13.mell_ÖNKfeladatok2020'!$B$5:$B$163,'14.mell_Önk kiegészítés2020'!$A135,'13.mell_ÖNKfeladatok2020'!AN$5:AN$163)</f>
        <v>0</v>
      </c>
      <c r="I135" s="835">
        <f>+SUMIF('13.mell_ÖNKfeladatok2020'!$B$5:$B$163,'14.mell_Önk kiegészítés2020'!$A135,'13.mell_ÖNKfeladatok2020'!AR$5:AR$163)</f>
        <v>0</v>
      </c>
      <c r="J135" s="836">
        <f>SUM(C135:I135)</f>
        <v>0</v>
      </c>
      <c r="K135" s="835">
        <f>+SUMIF('13.mell_ÖNKfeladatok2020'!$B$171:$B$329,'14.mell_Önk kiegészítés2020'!$A135,'13.mell_ÖNKfeladatok2020'!P$171:P$329)</f>
        <v>0</v>
      </c>
      <c r="L135" s="835">
        <f>+SUMIF('13.mell_ÖNKfeladatok2020'!$B$171:$B$329,'14.mell_Önk kiegészítés2020'!$A135,'13.mell_ÖNKfeladatok2020'!T$171:T$329)</f>
        <v>0</v>
      </c>
      <c r="M135" s="835">
        <f>+SUMIF('13.mell_ÖNKfeladatok2020'!$B$171:$B$329,'14.mell_Önk kiegészítés2020'!$A135,'13.mell_ÖNKfeladatok2020'!X$171:X$329)</f>
        <v>0</v>
      </c>
      <c r="N135" s="835">
        <f>+SUMIF('13.mell_ÖNKfeladatok2020'!$B$171:$B$329,'14.mell_Önk kiegészítés2020'!$A135,'13.mell_ÖNKfeladatok2020'!AB$171:AB$329)</f>
        <v>0</v>
      </c>
      <c r="O135" s="835">
        <f>+SUMIF('13.mell_ÖNKfeladatok2020'!$B$171:$B$329,'14.mell_Önk kiegészítés2020'!$A135,'13.mell_ÖNKfeladatok2020'!AF$171:AF$329)</f>
        <v>0</v>
      </c>
      <c r="P135" s="835">
        <f>+SUMIF('13.mell_ÖNKfeladatok2020'!$B$171:$B$329,'14.mell_Önk kiegészítés2020'!$A135,'13.mell_ÖNKfeladatok2020'!AN$171:AN$329)</f>
        <v>0</v>
      </c>
      <c r="Q135" s="835">
        <f>+SUMIF('13.mell_ÖNKfeladatok2020'!$B$171:$B$329,'14.mell_Önk kiegészítés2020'!$A135,'13.mell_ÖNKfeladatok2020'!AR$171:AR$329)</f>
        <v>0</v>
      </c>
      <c r="R135" s="835">
        <f>+SUMIF('13.mell_ÖNKfeladatok2020'!$B$171:$B$329,'14.mell_Önk kiegészítés2020'!$A135,'13.mell_ÖNKfeladatok2020'!AV$171:AV$329)</f>
        <v>0</v>
      </c>
      <c r="S135" s="836">
        <f>SUM(K135:R135)</f>
        <v>0</v>
      </c>
      <c r="T135" s="524">
        <f>S135-J135</f>
        <v>0</v>
      </c>
      <c r="U135" s="1050">
        <f>+ROUND(SUMIF('10.mell_támogatások2020'!$B$6:$B$137,'14.mell_Önk kiegészítés2020'!$A135,'10.mell_támogatások2020'!E$6:E$137)/1000,0)</f>
        <v>0</v>
      </c>
      <c r="V135" s="1028"/>
      <c r="W135" s="524">
        <f>+T135-U135-V135</f>
        <v>0</v>
      </c>
    </row>
    <row r="136" spans="1:42" s="507" customFormat="1" ht="12.75" thickBot="1">
      <c r="A136" s="479" t="s">
        <v>1138</v>
      </c>
      <c r="B136" s="480" t="s">
        <v>1095</v>
      </c>
      <c r="C136" s="521">
        <f t="shared" ref="C136:W136" si="56">SUM(C135)</f>
        <v>0</v>
      </c>
      <c r="D136" s="521">
        <f t="shared" si="56"/>
        <v>0</v>
      </c>
      <c r="E136" s="521">
        <f t="shared" si="56"/>
        <v>0</v>
      </c>
      <c r="F136" s="521">
        <f t="shared" si="56"/>
        <v>0</v>
      </c>
      <c r="G136" s="521">
        <f t="shared" si="56"/>
        <v>0</v>
      </c>
      <c r="H136" s="521">
        <f t="shared" si="56"/>
        <v>0</v>
      </c>
      <c r="I136" s="521">
        <f t="shared" si="56"/>
        <v>0</v>
      </c>
      <c r="J136" s="524">
        <f t="shared" si="56"/>
        <v>0</v>
      </c>
      <c r="K136" s="521">
        <f t="shared" si="56"/>
        <v>0</v>
      </c>
      <c r="L136" s="521">
        <f t="shared" si="56"/>
        <v>0</v>
      </c>
      <c r="M136" s="521">
        <f t="shared" si="56"/>
        <v>0</v>
      </c>
      <c r="N136" s="521">
        <f t="shared" si="56"/>
        <v>0</v>
      </c>
      <c r="O136" s="521">
        <f t="shared" si="56"/>
        <v>0</v>
      </c>
      <c r="P136" s="521">
        <f t="shared" si="56"/>
        <v>0</v>
      </c>
      <c r="Q136" s="521">
        <f t="shared" si="56"/>
        <v>0</v>
      </c>
      <c r="R136" s="521">
        <f t="shared" si="56"/>
        <v>0</v>
      </c>
      <c r="S136" s="524">
        <f t="shared" si="56"/>
        <v>0</v>
      </c>
      <c r="T136" s="524">
        <f t="shared" si="56"/>
        <v>0</v>
      </c>
      <c r="U136" s="1044">
        <f t="shared" si="56"/>
        <v>0</v>
      </c>
      <c r="V136" s="525">
        <f t="shared" si="56"/>
        <v>0</v>
      </c>
      <c r="W136" s="524">
        <f t="shared" si="56"/>
        <v>0</v>
      </c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  <c r="AM136" s="261"/>
      <c r="AN136" s="261"/>
      <c r="AO136" s="261"/>
      <c r="AP136" s="261"/>
    </row>
    <row r="137" spans="1:42" ht="12.75" thickBot="1">
      <c r="A137" s="833">
        <f>+A135+1</f>
        <v>34</v>
      </c>
      <c r="B137" s="834" t="s">
        <v>1096</v>
      </c>
      <c r="C137" s="835">
        <f>+SUMIF('13.mell_ÖNKfeladatok2020'!$B$5:$B$163,'14.mell_Önk kiegészítés2020'!$A137,'13.mell_ÖNKfeladatok2020'!P$5:P$163)</f>
        <v>0</v>
      </c>
      <c r="D137" s="835">
        <f>+SUMIF('13.mell_ÖNKfeladatok2020'!$B$5:$B$163,'14.mell_Önk kiegészítés2020'!$A137,'13.mell_ÖNKfeladatok2020'!T$5:T$163)</f>
        <v>0</v>
      </c>
      <c r="E137" s="835">
        <f>+SUMIF('13.mell_ÖNKfeladatok2020'!$B$5:$B$163,'14.mell_Önk kiegészítés2020'!$A137,'13.mell_ÖNKfeladatok2020'!X$5:X$163)</f>
        <v>0</v>
      </c>
      <c r="F137" s="835">
        <f>+SUMIF('13.mell_ÖNKfeladatok2020'!$B$5:$B$163,'14.mell_Önk kiegészítés2020'!$A137,'13.mell_ÖNKfeladatok2020'!AB$5:AB$163)</f>
        <v>0</v>
      </c>
      <c r="G137" s="835">
        <f>+SUMIF('13.mell_ÖNKfeladatok2020'!$B$5:$B$163,'14.mell_Önk kiegészítés2020'!$A137,'13.mell_ÖNKfeladatok2020'!AJ$5:AJ$163)</f>
        <v>0</v>
      </c>
      <c r="H137" s="835">
        <f>+SUMIF('13.mell_ÖNKfeladatok2020'!$B$5:$B$163,'14.mell_Önk kiegészítés2020'!$A137,'13.mell_ÖNKfeladatok2020'!AN$5:AN$163)</f>
        <v>0</v>
      </c>
      <c r="I137" s="835">
        <f>+SUMIF('13.mell_ÖNKfeladatok2020'!$B$5:$B$163,'14.mell_Önk kiegészítés2020'!$A137,'13.mell_ÖNKfeladatok2020'!AR$5:AR$163)</f>
        <v>0</v>
      </c>
      <c r="J137" s="836">
        <f>SUM(C137:I137)</f>
        <v>0</v>
      </c>
      <c r="K137" s="835">
        <f>+SUMIF('13.mell_ÖNKfeladatok2020'!$B$171:$B$329,'14.mell_Önk kiegészítés2020'!$A137,'13.mell_ÖNKfeladatok2020'!P$171:P$329)</f>
        <v>0</v>
      </c>
      <c r="L137" s="835">
        <f>+SUMIF('13.mell_ÖNKfeladatok2020'!$B$171:$B$329,'14.mell_Önk kiegészítés2020'!$A137,'13.mell_ÖNKfeladatok2020'!T$171:T$329)</f>
        <v>0</v>
      </c>
      <c r="M137" s="835">
        <f>+SUMIF('13.mell_ÖNKfeladatok2020'!$B$171:$B$329,'14.mell_Önk kiegészítés2020'!$A137,'13.mell_ÖNKfeladatok2020'!X$171:X$329)</f>
        <v>0</v>
      </c>
      <c r="N137" s="835">
        <f>+SUMIF('13.mell_ÖNKfeladatok2020'!$B$171:$B$329,'14.mell_Önk kiegészítés2020'!$A137,'13.mell_ÖNKfeladatok2020'!AB$171:AB$329)</f>
        <v>0</v>
      </c>
      <c r="O137" s="835">
        <f>+SUMIF('13.mell_ÖNKfeladatok2020'!$B$171:$B$329,'14.mell_Önk kiegészítés2020'!$A137,'13.mell_ÖNKfeladatok2020'!AF$171:AF$329)</f>
        <v>0</v>
      </c>
      <c r="P137" s="835">
        <f>+SUMIF('13.mell_ÖNKfeladatok2020'!$B$171:$B$329,'14.mell_Önk kiegészítés2020'!$A137,'13.mell_ÖNKfeladatok2020'!AN$171:AN$329)</f>
        <v>0</v>
      </c>
      <c r="Q137" s="835">
        <f>+SUMIF('13.mell_ÖNKfeladatok2020'!$B$171:$B$329,'14.mell_Önk kiegészítés2020'!$A137,'13.mell_ÖNKfeladatok2020'!AR$171:AR$329)</f>
        <v>0</v>
      </c>
      <c r="R137" s="835">
        <f>+SUMIF('13.mell_ÖNKfeladatok2020'!$B$171:$B$329,'14.mell_Önk kiegészítés2020'!$A137,'13.mell_ÖNKfeladatok2020'!AV$171:AV$329)</f>
        <v>0</v>
      </c>
      <c r="S137" s="836">
        <f>SUM(K137:R137)</f>
        <v>0</v>
      </c>
      <c r="T137" s="524">
        <f>S137-J137</f>
        <v>0</v>
      </c>
      <c r="U137" s="1050">
        <f>+ROUND(SUMIF('10.mell_támogatások2020'!$B$6:$B$137,'14.mell_Önk kiegészítés2020'!$A137,'10.mell_támogatások2020'!E$6:E$137)/1000,0)</f>
        <v>0</v>
      </c>
      <c r="V137" s="1028"/>
      <c r="W137" s="524">
        <f>+T137-U137-V137</f>
        <v>0</v>
      </c>
    </row>
    <row r="138" spans="1:42" s="507" customFormat="1" ht="24.75" thickBot="1">
      <c r="A138" s="479" t="s">
        <v>1139</v>
      </c>
      <c r="B138" s="480" t="s">
        <v>1096</v>
      </c>
      <c r="C138" s="521">
        <f t="shared" ref="C138:W138" si="57">SUM(C137)</f>
        <v>0</v>
      </c>
      <c r="D138" s="521">
        <f t="shared" si="57"/>
        <v>0</v>
      </c>
      <c r="E138" s="521">
        <f t="shared" si="57"/>
        <v>0</v>
      </c>
      <c r="F138" s="521">
        <f t="shared" si="57"/>
        <v>0</v>
      </c>
      <c r="G138" s="521">
        <f t="shared" si="57"/>
        <v>0</v>
      </c>
      <c r="H138" s="521">
        <f t="shared" si="57"/>
        <v>0</v>
      </c>
      <c r="I138" s="521">
        <f t="shared" si="57"/>
        <v>0</v>
      </c>
      <c r="J138" s="524">
        <f t="shared" si="57"/>
        <v>0</v>
      </c>
      <c r="K138" s="521">
        <f t="shared" si="57"/>
        <v>0</v>
      </c>
      <c r="L138" s="521">
        <f t="shared" si="57"/>
        <v>0</v>
      </c>
      <c r="M138" s="521">
        <f t="shared" si="57"/>
        <v>0</v>
      </c>
      <c r="N138" s="521">
        <f t="shared" si="57"/>
        <v>0</v>
      </c>
      <c r="O138" s="521">
        <f t="shared" si="57"/>
        <v>0</v>
      </c>
      <c r="P138" s="521">
        <f t="shared" si="57"/>
        <v>0</v>
      </c>
      <c r="Q138" s="521">
        <f t="shared" si="57"/>
        <v>0</v>
      </c>
      <c r="R138" s="521">
        <f t="shared" si="57"/>
        <v>0</v>
      </c>
      <c r="S138" s="524">
        <f t="shared" si="57"/>
        <v>0</v>
      </c>
      <c r="T138" s="524">
        <f t="shared" si="57"/>
        <v>0</v>
      </c>
      <c r="U138" s="1044">
        <f t="shared" si="57"/>
        <v>0</v>
      </c>
      <c r="V138" s="525">
        <f t="shared" si="57"/>
        <v>0</v>
      </c>
      <c r="W138" s="524">
        <f t="shared" si="57"/>
        <v>0</v>
      </c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  <c r="AM138" s="261"/>
      <c r="AN138" s="261"/>
      <c r="AO138" s="261"/>
      <c r="AP138" s="261"/>
    </row>
    <row r="139" spans="1:42" s="507" customFormat="1" ht="12.75" thickBot="1">
      <c r="A139" s="473" t="s">
        <v>42</v>
      </c>
      <c r="B139" s="483" t="s">
        <v>1097</v>
      </c>
      <c r="C139" s="530">
        <f t="shared" ref="C139:W139" si="58">+C134+C136+C138</f>
        <v>0</v>
      </c>
      <c r="D139" s="530">
        <f t="shared" si="58"/>
        <v>0</v>
      </c>
      <c r="E139" s="530">
        <f t="shared" si="58"/>
        <v>2</v>
      </c>
      <c r="F139" s="530">
        <f t="shared" si="58"/>
        <v>0</v>
      </c>
      <c r="G139" s="530">
        <f t="shared" si="58"/>
        <v>0</v>
      </c>
      <c r="H139" s="530">
        <f t="shared" si="58"/>
        <v>0</v>
      </c>
      <c r="I139" s="530">
        <f t="shared" si="58"/>
        <v>0</v>
      </c>
      <c r="J139" s="533">
        <f t="shared" si="58"/>
        <v>2</v>
      </c>
      <c r="K139" s="530">
        <f t="shared" si="58"/>
        <v>77800</v>
      </c>
      <c r="L139" s="530">
        <f t="shared" si="58"/>
        <v>12863</v>
      </c>
      <c r="M139" s="530">
        <f t="shared" si="58"/>
        <v>5889</v>
      </c>
      <c r="N139" s="530">
        <f t="shared" si="58"/>
        <v>0</v>
      </c>
      <c r="O139" s="530">
        <f t="shared" si="58"/>
        <v>40</v>
      </c>
      <c r="P139" s="530">
        <f t="shared" si="58"/>
        <v>15653</v>
      </c>
      <c r="Q139" s="530">
        <f t="shared" si="58"/>
        <v>0</v>
      </c>
      <c r="R139" s="530">
        <f t="shared" si="58"/>
        <v>0</v>
      </c>
      <c r="S139" s="533">
        <f t="shared" si="58"/>
        <v>112245</v>
      </c>
      <c r="T139" s="533">
        <f t="shared" si="58"/>
        <v>112243</v>
      </c>
      <c r="U139" s="1046">
        <f t="shared" si="58"/>
        <v>104635</v>
      </c>
      <c r="V139" s="532">
        <f t="shared" si="58"/>
        <v>6792</v>
      </c>
      <c r="W139" s="533">
        <f t="shared" si="58"/>
        <v>816</v>
      </c>
      <c r="Y139" s="507">
        <f>+'13.mell_ÖNKfeladatok2020'!$H$161-J139</f>
        <v>0</v>
      </c>
      <c r="Z139" s="507">
        <f>+'13.mell_ÖNKfeladatok2020'!$H$327-S139</f>
        <v>0</v>
      </c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  <c r="AM139" s="261"/>
      <c r="AN139" s="261"/>
      <c r="AO139" s="261"/>
      <c r="AP139" s="261"/>
    </row>
    <row r="140" spans="1:42" s="194" customFormat="1" ht="12.75" thickBot="1">
      <c r="A140" s="494"/>
      <c r="B140" s="545"/>
      <c r="C140" s="534"/>
      <c r="D140" s="535"/>
      <c r="E140" s="535"/>
      <c r="F140" s="535"/>
      <c r="G140" s="535"/>
      <c r="H140" s="535"/>
      <c r="I140" s="536"/>
      <c r="J140" s="537"/>
      <c r="K140" s="546"/>
      <c r="L140" s="546"/>
      <c r="M140" s="546"/>
      <c r="N140" s="546"/>
      <c r="O140" s="546"/>
      <c r="P140" s="546"/>
      <c r="Q140" s="546"/>
      <c r="R140" s="546"/>
      <c r="S140" s="544"/>
      <c r="T140" s="544"/>
      <c r="U140" s="1052"/>
      <c r="V140" s="1030"/>
      <c r="W140" s="544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195"/>
    </row>
    <row r="141" spans="1:42" s="507" customFormat="1" ht="12.75" thickBot="1">
      <c r="A141" s="528" t="s">
        <v>41</v>
      </c>
      <c r="B141" s="529" t="s">
        <v>769</v>
      </c>
      <c r="C141" s="530">
        <f t="shared" ref="C141:W141" si="59">+C91+C103+C113+C123+C131+C139</f>
        <v>1347690</v>
      </c>
      <c r="D141" s="530">
        <f t="shared" si="59"/>
        <v>538391</v>
      </c>
      <c r="E141" s="530">
        <f t="shared" si="59"/>
        <v>169713</v>
      </c>
      <c r="F141" s="530">
        <f t="shared" si="59"/>
        <v>19952</v>
      </c>
      <c r="G141" s="530">
        <f t="shared" si="59"/>
        <v>219051</v>
      </c>
      <c r="H141" s="530">
        <f t="shared" si="59"/>
        <v>42427</v>
      </c>
      <c r="I141" s="530">
        <f t="shared" si="59"/>
        <v>5714</v>
      </c>
      <c r="J141" s="533">
        <f t="shared" si="59"/>
        <v>2342938</v>
      </c>
      <c r="K141" s="547">
        <f t="shared" si="59"/>
        <v>952919</v>
      </c>
      <c r="L141" s="547">
        <f t="shared" si="59"/>
        <v>167067</v>
      </c>
      <c r="M141" s="547">
        <f t="shared" si="59"/>
        <v>744360</v>
      </c>
      <c r="N141" s="547">
        <f t="shared" si="59"/>
        <v>48429</v>
      </c>
      <c r="O141" s="547">
        <f t="shared" si="59"/>
        <v>2424341</v>
      </c>
      <c r="P141" s="547">
        <f t="shared" si="59"/>
        <v>807961</v>
      </c>
      <c r="Q141" s="547">
        <f t="shared" si="59"/>
        <v>539711</v>
      </c>
      <c r="R141" s="547">
        <f t="shared" si="59"/>
        <v>0</v>
      </c>
      <c r="S141" s="548">
        <f t="shared" si="59"/>
        <v>5684788</v>
      </c>
      <c r="T141" s="548">
        <f t="shared" si="59"/>
        <v>3341850</v>
      </c>
      <c r="U141" s="1053">
        <f t="shared" si="59"/>
        <v>0</v>
      </c>
      <c r="V141" s="1031">
        <f t="shared" si="59"/>
        <v>2845803</v>
      </c>
      <c r="W141" s="548">
        <f t="shared" si="59"/>
        <v>496047</v>
      </c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  <c r="AM141" s="261"/>
      <c r="AN141" s="261"/>
      <c r="AO141" s="261"/>
      <c r="AP141" s="261"/>
    </row>
    <row r="142" spans="1:42" s="507" customFormat="1" ht="12.75" thickBot="1">
      <c r="A142" s="558" t="s">
        <v>37</v>
      </c>
      <c r="B142" s="550" t="s">
        <v>770</v>
      </c>
      <c r="C142" s="551"/>
      <c r="D142" s="551"/>
      <c r="E142" s="551"/>
      <c r="F142" s="551">
        <f>+'1.mell._Össz_Mérleg2020'!$D$71</f>
        <v>797622</v>
      </c>
      <c r="G142" s="551"/>
      <c r="H142" s="551"/>
      <c r="I142" s="551">
        <f>+'1.mell._Össz_Mérleg2020'!$D$86</f>
        <v>2653354</v>
      </c>
      <c r="J142" s="557">
        <f>SUM(C142:I142)</f>
        <v>3450976</v>
      </c>
      <c r="K142" s="551"/>
      <c r="L142" s="551"/>
      <c r="M142" s="551"/>
      <c r="N142" s="551"/>
      <c r="O142" s="551">
        <f>+'1.mell._Össz_Mérleg2020'!$D$177</f>
        <v>109126</v>
      </c>
      <c r="P142" s="551"/>
      <c r="Q142" s="551"/>
      <c r="R142" s="551">
        <f>+'1.mell._Össz_Mérleg2020'!$D$192</f>
        <v>0</v>
      </c>
      <c r="S142" s="557">
        <f>SUM(K142:R142)</f>
        <v>109126</v>
      </c>
      <c r="T142" s="552">
        <f>S142-J142</f>
        <v>-3341850</v>
      </c>
      <c r="U142" s="1054"/>
      <c r="V142" s="1032">
        <v>-2845803</v>
      </c>
      <c r="W142" s="552">
        <f>+T142-U142-V142</f>
        <v>-496047</v>
      </c>
      <c r="AB142" s="261"/>
      <c r="AC142" s="261">
        <v>-2845803</v>
      </c>
      <c r="AD142" s="261"/>
      <c r="AE142" s="261"/>
      <c r="AF142" s="261"/>
      <c r="AG142" s="261"/>
      <c r="AH142" s="261"/>
      <c r="AI142" s="261"/>
      <c r="AJ142" s="261"/>
      <c r="AK142" s="261"/>
      <c r="AL142" s="261"/>
      <c r="AM142" s="261"/>
      <c r="AN142" s="261"/>
      <c r="AO142" s="261"/>
      <c r="AP142" s="261"/>
    </row>
    <row r="143" spans="1:42" s="194" customFormat="1" ht="12.75" thickBot="1">
      <c r="A143" s="528" t="s">
        <v>1142</v>
      </c>
      <c r="B143" s="529" t="s">
        <v>771</v>
      </c>
      <c r="C143" s="530">
        <f>+C141+C142</f>
        <v>1347690</v>
      </c>
      <c r="D143" s="530">
        <f t="shared" ref="D143:I143" si="60">+D141+D142</f>
        <v>538391</v>
      </c>
      <c r="E143" s="530">
        <f t="shared" si="60"/>
        <v>169713</v>
      </c>
      <c r="F143" s="530">
        <f t="shared" si="60"/>
        <v>817574</v>
      </c>
      <c r="G143" s="530">
        <f t="shared" si="60"/>
        <v>219051</v>
      </c>
      <c r="H143" s="530">
        <f t="shared" si="60"/>
        <v>42427</v>
      </c>
      <c r="I143" s="530">
        <f t="shared" si="60"/>
        <v>2659068</v>
      </c>
      <c r="J143" s="533">
        <f>+J141+J142</f>
        <v>5793914</v>
      </c>
      <c r="K143" s="530">
        <f t="shared" ref="K143:W143" si="61">+K141+K142</f>
        <v>952919</v>
      </c>
      <c r="L143" s="530">
        <f t="shared" si="61"/>
        <v>167067</v>
      </c>
      <c r="M143" s="530">
        <f t="shared" si="61"/>
        <v>744360</v>
      </c>
      <c r="N143" s="530">
        <f t="shared" si="61"/>
        <v>48429</v>
      </c>
      <c r="O143" s="530">
        <f t="shared" si="61"/>
        <v>2533467</v>
      </c>
      <c r="P143" s="530">
        <f t="shared" si="61"/>
        <v>807961</v>
      </c>
      <c r="Q143" s="530">
        <f t="shared" si="61"/>
        <v>539711</v>
      </c>
      <c r="R143" s="530">
        <f t="shared" si="61"/>
        <v>0</v>
      </c>
      <c r="S143" s="533">
        <f t="shared" si="61"/>
        <v>5793914</v>
      </c>
      <c r="T143" s="533">
        <f t="shared" si="61"/>
        <v>0</v>
      </c>
      <c r="U143" s="1046">
        <f t="shared" si="61"/>
        <v>0</v>
      </c>
      <c r="V143" s="532">
        <f t="shared" si="61"/>
        <v>0</v>
      </c>
      <c r="W143" s="533">
        <f t="shared" si="61"/>
        <v>0</v>
      </c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195"/>
    </row>
    <row r="144" spans="1:42" s="507" customFormat="1" ht="11.25" customHeight="1">
      <c r="A144" s="559"/>
      <c r="B144" s="549"/>
      <c r="C144" s="549"/>
      <c r="D144" s="549"/>
      <c r="E144" s="549"/>
      <c r="F144" s="549"/>
      <c r="G144" s="549"/>
      <c r="H144" s="549"/>
      <c r="I144" s="549"/>
      <c r="J144" s="549"/>
      <c r="K144" s="549"/>
      <c r="L144" s="549"/>
      <c r="M144" s="549"/>
      <c r="N144" s="549"/>
      <c r="O144" s="549"/>
      <c r="P144" s="549"/>
      <c r="Q144" s="549"/>
      <c r="R144" s="549"/>
      <c r="S144" s="549"/>
      <c r="T144" s="549"/>
      <c r="U144" s="549"/>
      <c r="V144" s="549"/>
      <c r="W144" s="549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  <c r="AM144" s="261"/>
      <c r="AN144" s="261"/>
      <c r="AO144" s="261"/>
      <c r="AP144" s="261"/>
    </row>
    <row r="145" spans="1:42" ht="12.75" thickBot="1">
      <c r="W145" s="238" t="s">
        <v>457</v>
      </c>
    </row>
    <row r="146" spans="1:42" s="510" customFormat="1" ht="72.75" thickBot="1">
      <c r="A146" s="1285" t="s">
        <v>17</v>
      </c>
      <c r="B146" s="452" t="s">
        <v>2654</v>
      </c>
      <c r="C146" s="839" t="s">
        <v>762</v>
      </c>
      <c r="D146" s="354" t="s">
        <v>524</v>
      </c>
      <c r="E146" s="354" t="s">
        <v>763</v>
      </c>
      <c r="F146" s="354" t="s">
        <v>1143</v>
      </c>
      <c r="G146" s="354" t="s">
        <v>531</v>
      </c>
      <c r="H146" s="354" t="s">
        <v>532</v>
      </c>
      <c r="I146" s="353" t="s">
        <v>1144</v>
      </c>
      <c r="J146" s="296" t="s">
        <v>523</v>
      </c>
      <c r="K146" s="839" t="s">
        <v>46</v>
      </c>
      <c r="L146" s="354" t="s">
        <v>446</v>
      </c>
      <c r="M146" s="354" t="s">
        <v>447</v>
      </c>
      <c r="N146" s="354" t="s">
        <v>765</v>
      </c>
      <c r="O146" s="354" t="s">
        <v>1145</v>
      </c>
      <c r="P146" s="354" t="s">
        <v>450</v>
      </c>
      <c r="Q146" s="354" t="s">
        <v>451</v>
      </c>
      <c r="R146" s="291" t="s">
        <v>1146</v>
      </c>
      <c r="S146" s="296" t="s">
        <v>526</v>
      </c>
      <c r="T146" s="509" t="s">
        <v>755</v>
      </c>
      <c r="U146" s="1041" t="s">
        <v>1537</v>
      </c>
      <c r="V146" s="1021" t="s">
        <v>1536</v>
      </c>
      <c r="W146" s="509" t="s">
        <v>756</v>
      </c>
      <c r="AB146" s="510" t="s">
        <v>1153</v>
      </c>
      <c r="AC146" s="510" t="s">
        <v>1064</v>
      </c>
      <c r="AD146" s="510" t="s">
        <v>1039</v>
      </c>
      <c r="AE146" s="510" t="s">
        <v>1215</v>
      </c>
      <c r="AF146" s="510" t="s">
        <v>1151</v>
      </c>
      <c r="AG146" s="510" t="s">
        <v>1150</v>
      </c>
      <c r="AH146" s="510" t="s">
        <v>1149</v>
      </c>
      <c r="AI146" s="510" t="s">
        <v>1154</v>
      </c>
      <c r="AJ146" s="510" t="s">
        <v>1216</v>
      </c>
    </row>
    <row r="147" spans="1:42">
      <c r="A147" s="783">
        <v>1</v>
      </c>
      <c r="B147" s="695" t="s">
        <v>414</v>
      </c>
      <c r="C147" s="512">
        <f>+SUMIF('13.mell_ÖNKfeladatok2020'!$B$5:$B$163,'14.mell_Önk kiegészítés2020'!$A147,'13.mell_ÖNKfeladatok2020'!Q$5:Q$163)</f>
        <v>0</v>
      </c>
      <c r="D147" s="512">
        <f>+SUMIF('13.mell_ÖNKfeladatok2020'!$B$5:$B$163,'14.mell_Önk kiegészítés2020'!$A147,'13.mell_ÖNKfeladatok2020'!U$5:U$163)</f>
        <v>0</v>
      </c>
      <c r="E147" s="512">
        <f>+SUMIF('13.mell_ÖNKfeladatok2020'!$B$5:$B$163,'14.mell_Önk kiegészítés2020'!$A147,'13.mell_ÖNKfeladatok2020'!Y$5:Y$163)</f>
        <v>0</v>
      </c>
      <c r="F147" s="512">
        <f>+SUMIF('13.mell_ÖNKfeladatok2020'!$B$5:$B$163,'14.mell_Önk kiegészítés2020'!$A147,'13.mell_ÖNKfeladatok2020'!AC$5:AC$163)</f>
        <v>0</v>
      </c>
      <c r="G147" s="512">
        <f>+SUMIF('13.mell_ÖNKfeladatok2020'!$B$5:$B$163,'14.mell_Önk kiegészítés2020'!$A147,'13.mell_ÖNKfeladatok2020'!AK$5:AK$163)</f>
        <v>0</v>
      </c>
      <c r="H147" s="512">
        <f>+SUMIF('13.mell_ÖNKfeladatok2020'!$B$5:$B$163,'14.mell_Önk kiegészítés2020'!$A147,'13.mell_ÖNKfeladatok2020'!AO$5:AO$163)</f>
        <v>0</v>
      </c>
      <c r="I147" s="512">
        <f>+SUMIF('13.mell_ÖNKfeladatok2020'!$B$5:$B$163,'14.mell_Önk kiegészítés2020'!$A147,'13.mell_ÖNKfeladatok2020'!AS$5:AS$163)</f>
        <v>0</v>
      </c>
      <c r="J147" s="696">
        <f t="shared" ref="J147:J154" si="62">SUM(C147:I147)</f>
        <v>0</v>
      </c>
      <c r="K147" s="512">
        <f>+SUMIF('13.mell_ÖNKfeladatok2020'!$B$171:$B$329,'14.mell_Önk kiegészítés2020'!$A147,'13.mell_ÖNKfeladatok2020'!Q$171:Q$329)</f>
        <v>37775</v>
      </c>
      <c r="L147" s="512">
        <f>+SUMIF('13.mell_ÖNKfeladatok2020'!$B$171:$B$329,'14.mell_Önk kiegészítés2020'!$A147,'13.mell_ÖNKfeladatok2020'!U$171:U$329)</f>
        <v>5699</v>
      </c>
      <c r="M147" s="512">
        <f>+SUMIF('13.mell_ÖNKfeladatok2020'!$B$171:$B$329,'14.mell_Önk kiegészítés2020'!$A147,'13.mell_ÖNKfeladatok2020'!Y$171:Y$329)</f>
        <v>0</v>
      </c>
      <c r="N147" s="512">
        <f>+SUMIF('13.mell_ÖNKfeladatok2020'!$B$171:$B$329,'14.mell_Önk kiegészítés2020'!$A147,'13.mell_ÖNKfeladatok2020'!AC$171:AC$329)</f>
        <v>0</v>
      </c>
      <c r="O147" s="512">
        <f>+SUMIF('13.mell_ÖNKfeladatok2020'!$B$171:$B$329,'14.mell_Önk kiegészítés2020'!$A147,'13.mell_ÖNKfeladatok2020'!AG$171:AG$329)</f>
        <v>0</v>
      </c>
      <c r="P147" s="512">
        <f>+SUMIF('13.mell_ÖNKfeladatok2020'!$B$171:$B$329,'14.mell_Önk kiegészítés2020'!$A147,'13.mell_ÖNKfeladatok2020'!AO$171:AO$329)</f>
        <v>0</v>
      </c>
      <c r="Q147" s="512">
        <f>+SUMIF('13.mell_ÖNKfeladatok2020'!$B$171:$B$329,'14.mell_Önk kiegészítés2020'!$A147,'13.mell_ÖNKfeladatok2020'!AS$171:AS$329)</f>
        <v>0</v>
      </c>
      <c r="R147" s="512">
        <f>+SUMIF('13.mell_ÖNKfeladatok2020'!$B$171:$B$329,'14.mell_Önk kiegészítés2020'!$A147,'13.mell_ÖNKfeladatok2020'!AW$171:AW$329)</f>
        <v>0</v>
      </c>
      <c r="S147" s="696">
        <f t="shared" ref="S147:S154" si="63">SUM(K147:R147)</f>
        <v>43474</v>
      </c>
      <c r="T147" s="697">
        <f t="shared" ref="T147:T154" si="64">S147-J147</f>
        <v>43474</v>
      </c>
      <c r="U147" s="512">
        <f>+ROUND(SUMIF('10.mell_támogatások2020'!$B$6:$B$137,'14.mell_Önk kiegészítés2020'!$A147,'10.mell_támogatások2020'!F$6:F$137)/1000,0)</f>
        <v>1794</v>
      </c>
      <c r="V147" s="512"/>
      <c r="W147" s="697">
        <f>+T147-U147-V147</f>
        <v>41680</v>
      </c>
    </row>
    <row r="148" spans="1:42">
      <c r="A148" s="784">
        <f>+A147+1</f>
        <v>2</v>
      </c>
      <c r="B148" s="511" t="s">
        <v>649</v>
      </c>
      <c r="C148" s="512">
        <f>+SUMIF('13.mell_ÖNKfeladatok2020'!$B$5:$B$163,'14.mell_Önk kiegészítés2020'!$A148,'13.mell_ÖNKfeladatok2020'!Q$5:Q$163)</f>
        <v>0</v>
      </c>
      <c r="D148" s="512">
        <f>+SUMIF('13.mell_ÖNKfeladatok2020'!$B$5:$B$163,'14.mell_Önk kiegészítés2020'!$A148,'13.mell_ÖNKfeladatok2020'!U$5:U$163)</f>
        <v>0</v>
      </c>
      <c r="E148" s="512">
        <f>+SUMIF('13.mell_ÖNKfeladatok2020'!$B$5:$B$163,'14.mell_Önk kiegészítés2020'!$A148,'13.mell_ÖNKfeladatok2020'!Y$5:Y$163)</f>
        <v>0</v>
      </c>
      <c r="F148" s="512">
        <f>+SUMIF('13.mell_ÖNKfeladatok2020'!$B$5:$B$163,'14.mell_Önk kiegészítés2020'!$A148,'13.mell_ÖNKfeladatok2020'!AC$5:AC$163)</f>
        <v>0</v>
      </c>
      <c r="G148" s="512">
        <f>+SUMIF('13.mell_ÖNKfeladatok2020'!$B$5:$B$163,'14.mell_Önk kiegészítés2020'!$A148,'13.mell_ÖNKfeladatok2020'!AK$5:AK$163)</f>
        <v>0</v>
      </c>
      <c r="H148" s="512">
        <f>+SUMIF('13.mell_ÖNKfeladatok2020'!$B$5:$B$163,'14.mell_Önk kiegészítés2020'!$A148,'13.mell_ÖNKfeladatok2020'!AO$5:AO$163)</f>
        <v>0</v>
      </c>
      <c r="I148" s="512">
        <f>+SUMIF('13.mell_ÖNKfeladatok2020'!$B$5:$B$163,'14.mell_Önk kiegészítés2020'!$A148,'13.mell_ÖNKfeladatok2020'!AS$5:AS$163)</f>
        <v>0</v>
      </c>
      <c r="J148" s="553">
        <f t="shared" si="62"/>
        <v>0</v>
      </c>
      <c r="K148" s="512">
        <f>+SUMIF('13.mell_ÖNKfeladatok2020'!$B$171:$B$329,'14.mell_Önk kiegészítés2020'!$A148,'13.mell_ÖNKfeladatok2020'!Q$171:Q$329)</f>
        <v>0</v>
      </c>
      <c r="L148" s="512">
        <f>+SUMIF('13.mell_ÖNKfeladatok2020'!$B$171:$B$329,'14.mell_Önk kiegészítés2020'!$A148,'13.mell_ÖNKfeladatok2020'!U$171:U$329)</f>
        <v>0</v>
      </c>
      <c r="M148" s="512">
        <f>+SUMIF('13.mell_ÖNKfeladatok2020'!$B$171:$B$329,'14.mell_Önk kiegészítés2020'!$A148,'13.mell_ÖNKfeladatok2020'!Y$171:Y$329)</f>
        <v>2111</v>
      </c>
      <c r="N148" s="512">
        <f>+SUMIF('13.mell_ÖNKfeladatok2020'!$B$171:$B$329,'14.mell_Önk kiegészítés2020'!$A148,'13.mell_ÖNKfeladatok2020'!AC$171:AC$329)</f>
        <v>0</v>
      </c>
      <c r="O148" s="512">
        <f>+SUMIF('13.mell_ÖNKfeladatok2020'!$B$171:$B$329,'14.mell_Önk kiegészítés2020'!$A148,'13.mell_ÖNKfeladatok2020'!AG$171:AG$329)</f>
        <v>0</v>
      </c>
      <c r="P148" s="512">
        <f>+SUMIF('13.mell_ÖNKfeladatok2020'!$B$171:$B$329,'14.mell_Önk kiegészítés2020'!$A148,'13.mell_ÖNKfeladatok2020'!AO$171:AO$329)</f>
        <v>12747</v>
      </c>
      <c r="Q148" s="512">
        <f>+SUMIF('13.mell_ÖNKfeladatok2020'!$B$171:$B$329,'14.mell_Önk kiegészítés2020'!$A148,'13.mell_ÖNKfeladatok2020'!AS$171:AS$329)</f>
        <v>0</v>
      </c>
      <c r="R148" s="512">
        <f>+SUMIF('13.mell_ÖNKfeladatok2020'!$B$171:$B$329,'14.mell_Önk kiegészítés2020'!$A148,'13.mell_ÖNKfeladatok2020'!AW$171:AW$329)</f>
        <v>0</v>
      </c>
      <c r="S148" s="553">
        <f t="shared" si="63"/>
        <v>14858</v>
      </c>
      <c r="T148" s="513">
        <f t="shared" si="64"/>
        <v>14858</v>
      </c>
      <c r="U148" s="1042">
        <f>+ROUND(SUMIF('10.mell_támogatások2020'!$B$6:$B$137,'14.mell_Önk kiegészítés2020'!$A148,'10.mell_támogatások2020'!F$6:F$137)/1000,0)</f>
        <v>3460</v>
      </c>
      <c r="V148" s="1022"/>
      <c r="W148" s="513">
        <f t="shared" ref="W148:W154" si="65">+T148-U148-V148</f>
        <v>11398</v>
      </c>
    </row>
    <row r="149" spans="1:42">
      <c r="A149" s="784">
        <f>+A148+1</f>
        <v>3</v>
      </c>
      <c r="B149" s="514" t="s">
        <v>644</v>
      </c>
      <c r="C149" s="515">
        <f>+SUMIF('13.mell_ÖNKfeladatok2020'!$B$5:$B$163,'14.mell_Önk kiegészítés2020'!$A149,'13.mell_ÖNKfeladatok2020'!Q$5:Q$163)</f>
        <v>0</v>
      </c>
      <c r="D149" s="515">
        <f>+SUMIF('13.mell_ÖNKfeladatok2020'!$B$5:$B$163,'14.mell_Önk kiegészítés2020'!$A149,'13.mell_ÖNKfeladatok2020'!U$5:U$163)</f>
        <v>0</v>
      </c>
      <c r="E149" s="515">
        <f>+SUMIF('13.mell_ÖNKfeladatok2020'!$B$5:$B$163,'14.mell_Önk kiegészítés2020'!$A149,'13.mell_ÖNKfeladatok2020'!Y$5:Y$163)</f>
        <v>0</v>
      </c>
      <c r="F149" s="515">
        <f>+SUMIF('13.mell_ÖNKfeladatok2020'!$B$5:$B$163,'14.mell_Önk kiegészítés2020'!$A149,'13.mell_ÖNKfeladatok2020'!AC$5:AC$163)</f>
        <v>0</v>
      </c>
      <c r="G149" s="512">
        <f>+SUMIF('13.mell_ÖNKfeladatok2020'!$B$5:$B$163,'14.mell_Önk kiegészítés2020'!$A149,'13.mell_ÖNKfeladatok2020'!AK$5:AK$163)</f>
        <v>0</v>
      </c>
      <c r="H149" s="515">
        <f>+SUMIF('13.mell_ÖNKfeladatok2020'!$B$5:$B$163,'14.mell_Önk kiegészítés2020'!$A149,'13.mell_ÖNKfeladatok2020'!AO$5:AO$163)</f>
        <v>0</v>
      </c>
      <c r="I149" s="515">
        <f>+SUMIF('13.mell_ÖNKfeladatok2020'!$B$5:$B$163,'14.mell_Önk kiegészítés2020'!$A149,'13.mell_ÖNKfeladatok2020'!AS$5:AS$163)</f>
        <v>0</v>
      </c>
      <c r="J149" s="554">
        <f t="shared" si="62"/>
        <v>0</v>
      </c>
      <c r="K149" s="515">
        <f>+SUMIF('13.mell_ÖNKfeladatok2020'!$B$171:$B$329,'14.mell_Önk kiegészítés2020'!$A149,'13.mell_ÖNKfeladatok2020'!Q$171:Q$329)</f>
        <v>0</v>
      </c>
      <c r="L149" s="515">
        <f>+SUMIF('13.mell_ÖNKfeladatok2020'!$B$171:$B$329,'14.mell_Önk kiegészítés2020'!$A149,'13.mell_ÖNKfeladatok2020'!U$171:U$329)</f>
        <v>0</v>
      </c>
      <c r="M149" s="515">
        <f>+SUMIF('13.mell_ÖNKfeladatok2020'!$B$171:$B$329,'14.mell_Önk kiegészítés2020'!$A149,'13.mell_ÖNKfeladatok2020'!Y$171:Y$329)</f>
        <v>27445</v>
      </c>
      <c r="N149" s="515">
        <f>+SUMIF('13.mell_ÖNKfeladatok2020'!$B$171:$B$329,'14.mell_Önk kiegészítés2020'!$A149,'13.mell_ÖNKfeladatok2020'!AC$171:AC$329)</f>
        <v>0</v>
      </c>
      <c r="O149" s="515">
        <f>+SUMIF('13.mell_ÖNKfeladatok2020'!$B$171:$B$329,'14.mell_Önk kiegészítés2020'!$A149,'13.mell_ÖNKfeladatok2020'!AG$171:AG$329)</f>
        <v>0</v>
      </c>
      <c r="P149" s="515">
        <f>+SUMIF('13.mell_ÖNKfeladatok2020'!$B$171:$B$329,'14.mell_Önk kiegészítés2020'!$A149,'13.mell_ÖNKfeladatok2020'!AO$171:AO$329)</f>
        <v>0</v>
      </c>
      <c r="Q149" s="515">
        <f>+SUMIF('13.mell_ÖNKfeladatok2020'!$B$171:$B$329,'14.mell_Önk kiegészítés2020'!$A149,'13.mell_ÖNKfeladatok2020'!AS$171:AS$329)</f>
        <v>0</v>
      </c>
      <c r="R149" s="515">
        <f>+SUMIF('13.mell_ÖNKfeladatok2020'!$B$171:$B$329,'14.mell_Önk kiegészítés2020'!$A149,'13.mell_ÖNKfeladatok2020'!AW$171:AW$329)</f>
        <v>0</v>
      </c>
      <c r="S149" s="554">
        <f t="shared" si="63"/>
        <v>27445</v>
      </c>
      <c r="T149" s="516">
        <f t="shared" si="64"/>
        <v>27445</v>
      </c>
      <c r="U149" s="1042">
        <f>+ROUND(SUMIF('10.mell_támogatások2020'!$B$6:$B$137,'14.mell_Önk kiegészítés2020'!$A149,'10.mell_támogatások2020'!F$6:F$137)/1000,0)</f>
        <v>26600</v>
      </c>
      <c r="V149" s="1022"/>
      <c r="W149" s="516">
        <f t="shared" si="65"/>
        <v>845</v>
      </c>
    </row>
    <row r="150" spans="1:42">
      <c r="A150" s="784">
        <f>+A149+1</f>
        <v>4</v>
      </c>
      <c r="B150" s="514" t="s">
        <v>646</v>
      </c>
      <c r="C150" s="515">
        <f>+SUMIF('13.mell_ÖNKfeladatok2020'!$B$5:$B$163,'14.mell_Önk kiegészítés2020'!$A150,'13.mell_ÖNKfeladatok2020'!Q$5:Q$163)</f>
        <v>0</v>
      </c>
      <c r="D150" s="515">
        <f>+SUMIF('13.mell_ÖNKfeladatok2020'!$B$5:$B$163,'14.mell_Önk kiegészítés2020'!$A150,'13.mell_ÖNKfeladatok2020'!U$5:U$163)</f>
        <v>0</v>
      </c>
      <c r="E150" s="515">
        <f>+SUMIF('13.mell_ÖNKfeladatok2020'!$B$5:$B$163,'14.mell_Önk kiegészítés2020'!$A150,'13.mell_ÖNKfeladatok2020'!Y$5:Y$163)</f>
        <v>0</v>
      </c>
      <c r="F150" s="515">
        <f>+SUMIF('13.mell_ÖNKfeladatok2020'!$B$5:$B$163,'14.mell_Önk kiegészítés2020'!$A150,'13.mell_ÖNKfeladatok2020'!AC$5:AC$163)</f>
        <v>0</v>
      </c>
      <c r="G150" s="512">
        <f>+SUMIF('13.mell_ÖNKfeladatok2020'!$B$5:$B$163,'14.mell_Önk kiegészítés2020'!$A150,'13.mell_ÖNKfeladatok2020'!AK$5:AK$163)</f>
        <v>0</v>
      </c>
      <c r="H150" s="515">
        <f>+SUMIF('13.mell_ÖNKfeladatok2020'!$B$5:$B$163,'14.mell_Önk kiegészítés2020'!$A150,'13.mell_ÖNKfeladatok2020'!AO$5:AO$163)</f>
        <v>0</v>
      </c>
      <c r="I150" s="515">
        <f>+SUMIF('13.mell_ÖNKfeladatok2020'!$B$5:$B$163,'14.mell_Önk kiegészítés2020'!$A150,'13.mell_ÖNKfeladatok2020'!AS$5:AS$163)</f>
        <v>0</v>
      </c>
      <c r="J150" s="554">
        <f t="shared" si="62"/>
        <v>0</v>
      </c>
      <c r="K150" s="515">
        <f>+SUMIF('13.mell_ÖNKfeladatok2020'!$B$171:$B$329,'14.mell_Önk kiegészítés2020'!$A150,'13.mell_ÖNKfeladatok2020'!Q$171:Q$329)</f>
        <v>0</v>
      </c>
      <c r="L150" s="515">
        <f>+SUMIF('13.mell_ÖNKfeladatok2020'!$B$171:$B$329,'14.mell_Önk kiegészítés2020'!$A150,'13.mell_ÖNKfeladatok2020'!U$171:U$329)</f>
        <v>0</v>
      </c>
      <c r="M150" s="515">
        <f>+SUMIF('13.mell_ÖNKfeladatok2020'!$B$171:$B$329,'14.mell_Önk kiegészítés2020'!$A150,'13.mell_ÖNKfeladatok2020'!Y$171:Y$329)</f>
        <v>11898</v>
      </c>
      <c r="N150" s="515">
        <f>+SUMIF('13.mell_ÖNKfeladatok2020'!$B$171:$B$329,'14.mell_Önk kiegészítés2020'!$A150,'13.mell_ÖNKfeladatok2020'!AC$171:AC$329)</f>
        <v>0</v>
      </c>
      <c r="O150" s="515">
        <f>+SUMIF('13.mell_ÖNKfeladatok2020'!$B$171:$B$329,'14.mell_Önk kiegészítés2020'!$A150,'13.mell_ÖNKfeladatok2020'!AG$171:AG$329)</f>
        <v>0</v>
      </c>
      <c r="P150" s="515">
        <f>+SUMIF('13.mell_ÖNKfeladatok2020'!$B$171:$B$329,'14.mell_Önk kiegészítés2020'!$A150,'13.mell_ÖNKfeladatok2020'!AO$171:AO$329)</f>
        <v>0</v>
      </c>
      <c r="Q150" s="515">
        <f>+SUMIF('13.mell_ÖNKfeladatok2020'!$B$171:$B$329,'14.mell_Önk kiegészítés2020'!$A150,'13.mell_ÖNKfeladatok2020'!AS$171:AS$329)</f>
        <v>0</v>
      </c>
      <c r="R150" s="515">
        <f>+SUMIF('13.mell_ÖNKfeladatok2020'!$B$171:$B$329,'14.mell_Önk kiegészítés2020'!$A150,'13.mell_ÖNKfeladatok2020'!AW$171:AW$329)</f>
        <v>0</v>
      </c>
      <c r="S150" s="554">
        <f t="shared" si="63"/>
        <v>11898</v>
      </c>
      <c r="T150" s="516">
        <f t="shared" si="64"/>
        <v>11898</v>
      </c>
      <c r="U150" s="1042">
        <f>+ROUND(SUMIF('10.mell_támogatások2020'!$B$6:$B$137,'14.mell_Önk kiegészítés2020'!$A150,'10.mell_támogatások2020'!F$6:F$137)/1000,0)</f>
        <v>15266</v>
      </c>
      <c r="V150" s="1022">
        <v>13930</v>
      </c>
      <c r="W150" s="516">
        <f t="shared" si="65"/>
        <v>-17298</v>
      </c>
      <c r="AI150" s="261">
        <v>13930</v>
      </c>
    </row>
    <row r="151" spans="1:42">
      <c r="A151" s="784">
        <f>+A150+1</f>
        <v>5</v>
      </c>
      <c r="B151" s="514" t="s">
        <v>643</v>
      </c>
      <c r="C151" s="515">
        <f>+SUMIF('13.mell_ÖNKfeladatok2020'!$B$5:$B$163,'14.mell_Önk kiegészítés2020'!$A151,'13.mell_ÖNKfeladatok2020'!Q$5:Q$163)</f>
        <v>0</v>
      </c>
      <c r="D151" s="515">
        <f>+SUMIF('13.mell_ÖNKfeladatok2020'!$B$5:$B$163,'14.mell_Önk kiegészítés2020'!$A151,'13.mell_ÖNKfeladatok2020'!U$5:U$163)</f>
        <v>0</v>
      </c>
      <c r="E151" s="515">
        <f>+SUMIF('13.mell_ÖNKfeladatok2020'!$B$5:$B$163,'14.mell_Önk kiegészítés2020'!$A151,'13.mell_ÖNKfeladatok2020'!Y$5:Y$163)</f>
        <v>0</v>
      </c>
      <c r="F151" s="515">
        <f>+SUMIF('13.mell_ÖNKfeladatok2020'!$B$5:$B$163,'14.mell_Önk kiegészítés2020'!$A151,'13.mell_ÖNKfeladatok2020'!AC$5:AC$163)</f>
        <v>0</v>
      </c>
      <c r="G151" s="512">
        <f>+SUMIF('13.mell_ÖNKfeladatok2020'!$B$5:$B$163,'14.mell_Önk kiegészítés2020'!$A151,'13.mell_ÖNKfeladatok2020'!AK$5:AK$163)</f>
        <v>0</v>
      </c>
      <c r="H151" s="515">
        <f>+SUMIF('13.mell_ÖNKfeladatok2020'!$B$5:$B$163,'14.mell_Önk kiegészítés2020'!$A151,'13.mell_ÖNKfeladatok2020'!AO$5:AO$163)</f>
        <v>0</v>
      </c>
      <c r="I151" s="515">
        <f>+SUMIF('13.mell_ÖNKfeladatok2020'!$B$5:$B$163,'14.mell_Önk kiegészítés2020'!$A151,'13.mell_ÖNKfeladatok2020'!AS$5:AS$163)</f>
        <v>0</v>
      </c>
      <c r="J151" s="554">
        <f t="shared" si="62"/>
        <v>0</v>
      </c>
      <c r="K151" s="515">
        <f>+SUMIF('13.mell_ÖNKfeladatok2020'!$B$171:$B$329,'14.mell_Önk kiegészítés2020'!$A151,'13.mell_ÖNKfeladatok2020'!Q$171:Q$329)</f>
        <v>0</v>
      </c>
      <c r="L151" s="515">
        <f>+SUMIF('13.mell_ÖNKfeladatok2020'!$B$171:$B$329,'14.mell_Önk kiegészítés2020'!$A151,'13.mell_ÖNKfeladatok2020'!U$171:U$329)</f>
        <v>0</v>
      </c>
      <c r="M151" s="515">
        <f>+SUMIF('13.mell_ÖNKfeladatok2020'!$B$171:$B$329,'14.mell_Önk kiegészítés2020'!$A151,'13.mell_ÖNKfeladatok2020'!Y$171:Y$329)</f>
        <v>15864</v>
      </c>
      <c r="N151" s="515">
        <f>+SUMIF('13.mell_ÖNKfeladatok2020'!$B$171:$B$329,'14.mell_Önk kiegészítés2020'!$A151,'13.mell_ÖNKfeladatok2020'!AC$171:AC$329)</f>
        <v>0</v>
      </c>
      <c r="O151" s="515">
        <f>+SUMIF('13.mell_ÖNKfeladatok2020'!$B$171:$B$329,'14.mell_Önk kiegészítés2020'!$A151,'13.mell_ÖNKfeladatok2020'!AG$171:AG$329)</f>
        <v>0</v>
      </c>
      <c r="P151" s="515">
        <f>+SUMIF('13.mell_ÖNKfeladatok2020'!$B$171:$B$329,'14.mell_Önk kiegészítés2020'!$A151,'13.mell_ÖNKfeladatok2020'!AO$171:AO$329)</f>
        <v>0</v>
      </c>
      <c r="Q151" s="515">
        <f>+SUMIF('13.mell_ÖNKfeladatok2020'!$B$171:$B$329,'14.mell_Önk kiegészítés2020'!$A151,'13.mell_ÖNKfeladatok2020'!AS$171:AS$329)</f>
        <v>64282</v>
      </c>
      <c r="R151" s="515">
        <f>+SUMIF('13.mell_ÖNKfeladatok2020'!$B$171:$B$329,'14.mell_Önk kiegészítés2020'!$A151,'13.mell_ÖNKfeladatok2020'!AW$171:AW$329)</f>
        <v>0</v>
      </c>
      <c r="S151" s="554">
        <f t="shared" si="63"/>
        <v>80146</v>
      </c>
      <c r="T151" s="516">
        <f t="shared" si="64"/>
        <v>80146</v>
      </c>
      <c r="U151" s="1042">
        <f>+ROUND(SUMIF('10.mell_támogatások2020'!$B$6:$B$137,'14.mell_Önk kiegészítés2020'!$A151,'10.mell_támogatások2020'!F$6:F$137)/1000,0)</f>
        <v>14918</v>
      </c>
      <c r="V151" s="1022"/>
      <c r="W151" s="516">
        <f t="shared" si="65"/>
        <v>65228</v>
      </c>
    </row>
    <row r="152" spans="1:42">
      <c r="A152" s="784">
        <f>+A151+1</f>
        <v>6</v>
      </c>
      <c r="B152" s="514" t="s">
        <v>1481</v>
      </c>
      <c r="C152" s="515">
        <f>+SUMIF('13.mell_ÖNKfeladatok2020'!$B$5:$B$163,'14.mell_Önk kiegészítés2020'!$A152,'13.mell_ÖNKfeladatok2020'!Q$5:Q$163)</f>
        <v>0</v>
      </c>
      <c r="D152" s="515">
        <f>+SUMIF('13.mell_ÖNKfeladatok2020'!$B$5:$B$163,'14.mell_Önk kiegészítés2020'!$A152,'13.mell_ÖNKfeladatok2020'!U$5:U$163)</f>
        <v>0</v>
      </c>
      <c r="E152" s="515">
        <f>+SUMIF('13.mell_ÖNKfeladatok2020'!$B$5:$B$163,'14.mell_Önk kiegészítés2020'!$A152,'13.mell_ÖNKfeladatok2020'!Y$5:Y$163)</f>
        <v>12</v>
      </c>
      <c r="F152" s="515">
        <f>+SUMIF('13.mell_ÖNKfeladatok2020'!$B$5:$B$163,'14.mell_Önk kiegészítés2020'!$A152,'13.mell_ÖNKfeladatok2020'!AC$5:AC$163)</f>
        <v>0</v>
      </c>
      <c r="G152" s="512">
        <f>+SUMIF('13.mell_ÖNKfeladatok2020'!$B$5:$B$163,'14.mell_Önk kiegészítés2020'!$A152,'13.mell_ÖNKfeladatok2020'!AK$5:AK$163)</f>
        <v>0</v>
      </c>
      <c r="H152" s="515">
        <f>+SUMIF('13.mell_ÖNKfeladatok2020'!$B$5:$B$163,'14.mell_Önk kiegészítés2020'!$A152,'13.mell_ÖNKfeladatok2020'!AO$5:AO$163)</f>
        <v>0</v>
      </c>
      <c r="I152" s="515">
        <f>+SUMIF('13.mell_ÖNKfeladatok2020'!$B$5:$B$163,'14.mell_Önk kiegészítés2020'!$A152,'13.mell_ÖNKfeladatok2020'!AS$5:AS$163)</f>
        <v>0</v>
      </c>
      <c r="J152" s="554">
        <f t="shared" si="62"/>
        <v>12</v>
      </c>
      <c r="K152" s="515">
        <f>+SUMIF('13.mell_ÖNKfeladatok2020'!$B$171:$B$329,'14.mell_Önk kiegészítés2020'!$A152,'13.mell_ÖNKfeladatok2020'!Q$171:Q$329)</f>
        <v>0</v>
      </c>
      <c r="L152" s="515">
        <f>+SUMIF('13.mell_ÖNKfeladatok2020'!$B$171:$B$329,'14.mell_Önk kiegészítés2020'!$A152,'13.mell_ÖNKfeladatok2020'!U$171:U$329)</f>
        <v>0</v>
      </c>
      <c r="M152" s="515">
        <f>+SUMIF('13.mell_ÖNKfeladatok2020'!$B$171:$B$329,'14.mell_Önk kiegészítés2020'!$A152,'13.mell_ÖNKfeladatok2020'!Y$171:Y$329)</f>
        <v>21416</v>
      </c>
      <c r="N152" s="515">
        <f>+SUMIF('13.mell_ÖNKfeladatok2020'!$B$171:$B$329,'14.mell_Önk kiegészítés2020'!$A152,'13.mell_ÖNKfeladatok2020'!AC$171:AC$329)</f>
        <v>48427</v>
      </c>
      <c r="O152" s="515">
        <f>+SUMIF('13.mell_ÖNKfeladatok2020'!$B$171:$B$329,'14.mell_Önk kiegészítés2020'!$A152,'13.mell_ÖNKfeladatok2020'!AG$171:AG$329)</f>
        <v>0</v>
      </c>
      <c r="P152" s="515">
        <f>+SUMIF('13.mell_ÖNKfeladatok2020'!$B$171:$B$329,'14.mell_Önk kiegészítés2020'!$A152,'13.mell_ÖNKfeladatok2020'!AO$171:AO$329)</f>
        <v>8814</v>
      </c>
      <c r="Q152" s="515">
        <f>+SUMIF('13.mell_ÖNKfeladatok2020'!$B$171:$B$329,'14.mell_Önk kiegészítés2020'!$A152,'13.mell_ÖNKfeladatok2020'!AS$171:AS$329)</f>
        <v>0</v>
      </c>
      <c r="R152" s="515">
        <f>+SUMIF('13.mell_ÖNKfeladatok2020'!$B$171:$B$329,'14.mell_Önk kiegészítés2020'!$A152,'13.mell_ÖNKfeladatok2020'!AW$171:AW$329)</f>
        <v>0</v>
      </c>
      <c r="S152" s="554">
        <f t="shared" si="63"/>
        <v>78657</v>
      </c>
      <c r="T152" s="516">
        <f t="shared" si="64"/>
        <v>78645</v>
      </c>
      <c r="U152" s="1042">
        <f>+ROUND(SUMIF('10.mell_támogatások2020'!$B$6:$B$137,'14.mell_Önk kiegészítés2020'!$A152,'10.mell_támogatások2020'!F$6:F$137)/1000,0)</f>
        <v>122616</v>
      </c>
      <c r="V152" s="1022"/>
      <c r="W152" s="516">
        <f t="shared" si="65"/>
        <v>-43971</v>
      </c>
      <c r="Y152" s="837">
        <f>+W152+W156+W176+W177+W203-W176+3317+19070-W177+8267+7105+2397</f>
        <v>0</v>
      </c>
      <c r="Z152" s="261" t="s">
        <v>1306</v>
      </c>
    </row>
    <row r="153" spans="1:42">
      <c r="A153" s="784">
        <f>A152+1</f>
        <v>7</v>
      </c>
      <c r="B153" s="514" t="s">
        <v>774</v>
      </c>
      <c r="C153" s="515">
        <f>+SUMIF('13.mell_ÖNKfeladatok2020'!$B$5:$B$163,'14.mell_Önk kiegészítés2020'!$A153,'13.mell_ÖNKfeladatok2020'!Q$5:Q$163)</f>
        <v>208342</v>
      </c>
      <c r="D153" s="515">
        <f>+SUMIF('13.mell_ÖNKfeladatok2020'!$B$5:$B$163,'14.mell_Önk kiegészítés2020'!$A153,'13.mell_ÖNKfeladatok2020'!U$5:U$163)</f>
        <v>0</v>
      </c>
      <c r="E153" s="515">
        <f>+SUMIF('13.mell_ÖNKfeladatok2020'!$B$5:$B$163,'14.mell_Önk kiegészítés2020'!$A153,'13.mell_ÖNKfeladatok2020'!Y$5:Y$163)</f>
        <v>12873</v>
      </c>
      <c r="F153" s="515">
        <f>+SUMIF('13.mell_ÖNKfeladatok2020'!$B$5:$B$163,'14.mell_Önk kiegészítés2020'!$A153,'13.mell_ÖNKfeladatok2020'!AC$5:AC$163)</f>
        <v>0</v>
      </c>
      <c r="G153" s="512">
        <f>+SUMIF('13.mell_ÖNKfeladatok2020'!$B$5:$B$163,'14.mell_Önk kiegészítés2020'!$A153,'13.mell_ÖNKfeladatok2020'!AK$5:AK$163)</f>
        <v>169688</v>
      </c>
      <c r="H153" s="515">
        <f>+SUMIF('13.mell_ÖNKfeladatok2020'!$B$5:$B$163,'14.mell_Önk kiegészítés2020'!$A153,'13.mell_ÖNKfeladatok2020'!AO$5:AO$163)</f>
        <v>0</v>
      </c>
      <c r="I153" s="515">
        <f>+SUMIF('13.mell_ÖNKfeladatok2020'!$B$5:$B$163,'14.mell_Önk kiegészítés2020'!$A153,'13.mell_ÖNKfeladatok2020'!AS$5:AS$163)</f>
        <v>0</v>
      </c>
      <c r="J153" s="554">
        <f t="shared" si="62"/>
        <v>390903</v>
      </c>
      <c r="K153" s="515">
        <f>+SUMIF('13.mell_ÖNKfeladatok2020'!$B$171:$B$329,'14.mell_Önk kiegészítés2020'!$A153,'13.mell_ÖNKfeladatok2020'!Q$171:Q$329)</f>
        <v>109888</v>
      </c>
      <c r="L153" s="515">
        <f>+SUMIF('13.mell_ÖNKfeladatok2020'!$B$171:$B$329,'14.mell_Önk kiegészítés2020'!$A153,'13.mell_ÖNKfeladatok2020'!U$171:U$329)</f>
        <v>16031</v>
      </c>
      <c r="M153" s="515">
        <f>+SUMIF('13.mell_ÖNKfeladatok2020'!$B$171:$B$329,'14.mell_Önk kiegészítés2020'!$A153,'13.mell_ÖNKfeladatok2020'!Y$171:Y$329)</f>
        <v>160608</v>
      </c>
      <c r="N153" s="515">
        <f>+SUMIF('13.mell_ÖNKfeladatok2020'!$B$171:$B$329,'14.mell_Önk kiegészítés2020'!$A153,'13.mell_ÖNKfeladatok2020'!AC$171:AC$329)</f>
        <v>0</v>
      </c>
      <c r="O153" s="515">
        <f>+SUMIF('13.mell_ÖNKfeladatok2020'!$B$171:$B$329,'14.mell_Önk kiegészítés2020'!$A153,'13.mell_ÖNKfeladatok2020'!AG$171:AG$329)</f>
        <v>10234</v>
      </c>
      <c r="P153" s="515">
        <f>+SUMIF('13.mell_ÖNKfeladatok2020'!$B$171:$B$329,'14.mell_Önk kiegészítés2020'!$A153,'13.mell_ÖNKfeladatok2020'!AO$171:AO$329)</f>
        <v>534193</v>
      </c>
      <c r="Q153" s="515">
        <f>+SUMIF('13.mell_ÖNKfeladatok2020'!$B$171:$B$329,'14.mell_Önk kiegészítés2020'!$A153,'13.mell_ÖNKfeladatok2020'!AS$171:AS$329)</f>
        <v>430164</v>
      </c>
      <c r="R153" s="515">
        <f>+SUMIF('13.mell_ÖNKfeladatok2020'!$B$171:$B$329,'14.mell_Önk kiegészítés2020'!$A153,'13.mell_ÖNKfeladatok2020'!AW$171:AW$329)</f>
        <v>0</v>
      </c>
      <c r="S153" s="554">
        <f t="shared" si="63"/>
        <v>1261118</v>
      </c>
      <c r="T153" s="516">
        <f t="shared" si="64"/>
        <v>870215</v>
      </c>
      <c r="U153" s="1043">
        <f>+ROUND(SUMIF('10.mell_támogatások2020'!$B$6:$B$137,'14.mell_Önk kiegészítés2020'!$A153,'10.mell_támogatások2020'!F$6:F$137)/1000,0)</f>
        <v>0</v>
      </c>
      <c r="V153" s="1023"/>
      <c r="W153" s="516">
        <f t="shared" si="65"/>
        <v>870215</v>
      </c>
    </row>
    <row r="154" spans="1:42" ht="12.75" thickBot="1">
      <c r="A154" s="784">
        <f>+A153+1</f>
        <v>8</v>
      </c>
      <c r="B154" s="517" t="s">
        <v>757</v>
      </c>
      <c r="C154" s="515">
        <f>+SUMIF('13.mell_ÖNKfeladatok2020'!$B$5:$B$163,'14.mell_Önk kiegészítés2020'!$A154,'13.mell_ÖNKfeladatok2020'!Q$5:Q$163)</f>
        <v>1097579</v>
      </c>
      <c r="D154" s="518">
        <f>+SUMIF('13.mell_ÖNKfeladatok2020'!$B$5:$B$163,'14.mell_Önk kiegészítés2020'!$A154,'13.mell_ÖNKfeladatok2020'!U$5:U$163)</f>
        <v>370135</v>
      </c>
      <c r="E154" s="518">
        <f>+SUMIF('13.mell_ÖNKfeladatok2020'!$B$5:$B$163,'14.mell_Önk kiegészítés2020'!$A154,'13.mell_ÖNKfeladatok2020'!Y$5:Y$163)</f>
        <v>81308</v>
      </c>
      <c r="F154" s="518">
        <f>+SUMIF('13.mell_ÖNKfeladatok2020'!$B$5:$B$163,'14.mell_Önk kiegészítés2020'!$A154,'13.mell_ÖNKfeladatok2020'!AC$5:AC$163)</f>
        <v>4733</v>
      </c>
      <c r="G154" s="512">
        <f>+SUMIF('13.mell_ÖNKfeladatok2020'!$B$5:$B$163,'14.mell_Önk kiegészítés2020'!$A154,'13.mell_ÖNKfeladatok2020'!AK$5:AK$163)</f>
        <v>49363</v>
      </c>
      <c r="H154" s="518">
        <f>+SUMIF('13.mell_ÖNKfeladatok2020'!$B$5:$B$163,'14.mell_Önk kiegészítés2020'!$A154,'13.mell_ÖNKfeladatok2020'!AO$5:AO$163)</f>
        <v>41924</v>
      </c>
      <c r="I154" s="518">
        <f>+SUMIF('13.mell_ÖNKfeladatok2020'!$B$5:$B$163,'14.mell_Önk kiegészítés2020'!$A154,'13.mell_ÖNKfeladatok2020'!AS$5:AS$163)</f>
        <v>0</v>
      </c>
      <c r="J154" s="554">
        <f t="shared" si="62"/>
        <v>1645042</v>
      </c>
      <c r="K154" s="515">
        <f>+SUMIF('13.mell_ÖNKfeladatok2020'!$B$171:$B$329,'14.mell_Önk kiegészítés2020'!$A154,'13.mell_ÖNKfeladatok2020'!Q$171:Q$329)</f>
        <v>121116</v>
      </c>
      <c r="L154" s="515">
        <f>+SUMIF('13.mell_ÖNKfeladatok2020'!$B$171:$B$329,'14.mell_Önk kiegészítés2020'!$A154,'13.mell_ÖNKfeladatok2020'!U$171:U$329)</f>
        <v>12517</v>
      </c>
      <c r="M154" s="515">
        <f>+SUMIF('13.mell_ÖNKfeladatok2020'!$B$171:$B$329,'14.mell_Önk kiegészítés2020'!$A154,'13.mell_ÖNKfeladatok2020'!Y$171:Y$329)</f>
        <v>172911</v>
      </c>
      <c r="N154" s="515">
        <f>+SUMIF('13.mell_ÖNKfeladatok2020'!$B$171:$B$329,'14.mell_Önk kiegészítés2020'!$A154,'13.mell_ÖNKfeladatok2020'!AC$171:AC$329)</f>
        <v>0</v>
      </c>
      <c r="O154" s="515">
        <f>+SUMIF('13.mell_ÖNKfeladatok2020'!$B$171:$B$329,'14.mell_Önk kiegészítés2020'!$A154,'13.mell_ÖNKfeladatok2020'!AG$171:AG$329)</f>
        <v>85737</v>
      </c>
      <c r="P154" s="515">
        <f>+SUMIF('13.mell_ÖNKfeladatok2020'!$B$171:$B$329,'14.mell_Önk kiegészítés2020'!$A154,'13.mell_ÖNKfeladatok2020'!AO$171:AO$329)</f>
        <v>62773</v>
      </c>
      <c r="Q154" s="515">
        <f>+SUMIF('13.mell_ÖNKfeladatok2020'!$B$171:$B$329,'14.mell_Önk kiegészítés2020'!$A154,'13.mell_ÖNKfeladatok2020'!AS$171:AS$329)</f>
        <v>8445</v>
      </c>
      <c r="R154" s="515">
        <f>+SUMIF('13.mell_ÖNKfeladatok2020'!$B$171:$B$329,'14.mell_Önk kiegészítés2020'!$A154,'13.mell_ÖNKfeladatok2020'!AW$171:AW$329)</f>
        <v>0</v>
      </c>
      <c r="S154" s="554">
        <f t="shared" si="63"/>
        <v>463499</v>
      </c>
      <c r="T154" s="516">
        <f t="shared" si="64"/>
        <v>-1181543</v>
      </c>
      <c r="U154" s="1043">
        <f>-ROUND('10.mell_támogatások2020'!F$137/1000,0)+ROUND(SUMIF('10.mell_támogatások2020'!$B$6:$B$137,'14.mell_Önk kiegészítés2020'!$A154,'10.mell_támogatások2020'!F$6:F$137)/1000,0)</f>
        <v>-859009</v>
      </c>
      <c r="V154" s="1023">
        <f>2845803-33049-10024-409+61637</f>
        <v>2863958</v>
      </c>
      <c r="W154" s="516">
        <f t="shared" si="65"/>
        <v>-3186492</v>
      </c>
      <c r="AC154" s="261">
        <v>2845803</v>
      </c>
      <c r="AE154" s="261">
        <f>-26419-6630</f>
        <v>-33049</v>
      </c>
      <c r="AF154" s="261">
        <v>-10024</v>
      </c>
      <c r="AG154" s="261">
        <v>-409</v>
      </c>
      <c r="AI154" s="261">
        <f>11933+6559+43145</f>
        <v>61637</v>
      </c>
    </row>
    <row r="155" spans="1:42" s="507" customFormat="1" ht="12.75" thickBot="1">
      <c r="A155" s="519" t="s">
        <v>587</v>
      </c>
      <c r="B155" s="520" t="s">
        <v>410</v>
      </c>
      <c r="C155" s="521">
        <f>SUM(C147:C154)</f>
        <v>1305921</v>
      </c>
      <c r="D155" s="522">
        <f t="shared" ref="D155:W155" si="66">SUM(D147:D154)</f>
        <v>370135</v>
      </c>
      <c r="E155" s="522">
        <f t="shared" si="66"/>
        <v>94193</v>
      </c>
      <c r="F155" s="522">
        <f t="shared" si="66"/>
        <v>4733</v>
      </c>
      <c r="G155" s="522">
        <f t="shared" si="66"/>
        <v>219051</v>
      </c>
      <c r="H155" s="522">
        <f t="shared" si="66"/>
        <v>41924</v>
      </c>
      <c r="I155" s="523">
        <f t="shared" si="66"/>
        <v>0</v>
      </c>
      <c r="J155" s="524">
        <f t="shared" si="66"/>
        <v>2035957</v>
      </c>
      <c r="K155" s="521">
        <f t="shared" si="66"/>
        <v>268779</v>
      </c>
      <c r="L155" s="521">
        <f t="shared" si="66"/>
        <v>34247</v>
      </c>
      <c r="M155" s="521">
        <f t="shared" si="66"/>
        <v>412253</v>
      </c>
      <c r="N155" s="521">
        <f t="shared" si="66"/>
        <v>48427</v>
      </c>
      <c r="O155" s="521">
        <f t="shared" si="66"/>
        <v>95971</v>
      </c>
      <c r="P155" s="521">
        <f t="shared" si="66"/>
        <v>618527</v>
      </c>
      <c r="Q155" s="521">
        <f t="shared" si="66"/>
        <v>502891</v>
      </c>
      <c r="R155" s="521">
        <f t="shared" si="66"/>
        <v>0</v>
      </c>
      <c r="S155" s="524">
        <f t="shared" si="66"/>
        <v>1981095</v>
      </c>
      <c r="T155" s="524">
        <f t="shared" si="66"/>
        <v>-54862</v>
      </c>
      <c r="U155" s="1044">
        <f t="shared" si="66"/>
        <v>-674355</v>
      </c>
      <c r="V155" s="525">
        <f>SUM(V147:V154)</f>
        <v>2877888</v>
      </c>
      <c r="W155" s="524">
        <f t="shared" si="66"/>
        <v>-2258395</v>
      </c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1"/>
      <c r="AO155" s="261"/>
      <c r="AP155" s="261"/>
    </row>
    <row r="156" spans="1:42" ht="12.75">
      <c r="A156" s="784">
        <f>+A154+1</f>
        <v>9</v>
      </c>
      <c r="B156" s="517" t="s">
        <v>772</v>
      </c>
      <c r="C156" s="518">
        <f>+SUMIF('13.mell_ÖNKfeladatok2020'!$B$5:$B$163,'14.mell_Önk kiegészítés2020'!$A156,'13.mell_ÖNKfeladatok2020'!Q$5:Q$163)</f>
        <v>125</v>
      </c>
      <c r="D156" s="518">
        <f>+SUMIF('13.mell_ÖNKfeladatok2020'!$B$5:$B$163,'14.mell_Önk kiegészítés2020'!$A156,'13.mell_ÖNKfeladatok2020'!U$5:U$163)</f>
        <v>0</v>
      </c>
      <c r="E156" s="518">
        <f>+SUMIF('13.mell_ÖNKfeladatok2020'!$B$5:$B$163,'14.mell_Önk kiegészítés2020'!$A156,'13.mell_ÖNKfeladatok2020'!Y$5:Y$163)</f>
        <v>0</v>
      </c>
      <c r="F156" s="518">
        <f>+SUMIF('13.mell_ÖNKfeladatok2020'!$B$5:$B$163,'14.mell_Önk kiegészítés2020'!$A156,'13.mell_ÖNKfeladatok2020'!AC$5:AC$163)</f>
        <v>0</v>
      </c>
      <c r="G156" s="518">
        <f>+SUMIF('13.mell_ÖNKfeladatok2020'!$B$5:$B$163,'14.mell_Önk kiegészítés2020'!$A156,'13.mell_ÖNKfeladatok2020'!AK$5:AK$163)</f>
        <v>0</v>
      </c>
      <c r="H156" s="518">
        <f>+SUMIF('13.mell_ÖNKfeladatok2020'!$B$5:$B$163,'14.mell_Önk kiegészítés2020'!$A156,'13.mell_ÖNKfeladatok2020'!AO$5:AO$163)</f>
        <v>0</v>
      </c>
      <c r="I156" s="518">
        <f>+SUMIF('13.mell_ÖNKfeladatok2020'!$B$5:$B$163,'14.mell_Önk kiegészítés2020'!$A156,'13.mell_ÖNKfeladatok2020'!AS$5:AS$163)</f>
        <v>0</v>
      </c>
      <c r="J156" s="555">
        <f>SUM(C156:I156)</f>
        <v>125</v>
      </c>
      <c r="K156" s="515">
        <f>+SUMIF('13.mell_ÖNKfeladatok2020'!$B$171:$B$329,'14.mell_Önk kiegészítés2020'!$A156,'13.mell_ÖNKfeladatok2020'!Q$171:Q$329)</f>
        <v>0</v>
      </c>
      <c r="L156" s="515">
        <f>+SUMIF('13.mell_ÖNKfeladatok2020'!$B$171:$B$329,'14.mell_Önk kiegészítés2020'!$A156,'13.mell_ÖNKfeladatok2020'!U$171:U$329)</f>
        <v>0</v>
      </c>
      <c r="M156" s="515">
        <f>+SUMIF('13.mell_ÖNKfeladatok2020'!$B$171:$B$329,'14.mell_Önk kiegészítés2020'!$A156,'13.mell_ÖNKfeladatok2020'!Y$171:Y$329)</f>
        <v>2929</v>
      </c>
      <c r="N156" s="515">
        <f>+SUMIF('13.mell_ÖNKfeladatok2020'!$B$171:$B$329,'14.mell_Önk kiegészítés2020'!$A156,'13.mell_ÖNKfeladatok2020'!AC$171:AC$329)</f>
        <v>0</v>
      </c>
      <c r="O156" s="515">
        <f>+SUMIF('13.mell_ÖNKfeladatok2020'!$B$171:$B$329,'14.mell_Önk kiegészítés2020'!$A156,'13.mell_ÖNKfeladatok2020'!AG$171:AG$329)</f>
        <v>305</v>
      </c>
      <c r="P156" s="515">
        <f>+SUMIF('13.mell_ÖNKfeladatok2020'!$B$171:$B$329,'14.mell_Önk kiegészítés2020'!$A156,'13.mell_ÖNKfeladatok2020'!AO$171:AO$329)</f>
        <v>0</v>
      </c>
      <c r="Q156" s="515">
        <f>+SUMIF('13.mell_ÖNKfeladatok2020'!$B$171:$B$329,'14.mell_Önk kiegészítés2020'!$A156,'13.mell_ÖNKfeladatok2020'!AS$171:AS$329)</f>
        <v>0</v>
      </c>
      <c r="R156" s="515">
        <f>+SUMIF('13.mell_ÖNKfeladatok2020'!$B$171:$B$329,'14.mell_Önk kiegészítés2020'!$A156,'13.mell_ÖNKfeladatok2020'!AW$171:AW$329)</f>
        <v>0</v>
      </c>
      <c r="S156" s="554">
        <f>SUM(K156:R156)</f>
        <v>3234</v>
      </c>
      <c r="T156" s="516">
        <f>S156-J156</f>
        <v>3109</v>
      </c>
      <c r="U156" s="1045">
        <f>+ROUND(SUMIF('10.mell_támogatások2020'!$B$6:$B$137,'14.mell_Önk kiegészítés2020'!$A156,'10.mell_támogatások2020'!F$6:F$137)/1000,0)</f>
        <v>0</v>
      </c>
      <c r="V156" s="1024"/>
      <c r="W156" s="516">
        <f>+T156-U156-V156</f>
        <v>3109</v>
      </c>
    </row>
    <row r="157" spans="1:42" ht="12.75" thickBot="1">
      <c r="A157" s="784">
        <f>+A156+1</f>
        <v>10</v>
      </c>
      <c r="B157" s="517" t="s">
        <v>758</v>
      </c>
      <c r="C157" s="518">
        <f>+SUMIF('13.mell_ÖNKfeladatok2020'!$B$5:$B$163,'14.mell_Önk kiegészítés2020'!$A157,'13.mell_ÖNKfeladatok2020'!Q$5:Q$163)</f>
        <v>0</v>
      </c>
      <c r="D157" s="518">
        <f>+SUMIF('13.mell_ÖNKfeladatok2020'!$B$5:$B$163,'14.mell_Önk kiegészítés2020'!$A157,'13.mell_ÖNKfeladatok2020'!U$5:U$163)</f>
        <v>0</v>
      </c>
      <c r="E157" s="518">
        <f>+SUMIF('13.mell_ÖNKfeladatok2020'!$B$5:$B$163,'14.mell_Önk kiegészítés2020'!$A157,'13.mell_ÖNKfeladatok2020'!Y$5:Y$163)</f>
        <v>0</v>
      </c>
      <c r="F157" s="518">
        <f>+SUMIF('13.mell_ÖNKfeladatok2020'!$B$5:$B$163,'14.mell_Önk kiegészítés2020'!$A157,'13.mell_ÖNKfeladatok2020'!AC$5:AC$163)</f>
        <v>0</v>
      </c>
      <c r="G157" s="518">
        <f>+SUMIF('13.mell_ÖNKfeladatok2020'!$B$5:$B$163,'14.mell_Önk kiegészítés2020'!$A157,'13.mell_ÖNKfeladatok2020'!AK$5:AK$163)</f>
        <v>0</v>
      </c>
      <c r="H157" s="518">
        <f>+SUMIF('13.mell_ÖNKfeladatok2020'!$B$5:$B$163,'14.mell_Önk kiegészítés2020'!$A157,'13.mell_ÖNKfeladatok2020'!AO$5:AO$163)</f>
        <v>0</v>
      </c>
      <c r="I157" s="518">
        <f>+SUMIF('13.mell_ÖNKfeladatok2020'!$B$5:$B$163,'14.mell_Önk kiegészítés2020'!$A157,'13.mell_ÖNKfeladatok2020'!AS$5:AS$163)</f>
        <v>664</v>
      </c>
      <c r="J157" s="555">
        <f>SUM(C157:I157)</f>
        <v>664</v>
      </c>
      <c r="K157" s="515">
        <f>+SUMIF('13.mell_ÖNKfeladatok2020'!$B$171:$B$329,'14.mell_Önk kiegészítés2020'!$A157,'13.mell_ÖNKfeladatok2020'!Q$171:Q$329)</f>
        <v>0</v>
      </c>
      <c r="L157" s="515">
        <f>+SUMIF('13.mell_ÖNKfeladatok2020'!$B$171:$B$329,'14.mell_Önk kiegészítés2020'!$A157,'13.mell_ÖNKfeladatok2020'!U$171:U$329)</f>
        <v>0</v>
      </c>
      <c r="M157" s="515">
        <f>+SUMIF('13.mell_ÖNKfeladatok2020'!$B$171:$B$329,'14.mell_Önk kiegészítés2020'!$A157,'13.mell_ÖNKfeladatok2020'!Y$171:Y$329)</f>
        <v>3412</v>
      </c>
      <c r="N157" s="515">
        <f>+SUMIF('13.mell_ÖNKfeladatok2020'!$B$171:$B$329,'14.mell_Önk kiegészítés2020'!$A157,'13.mell_ÖNKfeladatok2020'!AC$171:AC$329)</f>
        <v>0</v>
      </c>
      <c r="O157" s="515">
        <f>+SUMIF('13.mell_ÖNKfeladatok2020'!$B$171:$B$329,'14.mell_Önk kiegészítés2020'!$A157,'13.mell_ÖNKfeladatok2020'!AG$171:AG$329)</f>
        <v>216</v>
      </c>
      <c r="P157" s="515">
        <f>+SUMIF('13.mell_ÖNKfeladatok2020'!$B$171:$B$329,'14.mell_Önk kiegészítés2020'!$A157,'13.mell_ÖNKfeladatok2020'!AO$171:AO$329)</f>
        <v>62605</v>
      </c>
      <c r="Q157" s="515">
        <f>+SUMIF('13.mell_ÖNKfeladatok2020'!$B$171:$B$329,'14.mell_Önk kiegészítés2020'!$A157,'13.mell_ÖNKfeladatok2020'!AS$171:AS$329)</f>
        <v>0</v>
      </c>
      <c r="R157" s="515">
        <f>+SUMIF('13.mell_ÖNKfeladatok2020'!$B$171:$B$329,'14.mell_Önk kiegészítés2020'!$A157,'13.mell_ÖNKfeladatok2020'!AW$171:AW$329)</f>
        <v>0</v>
      </c>
      <c r="S157" s="554">
        <f>SUM(K157:R157)</f>
        <v>66233</v>
      </c>
      <c r="T157" s="516">
        <f>S157-J157</f>
        <v>65569</v>
      </c>
      <c r="U157" s="1043">
        <f>+ROUND(SUMIF('10.mell_támogatások2020'!$B$6:$B$137,'14.mell_Önk kiegészítés2020'!$A157,'10.mell_támogatások2020'!F$6:F$137)/1000,0)</f>
        <v>0</v>
      </c>
      <c r="V157" s="1023"/>
      <c r="W157" s="516">
        <f>+T157-U157-V157</f>
        <v>65569</v>
      </c>
    </row>
    <row r="158" spans="1:42" s="507" customFormat="1" ht="12.75" thickBot="1">
      <c r="A158" s="519" t="s">
        <v>588</v>
      </c>
      <c r="B158" s="520" t="s">
        <v>411</v>
      </c>
      <c r="C158" s="521">
        <f t="shared" ref="C158:U158" si="67">SUM(C156:C157)</f>
        <v>125</v>
      </c>
      <c r="D158" s="522">
        <f t="shared" si="67"/>
        <v>0</v>
      </c>
      <c r="E158" s="522">
        <f t="shared" si="67"/>
        <v>0</v>
      </c>
      <c r="F158" s="522">
        <f t="shared" si="67"/>
        <v>0</v>
      </c>
      <c r="G158" s="522">
        <f t="shared" si="67"/>
        <v>0</v>
      </c>
      <c r="H158" s="522">
        <f t="shared" si="67"/>
        <v>0</v>
      </c>
      <c r="I158" s="525">
        <f t="shared" si="67"/>
        <v>664</v>
      </c>
      <c r="J158" s="524">
        <f t="shared" si="67"/>
        <v>789</v>
      </c>
      <c r="K158" s="521">
        <f t="shared" si="67"/>
        <v>0</v>
      </c>
      <c r="L158" s="521">
        <f t="shared" si="67"/>
        <v>0</v>
      </c>
      <c r="M158" s="521">
        <f t="shared" si="67"/>
        <v>6341</v>
      </c>
      <c r="N158" s="521">
        <f t="shared" si="67"/>
        <v>0</v>
      </c>
      <c r="O158" s="521">
        <f t="shared" si="67"/>
        <v>521</v>
      </c>
      <c r="P158" s="521">
        <f t="shared" si="67"/>
        <v>62605</v>
      </c>
      <c r="Q158" s="521">
        <f t="shared" si="67"/>
        <v>0</v>
      </c>
      <c r="R158" s="521">
        <f t="shared" si="67"/>
        <v>0</v>
      </c>
      <c r="S158" s="524">
        <f t="shared" si="67"/>
        <v>69467</v>
      </c>
      <c r="T158" s="524">
        <f t="shared" si="67"/>
        <v>68678</v>
      </c>
      <c r="U158" s="1044">
        <f t="shared" si="67"/>
        <v>0</v>
      </c>
      <c r="V158" s="525">
        <f>SUM(V156:V157)</f>
        <v>0</v>
      </c>
      <c r="W158" s="524">
        <f>SUM(W156:W157)</f>
        <v>68678</v>
      </c>
      <c r="AB158" s="261"/>
      <c r="AC158" s="261"/>
      <c r="AD158" s="261"/>
      <c r="AE158" s="261"/>
      <c r="AF158" s="261"/>
      <c r="AG158" s="261"/>
      <c r="AH158" s="261"/>
      <c r="AI158" s="261"/>
      <c r="AJ158" s="261"/>
      <c r="AK158" s="261"/>
      <c r="AL158" s="261"/>
      <c r="AM158" s="261"/>
      <c r="AN158" s="261"/>
      <c r="AO158" s="261"/>
      <c r="AP158" s="261"/>
    </row>
    <row r="159" spans="1:42" ht="12.75" thickBot="1">
      <c r="A159" s="784">
        <f>+A157+1</f>
        <v>11</v>
      </c>
      <c r="B159" s="526" t="s">
        <v>412</v>
      </c>
      <c r="C159" s="527">
        <f>+SUMIF('13.mell_ÖNKfeladatok2020'!$B$5:$B$163,'14.mell_Önk kiegészítés2020'!$A159,'13.mell_ÖNKfeladatok2020'!Q$5:Q$163)</f>
        <v>0</v>
      </c>
      <c r="D159" s="527">
        <f>+SUMIF('13.mell_ÖNKfeladatok2020'!$B$5:$B$163,'14.mell_Önk kiegészítés2020'!$A159,'13.mell_ÖNKfeladatok2020'!U$5:U$163)</f>
        <v>0</v>
      </c>
      <c r="E159" s="527">
        <f>+SUMIF('13.mell_ÖNKfeladatok2020'!$B$5:$B$163,'14.mell_Önk kiegészítés2020'!$A159,'13.mell_ÖNKfeladatok2020'!Y$5:Y$163)</f>
        <v>0</v>
      </c>
      <c r="F159" s="527">
        <f>+SUMIF('13.mell_ÖNKfeladatok2020'!$B$5:$B$163,'14.mell_Önk kiegészítés2020'!$A159,'13.mell_ÖNKfeladatok2020'!AC$5:AC$163)</f>
        <v>0</v>
      </c>
      <c r="G159" s="527">
        <f>+SUMIF('13.mell_ÖNKfeladatok2020'!$B$5:$B$163,'14.mell_Önk kiegészítés2020'!$A159,'13.mell_ÖNKfeladatok2020'!AK$5:AK$163)</f>
        <v>0</v>
      </c>
      <c r="H159" s="527">
        <f>+SUMIF('13.mell_ÖNKfeladatok2020'!$B$5:$B$163,'14.mell_Önk kiegészítés2020'!$A159,'13.mell_ÖNKfeladatok2020'!AO$5:AO$163)</f>
        <v>0</v>
      </c>
      <c r="I159" s="527">
        <f>+SUMIF('13.mell_ÖNKfeladatok2020'!$B$5:$B$163,'14.mell_Önk kiegészítés2020'!$A159,'13.mell_ÖNKfeladatok2020'!AS$5:AS$163)</f>
        <v>0</v>
      </c>
      <c r="J159" s="556">
        <f>SUM(C159:I159)</f>
        <v>0</v>
      </c>
      <c r="K159" s="515">
        <f>+SUMIF('13.mell_ÖNKfeladatok2020'!$B$171:$B$329,'14.mell_Önk kiegészítés2020'!$A159,'13.mell_ÖNKfeladatok2020'!Q$171:Q$329)</f>
        <v>0</v>
      </c>
      <c r="L159" s="515">
        <f>+SUMIF('13.mell_ÖNKfeladatok2020'!$B$171:$B$329,'14.mell_Önk kiegészítés2020'!$A159,'13.mell_ÖNKfeladatok2020'!U$171:U$329)</f>
        <v>0</v>
      </c>
      <c r="M159" s="515">
        <f>+SUMIF('13.mell_ÖNKfeladatok2020'!$B$171:$B$329,'14.mell_Önk kiegészítés2020'!$A159,'13.mell_ÖNKfeladatok2020'!Y$171:Y$329)</f>
        <v>0</v>
      </c>
      <c r="N159" s="515">
        <f>+SUMIF('13.mell_ÖNKfeladatok2020'!$B$171:$B$329,'14.mell_Önk kiegészítés2020'!$A159,'13.mell_ÖNKfeladatok2020'!AC$171:AC$329)</f>
        <v>0</v>
      </c>
      <c r="O159" s="515">
        <f>+SUMIF('13.mell_ÖNKfeladatok2020'!$B$171:$B$329,'14.mell_Önk kiegészítés2020'!$A159,'13.mell_ÖNKfeladatok2020'!AG$171:AG$329)</f>
        <v>0</v>
      </c>
      <c r="P159" s="515">
        <f>+SUMIF('13.mell_ÖNKfeladatok2020'!$B$171:$B$329,'14.mell_Önk kiegészítés2020'!$A159,'13.mell_ÖNKfeladatok2020'!AO$171:AO$329)</f>
        <v>0</v>
      </c>
      <c r="Q159" s="515">
        <f>+SUMIF('13.mell_ÖNKfeladatok2020'!$B$171:$B$329,'14.mell_Önk kiegészítés2020'!$A159,'13.mell_ÖNKfeladatok2020'!AS$171:AS$329)</f>
        <v>0</v>
      </c>
      <c r="R159" s="515">
        <f>+SUMIF('13.mell_ÖNKfeladatok2020'!$B$171:$B$329,'14.mell_Önk kiegészítés2020'!$A159,'13.mell_ÖNKfeladatok2020'!AW$171:AW$329)</f>
        <v>0</v>
      </c>
      <c r="S159" s="554">
        <f>SUM(K159:R159)</f>
        <v>0</v>
      </c>
      <c r="T159" s="516">
        <f>S159-J159</f>
        <v>0</v>
      </c>
      <c r="U159" s="1043">
        <f>+ROUND(SUMIF('10.mell_támogatások2020'!$B$6:$B$137,'14.mell_Önk kiegészítés2020'!$A159,'10.mell_támogatások2020'!F$6:F$137)/1000,0)</f>
        <v>0</v>
      </c>
      <c r="V159" s="1023"/>
      <c r="W159" s="516">
        <f>+T159-U159-V159</f>
        <v>0</v>
      </c>
    </row>
    <row r="160" spans="1:42" s="507" customFormat="1" ht="12.75" thickBot="1">
      <c r="A160" s="519" t="s">
        <v>589</v>
      </c>
      <c r="B160" s="520" t="s">
        <v>412</v>
      </c>
      <c r="C160" s="521">
        <f>SUM(C159)</f>
        <v>0</v>
      </c>
      <c r="D160" s="522">
        <f t="shared" ref="D160:W160" si="68">SUM(D159)</f>
        <v>0</v>
      </c>
      <c r="E160" s="522">
        <f t="shared" si="68"/>
        <v>0</v>
      </c>
      <c r="F160" s="522">
        <f t="shared" si="68"/>
        <v>0</v>
      </c>
      <c r="G160" s="522">
        <f t="shared" si="68"/>
        <v>0</v>
      </c>
      <c r="H160" s="522">
        <f t="shared" si="68"/>
        <v>0</v>
      </c>
      <c r="I160" s="525">
        <f t="shared" si="68"/>
        <v>0</v>
      </c>
      <c r="J160" s="524">
        <f t="shared" si="68"/>
        <v>0</v>
      </c>
      <c r="K160" s="521">
        <f t="shared" si="68"/>
        <v>0</v>
      </c>
      <c r="L160" s="521">
        <f t="shared" si="68"/>
        <v>0</v>
      </c>
      <c r="M160" s="521">
        <f t="shared" si="68"/>
        <v>0</v>
      </c>
      <c r="N160" s="521">
        <f t="shared" si="68"/>
        <v>0</v>
      </c>
      <c r="O160" s="521">
        <f t="shared" si="68"/>
        <v>0</v>
      </c>
      <c r="P160" s="521">
        <f t="shared" si="68"/>
        <v>0</v>
      </c>
      <c r="Q160" s="521">
        <f t="shared" si="68"/>
        <v>0</v>
      </c>
      <c r="R160" s="521">
        <f t="shared" si="68"/>
        <v>0</v>
      </c>
      <c r="S160" s="524">
        <f t="shared" si="68"/>
        <v>0</v>
      </c>
      <c r="T160" s="524">
        <f t="shared" si="68"/>
        <v>0</v>
      </c>
      <c r="U160" s="1044">
        <f t="shared" si="68"/>
        <v>0</v>
      </c>
      <c r="V160" s="525">
        <f t="shared" si="68"/>
        <v>0</v>
      </c>
      <c r="W160" s="524">
        <f t="shared" si="68"/>
        <v>0</v>
      </c>
      <c r="AB160" s="261"/>
      <c r="AC160" s="261"/>
      <c r="AD160" s="261"/>
      <c r="AE160" s="261"/>
      <c r="AF160" s="261"/>
      <c r="AG160" s="261"/>
      <c r="AH160" s="261"/>
      <c r="AI160" s="261"/>
      <c r="AJ160" s="261"/>
      <c r="AK160" s="261"/>
      <c r="AL160" s="261"/>
      <c r="AM160" s="261"/>
      <c r="AN160" s="261"/>
      <c r="AO160" s="261"/>
      <c r="AP160" s="261"/>
    </row>
    <row r="161" spans="1:42" s="507" customFormat="1" ht="12.75" thickBot="1">
      <c r="A161" s="528" t="s">
        <v>23</v>
      </c>
      <c r="B161" s="529" t="s">
        <v>413</v>
      </c>
      <c r="C161" s="530">
        <f t="shared" ref="C161:W161" si="69">+C155+C158+C160</f>
        <v>1306046</v>
      </c>
      <c r="D161" s="531">
        <f t="shared" si="69"/>
        <v>370135</v>
      </c>
      <c r="E161" s="531">
        <f t="shared" si="69"/>
        <v>94193</v>
      </c>
      <c r="F161" s="531">
        <f t="shared" si="69"/>
        <v>4733</v>
      </c>
      <c r="G161" s="531">
        <f t="shared" si="69"/>
        <v>219051</v>
      </c>
      <c r="H161" s="531">
        <f t="shared" si="69"/>
        <v>41924</v>
      </c>
      <c r="I161" s="532">
        <f t="shared" si="69"/>
        <v>664</v>
      </c>
      <c r="J161" s="533">
        <f t="shared" si="69"/>
        <v>2036746</v>
      </c>
      <c r="K161" s="530">
        <f t="shared" si="69"/>
        <v>268779</v>
      </c>
      <c r="L161" s="530">
        <f t="shared" si="69"/>
        <v>34247</v>
      </c>
      <c r="M161" s="530">
        <f t="shared" si="69"/>
        <v>418594</v>
      </c>
      <c r="N161" s="530">
        <f t="shared" si="69"/>
        <v>48427</v>
      </c>
      <c r="O161" s="530">
        <f t="shared" si="69"/>
        <v>96492</v>
      </c>
      <c r="P161" s="530">
        <f t="shared" si="69"/>
        <v>681132</v>
      </c>
      <c r="Q161" s="530">
        <f t="shared" si="69"/>
        <v>502891</v>
      </c>
      <c r="R161" s="530">
        <f t="shared" si="69"/>
        <v>0</v>
      </c>
      <c r="S161" s="533">
        <f t="shared" si="69"/>
        <v>2050562</v>
      </c>
      <c r="T161" s="533">
        <f t="shared" si="69"/>
        <v>13816</v>
      </c>
      <c r="U161" s="1046">
        <f t="shared" si="69"/>
        <v>-674355</v>
      </c>
      <c r="V161" s="532">
        <f t="shared" si="69"/>
        <v>2877888</v>
      </c>
      <c r="W161" s="533">
        <f t="shared" si="69"/>
        <v>-2189717</v>
      </c>
      <c r="Y161" s="507">
        <f>+'13.mell_ÖNKfeladatok2020'!$H$93-J161</f>
        <v>203124</v>
      </c>
      <c r="Z161" s="507">
        <f>+'13.mell_ÖNKfeladatok2020'!$H$259-S161</f>
        <v>2568503</v>
      </c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1"/>
    </row>
    <row r="162" spans="1:42" s="507" customFormat="1" ht="12.75" thickBot="1">
      <c r="A162" s="539"/>
      <c r="B162" s="540"/>
      <c r="C162" s="541"/>
      <c r="D162" s="541"/>
      <c r="E162" s="541"/>
      <c r="F162" s="541"/>
      <c r="G162" s="541"/>
      <c r="H162" s="541"/>
      <c r="I162" s="823"/>
      <c r="J162" s="544"/>
      <c r="K162" s="541"/>
      <c r="L162" s="541"/>
      <c r="M162" s="541"/>
      <c r="N162" s="541"/>
      <c r="O162" s="541"/>
      <c r="P162" s="541"/>
      <c r="Q162" s="541"/>
      <c r="R162" s="541"/>
      <c r="S162" s="544"/>
      <c r="T162" s="544"/>
      <c r="U162" s="823"/>
      <c r="V162" s="543"/>
      <c r="W162" s="544"/>
      <c r="AB162" s="261"/>
      <c r="AC162" s="261"/>
      <c r="AD162" s="261"/>
      <c r="AE162" s="261"/>
      <c r="AF162" s="261"/>
      <c r="AG162" s="261"/>
      <c r="AH162" s="261"/>
      <c r="AI162" s="261"/>
      <c r="AJ162" s="261"/>
      <c r="AK162" s="261"/>
      <c r="AL162" s="261"/>
      <c r="AM162" s="261"/>
      <c r="AN162" s="261"/>
      <c r="AO162" s="261"/>
      <c r="AP162" s="261"/>
    </row>
    <row r="163" spans="1:42">
      <c r="A163" s="824">
        <f>+A159+1</f>
        <v>12</v>
      </c>
      <c r="B163" s="825" t="s">
        <v>773</v>
      </c>
      <c r="C163" s="527">
        <f>+SUMIF('13.mell_ÖNKfeladatok2020'!$B$5:$B$163,'14.mell_Önk kiegészítés2020'!$A163,'13.mell_ÖNKfeladatok2020'!Q$5:Q$163)</f>
        <v>3033</v>
      </c>
      <c r="D163" s="527">
        <f>+SUMIF('13.mell_ÖNKfeladatok2020'!$B$5:$B$163,'14.mell_Önk kiegészítés2020'!$A163,'13.mell_ÖNKfeladatok2020'!U$5:U$163)</f>
        <v>5</v>
      </c>
      <c r="E163" s="527">
        <f>+SUMIF('13.mell_ÖNKfeladatok2020'!$B$5:$B$163,'14.mell_Önk kiegészítés2020'!$A163,'13.mell_ÖNKfeladatok2020'!Y$5:Y$163)</f>
        <v>11869</v>
      </c>
      <c r="F163" s="527">
        <f>+SUMIF('13.mell_ÖNKfeladatok2020'!$B$5:$B$163,'14.mell_Önk kiegészítés2020'!$A163,'13.mell_ÖNKfeladatok2020'!AC$5:AC$163)</f>
        <v>0</v>
      </c>
      <c r="G163" s="527">
        <f>+SUMIF('13.mell_ÖNKfeladatok2020'!$B$5:$B$163,'14.mell_Önk kiegészítés2020'!$A163,'13.mell_ÖNKfeladatok2020'!AK$5:AK$163)</f>
        <v>0</v>
      </c>
      <c r="H163" s="527">
        <f>+SUMIF('13.mell_ÖNKfeladatok2020'!$B$5:$B$163,'14.mell_Önk kiegészítés2020'!$A163,'13.mell_ÖNKfeladatok2020'!AO$5:AO$163)</f>
        <v>0</v>
      </c>
      <c r="I163" s="527">
        <f>+SUMIF('13.mell_ÖNKfeladatok2020'!$B$5:$B$163,'14.mell_Önk kiegészítés2020'!$A163,'13.mell_ÖNKfeladatok2020'!AS$5:AS$163)</f>
        <v>0</v>
      </c>
      <c r="J163" s="553">
        <f>SUM(C163:I163)</f>
        <v>14907</v>
      </c>
      <c r="K163" s="512">
        <f>+SUMIF('13.mell_ÖNKfeladatok2020'!$B$171:$B$329,'14.mell_Önk kiegészítés2020'!$A163,'13.mell_ÖNKfeladatok2020'!Q$171:Q$329)</f>
        <v>174559</v>
      </c>
      <c r="L163" s="512">
        <f>+SUMIF('13.mell_ÖNKfeladatok2020'!$B$171:$B$329,'14.mell_Önk kiegészítés2020'!$A163,'13.mell_ÖNKfeladatok2020'!U$171:U$329)</f>
        <v>32882</v>
      </c>
      <c r="M163" s="512">
        <f>+SUMIF('13.mell_ÖNKfeladatok2020'!$B$171:$B$329,'14.mell_Önk kiegészítés2020'!$A163,'13.mell_ÖNKfeladatok2020'!Y$171:Y$329)</f>
        <v>32598</v>
      </c>
      <c r="N163" s="512">
        <f>+SUMIF('13.mell_ÖNKfeladatok2020'!$B$171:$B$329,'14.mell_Önk kiegészítés2020'!$A163,'13.mell_ÖNKfeladatok2020'!AC$171:AC$329)</f>
        <v>0</v>
      </c>
      <c r="O163" s="512">
        <f>+SUMIF('13.mell_ÖNKfeladatok2020'!$B$171:$B$329,'14.mell_Önk kiegészítés2020'!$A163,'13.mell_ÖNKfeladatok2020'!AG$171:AG$329)</f>
        <v>0</v>
      </c>
      <c r="P163" s="512">
        <f>+SUMIF('13.mell_ÖNKfeladatok2020'!$B$171:$B$329,'14.mell_Önk kiegészítés2020'!$A163,'13.mell_ÖNKfeladatok2020'!AO$171:AO$329)</f>
        <v>4005</v>
      </c>
      <c r="Q163" s="512">
        <f>+SUMIF('13.mell_ÖNKfeladatok2020'!$B$171:$B$329,'14.mell_Önk kiegészítés2020'!$A163,'13.mell_ÖNKfeladatok2020'!AS$171:AS$329)</f>
        <v>0</v>
      </c>
      <c r="R163" s="512">
        <f>+SUMIF('13.mell_ÖNKfeladatok2020'!$B$171:$B$329,'14.mell_Önk kiegészítés2020'!$A163,'13.mell_ÖNKfeladatok2020'!AW$171:AW$329)</f>
        <v>0</v>
      </c>
      <c r="S163" s="553">
        <f>SUM(K163:R163)</f>
        <v>244044</v>
      </c>
      <c r="T163" s="513">
        <f>S163-J163</f>
        <v>229137</v>
      </c>
      <c r="U163" s="1042">
        <f>+ROUND(SUMIF('10.mell_támogatások2020'!$B$6:$B$137,'14.mell_Önk kiegészítés2020'!$A163,'10.mell_támogatások2020'!F$6:F$137)/1000,0)</f>
        <v>173174</v>
      </c>
      <c r="V163" s="1022">
        <f>26419+10024+125-77159</f>
        <v>-40591</v>
      </c>
      <c r="W163" s="513">
        <f>+T163-U163-V163</f>
        <v>96554</v>
      </c>
      <c r="AE163" s="261">
        <v>26419</v>
      </c>
      <c r="AF163" s="261">
        <v>10024</v>
      </c>
      <c r="AG163" s="261">
        <f>((49+9)+(29+5))+(29+4)</f>
        <v>125</v>
      </c>
      <c r="AI163" s="261">
        <f>-13930-61637-1592</f>
        <v>-77159</v>
      </c>
    </row>
    <row r="164" spans="1:42">
      <c r="A164" s="784">
        <f>+A163+1</f>
        <v>13</v>
      </c>
      <c r="B164" s="514" t="s">
        <v>774</v>
      </c>
      <c r="C164" s="518">
        <f>+SUMIF('13.mell_ÖNKfeladatok2020'!$B$5:$B$163,'14.mell_Önk kiegészítés2020'!$A164,'13.mell_ÖNKfeladatok2020'!Q$5:Q$163)</f>
        <v>34897</v>
      </c>
      <c r="D164" s="518">
        <f>+SUMIF('13.mell_ÖNKfeladatok2020'!$B$5:$B$163,'14.mell_Önk kiegészítés2020'!$A164,'13.mell_ÖNKfeladatok2020'!U$5:U$163)</f>
        <v>0</v>
      </c>
      <c r="E164" s="518">
        <f>+SUMIF('13.mell_ÖNKfeladatok2020'!$B$5:$B$163,'14.mell_Önk kiegészítés2020'!$A164,'13.mell_ÖNKfeladatok2020'!Y$5:Y$163)</f>
        <v>0</v>
      </c>
      <c r="F164" s="518">
        <f>+SUMIF('13.mell_ÖNKfeladatok2020'!$B$5:$B$163,'14.mell_Önk kiegészítés2020'!$A164,'13.mell_ÖNKfeladatok2020'!AC$5:AC$163)</f>
        <v>0</v>
      </c>
      <c r="G164" s="518">
        <f>+SUMIF('13.mell_ÖNKfeladatok2020'!$B$5:$B$163,'14.mell_Önk kiegészítés2020'!$A164,'13.mell_ÖNKfeladatok2020'!AK$5:AK$163)</f>
        <v>0</v>
      </c>
      <c r="H164" s="518">
        <f>+SUMIF('13.mell_ÖNKfeladatok2020'!$B$5:$B$163,'14.mell_Önk kiegészítés2020'!$A164,'13.mell_ÖNKfeladatok2020'!AO$5:AO$163)</f>
        <v>0</v>
      </c>
      <c r="I164" s="518">
        <f>+SUMIF('13.mell_ÖNKfeladatok2020'!$B$5:$B$163,'14.mell_Önk kiegészítés2020'!$A164,'13.mell_ÖNKfeladatok2020'!AS$5:AS$163)</f>
        <v>0</v>
      </c>
      <c r="J164" s="554">
        <f>SUM(C164:I164)</f>
        <v>34897</v>
      </c>
      <c r="K164" s="515">
        <f>+SUMIF('13.mell_ÖNKfeladatok2020'!$B$171:$B$329,'14.mell_Önk kiegészítés2020'!$A164,'13.mell_ÖNKfeladatok2020'!Q$171:Q$329)</f>
        <v>20842</v>
      </c>
      <c r="L164" s="515">
        <f>+SUMIF('13.mell_ÖNKfeladatok2020'!$B$171:$B$329,'14.mell_Önk kiegészítés2020'!$A164,'13.mell_ÖNKfeladatok2020'!U$171:U$329)</f>
        <v>3338</v>
      </c>
      <c r="M164" s="515">
        <f>+SUMIF('13.mell_ÖNKfeladatok2020'!$B$171:$B$329,'14.mell_Önk kiegészítés2020'!$A164,'13.mell_ÖNKfeladatok2020'!Y$171:Y$329)</f>
        <v>8317</v>
      </c>
      <c r="N164" s="515">
        <f>+SUMIF('13.mell_ÖNKfeladatok2020'!$B$171:$B$329,'14.mell_Önk kiegészítés2020'!$A164,'13.mell_ÖNKfeladatok2020'!AC$171:AC$329)</f>
        <v>0</v>
      </c>
      <c r="O164" s="515">
        <f>+SUMIF('13.mell_ÖNKfeladatok2020'!$B$171:$B$329,'14.mell_Önk kiegészítés2020'!$A164,'13.mell_ÖNKfeladatok2020'!AG$171:AG$329)</f>
        <v>0</v>
      </c>
      <c r="P164" s="515">
        <f>+SUMIF('13.mell_ÖNKfeladatok2020'!$B$171:$B$329,'14.mell_Önk kiegészítés2020'!$A164,'13.mell_ÖNKfeladatok2020'!AO$171:AO$329)</f>
        <v>0</v>
      </c>
      <c r="Q164" s="515">
        <f>+SUMIF('13.mell_ÖNKfeladatok2020'!$B$171:$B$329,'14.mell_Önk kiegészítés2020'!$A164,'13.mell_ÖNKfeladatok2020'!AS$171:AS$329)</f>
        <v>0</v>
      </c>
      <c r="R164" s="515">
        <f>+SUMIF('13.mell_ÖNKfeladatok2020'!$B$171:$B$329,'14.mell_Önk kiegészítés2020'!$A164,'13.mell_ÖNKfeladatok2020'!AW$171:AW$329)</f>
        <v>0</v>
      </c>
      <c r="S164" s="554">
        <f>SUM(K164:R164)</f>
        <v>32497</v>
      </c>
      <c r="T164" s="516">
        <f>S164-J164</f>
        <v>-2400</v>
      </c>
      <c r="U164" s="1043">
        <f>+ROUND(SUMIF('10.mell_támogatások2020'!$B$6:$B$137,'14.mell_Önk kiegészítés2020'!$A164,'10.mell_támogatások2020'!F$6:F$137)/1000,0)</f>
        <v>0</v>
      </c>
      <c r="V164" s="1023"/>
      <c r="W164" s="516">
        <f>+T164-U164-V164</f>
        <v>-2400</v>
      </c>
    </row>
    <row r="165" spans="1:42" ht="12.75" thickBot="1">
      <c r="A165" s="784">
        <f>+A164+1</f>
        <v>14</v>
      </c>
      <c r="B165" s="517" t="s">
        <v>759</v>
      </c>
      <c r="C165" s="518">
        <f>+SUMIF('13.mell_ÖNKfeladatok2020'!$B$5:$B$163,'14.mell_Önk kiegészítés2020'!$A165,'13.mell_ÖNKfeladatok2020'!Q$5:Q$163)</f>
        <v>0</v>
      </c>
      <c r="D165" s="518">
        <f>+SUMIF('13.mell_ÖNKfeladatok2020'!$B$5:$B$163,'14.mell_Önk kiegészítés2020'!$A165,'13.mell_ÖNKfeladatok2020'!U$5:U$163)</f>
        <v>0</v>
      </c>
      <c r="E165" s="518">
        <f>+SUMIF('13.mell_ÖNKfeladatok2020'!$B$5:$B$163,'14.mell_Önk kiegészítés2020'!$A165,'13.mell_ÖNKfeladatok2020'!Y$5:Y$163)</f>
        <v>7621</v>
      </c>
      <c r="F165" s="518">
        <f>+SUMIF('13.mell_ÖNKfeladatok2020'!$B$5:$B$163,'14.mell_Önk kiegészítés2020'!$A165,'13.mell_ÖNKfeladatok2020'!AC$5:AC$163)</f>
        <v>0</v>
      </c>
      <c r="G165" s="518">
        <f>+SUMIF('13.mell_ÖNKfeladatok2020'!$B$5:$B$163,'14.mell_Önk kiegészítés2020'!$A165,'13.mell_ÖNKfeladatok2020'!AK$5:AK$163)</f>
        <v>0</v>
      </c>
      <c r="H165" s="518">
        <f>+SUMIF('13.mell_ÖNKfeladatok2020'!$B$5:$B$163,'14.mell_Önk kiegészítés2020'!$A165,'13.mell_ÖNKfeladatok2020'!AO$5:AO$163)</f>
        <v>0</v>
      </c>
      <c r="I165" s="518">
        <f>+SUMIF('13.mell_ÖNKfeladatok2020'!$B$5:$B$163,'14.mell_Önk kiegészítés2020'!$A165,'13.mell_ÖNKfeladatok2020'!AS$5:AS$163)</f>
        <v>0</v>
      </c>
      <c r="J165" s="554">
        <f>SUM(C165:I165)</f>
        <v>7621</v>
      </c>
      <c r="K165" s="515">
        <f>+SUMIF('13.mell_ÖNKfeladatok2020'!$B$171:$B$329,'14.mell_Önk kiegészítés2020'!$A165,'13.mell_ÖNKfeladatok2020'!Q$171:Q$329)</f>
        <v>104070</v>
      </c>
      <c r="L165" s="515">
        <f>+SUMIF('13.mell_ÖNKfeladatok2020'!$B$171:$B$329,'14.mell_Önk kiegészítés2020'!$A165,'13.mell_ÖNKfeladatok2020'!U$171:U$329)</f>
        <v>19170</v>
      </c>
      <c r="M165" s="515">
        <f>+SUMIF('13.mell_ÖNKfeladatok2020'!$B$171:$B$329,'14.mell_Önk kiegészítés2020'!$A165,'13.mell_ÖNKfeladatok2020'!Y$171:Y$329)</f>
        <v>12289</v>
      </c>
      <c r="N165" s="515">
        <f>+SUMIF('13.mell_ÖNKfeladatok2020'!$B$171:$B$329,'14.mell_Önk kiegészítés2020'!$A165,'13.mell_ÖNKfeladatok2020'!AC$171:AC$329)</f>
        <v>0</v>
      </c>
      <c r="O165" s="515">
        <f>+SUMIF('13.mell_ÖNKfeladatok2020'!$B$171:$B$329,'14.mell_Önk kiegészítés2020'!$A165,'13.mell_ÖNKfeladatok2020'!AG$171:AG$329)</f>
        <v>464</v>
      </c>
      <c r="P165" s="515">
        <f>+SUMIF('13.mell_ÖNKfeladatok2020'!$B$171:$B$329,'14.mell_Önk kiegészítés2020'!$A165,'13.mell_ÖNKfeladatok2020'!AO$171:AO$329)</f>
        <v>0</v>
      </c>
      <c r="Q165" s="515">
        <f>+SUMIF('13.mell_ÖNKfeladatok2020'!$B$171:$B$329,'14.mell_Önk kiegészítés2020'!$A165,'13.mell_ÖNKfeladatok2020'!AS$171:AS$329)</f>
        <v>0</v>
      </c>
      <c r="R165" s="515">
        <f>+SUMIF('13.mell_ÖNKfeladatok2020'!$B$171:$B$329,'14.mell_Önk kiegészítés2020'!$A165,'13.mell_ÖNKfeladatok2020'!AW$171:AW$329)</f>
        <v>0</v>
      </c>
      <c r="S165" s="554">
        <f>SUM(K165:R165)</f>
        <v>135993</v>
      </c>
      <c r="T165" s="516">
        <f>S165-J165</f>
        <v>128372</v>
      </c>
      <c r="U165" s="1043">
        <f>+ROUND(SUMIF('10.mell_támogatások2020'!$B$6:$B$137,'14.mell_Önk kiegészítés2020'!$A165,'10.mell_támogatások2020'!F$6:F$137)/1000,0)</f>
        <v>0</v>
      </c>
      <c r="V165" s="1023"/>
      <c r="W165" s="516">
        <f>+T165-U165-V165</f>
        <v>128372</v>
      </c>
    </row>
    <row r="166" spans="1:42" s="507" customFormat="1" ht="12.75" thickBot="1">
      <c r="A166" s="519" t="s">
        <v>590</v>
      </c>
      <c r="B166" s="520" t="s">
        <v>865</v>
      </c>
      <c r="C166" s="521">
        <f t="shared" ref="C166:U166" si="70">SUM(C163:C165)</f>
        <v>37930</v>
      </c>
      <c r="D166" s="522">
        <f t="shared" si="70"/>
        <v>5</v>
      </c>
      <c r="E166" s="522">
        <f t="shared" si="70"/>
        <v>19490</v>
      </c>
      <c r="F166" s="522">
        <f t="shared" si="70"/>
        <v>0</v>
      </c>
      <c r="G166" s="522">
        <f t="shared" si="70"/>
        <v>0</v>
      </c>
      <c r="H166" s="522">
        <f t="shared" si="70"/>
        <v>0</v>
      </c>
      <c r="I166" s="523">
        <f t="shared" si="70"/>
        <v>0</v>
      </c>
      <c r="J166" s="524">
        <f t="shared" si="70"/>
        <v>57425</v>
      </c>
      <c r="K166" s="521">
        <f t="shared" si="70"/>
        <v>299471</v>
      </c>
      <c r="L166" s="521">
        <f t="shared" si="70"/>
        <v>55390</v>
      </c>
      <c r="M166" s="521">
        <f t="shared" si="70"/>
        <v>53204</v>
      </c>
      <c r="N166" s="521">
        <f t="shared" si="70"/>
        <v>0</v>
      </c>
      <c r="O166" s="521">
        <f t="shared" si="70"/>
        <v>464</v>
      </c>
      <c r="P166" s="521">
        <f t="shared" si="70"/>
        <v>4005</v>
      </c>
      <c r="Q166" s="521">
        <f t="shared" si="70"/>
        <v>0</v>
      </c>
      <c r="R166" s="521">
        <f t="shared" si="70"/>
        <v>0</v>
      </c>
      <c r="S166" s="524">
        <f t="shared" si="70"/>
        <v>412534</v>
      </c>
      <c r="T166" s="524">
        <f t="shared" si="70"/>
        <v>355109</v>
      </c>
      <c r="U166" s="1044">
        <f t="shared" si="70"/>
        <v>173174</v>
      </c>
      <c r="V166" s="525">
        <f>SUM(V163:V165)</f>
        <v>-40591</v>
      </c>
      <c r="W166" s="524">
        <f>SUM(W163:W165)</f>
        <v>222526</v>
      </c>
      <c r="AB166" s="261"/>
      <c r="AC166" s="261"/>
      <c r="AD166" s="261"/>
      <c r="AE166" s="261"/>
      <c r="AF166" s="261"/>
      <c r="AG166" s="261"/>
      <c r="AH166" s="261"/>
      <c r="AI166" s="261"/>
      <c r="AJ166" s="261"/>
      <c r="AK166" s="261"/>
      <c r="AL166" s="261"/>
      <c r="AM166" s="261"/>
      <c r="AN166" s="261"/>
      <c r="AO166" s="261"/>
      <c r="AP166" s="261"/>
    </row>
    <row r="167" spans="1:42">
      <c r="A167" s="784">
        <f>+A165+1</f>
        <v>15</v>
      </c>
      <c r="B167" s="538" t="s">
        <v>416</v>
      </c>
      <c r="C167" s="512">
        <f>+SUMIF('13.mell_ÖNKfeladatok2020'!$B$5:$B$163,'14.mell_Önk kiegészítés2020'!$A167,'13.mell_ÖNKfeladatok2020'!Q$5:Q$163)</f>
        <v>0</v>
      </c>
      <c r="D167" s="512">
        <f>+SUMIF('13.mell_ÖNKfeladatok2020'!$B$5:$B$163,'14.mell_Önk kiegészítés2020'!$A167,'13.mell_ÖNKfeladatok2020'!U$5:U$163)</f>
        <v>0</v>
      </c>
      <c r="E167" s="512">
        <f>+SUMIF('13.mell_ÖNKfeladatok2020'!$B$5:$B$163,'14.mell_Önk kiegészítés2020'!$A167,'13.mell_ÖNKfeladatok2020'!Y$5:Y$163)</f>
        <v>28114</v>
      </c>
      <c r="F167" s="512">
        <f>+SUMIF('13.mell_ÖNKfeladatok2020'!$B$5:$B$163,'14.mell_Önk kiegészítés2020'!$A167,'13.mell_ÖNKfeladatok2020'!AC$5:AC$163)</f>
        <v>0</v>
      </c>
      <c r="G167" s="512">
        <f>+SUMIF('13.mell_ÖNKfeladatok2020'!$B$5:$B$163,'14.mell_Önk kiegészítés2020'!$A167,'13.mell_ÖNKfeladatok2020'!AK$5:AK$163)</f>
        <v>0</v>
      </c>
      <c r="H167" s="512">
        <f>+SUMIF('13.mell_ÖNKfeladatok2020'!$B$5:$B$163,'14.mell_Önk kiegészítés2020'!$A167,'13.mell_ÖNKfeladatok2020'!AO$5:AO$163)</f>
        <v>0</v>
      </c>
      <c r="I167" s="512">
        <f>+SUMIF('13.mell_ÖNKfeladatok2020'!$B$5:$B$163,'14.mell_Önk kiegészítés2020'!$A167,'13.mell_ÖNKfeladatok2020'!AS$5:AS$163)</f>
        <v>0</v>
      </c>
      <c r="J167" s="554">
        <f>SUM(C167:I167)</f>
        <v>28114</v>
      </c>
      <c r="K167" s="515">
        <f>+SUMIF('13.mell_ÖNKfeladatok2020'!$B$171:$B$329,'14.mell_Önk kiegészítés2020'!$A167,'13.mell_ÖNKfeladatok2020'!Q$171:Q$329)</f>
        <v>9232</v>
      </c>
      <c r="L167" s="515">
        <f>+SUMIF('13.mell_ÖNKfeladatok2020'!$B$171:$B$329,'14.mell_Önk kiegészítés2020'!$A167,'13.mell_ÖNKfeladatok2020'!U$171:U$329)</f>
        <v>1235</v>
      </c>
      <c r="M167" s="515">
        <f>+SUMIF('13.mell_ÖNKfeladatok2020'!$B$171:$B$329,'14.mell_Önk kiegészítés2020'!$A167,'13.mell_ÖNKfeladatok2020'!Y$171:Y$329)</f>
        <v>28710</v>
      </c>
      <c r="N167" s="515">
        <f>+SUMIF('13.mell_ÖNKfeladatok2020'!$B$171:$B$329,'14.mell_Önk kiegészítés2020'!$A167,'13.mell_ÖNKfeladatok2020'!AC$171:AC$329)</f>
        <v>0</v>
      </c>
      <c r="O167" s="515">
        <f>+SUMIF('13.mell_ÖNKfeladatok2020'!$B$171:$B$329,'14.mell_Önk kiegészítés2020'!$A167,'13.mell_ÖNKfeladatok2020'!AG$171:AG$329)</f>
        <v>0</v>
      </c>
      <c r="P167" s="515">
        <f>+SUMIF('13.mell_ÖNKfeladatok2020'!$B$171:$B$329,'14.mell_Önk kiegészítés2020'!$A167,'13.mell_ÖNKfeladatok2020'!AO$171:AO$329)</f>
        <v>2794</v>
      </c>
      <c r="Q167" s="515">
        <f>+SUMIF('13.mell_ÖNKfeladatok2020'!$B$171:$B$329,'14.mell_Önk kiegészítés2020'!$A167,'13.mell_ÖNKfeladatok2020'!AS$171:AS$329)</f>
        <v>0</v>
      </c>
      <c r="R167" s="515">
        <f>+SUMIF('13.mell_ÖNKfeladatok2020'!$B$171:$B$329,'14.mell_Önk kiegészítés2020'!$A167,'13.mell_ÖNKfeladatok2020'!AW$171:AW$329)</f>
        <v>0</v>
      </c>
      <c r="S167" s="554">
        <f>SUM(K167:R167)</f>
        <v>41971</v>
      </c>
      <c r="T167" s="516">
        <f>S167-J167</f>
        <v>13857</v>
      </c>
      <c r="U167" s="1043">
        <f>+ROUND(SUMIF('10.mell_támogatások2020'!$B$6:$B$137,'14.mell_Önk kiegészítés2020'!$A167,'10.mell_támogatások2020'!F$6:F$137)/1000,0)</f>
        <v>0</v>
      </c>
      <c r="V167" s="1023"/>
      <c r="W167" s="516">
        <f>+T167-U167-V167</f>
        <v>13857</v>
      </c>
    </row>
    <row r="168" spans="1:42">
      <c r="A168" s="784">
        <f>+A167+1</f>
        <v>16</v>
      </c>
      <c r="B168" s="517" t="s">
        <v>647</v>
      </c>
      <c r="C168" s="518">
        <f>+SUMIF('13.mell_ÖNKfeladatok2020'!$B$5:$B$163,'14.mell_Önk kiegészítés2020'!$A168,'13.mell_ÖNKfeladatok2020'!Q$5:Q$163)</f>
        <v>0</v>
      </c>
      <c r="D168" s="518">
        <f>+SUMIF('13.mell_ÖNKfeladatok2020'!$B$5:$B$163,'14.mell_Önk kiegészítés2020'!$A168,'13.mell_ÖNKfeladatok2020'!U$5:U$163)</f>
        <v>0</v>
      </c>
      <c r="E168" s="518">
        <f>+SUMIF('13.mell_ÖNKfeladatok2020'!$B$5:$B$163,'14.mell_Önk kiegészítés2020'!$A168,'13.mell_ÖNKfeladatok2020'!Y$5:Y$163)</f>
        <v>0</v>
      </c>
      <c r="F168" s="518">
        <f>+SUMIF('13.mell_ÖNKfeladatok2020'!$B$5:$B$163,'14.mell_Önk kiegészítés2020'!$A168,'13.mell_ÖNKfeladatok2020'!AC$5:AC$163)</f>
        <v>0</v>
      </c>
      <c r="G168" s="518">
        <f>+SUMIF('13.mell_ÖNKfeladatok2020'!$B$5:$B$163,'14.mell_Önk kiegészítés2020'!$A168,'13.mell_ÖNKfeladatok2020'!AK$5:AK$163)</f>
        <v>0</v>
      </c>
      <c r="H168" s="518">
        <f>+SUMIF('13.mell_ÖNKfeladatok2020'!$B$5:$B$163,'14.mell_Önk kiegészítés2020'!$A168,'13.mell_ÖNKfeladatok2020'!AO$5:AO$163)</f>
        <v>0</v>
      </c>
      <c r="I168" s="518">
        <f>+SUMIF('13.mell_ÖNKfeladatok2020'!$B$5:$B$163,'14.mell_Önk kiegészítés2020'!$A168,'13.mell_ÖNKfeladatok2020'!AS$5:AS$163)</f>
        <v>0</v>
      </c>
      <c r="J168" s="555">
        <f>SUM(C168:I168)</f>
        <v>0</v>
      </c>
      <c r="K168" s="515">
        <f>+SUMIF('13.mell_ÖNKfeladatok2020'!$B$171:$B$329,'14.mell_Önk kiegészítés2020'!$A168,'13.mell_ÖNKfeladatok2020'!Q$171:Q$329)</f>
        <v>0</v>
      </c>
      <c r="L168" s="515">
        <f>+SUMIF('13.mell_ÖNKfeladatok2020'!$B$171:$B$329,'14.mell_Önk kiegészítés2020'!$A168,'13.mell_ÖNKfeladatok2020'!U$171:U$329)</f>
        <v>0</v>
      </c>
      <c r="M168" s="515">
        <f>+SUMIF('13.mell_ÖNKfeladatok2020'!$B$171:$B$329,'14.mell_Önk kiegészítés2020'!$A168,'13.mell_ÖNKfeladatok2020'!Y$171:Y$329)</f>
        <v>0</v>
      </c>
      <c r="N168" s="515">
        <f>+SUMIF('13.mell_ÖNKfeladatok2020'!$B$171:$B$329,'14.mell_Önk kiegészítés2020'!$A168,'13.mell_ÖNKfeladatok2020'!AC$171:AC$329)</f>
        <v>0</v>
      </c>
      <c r="O168" s="515">
        <f>+SUMIF('13.mell_ÖNKfeladatok2020'!$B$171:$B$329,'14.mell_Önk kiegészítés2020'!$A168,'13.mell_ÖNKfeladatok2020'!AG$171:AG$329)</f>
        <v>0</v>
      </c>
      <c r="P168" s="515">
        <f>+SUMIF('13.mell_ÖNKfeladatok2020'!$B$171:$B$329,'14.mell_Önk kiegészítés2020'!$A168,'13.mell_ÖNKfeladatok2020'!AO$171:AO$329)</f>
        <v>0</v>
      </c>
      <c r="Q168" s="515">
        <f>+SUMIF('13.mell_ÖNKfeladatok2020'!$B$171:$B$329,'14.mell_Önk kiegészítés2020'!$A168,'13.mell_ÖNKfeladatok2020'!AS$171:AS$329)</f>
        <v>0</v>
      </c>
      <c r="R168" s="515">
        <f>+SUMIF('13.mell_ÖNKfeladatok2020'!$B$171:$B$329,'14.mell_Önk kiegészítés2020'!$A168,'13.mell_ÖNKfeladatok2020'!AW$171:AW$329)</f>
        <v>0</v>
      </c>
      <c r="S168" s="554">
        <f>SUM(K168:R168)</f>
        <v>0</v>
      </c>
      <c r="T168" s="516">
        <f>S168-J168</f>
        <v>0</v>
      </c>
      <c r="U168" s="1043">
        <f>+ROUND(SUMIF('10.mell_támogatások2020'!$B$6:$B$137,'14.mell_Önk kiegészítés2020'!$A168,'10.mell_támogatások2020'!F$6:F$137)/1000,0)</f>
        <v>0</v>
      </c>
      <c r="V168" s="1023"/>
      <c r="W168" s="516">
        <f>+T168-U168-V168</f>
        <v>0</v>
      </c>
    </row>
    <row r="169" spans="1:42" ht="12.75" thickBot="1">
      <c r="A169" s="784">
        <f>+A168+1</f>
        <v>17</v>
      </c>
      <c r="B169" s="517" t="s">
        <v>890</v>
      </c>
      <c r="C169" s="518">
        <f>+SUMIF('13.mell_ÖNKfeladatok2020'!$B$5:$B$163,'14.mell_Önk kiegészítés2020'!$A169,'13.mell_ÖNKfeladatok2020'!Q$5:Q$163)</f>
        <v>0</v>
      </c>
      <c r="D169" s="518">
        <f>+SUMIF('13.mell_ÖNKfeladatok2020'!$B$5:$B$163,'14.mell_Önk kiegészítés2020'!$A169,'13.mell_ÖNKfeladatok2020'!U$5:U$163)</f>
        <v>0</v>
      </c>
      <c r="E169" s="518">
        <f>+SUMIF('13.mell_ÖNKfeladatok2020'!$B$5:$B$163,'14.mell_Önk kiegészítés2020'!$A169,'13.mell_ÖNKfeladatok2020'!Y$5:Y$163)</f>
        <v>0</v>
      </c>
      <c r="F169" s="518">
        <f>+SUMIF('13.mell_ÖNKfeladatok2020'!$B$5:$B$163,'14.mell_Önk kiegészítés2020'!$A169,'13.mell_ÖNKfeladatok2020'!AC$5:AC$163)</f>
        <v>0</v>
      </c>
      <c r="G169" s="518">
        <f>+SUMIF('13.mell_ÖNKfeladatok2020'!$B$5:$B$163,'14.mell_Önk kiegészítés2020'!$A169,'13.mell_ÖNKfeladatok2020'!AK$5:AK$163)</f>
        <v>0</v>
      </c>
      <c r="H169" s="518">
        <f>+SUMIF('13.mell_ÖNKfeladatok2020'!$B$5:$B$163,'14.mell_Önk kiegészítés2020'!$A169,'13.mell_ÖNKfeladatok2020'!AO$5:AO$163)</f>
        <v>0</v>
      </c>
      <c r="I169" s="518">
        <f>+SUMIF('13.mell_ÖNKfeladatok2020'!$B$5:$B$163,'14.mell_Önk kiegészítés2020'!$A169,'13.mell_ÖNKfeladatok2020'!AS$5:AS$163)</f>
        <v>0</v>
      </c>
      <c r="J169" s="555">
        <f>SUM(C169:I169)</f>
        <v>0</v>
      </c>
      <c r="K169" s="515">
        <f>+SUMIF('13.mell_ÖNKfeladatok2020'!$B$171:$B$329,'14.mell_Önk kiegészítés2020'!$A169,'13.mell_ÖNKfeladatok2020'!Q$171:Q$329)</f>
        <v>0</v>
      </c>
      <c r="L169" s="515">
        <f>+SUMIF('13.mell_ÖNKfeladatok2020'!$B$171:$B$329,'14.mell_Önk kiegészítés2020'!$A169,'13.mell_ÖNKfeladatok2020'!U$171:U$329)</f>
        <v>0</v>
      </c>
      <c r="M169" s="515">
        <f>+SUMIF('13.mell_ÖNKfeladatok2020'!$B$171:$B$329,'14.mell_Önk kiegészítés2020'!$A169,'13.mell_ÖNKfeladatok2020'!Y$171:Y$329)</f>
        <v>0</v>
      </c>
      <c r="N169" s="515">
        <f>+SUMIF('13.mell_ÖNKfeladatok2020'!$B$171:$B$329,'14.mell_Önk kiegészítés2020'!$A169,'13.mell_ÖNKfeladatok2020'!AC$171:AC$329)</f>
        <v>0</v>
      </c>
      <c r="O169" s="515">
        <f>+SUMIF('13.mell_ÖNKfeladatok2020'!$B$171:$B$329,'14.mell_Önk kiegészítés2020'!$A169,'13.mell_ÖNKfeladatok2020'!AG$171:AG$329)</f>
        <v>0</v>
      </c>
      <c r="P169" s="515">
        <f>+SUMIF('13.mell_ÖNKfeladatok2020'!$B$171:$B$329,'14.mell_Önk kiegészítés2020'!$A169,'13.mell_ÖNKfeladatok2020'!AO$171:AO$329)</f>
        <v>0</v>
      </c>
      <c r="Q169" s="515">
        <f>+SUMIF('13.mell_ÖNKfeladatok2020'!$B$171:$B$329,'14.mell_Önk kiegészítés2020'!$A169,'13.mell_ÖNKfeladatok2020'!AS$171:AS$329)</f>
        <v>0</v>
      </c>
      <c r="R169" s="515">
        <f>+SUMIF('13.mell_ÖNKfeladatok2020'!$B$171:$B$329,'14.mell_Önk kiegészítés2020'!$A169,'13.mell_ÖNKfeladatok2020'!AW$171:AW$329)</f>
        <v>0</v>
      </c>
      <c r="S169" s="554">
        <f>SUM(K169:R169)</f>
        <v>0</v>
      </c>
      <c r="T169" s="516">
        <f>S169-J169</f>
        <v>0</v>
      </c>
      <c r="U169" s="1043">
        <f>+ROUND(SUMIF('10.mell_támogatások2020'!$B$6:$B$137,'14.mell_Önk kiegészítés2020'!$A169,'10.mell_támogatások2020'!F$6:F$137)/1000,0)</f>
        <v>0</v>
      </c>
      <c r="V169" s="1023"/>
      <c r="W169" s="516">
        <f>+T169-U169-V169</f>
        <v>0</v>
      </c>
    </row>
    <row r="170" spans="1:42" s="507" customFormat="1" ht="12.75" thickBot="1">
      <c r="A170" s="519" t="s">
        <v>632</v>
      </c>
      <c r="B170" s="520" t="s">
        <v>866</v>
      </c>
      <c r="C170" s="521">
        <f>SUM(C167:C169)</f>
        <v>0</v>
      </c>
      <c r="D170" s="522">
        <f t="shared" ref="D170:W170" si="71">SUM(D167:D169)</f>
        <v>0</v>
      </c>
      <c r="E170" s="522">
        <f t="shared" si="71"/>
        <v>28114</v>
      </c>
      <c r="F170" s="522">
        <f t="shared" si="71"/>
        <v>0</v>
      </c>
      <c r="G170" s="522">
        <f t="shared" si="71"/>
        <v>0</v>
      </c>
      <c r="H170" s="522">
        <f t="shared" si="71"/>
        <v>0</v>
      </c>
      <c r="I170" s="525">
        <f t="shared" si="71"/>
        <v>0</v>
      </c>
      <c r="J170" s="524">
        <f t="shared" si="71"/>
        <v>28114</v>
      </c>
      <c r="K170" s="521">
        <f t="shared" si="71"/>
        <v>9232</v>
      </c>
      <c r="L170" s="521">
        <f t="shared" si="71"/>
        <v>1235</v>
      </c>
      <c r="M170" s="521">
        <f t="shared" si="71"/>
        <v>28710</v>
      </c>
      <c r="N170" s="521">
        <f t="shared" si="71"/>
        <v>0</v>
      </c>
      <c r="O170" s="521">
        <f t="shared" si="71"/>
        <v>0</v>
      </c>
      <c r="P170" s="521">
        <f t="shared" si="71"/>
        <v>2794</v>
      </c>
      <c r="Q170" s="521">
        <f t="shared" si="71"/>
        <v>0</v>
      </c>
      <c r="R170" s="521">
        <f t="shared" si="71"/>
        <v>0</v>
      </c>
      <c r="S170" s="524">
        <f t="shared" si="71"/>
        <v>41971</v>
      </c>
      <c r="T170" s="524">
        <f t="shared" si="71"/>
        <v>13857</v>
      </c>
      <c r="U170" s="1044">
        <f t="shared" si="71"/>
        <v>0</v>
      </c>
      <c r="V170" s="525">
        <f t="shared" si="71"/>
        <v>0</v>
      </c>
      <c r="W170" s="524">
        <f t="shared" si="71"/>
        <v>13857</v>
      </c>
      <c r="AB170" s="261"/>
      <c r="AC170" s="261"/>
      <c r="AD170" s="261"/>
      <c r="AE170" s="261"/>
      <c r="AF170" s="261"/>
      <c r="AG170" s="261"/>
      <c r="AH170" s="261"/>
      <c r="AI170" s="261"/>
      <c r="AJ170" s="261"/>
      <c r="AK170" s="261"/>
      <c r="AL170" s="261"/>
      <c r="AM170" s="261"/>
      <c r="AN170" s="261"/>
      <c r="AO170" s="261"/>
      <c r="AP170" s="261"/>
    </row>
    <row r="171" spans="1:42" ht="12.75" thickBot="1">
      <c r="A171" s="784">
        <f>+A169+1</f>
        <v>18</v>
      </c>
      <c r="B171" s="526" t="s">
        <v>867</v>
      </c>
      <c r="C171" s="527">
        <f>+SUMIF('13.mell_ÖNKfeladatok2020'!$B$5:$B$163,'14.mell_Önk kiegészítés2020'!$A171,'13.mell_ÖNKfeladatok2020'!Q$5:Q$163)</f>
        <v>0</v>
      </c>
      <c r="D171" s="527">
        <f>+SUMIF('13.mell_ÖNKfeladatok2020'!$B$5:$B$163,'14.mell_Önk kiegészítés2020'!$A171,'13.mell_ÖNKfeladatok2020'!U$5:U$163)</f>
        <v>0</v>
      </c>
      <c r="E171" s="527">
        <f>+SUMIF('13.mell_ÖNKfeladatok2020'!$B$5:$B$163,'14.mell_Önk kiegészítés2020'!$A171,'13.mell_ÖNKfeladatok2020'!Y$5:Y$163)</f>
        <v>0</v>
      </c>
      <c r="F171" s="527">
        <f>+SUMIF('13.mell_ÖNKfeladatok2020'!$B$5:$B$163,'14.mell_Önk kiegészítés2020'!$A171,'13.mell_ÖNKfeladatok2020'!AC$5:AC$163)</f>
        <v>0</v>
      </c>
      <c r="G171" s="527">
        <f>+SUMIF('13.mell_ÖNKfeladatok2020'!$B$5:$B$163,'14.mell_Önk kiegészítés2020'!$A171,'13.mell_ÖNKfeladatok2020'!AK$5:AK$163)</f>
        <v>0</v>
      </c>
      <c r="H171" s="527">
        <f>+SUMIF('13.mell_ÖNKfeladatok2020'!$B$5:$B$163,'14.mell_Önk kiegészítés2020'!$A171,'13.mell_ÖNKfeladatok2020'!AO$5:AO$163)</f>
        <v>0</v>
      </c>
      <c r="I171" s="527">
        <f>+SUMIF('13.mell_ÖNKfeladatok2020'!$B$5:$B$163,'14.mell_Önk kiegészítés2020'!$A171,'13.mell_ÖNKfeladatok2020'!AS$5:AS$163)</f>
        <v>0</v>
      </c>
      <c r="J171" s="556">
        <f>SUM(C171:I171)</f>
        <v>0</v>
      </c>
      <c r="K171" s="515">
        <f>+SUMIF('13.mell_ÖNKfeladatok2020'!$B$171:$B$329,'14.mell_Önk kiegészítés2020'!$A171,'13.mell_ÖNKfeladatok2020'!Q$171:Q$329)</f>
        <v>0</v>
      </c>
      <c r="L171" s="515">
        <f>+SUMIF('13.mell_ÖNKfeladatok2020'!$B$171:$B$329,'14.mell_Önk kiegészítés2020'!$A171,'13.mell_ÖNKfeladatok2020'!U$171:U$329)</f>
        <v>0</v>
      </c>
      <c r="M171" s="515">
        <f>+SUMIF('13.mell_ÖNKfeladatok2020'!$B$171:$B$329,'14.mell_Önk kiegészítés2020'!$A171,'13.mell_ÖNKfeladatok2020'!Y$171:Y$329)</f>
        <v>0</v>
      </c>
      <c r="N171" s="515">
        <f>+SUMIF('13.mell_ÖNKfeladatok2020'!$B$171:$B$329,'14.mell_Önk kiegészítés2020'!$A171,'13.mell_ÖNKfeladatok2020'!AC$171:AC$329)</f>
        <v>0</v>
      </c>
      <c r="O171" s="515">
        <f>+SUMIF('13.mell_ÖNKfeladatok2020'!$B$171:$B$329,'14.mell_Önk kiegészítés2020'!$A171,'13.mell_ÖNKfeladatok2020'!AG$171:AG$329)</f>
        <v>0</v>
      </c>
      <c r="P171" s="515">
        <f>+SUMIF('13.mell_ÖNKfeladatok2020'!$B$171:$B$329,'14.mell_Önk kiegészítés2020'!$A171,'13.mell_ÖNKfeladatok2020'!AO$171:AO$329)</f>
        <v>0</v>
      </c>
      <c r="Q171" s="515">
        <f>+SUMIF('13.mell_ÖNKfeladatok2020'!$B$171:$B$329,'14.mell_Önk kiegészítés2020'!$A171,'13.mell_ÖNKfeladatok2020'!AS$171:AS$329)</f>
        <v>0</v>
      </c>
      <c r="R171" s="515">
        <f>+SUMIF('13.mell_ÖNKfeladatok2020'!$B$171:$B$329,'14.mell_Önk kiegészítés2020'!$A171,'13.mell_ÖNKfeladatok2020'!AW$171:AW$329)</f>
        <v>0</v>
      </c>
      <c r="S171" s="554">
        <f>SUM(K171:R171)</f>
        <v>0</v>
      </c>
      <c r="T171" s="516">
        <f>S171-J171</f>
        <v>0</v>
      </c>
      <c r="U171" s="1043">
        <f>+ROUND(SUMIF('10.mell_támogatások2020'!$B$6:$B$137,'14.mell_Önk kiegészítés2020'!$A171,'10.mell_támogatások2020'!F$6:F$137)/1000,0)</f>
        <v>0</v>
      </c>
      <c r="V171" s="1023"/>
      <c r="W171" s="516">
        <f>+T171-U171-V171</f>
        <v>0</v>
      </c>
    </row>
    <row r="172" spans="1:42" s="507" customFormat="1" ht="12.75" thickBot="1">
      <c r="A172" s="519" t="s">
        <v>746</v>
      </c>
      <c r="B172" s="520" t="s">
        <v>867</v>
      </c>
      <c r="C172" s="521">
        <f>SUM(C171)</f>
        <v>0</v>
      </c>
      <c r="D172" s="522">
        <f t="shared" ref="D172:W172" si="72">SUM(D171)</f>
        <v>0</v>
      </c>
      <c r="E172" s="522">
        <f t="shared" si="72"/>
        <v>0</v>
      </c>
      <c r="F172" s="522">
        <f t="shared" si="72"/>
        <v>0</v>
      </c>
      <c r="G172" s="522">
        <f t="shared" si="72"/>
        <v>0</v>
      </c>
      <c r="H172" s="522">
        <f t="shared" si="72"/>
        <v>0</v>
      </c>
      <c r="I172" s="525">
        <f t="shared" si="72"/>
        <v>0</v>
      </c>
      <c r="J172" s="524">
        <f t="shared" si="72"/>
        <v>0</v>
      </c>
      <c r="K172" s="521">
        <f t="shared" si="72"/>
        <v>0</v>
      </c>
      <c r="L172" s="521">
        <f t="shared" si="72"/>
        <v>0</v>
      </c>
      <c r="M172" s="521">
        <f t="shared" si="72"/>
        <v>0</v>
      </c>
      <c r="N172" s="521">
        <f t="shared" si="72"/>
        <v>0</v>
      </c>
      <c r="O172" s="521">
        <f t="shared" si="72"/>
        <v>0</v>
      </c>
      <c r="P172" s="521">
        <f t="shared" si="72"/>
        <v>0</v>
      </c>
      <c r="Q172" s="521">
        <f t="shared" si="72"/>
        <v>0</v>
      </c>
      <c r="R172" s="521">
        <f t="shared" si="72"/>
        <v>0</v>
      </c>
      <c r="S172" s="524">
        <f t="shared" si="72"/>
        <v>0</v>
      </c>
      <c r="T172" s="524">
        <f t="shared" si="72"/>
        <v>0</v>
      </c>
      <c r="U172" s="1044">
        <f t="shared" si="72"/>
        <v>0</v>
      </c>
      <c r="V172" s="525">
        <f t="shared" si="72"/>
        <v>0</v>
      </c>
      <c r="W172" s="524">
        <f t="shared" si="72"/>
        <v>0</v>
      </c>
      <c r="AB172" s="261"/>
      <c r="AC172" s="261"/>
      <c r="AD172" s="261"/>
      <c r="AE172" s="261"/>
      <c r="AF172" s="261"/>
      <c r="AG172" s="261"/>
      <c r="AH172" s="261"/>
      <c r="AI172" s="261"/>
      <c r="AJ172" s="261"/>
      <c r="AK172" s="261"/>
      <c r="AL172" s="261"/>
      <c r="AM172" s="261"/>
      <c r="AN172" s="261"/>
      <c r="AO172" s="261"/>
      <c r="AP172" s="261"/>
    </row>
    <row r="173" spans="1:42" s="507" customFormat="1" ht="12.75" thickBot="1">
      <c r="A173" s="528" t="s">
        <v>22</v>
      </c>
      <c r="B173" s="529" t="s">
        <v>868</v>
      </c>
      <c r="C173" s="530">
        <f>+C166+C170+C172</f>
        <v>37930</v>
      </c>
      <c r="D173" s="531">
        <f t="shared" ref="D173:W173" si="73">+D166+D170+D172</f>
        <v>5</v>
      </c>
      <c r="E173" s="531">
        <f t="shared" si="73"/>
        <v>47604</v>
      </c>
      <c r="F173" s="531">
        <f t="shared" si="73"/>
        <v>0</v>
      </c>
      <c r="G173" s="531">
        <f t="shared" si="73"/>
        <v>0</v>
      </c>
      <c r="H173" s="531">
        <f t="shared" si="73"/>
        <v>0</v>
      </c>
      <c r="I173" s="532">
        <f t="shared" si="73"/>
        <v>0</v>
      </c>
      <c r="J173" s="533">
        <f t="shared" si="73"/>
        <v>85539</v>
      </c>
      <c r="K173" s="530">
        <f t="shared" si="73"/>
        <v>308703</v>
      </c>
      <c r="L173" s="530">
        <f t="shared" si="73"/>
        <v>56625</v>
      </c>
      <c r="M173" s="530">
        <f t="shared" si="73"/>
        <v>81914</v>
      </c>
      <c r="N173" s="530">
        <f t="shared" si="73"/>
        <v>0</v>
      </c>
      <c r="O173" s="530">
        <f t="shared" si="73"/>
        <v>464</v>
      </c>
      <c r="P173" s="530">
        <f t="shared" si="73"/>
        <v>6799</v>
      </c>
      <c r="Q173" s="530">
        <f t="shared" si="73"/>
        <v>0</v>
      </c>
      <c r="R173" s="530">
        <f t="shared" si="73"/>
        <v>0</v>
      </c>
      <c r="S173" s="533">
        <f t="shared" si="73"/>
        <v>454505</v>
      </c>
      <c r="T173" s="533">
        <f t="shared" si="73"/>
        <v>368966</v>
      </c>
      <c r="U173" s="1046">
        <f t="shared" si="73"/>
        <v>173174</v>
      </c>
      <c r="V173" s="532">
        <f t="shared" si="73"/>
        <v>-40591</v>
      </c>
      <c r="W173" s="533">
        <f t="shared" si="73"/>
        <v>236383</v>
      </c>
      <c r="Y173" s="507">
        <f>+'13.mell_ÖNKfeladatok2020'!$H$113-J173</f>
        <v>498</v>
      </c>
      <c r="Z173" s="507">
        <f>+'13.mell_ÖNKfeladatok2020'!$H$279-S173</f>
        <v>7112</v>
      </c>
      <c r="AB173" s="261"/>
      <c r="AC173" s="261"/>
      <c r="AD173" s="261"/>
      <c r="AE173" s="261"/>
      <c r="AF173" s="261"/>
      <c r="AG173" s="261"/>
      <c r="AH173" s="261"/>
      <c r="AI173" s="261"/>
      <c r="AJ173" s="261"/>
      <c r="AK173" s="261"/>
      <c r="AL173" s="261"/>
      <c r="AM173" s="261"/>
      <c r="AN173" s="261"/>
      <c r="AO173" s="261"/>
      <c r="AP173" s="261"/>
    </row>
    <row r="174" spans="1:42" s="507" customFormat="1" ht="12.75" thickBot="1">
      <c r="A174" s="539"/>
      <c r="B174" s="540"/>
      <c r="C174" s="541"/>
      <c r="D174" s="541"/>
      <c r="E174" s="541"/>
      <c r="F174" s="541"/>
      <c r="G174" s="541"/>
      <c r="H174" s="541"/>
      <c r="I174" s="823"/>
      <c r="J174" s="544"/>
      <c r="K174" s="541"/>
      <c r="L174" s="541"/>
      <c r="M174" s="541"/>
      <c r="N174" s="541"/>
      <c r="O174" s="541"/>
      <c r="P174" s="541"/>
      <c r="Q174" s="541"/>
      <c r="R174" s="541"/>
      <c r="S174" s="544"/>
      <c r="T174" s="544"/>
      <c r="U174" s="823"/>
      <c r="V174" s="543"/>
      <c r="W174" s="544"/>
      <c r="AB174" s="261"/>
      <c r="AC174" s="261"/>
      <c r="AD174" s="261"/>
      <c r="AE174" s="261"/>
      <c r="AF174" s="261"/>
      <c r="AG174" s="261"/>
      <c r="AH174" s="261"/>
      <c r="AI174" s="261"/>
      <c r="AJ174" s="261"/>
      <c r="AK174" s="261"/>
      <c r="AL174" s="261"/>
      <c r="AM174" s="261"/>
      <c r="AN174" s="261"/>
      <c r="AO174" s="261"/>
      <c r="AP174" s="261"/>
    </row>
    <row r="175" spans="1:42">
      <c r="A175" s="783">
        <f>+A171+1</f>
        <v>19</v>
      </c>
      <c r="B175" s="695" t="s">
        <v>1074</v>
      </c>
      <c r="C175" s="826">
        <f>+SUMIF('13.mell_ÖNKfeladatok2020'!$B$5:$B$163,'14.mell_Önk kiegészítés2020'!$A175,'13.mell_ÖNKfeladatok2020'!Q$5:Q$163)</f>
        <v>0</v>
      </c>
      <c r="D175" s="826">
        <f>+SUMIF('13.mell_ÖNKfeladatok2020'!$B$5:$B$163,'14.mell_Önk kiegészítés2020'!$A175,'13.mell_ÖNKfeladatok2020'!U$5:U$163)</f>
        <v>0</v>
      </c>
      <c r="E175" s="826">
        <f>+SUMIF('13.mell_ÖNKfeladatok2020'!$B$5:$B$163,'14.mell_Önk kiegészítés2020'!$A175,'13.mell_ÖNKfeladatok2020'!Y$5:Y$163)</f>
        <v>2573</v>
      </c>
      <c r="F175" s="826">
        <f>+SUMIF('13.mell_ÖNKfeladatok2020'!$B$5:$B$163,'14.mell_Önk kiegészítés2020'!$A175,'13.mell_ÖNKfeladatok2020'!AC$5:AC$163)</f>
        <v>0</v>
      </c>
      <c r="G175" s="826">
        <f>+SUMIF('13.mell_ÖNKfeladatok2020'!$B$5:$B$163,'14.mell_Önk kiegészítés2020'!$A175,'13.mell_ÖNKfeladatok2020'!AK$5:AK$163)</f>
        <v>0</v>
      </c>
      <c r="H175" s="826">
        <f>+SUMIF('13.mell_ÖNKfeladatok2020'!$B$5:$B$163,'14.mell_Önk kiegészítés2020'!$A175,'13.mell_ÖNKfeladatok2020'!AO$5:AO$163)</f>
        <v>0</v>
      </c>
      <c r="I175" s="826">
        <f>+SUMIF('13.mell_ÖNKfeladatok2020'!$B$5:$B$163,'14.mell_Önk kiegészítés2020'!$A175,'13.mell_ÖNKfeladatok2020'!AS$5:AS$163)</f>
        <v>0</v>
      </c>
      <c r="J175" s="696">
        <f>SUM(C175:I175)</f>
        <v>2573</v>
      </c>
      <c r="K175" s="826">
        <f>+SUMIF('13.mell_ÖNKfeladatok2020'!$B$171:$B$329,'14.mell_Önk kiegészítés2020'!$A175,'13.mell_ÖNKfeladatok2020'!Q$171:Q$329)</f>
        <v>216515</v>
      </c>
      <c r="L175" s="826">
        <f>+SUMIF('13.mell_ÖNKfeladatok2020'!$B$171:$B$329,'14.mell_Önk kiegészítés2020'!$A175,'13.mell_ÖNKfeladatok2020'!U$171:U$329)</f>
        <v>41981</v>
      </c>
      <c r="M175" s="826">
        <f>+SUMIF('13.mell_ÖNKfeladatok2020'!$B$171:$B$329,'14.mell_Önk kiegészítés2020'!$A175,'13.mell_ÖNKfeladatok2020'!Y$171:Y$329)</f>
        <v>24613</v>
      </c>
      <c r="N175" s="826">
        <f>+SUMIF('13.mell_ÖNKfeladatok2020'!$B$171:$B$329,'14.mell_Önk kiegészítés2020'!$A175,'13.mell_ÖNKfeladatok2020'!AC$171:AC$329)</f>
        <v>0</v>
      </c>
      <c r="O175" s="826">
        <f>+SUMIF('13.mell_ÖNKfeladatok2020'!$B$171:$B$329,'14.mell_Önk kiegészítés2020'!$A175,'13.mell_ÖNKfeladatok2020'!AG$171:AG$329)</f>
        <v>315</v>
      </c>
      <c r="P175" s="826">
        <f>+SUMIF('13.mell_ÖNKfeladatok2020'!$B$171:$B$329,'14.mell_Önk kiegészítés2020'!$A175,'13.mell_ÖNKfeladatok2020'!AO$171:AO$329)</f>
        <v>275</v>
      </c>
      <c r="Q175" s="826">
        <f>+SUMIF('13.mell_ÖNKfeladatok2020'!$B$171:$B$329,'14.mell_Önk kiegészítés2020'!$A175,'13.mell_ÖNKfeladatok2020'!AS$171:AS$329)</f>
        <v>0</v>
      </c>
      <c r="R175" s="826">
        <f>+SUMIF('13.mell_ÖNKfeladatok2020'!$B$171:$B$329,'14.mell_Önk kiegészítés2020'!$A175,'13.mell_ÖNKfeladatok2020'!AW$171:AW$329)</f>
        <v>0</v>
      </c>
      <c r="S175" s="696">
        <f>SUM(K175:R175)</f>
        <v>283699</v>
      </c>
      <c r="T175" s="697">
        <f>S175-J175</f>
        <v>281126</v>
      </c>
      <c r="U175" s="1047">
        <f>+ROUND(SUMIF('10.mell_támogatások2020'!$B$6:$B$137,'14.mell_Önk kiegészítés2020'!$A175,'10.mell_támogatások2020'!F$6:F$137)/1000,0)</f>
        <v>259126</v>
      </c>
      <c r="V175" s="1025">
        <v>69</v>
      </c>
      <c r="W175" s="697">
        <f>+T175-U175-V175</f>
        <v>21931</v>
      </c>
      <c r="AG175" s="261">
        <f>((24+4)+(18+3))+(17+3)</f>
        <v>69</v>
      </c>
    </row>
    <row r="176" spans="1:42">
      <c r="A176" s="784">
        <f>+A175+1</f>
        <v>20</v>
      </c>
      <c r="B176" s="514" t="s">
        <v>1147</v>
      </c>
      <c r="C176" s="515">
        <f>+SUMIF('13.mell_ÖNKfeladatok2020'!$B$5:$B$163,'14.mell_Önk kiegészítés2020'!$A176,'13.mell_ÖNKfeladatok2020'!Q$5:Q$163)</f>
        <v>0</v>
      </c>
      <c r="D176" s="515">
        <f>+SUMIF('13.mell_ÖNKfeladatok2020'!$B$5:$B$163,'14.mell_Önk kiegészítés2020'!$A176,'13.mell_ÖNKfeladatok2020'!U$5:U$163)</f>
        <v>0</v>
      </c>
      <c r="E176" s="515">
        <f>+SUMIF('13.mell_ÖNKfeladatok2020'!$B$5:$B$163,'14.mell_Önk kiegészítés2020'!$A176,'13.mell_ÖNKfeladatok2020'!Y$5:Y$163)</f>
        <v>7560</v>
      </c>
      <c r="F176" s="515">
        <f>+SUMIF('13.mell_ÖNKfeladatok2020'!$B$5:$B$163,'14.mell_Önk kiegészítés2020'!$A176,'13.mell_ÖNKfeladatok2020'!AC$5:AC$163)</f>
        <v>0</v>
      </c>
      <c r="G176" s="515">
        <f>+SUMIF('13.mell_ÖNKfeladatok2020'!$B$5:$B$163,'14.mell_Önk kiegészítés2020'!$A176,'13.mell_ÖNKfeladatok2020'!AK$5:AK$163)</f>
        <v>0</v>
      </c>
      <c r="H176" s="515">
        <f>+SUMIF('13.mell_ÖNKfeladatok2020'!$B$5:$B$163,'14.mell_Önk kiegészítés2020'!$A176,'13.mell_ÖNKfeladatok2020'!AO$5:AO$163)</f>
        <v>0</v>
      </c>
      <c r="I176" s="515">
        <f>+SUMIF('13.mell_ÖNKfeladatok2020'!$B$5:$B$163,'14.mell_Önk kiegészítés2020'!$A176,'13.mell_ÖNKfeladatok2020'!AS$5:AS$163)</f>
        <v>0</v>
      </c>
      <c r="J176" s="554">
        <f>SUM(C176:I176)</f>
        <v>7560</v>
      </c>
      <c r="K176" s="515">
        <f>+SUMIF('13.mell_ÖNKfeladatok2020'!$B$171:$B$329,'14.mell_Önk kiegészítés2020'!$A176,'13.mell_ÖNKfeladatok2020'!Q$171:Q$329)</f>
        <v>0</v>
      </c>
      <c r="L176" s="515">
        <f>+SUMIF('13.mell_ÖNKfeladatok2020'!$B$171:$B$329,'14.mell_Önk kiegészítés2020'!$A176,'13.mell_ÖNKfeladatok2020'!U$171:U$329)</f>
        <v>0</v>
      </c>
      <c r="M176" s="515">
        <f>+SUMIF('13.mell_ÖNKfeladatok2020'!$B$171:$B$329,'14.mell_Önk kiegészítés2020'!$A176,'13.mell_ÖNKfeladatok2020'!Y$171:Y$329)</f>
        <v>80665</v>
      </c>
      <c r="N176" s="515">
        <f>+SUMIF('13.mell_ÖNKfeladatok2020'!$B$171:$B$329,'14.mell_Önk kiegészítés2020'!$A176,'13.mell_ÖNKfeladatok2020'!AC$171:AC$329)</f>
        <v>0</v>
      </c>
      <c r="O176" s="515">
        <f>+SUMIF('13.mell_ÖNKfeladatok2020'!$B$171:$B$329,'14.mell_Önk kiegészítés2020'!$A176,'13.mell_ÖNKfeladatok2020'!AG$171:AG$329)</f>
        <v>0</v>
      </c>
      <c r="P176" s="515">
        <f>+SUMIF('13.mell_ÖNKfeladatok2020'!$B$171:$B$329,'14.mell_Önk kiegészítés2020'!$A176,'13.mell_ÖNKfeladatok2020'!AO$171:AO$329)</f>
        <v>0</v>
      </c>
      <c r="Q176" s="515">
        <f>+SUMIF('13.mell_ÖNKfeladatok2020'!$B$171:$B$329,'14.mell_Önk kiegészítés2020'!$A176,'13.mell_ÖNKfeladatok2020'!AS$171:AS$329)</f>
        <v>0</v>
      </c>
      <c r="R176" s="515">
        <f>+SUMIF('13.mell_ÖNKfeladatok2020'!$B$171:$B$329,'14.mell_Önk kiegészítés2020'!$A176,'13.mell_ÖNKfeladatok2020'!AW$171:AW$329)</f>
        <v>0</v>
      </c>
      <c r="S176" s="554">
        <f>SUM(K176:R176)</f>
        <v>80665</v>
      </c>
      <c r="T176" s="516">
        <f>S176-J176</f>
        <v>73105</v>
      </c>
      <c r="U176" s="1043">
        <f>+ROUND(SUMIF('10.mell_támogatások2020'!$B$6:$B$137,'14.mell_Önk kiegészítés2020'!$A176,'10.mell_támogatások2020'!F$6:F$137)/1000,0)</f>
        <v>78944</v>
      </c>
      <c r="V176" s="1023">
        <v>1592</v>
      </c>
      <c r="W176" s="516">
        <f>+T176-U176-V176</f>
        <v>-7431</v>
      </c>
      <c r="AI176" s="261">
        <v>1592</v>
      </c>
    </row>
    <row r="177" spans="1:42" ht="12.75" thickBot="1">
      <c r="A177" s="824">
        <f>+A176+1</f>
        <v>21</v>
      </c>
      <c r="B177" s="526" t="s">
        <v>1140</v>
      </c>
      <c r="C177" s="527">
        <f>+SUMIF('13.mell_ÖNKfeladatok2020'!$B$5:$B$163,'14.mell_Önk kiegészítés2020'!$A177,'13.mell_ÖNKfeladatok2020'!Q$5:Q$163)</f>
        <v>0</v>
      </c>
      <c r="D177" s="527">
        <f>+SUMIF('13.mell_ÖNKfeladatok2020'!$B$5:$B$163,'14.mell_Önk kiegészítés2020'!$A177,'13.mell_ÖNKfeladatok2020'!U$5:U$163)</f>
        <v>0</v>
      </c>
      <c r="E177" s="527">
        <f>+SUMIF('13.mell_ÖNKfeladatok2020'!$B$5:$B$163,'14.mell_Önk kiegészítés2020'!$A177,'13.mell_ÖNKfeladatok2020'!Y$5:Y$163)</f>
        <v>0</v>
      </c>
      <c r="F177" s="527">
        <f>+SUMIF('13.mell_ÖNKfeladatok2020'!$B$5:$B$163,'14.mell_Önk kiegészítés2020'!$A177,'13.mell_ÖNKfeladatok2020'!AC$5:AC$163)</f>
        <v>0</v>
      </c>
      <c r="G177" s="527">
        <f>+SUMIF('13.mell_ÖNKfeladatok2020'!$B$5:$B$163,'14.mell_Önk kiegészítés2020'!$A177,'13.mell_ÖNKfeladatok2020'!AK$5:AK$163)</f>
        <v>0</v>
      </c>
      <c r="H177" s="527">
        <f>+SUMIF('13.mell_ÖNKfeladatok2020'!$B$5:$B$163,'14.mell_Önk kiegészítés2020'!$A177,'13.mell_ÖNKfeladatok2020'!AO$5:AO$163)</f>
        <v>0</v>
      </c>
      <c r="I177" s="527">
        <f>+SUMIF('13.mell_ÖNKfeladatok2020'!$B$5:$B$163,'14.mell_Önk kiegészítés2020'!$A177,'13.mell_ÖNKfeladatok2020'!AS$5:AS$163)</f>
        <v>0</v>
      </c>
      <c r="J177" s="556">
        <f>SUM(C177:I177)</f>
        <v>0</v>
      </c>
      <c r="K177" s="512">
        <f>+SUMIF('13.mell_ÖNKfeladatok2020'!$B$171:$B$329,'14.mell_Önk kiegészítés2020'!$A177,'13.mell_ÖNKfeladatok2020'!Q$171:Q$329)</f>
        <v>37813</v>
      </c>
      <c r="L177" s="512">
        <f>+SUMIF('13.mell_ÖNKfeladatok2020'!$B$171:$B$329,'14.mell_Önk kiegészítés2020'!$A177,'13.mell_ÖNKfeladatok2020'!U$171:U$329)</f>
        <v>7301</v>
      </c>
      <c r="M177" s="512">
        <f>+SUMIF('13.mell_ÖNKfeladatok2020'!$B$171:$B$329,'14.mell_Önk kiegészítés2020'!$A177,'13.mell_ÖNKfeladatok2020'!Y$171:Y$329)</f>
        <v>3649</v>
      </c>
      <c r="N177" s="512">
        <f>+SUMIF('13.mell_ÖNKfeladatok2020'!$B$171:$B$329,'14.mell_Önk kiegészítés2020'!$A177,'13.mell_ÖNKfeladatok2020'!AC$171:AC$329)</f>
        <v>0</v>
      </c>
      <c r="O177" s="512">
        <f>+SUMIF('13.mell_ÖNKfeladatok2020'!$B$171:$B$329,'14.mell_Önk kiegészítés2020'!$A177,'13.mell_ÖNKfeladatok2020'!AG$171:AG$329)</f>
        <v>0</v>
      </c>
      <c r="P177" s="512">
        <f>+SUMIF('13.mell_ÖNKfeladatok2020'!$B$171:$B$329,'14.mell_Önk kiegészítés2020'!$A177,'13.mell_ÖNKfeladatok2020'!AO$171:AO$329)</f>
        <v>405</v>
      </c>
      <c r="Q177" s="512">
        <f>+SUMIF('13.mell_ÖNKfeladatok2020'!$B$171:$B$329,'14.mell_Önk kiegészítés2020'!$A177,'13.mell_ÖNKfeladatok2020'!AS$171:AS$329)</f>
        <v>0</v>
      </c>
      <c r="R177" s="512">
        <f>+SUMIF('13.mell_ÖNKfeladatok2020'!$B$171:$B$329,'14.mell_Önk kiegészítés2020'!$A177,'13.mell_ÖNKfeladatok2020'!AW$171:AW$329)</f>
        <v>0</v>
      </c>
      <c r="S177" s="553">
        <f>SUM(K177:R177)</f>
        <v>49168</v>
      </c>
      <c r="T177" s="513">
        <f>S177-J177</f>
        <v>49168</v>
      </c>
      <c r="U177" s="1042">
        <f>+ROUND(SUMIF('10.mell_támogatások2020'!$B$6:$B$137,'14.mell_Önk kiegészítés2020'!$A177,'10.mell_támogatások2020'!F$6:F$137)/1000,0)</f>
        <v>31525</v>
      </c>
      <c r="V177" s="1022"/>
      <c r="W177" s="513">
        <f>+T177-U177-V177</f>
        <v>17643</v>
      </c>
    </row>
    <row r="178" spans="1:42" s="507" customFormat="1" ht="12.75" thickBot="1">
      <c r="A178" s="343" t="s">
        <v>747</v>
      </c>
      <c r="B178" s="471" t="s">
        <v>417</v>
      </c>
      <c r="C178" s="521">
        <f>SUM(C175:C177)</f>
        <v>0</v>
      </c>
      <c r="D178" s="521">
        <f t="shared" ref="D178:W178" si="74">SUM(D175:D177)</f>
        <v>0</v>
      </c>
      <c r="E178" s="521">
        <f t="shared" si="74"/>
        <v>10133</v>
      </c>
      <c r="F178" s="521">
        <f t="shared" si="74"/>
        <v>0</v>
      </c>
      <c r="G178" s="521">
        <f t="shared" si="74"/>
        <v>0</v>
      </c>
      <c r="H178" s="521">
        <f t="shared" si="74"/>
        <v>0</v>
      </c>
      <c r="I178" s="521">
        <f t="shared" si="74"/>
        <v>0</v>
      </c>
      <c r="J178" s="524">
        <f t="shared" si="74"/>
        <v>10133</v>
      </c>
      <c r="K178" s="521">
        <f t="shared" si="74"/>
        <v>254328</v>
      </c>
      <c r="L178" s="521">
        <f t="shared" si="74"/>
        <v>49282</v>
      </c>
      <c r="M178" s="521">
        <f t="shared" si="74"/>
        <v>108927</v>
      </c>
      <c r="N178" s="521">
        <f t="shared" si="74"/>
        <v>0</v>
      </c>
      <c r="O178" s="521">
        <f t="shared" si="74"/>
        <v>315</v>
      </c>
      <c r="P178" s="521">
        <f t="shared" si="74"/>
        <v>680</v>
      </c>
      <c r="Q178" s="521">
        <f t="shared" si="74"/>
        <v>0</v>
      </c>
      <c r="R178" s="521">
        <f t="shared" si="74"/>
        <v>0</v>
      </c>
      <c r="S178" s="524">
        <f t="shared" si="74"/>
        <v>413532</v>
      </c>
      <c r="T178" s="524">
        <f t="shared" si="74"/>
        <v>403399</v>
      </c>
      <c r="U178" s="1044">
        <f t="shared" si="74"/>
        <v>369595</v>
      </c>
      <c r="V178" s="525">
        <f t="shared" si="74"/>
        <v>1661</v>
      </c>
      <c r="W178" s="524">
        <f t="shared" si="74"/>
        <v>32143</v>
      </c>
      <c r="AB178" s="261"/>
      <c r="AC178" s="261"/>
      <c r="AD178" s="261"/>
      <c r="AE178" s="261"/>
      <c r="AF178" s="261"/>
      <c r="AG178" s="261"/>
      <c r="AH178" s="261"/>
      <c r="AI178" s="261"/>
      <c r="AJ178" s="261"/>
      <c r="AK178" s="261"/>
      <c r="AL178" s="261"/>
      <c r="AM178" s="261"/>
      <c r="AN178" s="261"/>
      <c r="AO178" s="261"/>
      <c r="AP178" s="261"/>
    </row>
    <row r="179" spans="1:42" ht="12.75" thickBot="1">
      <c r="A179" s="827">
        <f>+A177+1</f>
        <v>22</v>
      </c>
      <c r="B179" s="526" t="s">
        <v>418</v>
      </c>
      <c r="C179" s="527">
        <f>+SUMIF('13.mell_ÖNKfeladatok2020'!$B$5:$B$163,'14.mell_Önk kiegészítés2020'!$A179,'13.mell_ÖNKfeladatok2020'!Q$5:Q$163)</f>
        <v>0</v>
      </c>
      <c r="D179" s="527">
        <f>+SUMIF('13.mell_ÖNKfeladatok2020'!$B$5:$B$163,'14.mell_Önk kiegészítés2020'!$A179,'13.mell_ÖNKfeladatok2020'!U$5:U$163)</f>
        <v>0</v>
      </c>
      <c r="E179" s="527">
        <f>+SUMIF('13.mell_ÖNKfeladatok2020'!$B$5:$B$163,'14.mell_Önk kiegészítés2020'!$A179,'13.mell_ÖNKfeladatok2020'!Y$5:Y$163)</f>
        <v>0</v>
      </c>
      <c r="F179" s="527">
        <f>+SUMIF('13.mell_ÖNKfeladatok2020'!$B$5:$B$163,'14.mell_Önk kiegészítés2020'!$A179,'13.mell_ÖNKfeladatok2020'!AC$5:AC$163)</f>
        <v>0</v>
      </c>
      <c r="G179" s="527">
        <f>+SUMIF('13.mell_ÖNKfeladatok2020'!$B$5:$B$163,'14.mell_Önk kiegészítés2020'!$A179,'13.mell_ÖNKfeladatok2020'!AK$5:AK$163)</f>
        <v>0</v>
      </c>
      <c r="H179" s="527">
        <f>+SUMIF('13.mell_ÖNKfeladatok2020'!$B$5:$B$163,'14.mell_Önk kiegészítés2020'!$A179,'13.mell_ÖNKfeladatok2020'!AO$5:AO$163)</f>
        <v>0</v>
      </c>
      <c r="I179" s="527">
        <f>+SUMIF('13.mell_ÖNKfeladatok2020'!$B$5:$B$163,'14.mell_Önk kiegészítés2020'!$A179,'13.mell_ÖNKfeladatok2020'!AS$5:AS$163)</f>
        <v>0</v>
      </c>
      <c r="J179" s="556">
        <f>SUM(C179:I179)</f>
        <v>0</v>
      </c>
      <c r="K179" s="518">
        <f>+SUMIF('13.mell_ÖNKfeladatok2020'!$B$171:$B$329,'14.mell_Önk kiegészítés2020'!$A179,'13.mell_ÖNKfeladatok2020'!Q$171:Q$329)</f>
        <v>0</v>
      </c>
      <c r="L179" s="518">
        <f>+SUMIF('13.mell_ÖNKfeladatok2020'!$B$171:$B$329,'14.mell_Önk kiegészítés2020'!$A179,'13.mell_ÖNKfeladatok2020'!U$171:U$329)</f>
        <v>0</v>
      </c>
      <c r="M179" s="518">
        <f>+SUMIF('13.mell_ÖNKfeladatok2020'!$B$171:$B$329,'14.mell_Önk kiegészítés2020'!$A179,'13.mell_ÖNKfeladatok2020'!Y$171:Y$329)</f>
        <v>0</v>
      </c>
      <c r="N179" s="518">
        <f>+SUMIF('13.mell_ÖNKfeladatok2020'!$B$171:$B$329,'14.mell_Önk kiegészítés2020'!$A179,'13.mell_ÖNKfeladatok2020'!AC$171:AC$329)</f>
        <v>0</v>
      </c>
      <c r="O179" s="518">
        <f>+SUMIF('13.mell_ÖNKfeladatok2020'!$B$171:$B$329,'14.mell_Önk kiegészítés2020'!$A179,'13.mell_ÖNKfeladatok2020'!AG$171:AG$329)</f>
        <v>0</v>
      </c>
      <c r="P179" s="518">
        <f>+SUMIF('13.mell_ÖNKfeladatok2020'!$B$171:$B$329,'14.mell_Önk kiegészítés2020'!$A179,'13.mell_ÖNKfeladatok2020'!AO$171:AO$329)</f>
        <v>0</v>
      </c>
      <c r="Q179" s="518">
        <f>+SUMIF('13.mell_ÖNKfeladatok2020'!$B$171:$B$329,'14.mell_Önk kiegészítés2020'!$A179,'13.mell_ÖNKfeladatok2020'!AS$171:AS$329)</f>
        <v>0</v>
      </c>
      <c r="R179" s="518">
        <f>+SUMIF('13.mell_ÖNKfeladatok2020'!$B$171:$B$329,'14.mell_Önk kiegészítés2020'!$A179,'13.mell_ÖNKfeladatok2020'!AW$171:AW$329)</f>
        <v>0</v>
      </c>
      <c r="S179" s="555">
        <f>SUM(K179:R179)</f>
        <v>0</v>
      </c>
      <c r="T179" s="828">
        <f>S179-J179</f>
        <v>0</v>
      </c>
      <c r="U179" s="1048">
        <f>+ROUND(SUMIF('10.mell_támogatások2020'!$B$6:$B$137,'14.mell_Önk kiegészítés2020'!$A179,'10.mell_támogatások2020'!F$6:F$137)/1000,0)</f>
        <v>0</v>
      </c>
      <c r="V179" s="1026"/>
      <c r="W179" s="828">
        <f>+T179-U179-V179</f>
        <v>0</v>
      </c>
    </row>
    <row r="180" spans="1:42" s="507" customFormat="1" ht="12.75" thickBot="1">
      <c r="A180" s="343" t="s">
        <v>748</v>
      </c>
      <c r="B180" s="471" t="s">
        <v>418</v>
      </c>
      <c r="C180" s="521">
        <f>SUM(C179)</f>
        <v>0</v>
      </c>
      <c r="D180" s="521">
        <f t="shared" ref="D180:W180" si="75">SUM(D179)</f>
        <v>0</v>
      </c>
      <c r="E180" s="521">
        <f t="shared" si="75"/>
        <v>0</v>
      </c>
      <c r="F180" s="521">
        <f t="shared" si="75"/>
        <v>0</v>
      </c>
      <c r="G180" s="521">
        <f t="shared" si="75"/>
        <v>0</v>
      </c>
      <c r="H180" s="521">
        <f t="shared" si="75"/>
        <v>0</v>
      </c>
      <c r="I180" s="521">
        <f t="shared" si="75"/>
        <v>0</v>
      </c>
      <c r="J180" s="524">
        <f t="shared" si="75"/>
        <v>0</v>
      </c>
      <c r="K180" s="521">
        <f t="shared" si="75"/>
        <v>0</v>
      </c>
      <c r="L180" s="521">
        <f t="shared" si="75"/>
        <v>0</v>
      </c>
      <c r="M180" s="521">
        <f t="shared" si="75"/>
        <v>0</v>
      </c>
      <c r="N180" s="521">
        <f t="shared" si="75"/>
        <v>0</v>
      </c>
      <c r="O180" s="521">
        <f t="shared" si="75"/>
        <v>0</v>
      </c>
      <c r="P180" s="521">
        <f t="shared" si="75"/>
        <v>0</v>
      </c>
      <c r="Q180" s="521">
        <f t="shared" si="75"/>
        <v>0</v>
      </c>
      <c r="R180" s="521">
        <f t="shared" si="75"/>
        <v>0</v>
      </c>
      <c r="S180" s="524">
        <f t="shared" si="75"/>
        <v>0</v>
      </c>
      <c r="T180" s="524">
        <f t="shared" si="75"/>
        <v>0</v>
      </c>
      <c r="U180" s="1044">
        <f t="shared" si="75"/>
        <v>0</v>
      </c>
      <c r="V180" s="525">
        <f t="shared" si="75"/>
        <v>0</v>
      </c>
      <c r="W180" s="524">
        <f t="shared" si="75"/>
        <v>0</v>
      </c>
      <c r="AB180" s="261"/>
      <c r="AC180" s="261"/>
      <c r="AD180" s="261"/>
      <c r="AE180" s="261"/>
      <c r="AF180" s="261"/>
      <c r="AG180" s="261"/>
      <c r="AH180" s="261"/>
      <c r="AI180" s="261"/>
      <c r="AJ180" s="261"/>
      <c r="AK180" s="261"/>
      <c r="AL180" s="261"/>
      <c r="AM180" s="261"/>
      <c r="AN180" s="261"/>
      <c r="AO180" s="261"/>
      <c r="AP180" s="261"/>
    </row>
    <row r="181" spans="1:42" ht="12.75" thickBot="1">
      <c r="A181" s="827">
        <f>+A179+1</f>
        <v>23</v>
      </c>
      <c r="B181" s="526" t="s">
        <v>766</v>
      </c>
      <c r="C181" s="527">
        <f>+SUMIF('13.mell_ÖNKfeladatok2020'!$B$5:$B$163,'14.mell_Önk kiegészítés2020'!$A181,'13.mell_ÖNKfeladatok2020'!Q$5:Q$163)</f>
        <v>0</v>
      </c>
      <c r="D181" s="527">
        <f>+SUMIF('13.mell_ÖNKfeladatok2020'!$B$5:$B$163,'14.mell_Önk kiegészítés2020'!$A181,'13.mell_ÖNKfeladatok2020'!U$5:U$163)</f>
        <v>0</v>
      </c>
      <c r="E181" s="527">
        <f>+SUMIF('13.mell_ÖNKfeladatok2020'!$B$5:$B$163,'14.mell_Önk kiegészítés2020'!$A181,'13.mell_ÖNKfeladatok2020'!Y$5:Y$163)</f>
        <v>0</v>
      </c>
      <c r="F181" s="527">
        <f>+SUMIF('13.mell_ÖNKfeladatok2020'!$B$5:$B$163,'14.mell_Önk kiegészítés2020'!$A181,'13.mell_ÖNKfeladatok2020'!AC$5:AC$163)</f>
        <v>0</v>
      </c>
      <c r="G181" s="527">
        <f>+SUMIF('13.mell_ÖNKfeladatok2020'!$B$5:$B$163,'14.mell_Önk kiegészítés2020'!$A181,'13.mell_ÖNKfeladatok2020'!AK$5:AK$163)</f>
        <v>0</v>
      </c>
      <c r="H181" s="527">
        <f>+SUMIF('13.mell_ÖNKfeladatok2020'!$B$5:$B$163,'14.mell_Önk kiegészítés2020'!$A181,'13.mell_ÖNKfeladatok2020'!AO$5:AO$163)</f>
        <v>0</v>
      </c>
      <c r="I181" s="527">
        <f>+SUMIF('13.mell_ÖNKfeladatok2020'!$B$5:$B$163,'14.mell_Önk kiegészítés2020'!$A181,'13.mell_ÖNKfeladatok2020'!AS$5:AS$163)</f>
        <v>0</v>
      </c>
      <c r="J181" s="556">
        <f>SUM(C181:I181)</f>
        <v>0</v>
      </c>
      <c r="K181" s="518">
        <f>+SUMIF('13.mell_ÖNKfeladatok2020'!$B$171:$B$329,'14.mell_Önk kiegészítés2020'!$A181,'13.mell_ÖNKfeladatok2020'!Q$171:Q$329)</f>
        <v>0</v>
      </c>
      <c r="L181" s="518">
        <f>+SUMIF('13.mell_ÖNKfeladatok2020'!$B$171:$B$329,'14.mell_Önk kiegészítés2020'!$A181,'13.mell_ÖNKfeladatok2020'!U$171:U$329)</f>
        <v>0</v>
      </c>
      <c r="M181" s="518">
        <f>+SUMIF('13.mell_ÖNKfeladatok2020'!$B$171:$B$329,'14.mell_Önk kiegészítés2020'!$A181,'13.mell_ÖNKfeladatok2020'!Y$171:Y$329)</f>
        <v>0</v>
      </c>
      <c r="N181" s="518">
        <f>+SUMIF('13.mell_ÖNKfeladatok2020'!$B$171:$B$329,'14.mell_Önk kiegészítés2020'!$A181,'13.mell_ÖNKfeladatok2020'!AC$171:AC$329)</f>
        <v>0</v>
      </c>
      <c r="O181" s="518">
        <f>+SUMIF('13.mell_ÖNKfeladatok2020'!$B$171:$B$329,'14.mell_Önk kiegészítés2020'!$A181,'13.mell_ÖNKfeladatok2020'!AG$171:AG$329)</f>
        <v>0</v>
      </c>
      <c r="P181" s="518">
        <f>+SUMIF('13.mell_ÖNKfeladatok2020'!$B$171:$B$329,'14.mell_Önk kiegészítés2020'!$A181,'13.mell_ÖNKfeladatok2020'!AO$171:AO$329)</f>
        <v>0</v>
      </c>
      <c r="Q181" s="518">
        <f>+SUMIF('13.mell_ÖNKfeladatok2020'!$B$171:$B$329,'14.mell_Önk kiegészítés2020'!$A181,'13.mell_ÖNKfeladatok2020'!AS$171:AS$329)</f>
        <v>0</v>
      </c>
      <c r="R181" s="518">
        <f>+SUMIF('13.mell_ÖNKfeladatok2020'!$B$171:$B$329,'14.mell_Önk kiegészítés2020'!$A181,'13.mell_ÖNKfeladatok2020'!AW$171:AW$329)</f>
        <v>0</v>
      </c>
      <c r="S181" s="555">
        <f>SUM(K181:R181)</f>
        <v>0</v>
      </c>
      <c r="T181" s="828">
        <f>S181-J181</f>
        <v>0</v>
      </c>
      <c r="U181" s="1048">
        <f>+ROUND(SUMIF('10.mell_támogatások2020'!$B$6:$B$137,'14.mell_Önk kiegészítés2020'!$A181,'10.mell_támogatások2020'!F$6:F$137)/1000,0)</f>
        <v>0</v>
      </c>
      <c r="V181" s="1026"/>
      <c r="W181" s="828">
        <f>+T181-U181-V181</f>
        <v>0</v>
      </c>
    </row>
    <row r="182" spans="1:42" s="507" customFormat="1" ht="12.75" thickBot="1">
      <c r="A182" s="343" t="s">
        <v>749</v>
      </c>
      <c r="B182" s="471" t="s">
        <v>766</v>
      </c>
      <c r="C182" s="521">
        <f>SUM(C181)</f>
        <v>0</v>
      </c>
      <c r="D182" s="521">
        <f t="shared" ref="D182:W182" si="76">SUM(D181)</f>
        <v>0</v>
      </c>
      <c r="E182" s="521">
        <f t="shared" si="76"/>
        <v>0</v>
      </c>
      <c r="F182" s="521">
        <f t="shared" si="76"/>
        <v>0</v>
      </c>
      <c r="G182" s="521">
        <f t="shared" si="76"/>
        <v>0</v>
      </c>
      <c r="H182" s="521">
        <f t="shared" si="76"/>
        <v>0</v>
      </c>
      <c r="I182" s="521">
        <f t="shared" si="76"/>
        <v>0</v>
      </c>
      <c r="J182" s="524">
        <f t="shared" si="76"/>
        <v>0</v>
      </c>
      <c r="K182" s="521">
        <f t="shared" si="76"/>
        <v>0</v>
      </c>
      <c r="L182" s="521">
        <f t="shared" si="76"/>
        <v>0</v>
      </c>
      <c r="M182" s="521">
        <f t="shared" si="76"/>
        <v>0</v>
      </c>
      <c r="N182" s="521">
        <f t="shared" si="76"/>
        <v>0</v>
      </c>
      <c r="O182" s="521">
        <f t="shared" si="76"/>
        <v>0</v>
      </c>
      <c r="P182" s="521">
        <f t="shared" si="76"/>
        <v>0</v>
      </c>
      <c r="Q182" s="521">
        <f t="shared" si="76"/>
        <v>0</v>
      </c>
      <c r="R182" s="521">
        <f t="shared" si="76"/>
        <v>0</v>
      </c>
      <c r="S182" s="524">
        <f t="shared" si="76"/>
        <v>0</v>
      </c>
      <c r="T182" s="524">
        <f t="shared" si="76"/>
        <v>0</v>
      </c>
      <c r="U182" s="1044">
        <f t="shared" si="76"/>
        <v>0</v>
      </c>
      <c r="V182" s="525">
        <f t="shared" si="76"/>
        <v>0</v>
      </c>
      <c r="W182" s="524">
        <f t="shared" si="76"/>
        <v>0</v>
      </c>
      <c r="AB182" s="261"/>
      <c r="AC182" s="261"/>
      <c r="AD182" s="261"/>
      <c r="AE182" s="261"/>
      <c r="AF182" s="261"/>
      <c r="AG182" s="261"/>
      <c r="AH182" s="261"/>
      <c r="AI182" s="261"/>
      <c r="AJ182" s="261"/>
      <c r="AK182" s="261"/>
      <c r="AL182" s="261"/>
      <c r="AM182" s="261"/>
      <c r="AN182" s="261"/>
      <c r="AO182" s="261"/>
      <c r="AP182" s="261"/>
    </row>
    <row r="183" spans="1:42" s="507" customFormat="1" ht="12.75" thickBot="1">
      <c r="A183" s="473" t="s">
        <v>21</v>
      </c>
      <c r="B183" s="483" t="s">
        <v>419</v>
      </c>
      <c r="C183" s="530">
        <f>+C178+C180+C182</f>
        <v>0</v>
      </c>
      <c r="D183" s="531">
        <f t="shared" ref="D183:W183" si="77">+D178+D180+D182</f>
        <v>0</v>
      </c>
      <c r="E183" s="531">
        <f t="shared" si="77"/>
        <v>10133</v>
      </c>
      <c r="F183" s="531">
        <f t="shared" si="77"/>
        <v>0</v>
      </c>
      <c r="G183" s="531">
        <f t="shared" si="77"/>
        <v>0</v>
      </c>
      <c r="H183" s="531">
        <f t="shared" si="77"/>
        <v>0</v>
      </c>
      <c r="I183" s="532">
        <f t="shared" si="77"/>
        <v>0</v>
      </c>
      <c r="J183" s="533">
        <f t="shared" si="77"/>
        <v>10133</v>
      </c>
      <c r="K183" s="530">
        <f t="shared" si="77"/>
        <v>254328</v>
      </c>
      <c r="L183" s="530">
        <f t="shared" si="77"/>
        <v>49282</v>
      </c>
      <c r="M183" s="530">
        <f t="shared" si="77"/>
        <v>108927</v>
      </c>
      <c r="N183" s="530">
        <f t="shared" si="77"/>
        <v>0</v>
      </c>
      <c r="O183" s="530">
        <f t="shared" si="77"/>
        <v>315</v>
      </c>
      <c r="P183" s="530">
        <f t="shared" si="77"/>
        <v>680</v>
      </c>
      <c r="Q183" s="530">
        <f t="shared" si="77"/>
        <v>0</v>
      </c>
      <c r="R183" s="530">
        <f t="shared" si="77"/>
        <v>0</v>
      </c>
      <c r="S183" s="533">
        <f t="shared" si="77"/>
        <v>413532</v>
      </c>
      <c r="T183" s="533">
        <f t="shared" si="77"/>
        <v>403399</v>
      </c>
      <c r="U183" s="1046">
        <f t="shared" si="77"/>
        <v>369595</v>
      </c>
      <c r="V183" s="532">
        <f t="shared" si="77"/>
        <v>1661</v>
      </c>
      <c r="W183" s="533">
        <f t="shared" si="77"/>
        <v>32143</v>
      </c>
      <c r="Y183" s="507">
        <f>+'13.mell_ÖNKfeladatok2020'!$H$126-J183</f>
        <v>1213</v>
      </c>
      <c r="Z183" s="507">
        <f>+'13.mell_ÖNKfeladatok2020'!$H$292-S183</f>
        <v>23915</v>
      </c>
      <c r="AB183" s="261"/>
      <c r="AC183" s="261"/>
      <c r="AD183" s="261"/>
      <c r="AE183" s="261"/>
      <c r="AF183" s="261"/>
      <c r="AG183" s="261"/>
      <c r="AH183" s="261"/>
      <c r="AI183" s="261"/>
      <c r="AJ183" s="261"/>
      <c r="AK183" s="261"/>
      <c r="AL183" s="261"/>
      <c r="AM183" s="261"/>
      <c r="AN183" s="261"/>
      <c r="AO183" s="261"/>
      <c r="AP183" s="261"/>
    </row>
    <row r="184" spans="1:42" s="194" customFormat="1" ht="12.75" thickBot="1">
      <c r="A184" s="343"/>
      <c r="B184" s="471"/>
      <c r="C184" s="541"/>
      <c r="D184" s="542"/>
      <c r="E184" s="542"/>
      <c r="F184" s="542"/>
      <c r="G184" s="542"/>
      <c r="H184" s="542"/>
      <c r="I184" s="543"/>
      <c r="J184" s="544"/>
      <c r="K184" s="541"/>
      <c r="L184" s="541"/>
      <c r="M184" s="541"/>
      <c r="N184" s="541"/>
      <c r="O184" s="541"/>
      <c r="P184" s="541"/>
      <c r="Q184" s="541"/>
      <c r="R184" s="541"/>
      <c r="S184" s="544"/>
      <c r="T184" s="544"/>
      <c r="U184" s="823"/>
      <c r="V184" s="543"/>
      <c r="W184" s="544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</row>
    <row r="185" spans="1:42">
      <c r="A185" s="783">
        <f>+A181+1</f>
        <v>24</v>
      </c>
      <c r="B185" s="695" t="s">
        <v>1084</v>
      </c>
      <c r="C185" s="826">
        <f>+SUMIF('13.mell_ÖNKfeladatok2020'!$B$5:$B$163,'14.mell_Önk kiegészítés2020'!$A185,'13.mell_ÖNKfeladatok2020'!Q$5:Q$163)</f>
        <v>0</v>
      </c>
      <c r="D185" s="826">
        <f>+SUMIF('13.mell_ÖNKfeladatok2020'!$B$5:$B$163,'14.mell_Önk kiegészítés2020'!$A185,'13.mell_ÖNKfeladatok2020'!U$5:U$163)</f>
        <v>0</v>
      </c>
      <c r="E185" s="826">
        <f>+SUMIF('13.mell_ÖNKfeladatok2020'!$B$5:$B$163,'14.mell_Önk kiegészítés2020'!$A185,'13.mell_ÖNKfeladatok2020'!Y$5:Y$163)</f>
        <v>0</v>
      </c>
      <c r="F185" s="826">
        <f>+SUMIF('13.mell_ÖNKfeladatok2020'!$B$5:$B$163,'14.mell_Önk kiegészítés2020'!$A185,'13.mell_ÖNKfeladatok2020'!AC$5:AC$163)</f>
        <v>0</v>
      </c>
      <c r="G185" s="826">
        <f>+SUMIF('13.mell_ÖNKfeladatok2020'!$B$5:$B$163,'14.mell_Önk kiegészítés2020'!$A185,'13.mell_ÖNKfeladatok2020'!AK$5:AK$163)</f>
        <v>0</v>
      </c>
      <c r="H185" s="826">
        <f>+SUMIF('13.mell_ÖNKfeladatok2020'!$B$5:$B$163,'14.mell_Önk kiegészítés2020'!$A185,'13.mell_ÖNKfeladatok2020'!AO$5:AO$163)</f>
        <v>0</v>
      </c>
      <c r="I185" s="826">
        <f>+SUMIF('13.mell_ÖNKfeladatok2020'!$B$5:$B$163,'14.mell_Önk kiegészítés2020'!$A185,'13.mell_ÖNKfeladatok2020'!AS$5:AS$163)</f>
        <v>0</v>
      </c>
      <c r="J185" s="696">
        <f>SUM(C185:I185)</f>
        <v>0</v>
      </c>
      <c r="K185" s="826">
        <f>+SUMIF('13.mell_ÖNKfeladatok2020'!$B$171:$B$329,'14.mell_Önk kiegészítés2020'!$A185,'13.mell_ÖNKfeladatok2020'!Q$171:Q$329)</f>
        <v>0</v>
      </c>
      <c r="L185" s="826">
        <f>+SUMIF('13.mell_ÖNKfeladatok2020'!$B$171:$B$329,'14.mell_Önk kiegészítés2020'!$A185,'13.mell_ÖNKfeladatok2020'!U$171:U$329)</f>
        <v>0</v>
      </c>
      <c r="M185" s="826">
        <f>+SUMIF('13.mell_ÖNKfeladatok2020'!$B$171:$B$329,'14.mell_Önk kiegészítés2020'!$A185,'13.mell_ÖNKfeladatok2020'!Y$171:Y$329)</f>
        <v>1684</v>
      </c>
      <c r="N185" s="826">
        <f>+SUMIF('13.mell_ÖNKfeladatok2020'!$B$171:$B$329,'14.mell_Önk kiegészítés2020'!$A185,'13.mell_ÖNKfeladatok2020'!AC$171:AC$329)</f>
        <v>0</v>
      </c>
      <c r="O185" s="826">
        <f>+SUMIF('13.mell_ÖNKfeladatok2020'!$B$171:$B$329,'14.mell_Önk kiegészítés2020'!$A185,'13.mell_ÖNKfeladatok2020'!AG$171:AG$329)</f>
        <v>0</v>
      </c>
      <c r="P185" s="826">
        <f>+SUMIF('13.mell_ÖNKfeladatok2020'!$B$171:$B$329,'14.mell_Önk kiegészítés2020'!$A185,'13.mell_ÖNKfeladatok2020'!AO$171:AO$329)</f>
        <v>0</v>
      </c>
      <c r="Q185" s="826">
        <f>+SUMIF('13.mell_ÖNKfeladatok2020'!$B$171:$B$329,'14.mell_Önk kiegészítés2020'!$A185,'13.mell_ÖNKfeladatok2020'!AS$171:AS$329)</f>
        <v>0</v>
      </c>
      <c r="R185" s="826">
        <f>+SUMIF('13.mell_ÖNKfeladatok2020'!$B$171:$B$329,'14.mell_Önk kiegészítés2020'!$A185,'13.mell_ÖNKfeladatok2020'!AW$171:AW$329)</f>
        <v>0</v>
      </c>
      <c r="S185" s="696">
        <f>SUM(K185:R185)</f>
        <v>1684</v>
      </c>
      <c r="T185" s="697">
        <f>S185-J185</f>
        <v>1684</v>
      </c>
      <c r="U185" s="1047">
        <f>+ROUND(SUMIF('10.mell_támogatások2020'!$B$6:$B$137,'14.mell_Önk kiegészítés2020'!$A185,'10.mell_támogatások2020'!F$6:F$137)/1000,0)</f>
        <v>360</v>
      </c>
      <c r="V185" s="1025">
        <v>1321</v>
      </c>
      <c r="W185" s="697">
        <f>+T185-U185-V185</f>
        <v>3</v>
      </c>
      <c r="AB185" s="261">
        <v>1321</v>
      </c>
    </row>
    <row r="186" spans="1:42">
      <c r="A186" s="784">
        <f>+A185+1</f>
        <v>25</v>
      </c>
      <c r="B186" s="514" t="s">
        <v>1141</v>
      </c>
      <c r="C186" s="515">
        <f>+SUMIF('13.mell_ÖNKfeladatok2020'!$B$5:$B$163,'14.mell_Önk kiegészítés2020'!$A186,'13.mell_ÖNKfeladatok2020'!Q$5:Q$163)</f>
        <v>3714</v>
      </c>
      <c r="D186" s="515">
        <f>+SUMIF('13.mell_ÖNKfeladatok2020'!$B$5:$B$163,'14.mell_Önk kiegészítés2020'!$A186,'13.mell_ÖNKfeladatok2020'!U$5:U$163)</f>
        <v>0</v>
      </c>
      <c r="E186" s="515">
        <f>+SUMIF('13.mell_ÖNKfeladatok2020'!$B$5:$B$163,'14.mell_Önk kiegészítés2020'!$A186,'13.mell_ÖNKfeladatok2020'!Y$5:Y$163)</f>
        <v>1842</v>
      </c>
      <c r="F186" s="515">
        <f>+SUMIF('13.mell_ÖNKfeladatok2020'!$B$5:$B$163,'14.mell_Önk kiegészítés2020'!$A186,'13.mell_ÖNKfeladatok2020'!AC$5:AC$163)</f>
        <v>12</v>
      </c>
      <c r="G186" s="515">
        <f>+SUMIF('13.mell_ÖNKfeladatok2020'!$B$5:$B$163,'14.mell_Önk kiegészítés2020'!$A186,'13.mell_ÖNKfeladatok2020'!AK$5:AK$163)</f>
        <v>0</v>
      </c>
      <c r="H186" s="515">
        <f>+SUMIF('13.mell_ÖNKfeladatok2020'!$B$5:$B$163,'14.mell_Önk kiegészítés2020'!$A186,'13.mell_ÖNKfeladatok2020'!AO$5:AO$163)</f>
        <v>0</v>
      </c>
      <c r="I186" s="515">
        <f>+SUMIF('13.mell_ÖNKfeladatok2020'!$B$5:$B$163,'14.mell_Önk kiegészítés2020'!$A186,'13.mell_ÖNKfeladatok2020'!AS$5:AS$163)</f>
        <v>0</v>
      </c>
      <c r="J186" s="554">
        <f>SUM(C186:I186)</f>
        <v>5568</v>
      </c>
      <c r="K186" s="515">
        <f>+SUMIF('13.mell_ÖNKfeladatok2020'!$B$171:$B$329,'14.mell_Önk kiegészítés2020'!$A186,'13.mell_ÖNKfeladatok2020'!Q$171:Q$329)</f>
        <v>18788</v>
      </c>
      <c r="L186" s="515">
        <f>+SUMIF('13.mell_ÖNKfeladatok2020'!$B$171:$B$329,'14.mell_Önk kiegészítés2020'!$A186,'13.mell_ÖNKfeladatok2020'!U$171:U$329)</f>
        <v>3522</v>
      </c>
      <c r="M186" s="515">
        <f>+SUMIF('13.mell_ÖNKfeladatok2020'!$B$171:$B$329,'14.mell_Önk kiegészítés2020'!$A186,'13.mell_ÖNKfeladatok2020'!Y$171:Y$329)</f>
        <v>7540</v>
      </c>
      <c r="N186" s="515">
        <f>+SUMIF('13.mell_ÖNKfeladatok2020'!$B$171:$B$329,'14.mell_Önk kiegészítés2020'!$A186,'13.mell_ÖNKfeladatok2020'!AC$171:AC$329)</f>
        <v>0</v>
      </c>
      <c r="O186" s="515">
        <f>+SUMIF('13.mell_ÖNKfeladatok2020'!$B$171:$B$329,'14.mell_Önk kiegészítés2020'!$A186,'13.mell_ÖNKfeladatok2020'!AG$171:AG$329)</f>
        <v>332</v>
      </c>
      <c r="P186" s="515">
        <f>+SUMIF('13.mell_ÖNKfeladatok2020'!$B$171:$B$329,'14.mell_Önk kiegészítés2020'!$A186,'13.mell_ÖNKfeladatok2020'!AO$171:AO$329)</f>
        <v>300</v>
      </c>
      <c r="Q186" s="515">
        <f>+SUMIF('13.mell_ÖNKfeladatok2020'!$B$171:$B$329,'14.mell_Önk kiegészítés2020'!$A186,'13.mell_ÖNKfeladatok2020'!AS$171:AS$329)</f>
        <v>0</v>
      </c>
      <c r="R186" s="515">
        <f>+SUMIF('13.mell_ÖNKfeladatok2020'!$B$171:$B$329,'14.mell_Önk kiegészítés2020'!$A186,'13.mell_ÖNKfeladatok2020'!AW$171:AW$329)</f>
        <v>0</v>
      </c>
      <c r="S186" s="554">
        <f>SUM(K186:R186)</f>
        <v>30482</v>
      </c>
      <c r="T186" s="516">
        <f>S186-J186</f>
        <v>24914</v>
      </c>
      <c r="U186" s="1043">
        <f>+ROUND(SUMIF('10.mell_támogatások2020'!$B$6:$B$137,'14.mell_Önk kiegészítés2020'!$A186,'10.mell_támogatások2020'!F$6:F$137)/1000,0)</f>
        <v>19912</v>
      </c>
      <c r="V186" s="1023">
        <f>-1321+53</f>
        <v>-1268</v>
      </c>
      <c r="W186" s="516">
        <f>+T186-U186-V186</f>
        <v>6270</v>
      </c>
      <c r="AB186" s="261">
        <v>-1321</v>
      </c>
      <c r="AG186" s="261">
        <f>((29+5)+(8+1))+(9+1)</f>
        <v>53</v>
      </c>
    </row>
    <row r="187" spans="1:42" ht="12.75" thickBot="1">
      <c r="A187" s="829">
        <f>+A186+1</f>
        <v>26</v>
      </c>
      <c r="B187" s="526" t="s">
        <v>1091</v>
      </c>
      <c r="C187" s="527">
        <f>+SUMIF('13.mell_ÖNKfeladatok2020'!$B$5:$B$163,'14.mell_Önk kiegészítés2020'!$A187,'13.mell_ÖNKfeladatok2020'!Q$5:Q$163)</f>
        <v>0</v>
      </c>
      <c r="D187" s="527">
        <f>+SUMIF('13.mell_ÖNKfeladatok2020'!$B$5:$B$163,'14.mell_Önk kiegészítés2020'!$A187,'13.mell_ÖNKfeladatok2020'!U$5:U$163)</f>
        <v>0</v>
      </c>
      <c r="E187" s="527">
        <f>+SUMIF('13.mell_ÖNKfeladatok2020'!$B$5:$B$163,'14.mell_Önk kiegészítés2020'!$A187,'13.mell_ÖNKfeladatok2020'!Y$5:Y$163)</f>
        <v>92</v>
      </c>
      <c r="F187" s="527">
        <f>+SUMIF('13.mell_ÖNKfeladatok2020'!$B$5:$B$163,'14.mell_Önk kiegészítés2020'!$A187,'13.mell_ÖNKfeladatok2020'!AC$5:AC$163)</f>
        <v>0</v>
      </c>
      <c r="G187" s="527">
        <f>+SUMIF('13.mell_ÖNKfeladatok2020'!$B$5:$B$163,'14.mell_Önk kiegészítés2020'!$A187,'13.mell_ÖNKfeladatok2020'!AK$5:AK$163)</f>
        <v>0</v>
      </c>
      <c r="H187" s="527">
        <f>+SUMIF('13.mell_ÖNKfeladatok2020'!$B$5:$B$163,'14.mell_Önk kiegészítés2020'!$A187,'13.mell_ÖNKfeladatok2020'!AO$5:AO$163)</f>
        <v>0</v>
      </c>
      <c r="I187" s="527">
        <f>+SUMIF('13.mell_ÖNKfeladatok2020'!$B$5:$B$163,'14.mell_Önk kiegészítés2020'!$A187,'13.mell_ÖNKfeladatok2020'!AS$5:AS$163)</f>
        <v>0</v>
      </c>
      <c r="J187" s="556">
        <f>SUM(C187:I187)</f>
        <v>92</v>
      </c>
      <c r="K187" s="527">
        <f>+SUMIF('13.mell_ÖNKfeladatok2020'!$B$171:$B$329,'14.mell_Önk kiegészítés2020'!$A187,'13.mell_ÖNKfeladatok2020'!Q$171:Q$329)</f>
        <v>5084</v>
      </c>
      <c r="L187" s="527">
        <f>+SUMIF('13.mell_ÖNKfeladatok2020'!$B$171:$B$329,'14.mell_Önk kiegészítés2020'!$A187,'13.mell_ÖNKfeladatok2020'!U$171:U$329)</f>
        <v>862</v>
      </c>
      <c r="M187" s="527">
        <f>+SUMIF('13.mell_ÖNKfeladatok2020'!$B$171:$B$329,'14.mell_Önk kiegészítés2020'!$A187,'13.mell_ÖNKfeladatok2020'!Y$171:Y$329)</f>
        <v>2133</v>
      </c>
      <c r="N187" s="527">
        <f>+SUMIF('13.mell_ÖNKfeladatok2020'!$B$171:$B$329,'14.mell_Önk kiegészítés2020'!$A187,'13.mell_ÖNKfeladatok2020'!AC$171:AC$329)</f>
        <v>0</v>
      </c>
      <c r="O187" s="527">
        <f>+SUMIF('13.mell_ÖNKfeladatok2020'!$B$171:$B$329,'14.mell_Önk kiegészítés2020'!$A187,'13.mell_ÖNKfeladatok2020'!AG$171:AG$329)</f>
        <v>0</v>
      </c>
      <c r="P187" s="527">
        <f>+SUMIF('13.mell_ÖNKfeladatok2020'!$B$171:$B$329,'14.mell_Önk kiegészítés2020'!$A187,'13.mell_ÖNKfeladatok2020'!AO$171:AO$329)</f>
        <v>0</v>
      </c>
      <c r="Q187" s="527">
        <f>+SUMIF('13.mell_ÖNKfeladatok2020'!$B$171:$B$329,'14.mell_Önk kiegészítés2020'!$A187,'13.mell_ÖNKfeladatok2020'!AS$171:AS$329)</f>
        <v>0</v>
      </c>
      <c r="R187" s="527">
        <f>+SUMIF('13.mell_ÖNKfeladatok2020'!$B$171:$B$329,'14.mell_Önk kiegészítés2020'!$A187,'13.mell_ÖNKfeladatok2020'!AW$171:AW$329)</f>
        <v>0</v>
      </c>
      <c r="S187" s="556">
        <f>SUM(K187:R187)</f>
        <v>8079</v>
      </c>
      <c r="T187" s="830">
        <f>S187-J187</f>
        <v>7987</v>
      </c>
      <c r="U187" s="1049">
        <f>+ROUND(SUMIF('10.mell_támogatások2020'!$B$6:$B$137,'14.mell_Önk kiegészítés2020'!$A187,'10.mell_támogatások2020'!F$6:F$137)/1000,0)</f>
        <v>6679</v>
      </c>
      <c r="V187" s="1027"/>
      <c r="W187" s="830">
        <f>+T187-U187-V187</f>
        <v>1308</v>
      </c>
    </row>
    <row r="188" spans="1:42" s="507" customFormat="1" ht="12.75" thickBot="1">
      <c r="A188" s="343" t="s">
        <v>750</v>
      </c>
      <c r="B188" s="471" t="s">
        <v>420</v>
      </c>
      <c r="C188" s="521">
        <f>SUM(C185:C187)</f>
        <v>3714</v>
      </c>
      <c r="D188" s="521">
        <f t="shared" ref="D188:W188" si="78">SUM(D185:D187)</f>
        <v>0</v>
      </c>
      <c r="E188" s="521">
        <f t="shared" si="78"/>
        <v>1934</v>
      </c>
      <c r="F188" s="521">
        <f t="shared" si="78"/>
        <v>12</v>
      </c>
      <c r="G188" s="521">
        <f t="shared" si="78"/>
        <v>0</v>
      </c>
      <c r="H188" s="521">
        <f t="shared" si="78"/>
        <v>0</v>
      </c>
      <c r="I188" s="521">
        <f t="shared" si="78"/>
        <v>0</v>
      </c>
      <c r="J188" s="524">
        <f t="shared" si="78"/>
        <v>5660</v>
      </c>
      <c r="K188" s="521">
        <f t="shared" si="78"/>
        <v>23872</v>
      </c>
      <c r="L188" s="521">
        <f t="shared" si="78"/>
        <v>4384</v>
      </c>
      <c r="M188" s="521">
        <f t="shared" si="78"/>
        <v>11357</v>
      </c>
      <c r="N188" s="521">
        <f t="shared" si="78"/>
        <v>0</v>
      </c>
      <c r="O188" s="521">
        <f t="shared" si="78"/>
        <v>332</v>
      </c>
      <c r="P188" s="521">
        <f t="shared" si="78"/>
        <v>300</v>
      </c>
      <c r="Q188" s="521">
        <f t="shared" si="78"/>
        <v>0</v>
      </c>
      <c r="R188" s="521">
        <f t="shared" si="78"/>
        <v>0</v>
      </c>
      <c r="S188" s="524">
        <f t="shared" si="78"/>
        <v>40245</v>
      </c>
      <c r="T188" s="524">
        <f t="shared" si="78"/>
        <v>34585</v>
      </c>
      <c r="U188" s="1044">
        <f t="shared" si="78"/>
        <v>26951</v>
      </c>
      <c r="V188" s="525">
        <f t="shared" si="78"/>
        <v>53</v>
      </c>
      <c r="W188" s="524">
        <f t="shared" si="78"/>
        <v>7581</v>
      </c>
      <c r="AB188" s="261"/>
      <c r="AC188" s="261"/>
      <c r="AD188" s="261"/>
      <c r="AE188" s="261"/>
      <c r="AF188" s="261"/>
      <c r="AG188" s="261"/>
      <c r="AH188" s="261"/>
      <c r="AI188" s="261"/>
      <c r="AJ188" s="261"/>
      <c r="AK188" s="261"/>
      <c r="AL188" s="261"/>
      <c r="AM188" s="261"/>
      <c r="AN188" s="261"/>
      <c r="AO188" s="261"/>
      <c r="AP188" s="261"/>
    </row>
    <row r="189" spans="1:42" ht="12.75" thickBot="1">
      <c r="A189" s="833">
        <f>+A187+1</f>
        <v>27</v>
      </c>
      <c r="B189" s="834" t="s">
        <v>752</v>
      </c>
      <c r="C189" s="835">
        <f>+SUMIF('13.mell_ÖNKfeladatok2020'!$B$5:$B$163,'14.mell_Önk kiegészítés2020'!$A189,'13.mell_ÖNKfeladatok2020'!Q$5:Q$163)</f>
        <v>0</v>
      </c>
      <c r="D189" s="835">
        <f>+SUMIF('13.mell_ÖNKfeladatok2020'!$B$5:$B$163,'14.mell_Önk kiegészítés2020'!$A189,'13.mell_ÖNKfeladatok2020'!U$5:U$163)</f>
        <v>0</v>
      </c>
      <c r="E189" s="835">
        <f>+SUMIF('13.mell_ÖNKfeladatok2020'!$B$5:$B$163,'14.mell_Önk kiegészítés2020'!$A189,'13.mell_ÖNKfeladatok2020'!Y$5:Y$163)</f>
        <v>0</v>
      </c>
      <c r="F189" s="835">
        <f>+SUMIF('13.mell_ÖNKfeladatok2020'!$B$5:$B$163,'14.mell_Önk kiegészítés2020'!$A189,'13.mell_ÖNKfeladatok2020'!AC$5:AC$163)</f>
        <v>0</v>
      </c>
      <c r="G189" s="835">
        <f>+SUMIF('13.mell_ÖNKfeladatok2020'!$B$5:$B$163,'14.mell_Önk kiegészítés2020'!$A189,'13.mell_ÖNKfeladatok2020'!AK$5:AK$163)</f>
        <v>0</v>
      </c>
      <c r="H189" s="835">
        <f>+SUMIF('13.mell_ÖNKfeladatok2020'!$B$5:$B$163,'14.mell_Önk kiegészítés2020'!$A189,'13.mell_ÖNKfeladatok2020'!AO$5:AO$163)</f>
        <v>0</v>
      </c>
      <c r="I189" s="835">
        <f>+SUMIF('13.mell_ÖNKfeladatok2020'!$B$5:$B$163,'14.mell_Önk kiegészítés2020'!$A189,'13.mell_ÖNKfeladatok2020'!AS$5:AS$163)</f>
        <v>0</v>
      </c>
      <c r="J189" s="836">
        <f>SUM(C189:I189)</f>
        <v>0</v>
      </c>
      <c r="K189" s="835">
        <f>+SUMIF('13.mell_ÖNKfeladatok2020'!$B$171:$B$329,'14.mell_Önk kiegészítés2020'!$A189,'13.mell_ÖNKfeladatok2020'!Q$171:Q$329)</f>
        <v>0</v>
      </c>
      <c r="L189" s="835">
        <f>+SUMIF('13.mell_ÖNKfeladatok2020'!$B$171:$B$329,'14.mell_Önk kiegészítés2020'!$A189,'13.mell_ÖNKfeladatok2020'!U$171:U$329)</f>
        <v>0</v>
      </c>
      <c r="M189" s="835">
        <f>+SUMIF('13.mell_ÖNKfeladatok2020'!$B$171:$B$329,'14.mell_Önk kiegészítés2020'!$A189,'13.mell_ÖNKfeladatok2020'!Y$171:Y$329)</f>
        <v>0</v>
      </c>
      <c r="N189" s="835">
        <f>+SUMIF('13.mell_ÖNKfeladatok2020'!$B$171:$B$329,'14.mell_Önk kiegészítés2020'!$A189,'13.mell_ÖNKfeladatok2020'!AC$171:AC$329)</f>
        <v>0</v>
      </c>
      <c r="O189" s="835">
        <f>+SUMIF('13.mell_ÖNKfeladatok2020'!$B$171:$B$329,'14.mell_Önk kiegészítés2020'!$A189,'13.mell_ÖNKfeladatok2020'!AG$171:AG$329)</f>
        <v>0</v>
      </c>
      <c r="P189" s="835">
        <f>+SUMIF('13.mell_ÖNKfeladatok2020'!$B$171:$B$329,'14.mell_Önk kiegészítés2020'!$A189,'13.mell_ÖNKfeladatok2020'!AO$171:AO$329)</f>
        <v>0</v>
      </c>
      <c r="Q189" s="835">
        <f>+SUMIF('13.mell_ÖNKfeladatok2020'!$B$171:$B$329,'14.mell_Önk kiegészítés2020'!$A189,'13.mell_ÖNKfeladatok2020'!AS$171:AS$329)</f>
        <v>0</v>
      </c>
      <c r="R189" s="835">
        <f>+SUMIF('13.mell_ÖNKfeladatok2020'!$B$171:$B$329,'14.mell_Önk kiegészítés2020'!$A189,'13.mell_ÖNKfeladatok2020'!AW$171:AW$329)</f>
        <v>0</v>
      </c>
      <c r="S189" s="836">
        <f>SUM(K189:R189)</f>
        <v>0</v>
      </c>
      <c r="T189" s="524">
        <f>S189-J189</f>
        <v>0</v>
      </c>
      <c r="U189" s="1050">
        <f>+ROUND(SUMIF('10.mell_támogatások2020'!$B$6:$B$137,'14.mell_Önk kiegészítés2020'!$A189,'10.mell_támogatások2020'!F$6:F$137)/1000,0)</f>
        <v>0</v>
      </c>
      <c r="V189" s="1028"/>
      <c r="W189" s="524">
        <f>+T189-U189-V189</f>
        <v>0</v>
      </c>
    </row>
    <row r="190" spans="1:42" s="507" customFormat="1" ht="12.75" thickBot="1">
      <c r="A190" s="479" t="s">
        <v>633</v>
      </c>
      <c r="B190" s="480" t="s">
        <v>752</v>
      </c>
      <c r="C190" s="831">
        <f>SUM(C189)</f>
        <v>0</v>
      </c>
      <c r="D190" s="831">
        <f t="shared" ref="D190:W190" si="79">SUM(D189)</f>
        <v>0</v>
      </c>
      <c r="E190" s="831">
        <f t="shared" si="79"/>
        <v>0</v>
      </c>
      <c r="F190" s="831">
        <f t="shared" si="79"/>
        <v>0</v>
      </c>
      <c r="G190" s="831">
        <f t="shared" si="79"/>
        <v>0</v>
      </c>
      <c r="H190" s="831">
        <f t="shared" si="79"/>
        <v>0</v>
      </c>
      <c r="I190" s="831">
        <f t="shared" si="79"/>
        <v>0</v>
      </c>
      <c r="J190" s="832">
        <f t="shared" si="79"/>
        <v>0</v>
      </c>
      <c r="K190" s="831">
        <f t="shared" si="79"/>
        <v>0</v>
      </c>
      <c r="L190" s="831">
        <f t="shared" si="79"/>
        <v>0</v>
      </c>
      <c r="M190" s="831">
        <f t="shared" si="79"/>
        <v>0</v>
      </c>
      <c r="N190" s="831">
        <f t="shared" si="79"/>
        <v>0</v>
      </c>
      <c r="O190" s="831">
        <f t="shared" si="79"/>
        <v>0</v>
      </c>
      <c r="P190" s="831">
        <f t="shared" si="79"/>
        <v>0</v>
      </c>
      <c r="Q190" s="831">
        <f t="shared" si="79"/>
        <v>0</v>
      </c>
      <c r="R190" s="831">
        <f t="shared" si="79"/>
        <v>0</v>
      </c>
      <c r="S190" s="832">
        <f t="shared" si="79"/>
        <v>0</v>
      </c>
      <c r="T190" s="832">
        <f t="shared" si="79"/>
        <v>0</v>
      </c>
      <c r="U190" s="1051">
        <f t="shared" si="79"/>
        <v>0</v>
      </c>
      <c r="V190" s="1029">
        <f t="shared" si="79"/>
        <v>0</v>
      </c>
      <c r="W190" s="832">
        <f t="shared" si="79"/>
        <v>0</v>
      </c>
      <c r="AB190" s="261"/>
      <c r="AC190" s="261"/>
      <c r="AD190" s="261"/>
      <c r="AE190" s="261"/>
      <c r="AF190" s="261"/>
      <c r="AG190" s="261"/>
      <c r="AH190" s="261"/>
      <c r="AI190" s="261"/>
      <c r="AJ190" s="261"/>
      <c r="AK190" s="261"/>
      <c r="AL190" s="261"/>
      <c r="AM190" s="261"/>
      <c r="AN190" s="261"/>
      <c r="AO190" s="261"/>
      <c r="AP190" s="261"/>
    </row>
    <row r="191" spans="1:42" ht="12.75" thickBot="1">
      <c r="A191" s="833">
        <f>+A189+1</f>
        <v>28</v>
      </c>
      <c r="B191" s="834" t="s">
        <v>767</v>
      </c>
      <c r="C191" s="835">
        <f>+SUMIF('13.mell_ÖNKfeladatok2020'!$B$5:$B$163,'14.mell_Önk kiegészítés2020'!$A191,'13.mell_ÖNKfeladatok2020'!Q$5:Q$163)</f>
        <v>0</v>
      </c>
      <c r="D191" s="835">
        <f>+SUMIF('13.mell_ÖNKfeladatok2020'!$B$5:$B$163,'14.mell_Önk kiegészítés2020'!$A191,'13.mell_ÖNKfeladatok2020'!U$5:U$163)</f>
        <v>0</v>
      </c>
      <c r="E191" s="835">
        <f>+SUMIF('13.mell_ÖNKfeladatok2020'!$B$5:$B$163,'14.mell_Önk kiegészítés2020'!$A191,'13.mell_ÖNKfeladatok2020'!Y$5:Y$163)</f>
        <v>0</v>
      </c>
      <c r="F191" s="835">
        <f>+SUMIF('13.mell_ÖNKfeladatok2020'!$B$5:$B$163,'14.mell_Önk kiegészítés2020'!$A191,'13.mell_ÖNKfeladatok2020'!AC$5:AC$163)</f>
        <v>0</v>
      </c>
      <c r="G191" s="835">
        <f>+SUMIF('13.mell_ÖNKfeladatok2020'!$B$5:$B$163,'14.mell_Önk kiegészítés2020'!$A191,'13.mell_ÖNKfeladatok2020'!AK$5:AK$163)</f>
        <v>0</v>
      </c>
      <c r="H191" s="835">
        <f>+SUMIF('13.mell_ÖNKfeladatok2020'!$B$5:$B$163,'14.mell_Önk kiegészítés2020'!$A191,'13.mell_ÖNKfeladatok2020'!AO$5:AO$163)</f>
        <v>0</v>
      </c>
      <c r="I191" s="835">
        <f>+SUMIF('13.mell_ÖNKfeladatok2020'!$B$5:$B$163,'14.mell_Önk kiegészítés2020'!$A191,'13.mell_ÖNKfeladatok2020'!AS$5:AS$163)</f>
        <v>0</v>
      </c>
      <c r="J191" s="836">
        <f>SUM(C191:I191)</f>
        <v>0</v>
      </c>
      <c r="K191" s="835">
        <f>+SUMIF('13.mell_ÖNKfeladatok2020'!$B$171:$B$329,'14.mell_Önk kiegészítés2020'!$A191,'13.mell_ÖNKfeladatok2020'!Q$171:Q$329)</f>
        <v>0</v>
      </c>
      <c r="L191" s="835">
        <f>+SUMIF('13.mell_ÖNKfeladatok2020'!$B$171:$B$329,'14.mell_Önk kiegészítés2020'!$A191,'13.mell_ÖNKfeladatok2020'!U$171:U$329)</f>
        <v>0</v>
      </c>
      <c r="M191" s="835">
        <f>+SUMIF('13.mell_ÖNKfeladatok2020'!$B$171:$B$329,'14.mell_Önk kiegészítés2020'!$A191,'13.mell_ÖNKfeladatok2020'!Y$171:Y$329)</f>
        <v>0</v>
      </c>
      <c r="N191" s="835">
        <f>+SUMIF('13.mell_ÖNKfeladatok2020'!$B$171:$B$329,'14.mell_Önk kiegészítés2020'!$A191,'13.mell_ÖNKfeladatok2020'!AC$171:AC$329)</f>
        <v>0</v>
      </c>
      <c r="O191" s="835">
        <f>+SUMIF('13.mell_ÖNKfeladatok2020'!$B$171:$B$329,'14.mell_Önk kiegészítés2020'!$A191,'13.mell_ÖNKfeladatok2020'!AG$171:AG$329)</f>
        <v>0</v>
      </c>
      <c r="P191" s="835">
        <f>+SUMIF('13.mell_ÖNKfeladatok2020'!$B$171:$B$329,'14.mell_Önk kiegészítés2020'!$A191,'13.mell_ÖNKfeladatok2020'!AO$171:AO$329)</f>
        <v>0</v>
      </c>
      <c r="Q191" s="835">
        <f>+SUMIF('13.mell_ÖNKfeladatok2020'!$B$171:$B$329,'14.mell_Önk kiegészítés2020'!$A191,'13.mell_ÖNKfeladatok2020'!AS$171:AS$329)</f>
        <v>0</v>
      </c>
      <c r="R191" s="835">
        <f>+SUMIF('13.mell_ÖNKfeladatok2020'!$B$171:$B$329,'14.mell_Önk kiegészítés2020'!$A191,'13.mell_ÖNKfeladatok2020'!AW$171:AW$329)</f>
        <v>0</v>
      </c>
      <c r="S191" s="836">
        <f>SUM(K191:R191)</f>
        <v>0</v>
      </c>
      <c r="T191" s="524">
        <f>S191-J191</f>
        <v>0</v>
      </c>
      <c r="U191" s="1050">
        <f>+ROUND(SUMIF('10.mell_támogatások2020'!$B$6:$B$137,'14.mell_Önk kiegészítés2020'!$A191,'10.mell_támogatások2020'!F$6:F$137)/1000,0)</f>
        <v>0</v>
      </c>
      <c r="V191" s="1028"/>
      <c r="W191" s="524">
        <f>+T191-U191-V191</f>
        <v>0</v>
      </c>
    </row>
    <row r="192" spans="1:42" s="507" customFormat="1" ht="12.75" thickBot="1">
      <c r="A192" s="479" t="s">
        <v>751</v>
      </c>
      <c r="B192" s="480" t="s">
        <v>767</v>
      </c>
      <c r="C192" s="831">
        <f>SUM(C191)</f>
        <v>0</v>
      </c>
      <c r="D192" s="831">
        <f t="shared" ref="D192:W192" si="80">SUM(D191)</f>
        <v>0</v>
      </c>
      <c r="E192" s="831">
        <f t="shared" si="80"/>
        <v>0</v>
      </c>
      <c r="F192" s="831">
        <f t="shared" si="80"/>
        <v>0</v>
      </c>
      <c r="G192" s="831">
        <f t="shared" si="80"/>
        <v>0</v>
      </c>
      <c r="H192" s="831">
        <f t="shared" si="80"/>
        <v>0</v>
      </c>
      <c r="I192" s="831">
        <f t="shared" si="80"/>
        <v>0</v>
      </c>
      <c r="J192" s="832">
        <f t="shared" si="80"/>
        <v>0</v>
      </c>
      <c r="K192" s="831">
        <f t="shared" si="80"/>
        <v>0</v>
      </c>
      <c r="L192" s="831">
        <f t="shared" si="80"/>
        <v>0</v>
      </c>
      <c r="M192" s="831">
        <f t="shared" si="80"/>
        <v>0</v>
      </c>
      <c r="N192" s="831">
        <f t="shared" si="80"/>
        <v>0</v>
      </c>
      <c r="O192" s="831">
        <f t="shared" si="80"/>
        <v>0</v>
      </c>
      <c r="P192" s="831">
        <f t="shared" si="80"/>
        <v>0</v>
      </c>
      <c r="Q192" s="831">
        <f t="shared" si="80"/>
        <v>0</v>
      </c>
      <c r="R192" s="831">
        <f t="shared" si="80"/>
        <v>0</v>
      </c>
      <c r="S192" s="832">
        <f t="shared" si="80"/>
        <v>0</v>
      </c>
      <c r="T192" s="832">
        <f t="shared" si="80"/>
        <v>0</v>
      </c>
      <c r="U192" s="1051">
        <f t="shared" si="80"/>
        <v>0</v>
      </c>
      <c r="V192" s="1029">
        <f t="shared" si="80"/>
        <v>0</v>
      </c>
      <c r="W192" s="832">
        <f t="shared" si="80"/>
        <v>0</v>
      </c>
      <c r="AB192" s="261"/>
      <c r="AC192" s="261"/>
      <c r="AD192" s="261"/>
      <c r="AE192" s="261"/>
      <c r="AF192" s="261"/>
      <c r="AG192" s="261"/>
      <c r="AH192" s="261"/>
      <c r="AI192" s="261"/>
      <c r="AJ192" s="261"/>
      <c r="AK192" s="261"/>
      <c r="AL192" s="261"/>
      <c r="AM192" s="261"/>
      <c r="AN192" s="261"/>
      <c r="AO192" s="261"/>
      <c r="AP192" s="261"/>
    </row>
    <row r="193" spans="1:42" s="507" customFormat="1" ht="12.75" thickBot="1">
      <c r="A193" s="473" t="s">
        <v>20</v>
      </c>
      <c r="B193" s="483" t="s">
        <v>422</v>
      </c>
      <c r="C193" s="530">
        <f>+C188+C190+C192</f>
        <v>3714</v>
      </c>
      <c r="D193" s="531">
        <f t="shared" ref="D193:W193" si="81">+D188+D190+D192</f>
        <v>0</v>
      </c>
      <c r="E193" s="531">
        <f t="shared" si="81"/>
        <v>1934</v>
      </c>
      <c r="F193" s="531">
        <f t="shared" si="81"/>
        <v>12</v>
      </c>
      <c r="G193" s="531">
        <f t="shared" si="81"/>
        <v>0</v>
      </c>
      <c r="H193" s="531">
        <f t="shared" si="81"/>
        <v>0</v>
      </c>
      <c r="I193" s="532">
        <f t="shared" si="81"/>
        <v>0</v>
      </c>
      <c r="J193" s="533">
        <f t="shared" si="81"/>
        <v>5660</v>
      </c>
      <c r="K193" s="530">
        <f t="shared" si="81"/>
        <v>23872</v>
      </c>
      <c r="L193" s="530">
        <f t="shared" si="81"/>
        <v>4384</v>
      </c>
      <c r="M193" s="530">
        <f t="shared" si="81"/>
        <v>11357</v>
      </c>
      <c r="N193" s="530">
        <f t="shared" si="81"/>
        <v>0</v>
      </c>
      <c r="O193" s="530">
        <f t="shared" si="81"/>
        <v>332</v>
      </c>
      <c r="P193" s="530">
        <f t="shared" si="81"/>
        <v>300</v>
      </c>
      <c r="Q193" s="530">
        <f t="shared" si="81"/>
        <v>0</v>
      </c>
      <c r="R193" s="530">
        <f t="shared" si="81"/>
        <v>0</v>
      </c>
      <c r="S193" s="533">
        <f t="shared" si="81"/>
        <v>40245</v>
      </c>
      <c r="T193" s="533">
        <f t="shared" si="81"/>
        <v>34585</v>
      </c>
      <c r="U193" s="1046">
        <f t="shared" si="81"/>
        <v>26951</v>
      </c>
      <c r="V193" s="532">
        <f t="shared" si="81"/>
        <v>53</v>
      </c>
      <c r="W193" s="533">
        <f t="shared" si="81"/>
        <v>7581</v>
      </c>
      <c r="Y193" s="507">
        <f>+'13.mell_ÖNKfeladatok2020'!$H$140-J193</f>
        <v>23</v>
      </c>
      <c r="Z193" s="507">
        <f>+'13.mell_ÖNKfeladatok2020'!$H$306-S193</f>
        <v>3500</v>
      </c>
      <c r="AB193" s="261"/>
      <c r="AC193" s="261"/>
      <c r="AD193" s="261"/>
      <c r="AE193" s="261"/>
      <c r="AF193" s="261"/>
      <c r="AG193" s="261"/>
      <c r="AH193" s="261"/>
      <c r="AI193" s="261"/>
      <c r="AJ193" s="261"/>
      <c r="AK193" s="261"/>
      <c r="AL193" s="261"/>
      <c r="AM193" s="261"/>
      <c r="AN193" s="261"/>
      <c r="AO193" s="261"/>
      <c r="AP193" s="261"/>
    </row>
    <row r="194" spans="1:42" s="194" customFormat="1" ht="12.75" thickBot="1">
      <c r="A194" s="494"/>
      <c r="B194" s="545"/>
      <c r="C194" s="534"/>
      <c r="D194" s="535"/>
      <c r="E194" s="535"/>
      <c r="F194" s="535"/>
      <c r="G194" s="535"/>
      <c r="H194" s="535"/>
      <c r="I194" s="536"/>
      <c r="J194" s="537"/>
      <c r="K194" s="546"/>
      <c r="L194" s="546"/>
      <c r="M194" s="546"/>
      <c r="N194" s="546"/>
      <c r="O194" s="546"/>
      <c r="P194" s="546"/>
      <c r="Q194" s="546"/>
      <c r="R194" s="546"/>
      <c r="S194" s="544"/>
      <c r="T194" s="544"/>
      <c r="U194" s="1052"/>
      <c r="V194" s="1030"/>
      <c r="W194" s="544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</row>
    <row r="195" spans="1:42" ht="12.75" thickBot="1">
      <c r="A195" s="783">
        <f>+A191+1</f>
        <v>29</v>
      </c>
      <c r="B195" s="695" t="s">
        <v>856</v>
      </c>
      <c r="C195" s="826">
        <f>+SUMIF('13.mell_ÖNKfeladatok2020'!$B$5:$B$163,'14.mell_Önk kiegészítés2020'!$A195,'13.mell_ÖNKfeladatok2020'!Q$5:Q$163)</f>
        <v>0</v>
      </c>
      <c r="D195" s="826">
        <f>+SUMIF('13.mell_ÖNKfeladatok2020'!$B$5:$B$163,'14.mell_Önk kiegészítés2020'!$A195,'13.mell_ÖNKfeladatok2020'!U$5:U$163)</f>
        <v>0</v>
      </c>
      <c r="E195" s="826">
        <f>+SUMIF('13.mell_ÖNKfeladatok2020'!$B$5:$B$163,'14.mell_Önk kiegészítés2020'!$A195,'13.mell_ÖNKfeladatok2020'!Y$5:Y$163)</f>
        <v>0</v>
      </c>
      <c r="F195" s="826">
        <f>+SUMIF('13.mell_ÖNKfeladatok2020'!$B$5:$B$163,'14.mell_Önk kiegészítés2020'!$A195,'13.mell_ÖNKfeladatok2020'!AC$5:AC$163)</f>
        <v>0</v>
      </c>
      <c r="G195" s="826">
        <f>+SUMIF('13.mell_ÖNKfeladatok2020'!$B$5:$B$163,'14.mell_Önk kiegészítés2020'!$A195,'13.mell_ÖNKfeladatok2020'!AK$5:AK$163)</f>
        <v>0</v>
      </c>
      <c r="H195" s="826">
        <f>+SUMIF('13.mell_ÖNKfeladatok2020'!$B$5:$B$163,'14.mell_Önk kiegészítés2020'!$A195,'13.mell_ÖNKfeladatok2020'!AO$5:AO$163)</f>
        <v>0</v>
      </c>
      <c r="I195" s="826">
        <f>+SUMIF('13.mell_ÖNKfeladatok2020'!$B$5:$B$163,'14.mell_Önk kiegészítés2020'!$A195,'13.mell_ÖNKfeladatok2020'!AS$5:AS$163)</f>
        <v>0</v>
      </c>
      <c r="J195" s="696">
        <f>SUM(C195:I195)</f>
        <v>0</v>
      </c>
      <c r="K195" s="826">
        <f>+SUMIF('13.mell_ÖNKfeladatok2020'!$B$171:$B$329,'14.mell_Önk kiegészítés2020'!$A195,'13.mell_ÖNKfeladatok2020'!Q$171:Q$329)</f>
        <v>0</v>
      </c>
      <c r="L195" s="826">
        <f>+SUMIF('13.mell_ÖNKfeladatok2020'!$B$171:$B$329,'14.mell_Önk kiegészítés2020'!$A195,'13.mell_ÖNKfeladatok2020'!U$171:U$329)</f>
        <v>0</v>
      </c>
      <c r="M195" s="826">
        <f>+SUMIF('13.mell_ÖNKfeladatok2020'!$B$171:$B$329,'14.mell_Önk kiegészítés2020'!$A195,'13.mell_ÖNKfeladatok2020'!Y$171:Y$329)</f>
        <v>0</v>
      </c>
      <c r="N195" s="826">
        <f>+SUMIF('13.mell_ÖNKfeladatok2020'!$B$171:$B$329,'14.mell_Önk kiegészítés2020'!$A195,'13.mell_ÖNKfeladatok2020'!AC$171:AC$329)</f>
        <v>0</v>
      </c>
      <c r="O195" s="826">
        <f>+SUMIF('13.mell_ÖNKfeladatok2020'!$B$171:$B$329,'14.mell_Önk kiegészítés2020'!$A195,'13.mell_ÖNKfeladatok2020'!AG$171:AG$329)</f>
        <v>0</v>
      </c>
      <c r="P195" s="826">
        <f>+SUMIF('13.mell_ÖNKfeladatok2020'!$B$171:$B$329,'14.mell_Önk kiegészítés2020'!$A195,'13.mell_ÖNKfeladatok2020'!AO$171:AO$329)</f>
        <v>0</v>
      </c>
      <c r="Q195" s="826">
        <f>+SUMIF('13.mell_ÖNKfeladatok2020'!$B$171:$B$329,'14.mell_Önk kiegészítés2020'!$A195,'13.mell_ÖNKfeladatok2020'!AS$171:AS$329)</f>
        <v>0</v>
      </c>
      <c r="R195" s="826">
        <f>+SUMIF('13.mell_ÖNKfeladatok2020'!$B$171:$B$329,'14.mell_Önk kiegészítés2020'!$A195,'13.mell_ÖNKfeladatok2020'!AW$171:AW$329)</f>
        <v>0</v>
      </c>
      <c r="S195" s="696">
        <f>SUM(K195:R195)</f>
        <v>0</v>
      </c>
      <c r="T195" s="697">
        <f>S195-J195</f>
        <v>0</v>
      </c>
      <c r="U195" s="1047">
        <f>+ROUND(SUMIF('10.mell_támogatások2020'!$B$6:$B$137,'14.mell_Önk kiegészítés2020'!$A195,'10.mell_támogatások2020'!F$6:F$137)/1000,0)</f>
        <v>0</v>
      </c>
      <c r="V195" s="1025"/>
      <c r="W195" s="697">
        <f>+T195-U195-V195</f>
        <v>0</v>
      </c>
    </row>
    <row r="196" spans="1:42" s="507" customFormat="1" ht="12.75" thickBot="1">
      <c r="A196" s="343" t="s">
        <v>881</v>
      </c>
      <c r="B196" s="471" t="s">
        <v>856</v>
      </c>
      <c r="C196" s="521">
        <f>SUM(C195)</f>
        <v>0</v>
      </c>
      <c r="D196" s="521">
        <f t="shared" ref="D196:W196" si="82">SUM(D195)</f>
        <v>0</v>
      </c>
      <c r="E196" s="521">
        <f t="shared" si="82"/>
        <v>0</v>
      </c>
      <c r="F196" s="521">
        <f t="shared" si="82"/>
        <v>0</v>
      </c>
      <c r="G196" s="521">
        <f t="shared" si="82"/>
        <v>0</v>
      </c>
      <c r="H196" s="521">
        <f t="shared" si="82"/>
        <v>0</v>
      </c>
      <c r="I196" s="521">
        <f t="shared" si="82"/>
        <v>0</v>
      </c>
      <c r="J196" s="524">
        <f t="shared" si="82"/>
        <v>0</v>
      </c>
      <c r="K196" s="521">
        <f t="shared" si="82"/>
        <v>0</v>
      </c>
      <c r="L196" s="521">
        <f t="shared" si="82"/>
        <v>0</v>
      </c>
      <c r="M196" s="521">
        <f t="shared" si="82"/>
        <v>0</v>
      </c>
      <c r="N196" s="521">
        <f t="shared" si="82"/>
        <v>0</v>
      </c>
      <c r="O196" s="521">
        <f t="shared" si="82"/>
        <v>0</v>
      </c>
      <c r="P196" s="521">
        <f t="shared" si="82"/>
        <v>0</v>
      </c>
      <c r="Q196" s="521">
        <f t="shared" si="82"/>
        <v>0</v>
      </c>
      <c r="R196" s="521">
        <f t="shared" si="82"/>
        <v>0</v>
      </c>
      <c r="S196" s="524">
        <f t="shared" si="82"/>
        <v>0</v>
      </c>
      <c r="T196" s="524">
        <f t="shared" si="82"/>
        <v>0</v>
      </c>
      <c r="U196" s="1044">
        <f t="shared" si="82"/>
        <v>0</v>
      </c>
      <c r="V196" s="525">
        <f t="shared" si="82"/>
        <v>0</v>
      </c>
      <c r="W196" s="524">
        <f t="shared" si="82"/>
        <v>0</v>
      </c>
      <c r="AB196" s="261"/>
      <c r="AC196" s="261"/>
      <c r="AD196" s="261"/>
      <c r="AE196" s="261"/>
      <c r="AF196" s="261"/>
      <c r="AG196" s="261"/>
      <c r="AH196" s="261"/>
      <c r="AI196" s="261"/>
      <c r="AJ196" s="261"/>
      <c r="AK196" s="261"/>
      <c r="AL196" s="261"/>
      <c r="AM196" s="261"/>
      <c r="AN196" s="261"/>
      <c r="AO196" s="261"/>
      <c r="AP196" s="261"/>
    </row>
    <row r="197" spans="1:42" ht="12.75" thickBot="1">
      <c r="A197" s="833">
        <f>+A195+1</f>
        <v>30</v>
      </c>
      <c r="B197" s="834" t="s">
        <v>1071</v>
      </c>
      <c r="C197" s="835">
        <f>+SUMIF('13.mell_ÖNKfeladatok2020'!$B$5:$B$163,'14.mell_Önk kiegészítés2020'!$A197,'13.mell_ÖNKfeladatok2020'!Q$5:Q$163)</f>
        <v>0</v>
      </c>
      <c r="D197" s="835">
        <f>+SUMIF('13.mell_ÖNKfeladatok2020'!$B$5:$B$163,'14.mell_Önk kiegészítés2020'!$A197,'13.mell_ÖNKfeladatok2020'!U$5:U$163)</f>
        <v>0</v>
      </c>
      <c r="E197" s="835">
        <f>+SUMIF('13.mell_ÖNKfeladatok2020'!$B$5:$B$163,'14.mell_Önk kiegészítés2020'!$A197,'13.mell_ÖNKfeladatok2020'!Y$5:Y$163)</f>
        <v>0</v>
      </c>
      <c r="F197" s="835">
        <f>+SUMIF('13.mell_ÖNKfeladatok2020'!$B$5:$B$163,'14.mell_Önk kiegészítés2020'!$A197,'13.mell_ÖNKfeladatok2020'!AC$5:AC$163)</f>
        <v>0</v>
      </c>
      <c r="G197" s="835">
        <f>+SUMIF('13.mell_ÖNKfeladatok2020'!$B$5:$B$163,'14.mell_Önk kiegészítés2020'!$A197,'13.mell_ÖNKfeladatok2020'!AK$5:AK$163)</f>
        <v>0</v>
      </c>
      <c r="H197" s="835">
        <f>+SUMIF('13.mell_ÖNKfeladatok2020'!$B$5:$B$163,'14.mell_Önk kiegészítés2020'!$A197,'13.mell_ÖNKfeladatok2020'!AO$5:AO$163)</f>
        <v>0</v>
      </c>
      <c r="I197" s="835">
        <f>+SUMIF('13.mell_ÖNKfeladatok2020'!$B$5:$B$163,'14.mell_Önk kiegészítés2020'!$A197,'13.mell_ÖNKfeladatok2020'!AS$5:AS$163)</f>
        <v>0</v>
      </c>
      <c r="J197" s="836">
        <f>SUM(C197:I197)</f>
        <v>0</v>
      </c>
      <c r="K197" s="835">
        <f>+SUMIF('13.mell_ÖNKfeladatok2020'!$B$171:$B$329,'14.mell_Önk kiegészítés2020'!$A197,'13.mell_ÖNKfeladatok2020'!Q$171:Q$329)</f>
        <v>7666</v>
      </c>
      <c r="L197" s="835">
        <f>+SUMIF('13.mell_ÖNKfeladatok2020'!$B$171:$B$329,'14.mell_Önk kiegészítés2020'!$A197,'13.mell_ÖNKfeladatok2020'!U$171:U$329)</f>
        <v>1324</v>
      </c>
      <c r="M197" s="835">
        <f>+SUMIF('13.mell_ÖNKfeladatok2020'!$B$171:$B$329,'14.mell_Önk kiegészítés2020'!$A197,'13.mell_ÖNKfeladatok2020'!Y$171:Y$329)</f>
        <v>1654</v>
      </c>
      <c r="N197" s="835">
        <f>+SUMIF('13.mell_ÖNKfeladatok2020'!$B$171:$B$329,'14.mell_Önk kiegészítés2020'!$A197,'13.mell_ÖNKfeladatok2020'!AC$171:AC$329)</f>
        <v>0</v>
      </c>
      <c r="O197" s="835">
        <f>+SUMIF('13.mell_ÖNKfeladatok2020'!$B$171:$B$329,'14.mell_Önk kiegészítés2020'!$A197,'13.mell_ÖNKfeladatok2020'!AG$171:AG$329)</f>
        <v>25</v>
      </c>
      <c r="P197" s="835">
        <f>+SUMIF('13.mell_ÖNKfeladatok2020'!$B$171:$B$329,'14.mell_Önk kiegészítés2020'!$A197,'13.mell_ÖNKfeladatok2020'!AO$171:AO$329)</f>
        <v>0</v>
      </c>
      <c r="Q197" s="835">
        <f>+SUMIF('13.mell_ÖNKfeladatok2020'!$B$171:$B$329,'14.mell_Önk kiegészítés2020'!$A197,'13.mell_ÖNKfeladatok2020'!AS$171:AS$329)</f>
        <v>0</v>
      </c>
      <c r="R197" s="835">
        <f>+SUMIF('13.mell_ÖNKfeladatok2020'!$B$171:$B$329,'14.mell_Önk kiegészítés2020'!$A197,'13.mell_ÖNKfeladatok2020'!AW$171:AW$329)</f>
        <v>0</v>
      </c>
      <c r="S197" s="836">
        <f>SUM(K197:R197)</f>
        <v>10669</v>
      </c>
      <c r="T197" s="524">
        <f>S197-J197</f>
        <v>10669</v>
      </c>
      <c r="U197" s="1050">
        <f>+ROUND(SUMIF('10.mell_támogatások2020'!$B$6:$B$137,'14.mell_Önk kiegészítés2020'!$A197,'10.mell_támogatások2020'!F$6:F$137)/1000,0)</f>
        <v>0</v>
      </c>
      <c r="V197" s="1028"/>
      <c r="W197" s="524">
        <f>+T197-U197-V197</f>
        <v>10669</v>
      </c>
    </row>
    <row r="198" spans="1:42" s="507" customFormat="1" ht="12.75" thickBot="1">
      <c r="A198" s="479" t="s">
        <v>882</v>
      </c>
      <c r="B198" s="480" t="s">
        <v>857</v>
      </c>
      <c r="C198" s="521">
        <f>SUM(C197)</f>
        <v>0</v>
      </c>
      <c r="D198" s="521">
        <f t="shared" ref="D198:W198" si="83">SUM(D197)</f>
        <v>0</v>
      </c>
      <c r="E198" s="521">
        <f t="shared" si="83"/>
        <v>0</v>
      </c>
      <c r="F198" s="521">
        <f t="shared" si="83"/>
        <v>0</v>
      </c>
      <c r="G198" s="521">
        <f t="shared" si="83"/>
        <v>0</v>
      </c>
      <c r="H198" s="521">
        <f t="shared" si="83"/>
        <v>0</v>
      </c>
      <c r="I198" s="521">
        <f t="shared" si="83"/>
        <v>0</v>
      </c>
      <c r="J198" s="524">
        <f t="shared" si="83"/>
        <v>0</v>
      </c>
      <c r="K198" s="521">
        <f t="shared" si="83"/>
        <v>7666</v>
      </c>
      <c r="L198" s="521">
        <f t="shared" si="83"/>
        <v>1324</v>
      </c>
      <c r="M198" s="521">
        <f t="shared" si="83"/>
        <v>1654</v>
      </c>
      <c r="N198" s="521">
        <f t="shared" si="83"/>
        <v>0</v>
      </c>
      <c r="O198" s="521">
        <f t="shared" si="83"/>
        <v>25</v>
      </c>
      <c r="P198" s="521">
        <f t="shared" si="83"/>
        <v>0</v>
      </c>
      <c r="Q198" s="521">
        <f t="shared" si="83"/>
        <v>0</v>
      </c>
      <c r="R198" s="521">
        <f t="shared" si="83"/>
        <v>0</v>
      </c>
      <c r="S198" s="524">
        <f t="shared" si="83"/>
        <v>10669</v>
      </c>
      <c r="T198" s="524">
        <f t="shared" si="83"/>
        <v>10669</v>
      </c>
      <c r="U198" s="1044">
        <f t="shared" si="83"/>
        <v>0</v>
      </c>
      <c r="V198" s="525">
        <f t="shared" si="83"/>
        <v>0</v>
      </c>
      <c r="W198" s="524">
        <f t="shared" si="83"/>
        <v>10669</v>
      </c>
      <c r="AB198" s="261"/>
      <c r="AC198" s="261"/>
      <c r="AD198" s="261"/>
      <c r="AE198" s="261"/>
      <c r="AF198" s="261"/>
      <c r="AG198" s="261"/>
      <c r="AH198" s="261"/>
      <c r="AI198" s="261"/>
      <c r="AJ198" s="261"/>
      <c r="AK198" s="261"/>
      <c r="AL198" s="261"/>
      <c r="AM198" s="261"/>
      <c r="AN198" s="261"/>
      <c r="AO198" s="261"/>
      <c r="AP198" s="261"/>
    </row>
    <row r="199" spans="1:42" ht="12.75" thickBot="1">
      <c r="A199" s="833">
        <f>+A197+1</f>
        <v>31</v>
      </c>
      <c r="B199" s="834" t="s">
        <v>884</v>
      </c>
      <c r="C199" s="835">
        <f>+SUMIF('13.mell_ÖNKfeladatok2020'!$B$5:$B$163,'14.mell_Önk kiegészítés2020'!$A199,'13.mell_ÖNKfeladatok2020'!Q$5:Q$163)</f>
        <v>0</v>
      </c>
      <c r="D199" s="835">
        <f>+SUMIF('13.mell_ÖNKfeladatok2020'!$B$5:$B$163,'14.mell_Önk kiegészítés2020'!$A199,'13.mell_ÖNKfeladatok2020'!U$5:U$163)</f>
        <v>0</v>
      </c>
      <c r="E199" s="835">
        <f>+SUMIF('13.mell_ÖNKfeladatok2020'!$B$5:$B$163,'14.mell_Önk kiegészítés2020'!$A199,'13.mell_ÖNKfeladatok2020'!Y$5:Y$163)</f>
        <v>0</v>
      </c>
      <c r="F199" s="835">
        <f>+SUMIF('13.mell_ÖNKfeladatok2020'!$B$5:$B$163,'14.mell_Önk kiegészítés2020'!$A199,'13.mell_ÖNKfeladatok2020'!AC$5:AC$163)</f>
        <v>0</v>
      </c>
      <c r="G199" s="835">
        <f>+SUMIF('13.mell_ÖNKfeladatok2020'!$B$5:$B$163,'14.mell_Önk kiegészítés2020'!$A199,'13.mell_ÖNKfeladatok2020'!AK$5:AK$163)</f>
        <v>0</v>
      </c>
      <c r="H199" s="835">
        <f>+SUMIF('13.mell_ÖNKfeladatok2020'!$B$5:$B$163,'14.mell_Önk kiegészítés2020'!$A199,'13.mell_ÖNKfeladatok2020'!AO$5:AO$163)</f>
        <v>0</v>
      </c>
      <c r="I199" s="835">
        <f>+SUMIF('13.mell_ÖNKfeladatok2020'!$B$5:$B$163,'14.mell_Önk kiegészítés2020'!$A199,'13.mell_ÖNKfeladatok2020'!AS$5:AS$163)</f>
        <v>0</v>
      </c>
      <c r="J199" s="836">
        <f>SUM(C199:I199)</f>
        <v>0</v>
      </c>
      <c r="K199" s="835">
        <f>+SUMIF('13.mell_ÖNKfeladatok2020'!$B$171:$B$329,'14.mell_Önk kiegészítés2020'!$A199,'13.mell_ÖNKfeladatok2020'!Q$171:Q$329)</f>
        <v>0</v>
      </c>
      <c r="L199" s="835">
        <f>+SUMIF('13.mell_ÖNKfeladatok2020'!$B$171:$B$329,'14.mell_Önk kiegészítés2020'!$A199,'13.mell_ÖNKfeladatok2020'!U$171:U$329)</f>
        <v>0</v>
      </c>
      <c r="M199" s="835">
        <f>+SUMIF('13.mell_ÖNKfeladatok2020'!$B$171:$B$329,'14.mell_Önk kiegészítés2020'!$A199,'13.mell_ÖNKfeladatok2020'!Y$171:Y$329)</f>
        <v>0</v>
      </c>
      <c r="N199" s="835">
        <f>+SUMIF('13.mell_ÖNKfeladatok2020'!$B$171:$B$329,'14.mell_Önk kiegészítés2020'!$A199,'13.mell_ÖNKfeladatok2020'!AC$171:AC$329)</f>
        <v>0</v>
      </c>
      <c r="O199" s="835">
        <f>+SUMIF('13.mell_ÖNKfeladatok2020'!$B$171:$B$329,'14.mell_Önk kiegészítés2020'!$A199,'13.mell_ÖNKfeladatok2020'!AG$171:AG$329)</f>
        <v>0</v>
      </c>
      <c r="P199" s="835">
        <f>+SUMIF('13.mell_ÖNKfeladatok2020'!$B$171:$B$329,'14.mell_Önk kiegészítés2020'!$A199,'13.mell_ÖNKfeladatok2020'!AO$171:AO$329)</f>
        <v>0</v>
      </c>
      <c r="Q199" s="835">
        <f>+SUMIF('13.mell_ÖNKfeladatok2020'!$B$171:$B$329,'14.mell_Önk kiegészítés2020'!$A199,'13.mell_ÖNKfeladatok2020'!AS$171:AS$329)</f>
        <v>0</v>
      </c>
      <c r="R199" s="835">
        <f>+SUMIF('13.mell_ÖNKfeladatok2020'!$B$171:$B$329,'14.mell_Önk kiegészítés2020'!$A199,'13.mell_ÖNKfeladatok2020'!AW$171:AW$329)</f>
        <v>0</v>
      </c>
      <c r="S199" s="836">
        <f>SUM(K199:R199)</f>
        <v>0</v>
      </c>
      <c r="T199" s="524">
        <f>S199-J199</f>
        <v>0</v>
      </c>
      <c r="U199" s="1050">
        <f>+ROUND(SUMIF('10.mell_támogatások2020'!$B$6:$B$137,'14.mell_Önk kiegészítés2020'!$A199,'10.mell_támogatások2020'!F$6:F$137)/1000,0)</f>
        <v>0</v>
      </c>
      <c r="V199" s="1028"/>
      <c r="W199" s="524">
        <f>+T199-U199-V199</f>
        <v>0</v>
      </c>
    </row>
    <row r="200" spans="1:42" s="507" customFormat="1" ht="12.75" thickBot="1">
      <c r="A200" s="479" t="s">
        <v>883</v>
      </c>
      <c r="B200" s="480" t="s">
        <v>884</v>
      </c>
      <c r="C200" s="521">
        <f>SUM(C199)</f>
        <v>0</v>
      </c>
      <c r="D200" s="521">
        <f t="shared" ref="D200:W200" si="84">SUM(D199)</f>
        <v>0</v>
      </c>
      <c r="E200" s="521">
        <f t="shared" si="84"/>
        <v>0</v>
      </c>
      <c r="F200" s="521">
        <f t="shared" si="84"/>
        <v>0</v>
      </c>
      <c r="G200" s="521">
        <f t="shared" si="84"/>
        <v>0</v>
      </c>
      <c r="H200" s="521">
        <f t="shared" si="84"/>
        <v>0</v>
      </c>
      <c r="I200" s="521">
        <f t="shared" si="84"/>
        <v>0</v>
      </c>
      <c r="J200" s="524">
        <f t="shared" si="84"/>
        <v>0</v>
      </c>
      <c r="K200" s="521">
        <f t="shared" si="84"/>
        <v>0</v>
      </c>
      <c r="L200" s="521">
        <f t="shared" si="84"/>
        <v>0</v>
      </c>
      <c r="M200" s="521">
        <f t="shared" si="84"/>
        <v>0</v>
      </c>
      <c r="N200" s="521">
        <f t="shared" si="84"/>
        <v>0</v>
      </c>
      <c r="O200" s="521">
        <f t="shared" si="84"/>
        <v>0</v>
      </c>
      <c r="P200" s="521">
        <f t="shared" si="84"/>
        <v>0</v>
      </c>
      <c r="Q200" s="521">
        <f t="shared" si="84"/>
        <v>0</v>
      </c>
      <c r="R200" s="521">
        <f t="shared" si="84"/>
        <v>0</v>
      </c>
      <c r="S200" s="524">
        <f t="shared" si="84"/>
        <v>0</v>
      </c>
      <c r="T200" s="524">
        <f t="shared" si="84"/>
        <v>0</v>
      </c>
      <c r="U200" s="1044">
        <f t="shared" si="84"/>
        <v>0</v>
      </c>
      <c r="V200" s="525">
        <f t="shared" si="84"/>
        <v>0</v>
      </c>
      <c r="W200" s="524">
        <f t="shared" si="84"/>
        <v>0</v>
      </c>
      <c r="AB200" s="261"/>
      <c r="AC200" s="261"/>
      <c r="AD200" s="261"/>
      <c r="AE200" s="261"/>
      <c r="AF200" s="261"/>
      <c r="AG200" s="261"/>
      <c r="AH200" s="261"/>
      <c r="AI200" s="261"/>
      <c r="AJ200" s="261"/>
      <c r="AK200" s="261"/>
      <c r="AL200" s="261"/>
      <c r="AM200" s="261"/>
      <c r="AN200" s="261"/>
      <c r="AO200" s="261"/>
      <c r="AP200" s="261"/>
    </row>
    <row r="201" spans="1:42" s="507" customFormat="1" ht="12.75" thickBot="1">
      <c r="A201" s="473" t="s">
        <v>552</v>
      </c>
      <c r="B201" s="483" t="s">
        <v>858</v>
      </c>
      <c r="C201" s="530">
        <f>+C196+C198+C200</f>
        <v>0</v>
      </c>
      <c r="D201" s="530">
        <f t="shared" ref="D201:W201" si="85">+D196+D198+D200</f>
        <v>0</v>
      </c>
      <c r="E201" s="530">
        <f t="shared" si="85"/>
        <v>0</v>
      </c>
      <c r="F201" s="530">
        <f t="shared" si="85"/>
        <v>0</v>
      </c>
      <c r="G201" s="530">
        <f t="shared" si="85"/>
        <v>0</v>
      </c>
      <c r="H201" s="530">
        <f t="shared" si="85"/>
        <v>0</v>
      </c>
      <c r="I201" s="530">
        <f t="shared" si="85"/>
        <v>0</v>
      </c>
      <c r="J201" s="533">
        <f t="shared" si="85"/>
        <v>0</v>
      </c>
      <c r="K201" s="530">
        <f t="shared" si="85"/>
        <v>7666</v>
      </c>
      <c r="L201" s="530">
        <f t="shared" si="85"/>
        <v>1324</v>
      </c>
      <c r="M201" s="530">
        <f t="shared" si="85"/>
        <v>1654</v>
      </c>
      <c r="N201" s="530">
        <f t="shared" si="85"/>
        <v>0</v>
      </c>
      <c r="O201" s="530">
        <f t="shared" si="85"/>
        <v>25</v>
      </c>
      <c r="P201" s="530">
        <f t="shared" si="85"/>
        <v>0</v>
      </c>
      <c r="Q201" s="530">
        <f t="shared" si="85"/>
        <v>0</v>
      </c>
      <c r="R201" s="530">
        <f t="shared" si="85"/>
        <v>0</v>
      </c>
      <c r="S201" s="533">
        <f t="shared" si="85"/>
        <v>10669</v>
      </c>
      <c r="T201" s="533">
        <f t="shared" si="85"/>
        <v>10669</v>
      </c>
      <c r="U201" s="1046">
        <f t="shared" si="85"/>
        <v>0</v>
      </c>
      <c r="V201" s="532">
        <f t="shared" si="85"/>
        <v>0</v>
      </c>
      <c r="W201" s="533">
        <f t="shared" si="85"/>
        <v>10669</v>
      </c>
      <c r="Y201" s="507">
        <f>+'13.mell_ÖNKfeladatok2020'!$H$149-J201</f>
        <v>0</v>
      </c>
      <c r="Z201" s="507">
        <f>+'13.mell_ÖNKfeladatok2020'!$H$315-S201</f>
        <v>0</v>
      </c>
      <c r="AB201" s="261"/>
      <c r="AC201" s="261"/>
      <c r="AD201" s="261"/>
      <c r="AE201" s="261"/>
      <c r="AF201" s="261"/>
      <c r="AG201" s="261"/>
      <c r="AH201" s="261"/>
      <c r="AI201" s="261"/>
      <c r="AJ201" s="261"/>
      <c r="AK201" s="261"/>
      <c r="AL201" s="261"/>
      <c r="AM201" s="261"/>
      <c r="AN201" s="261"/>
      <c r="AO201" s="261"/>
      <c r="AP201" s="261"/>
    </row>
    <row r="202" spans="1:42" s="194" customFormat="1" ht="12.75" thickBot="1">
      <c r="A202" s="494"/>
      <c r="B202" s="545"/>
      <c r="C202" s="534"/>
      <c r="D202" s="535"/>
      <c r="E202" s="535"/>
      <c r="F202" s="535"/>
      <c r="G202" s="535"/>
      <c r="H202" s="535"/>
      <c r="I202" s="536"/>
      <c r="J202" s="537"/>
      <c r="K202" s="546"/>
      <c r="L202" s="546"/>
      <c r="M202" s="546"/>
      <c r="N202" s="546"/>
      <c r="O202" s="546"/>
      <c r="P202" s="546"/>
      <c r="Q202" s="546"/>
      <c r="R202" s="546"/>
      <c r="S202" s="544"/>
      <c r="T202" s="544"/>
      <c r="U202" s="1052"/>
      <c r="V202" s="1030"/>
      <c r="W202" s="544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</row>
    <row r="203" spans="1:42" ht="12.75" thickBot="1">
      <c r="A203" s="783">
        <f>+A199+1</f>
        <v>32</v>
      </c>
      <c r="B203" s="695" t="s">
        <v>1148</v>
      </c>
      <c r="C203" s="826">
        <f>+SUMIF('13.mell_ÖNKfeladatok2020'!$B$5:$B$163,'14.mell_Önk kiegészítés2020'!$A203,'13.mell_ÖNKfeladatok2020'!Q$5:Q$163)</f>
        <v>0</v>
      </c>
      <c r="D203" s="826">
        <f>+SUMIF('13.mell_ÖNKfeladatok2020'!$B$5:$B$163,'14.mell_Önk kiegészítés2020'!$A203,'13.mell_ÖNKfeladatok2020'!U$5:U$163)</f>
        <v>0</v>
      </c>
      <c r="E203" s="826">
        <f>+SUMIF('13.mell_ÖNKfeladatok2020'!$B$5:$B$163,'14.mell_Önk kiegészítés2020'!$A203,'13.mell_ÖNKfeladatok2020'!Y$5:Y$163)</f>
        <v>2</v>
      </c>
      <c r="F203" s="826">
        <f>+SUMIF('13.mell_ÖNKfeladatok2020'!$B$5:$B$163,'14.mell_Önk kiegészítés2020'!$A203,'13.mell_ÖNKfeladatok2020'!AC$5:AC$163)</f>
        <v>0</v>
      </c>
      <c r="G203" s="826">
        <f>+SUMIF('13.mell_ÖNKfeladatok2020'!$B$5:$B$163,'14.mell_Önk kiegészítés2020'!$A203,'13.mell_ÖNKfeladatok2020'!AK$5:AK$163)</f>
        <v>0</v>
      </c>
      <c r="H203" s="826">
        <f>+SUMIF('13.mell_ÖNKfeladatok2020'!$B$5:$B$163,'14.mell_Önk kiegészítés2020'!$A203,'13.mell_ÖNKfeladatok2020'!AO$5:AO$163)</f>
        <v>0</v>
      </c>
      <c r="I203" s="826">
        <f>+SUMIF('13.mell_ÖNKfeladatok2020'!$B$5:$B$163,'14.mell_Önk kiegészítés2020'!$A203,'13.mell_ÖNKfeladatok2020'!AS$5:AS$163)</f>
        <v>0</v>
      </c>
      <c r="J203" s="696">
        <f>SUM(C203:I203)</f>
        <v>2</v>
      </c>
      <c r="K203" s="826">
        <f>+SUMIF('13.mell_ÖNKfeladatok2020'!$B$171:$B$329,'14.mell_Önk kiegészítés2020'!$A203,'13.mell_ÖNKfeladatok2020'!Q$171:Q$329)</f>
        <v>77750</v>
      </c>
      <c r="L203" s="826">
        <f>+SUMIF('13.mell_ÖNKfeladatok2020'!$B$171:$B$329,'14.mell_Önk kiegészítés2020'!$A203,'13.mell_ÖNKfeladatok2020'!U$171:U$329)</f>
        <v>12863</v>
      </c>
      <c r="M203" s="826">
        <f>+SUMIF('13.mell_ÖNKfeladatok2020'!$B$171:$B$329,'14.mell_Önk kiegészítés2020'!$A203,'13.mell_ÖNKfeladatok2020'!Y$171:Y$329)</f>
        <v>5829</v>
      </c>
      <c r="N203" s="826">
        <f>+SUMIF('13.mell_ÖNKfeladatok2020'!$B$171:$B$329,'14.mell_Önk kiegészítés2020'!$A203,'13.mell_ÖNKfeladatok2020'!AC$171:AC$329)</f>
        <v>0</v>
      </c>
      <c r="O203" s="826">
        <f>+SUMIF('13.mell_ÖNKfeladatok2020'!$B$171:$B$329,'14.mell_Önk kiegészítés2020'!$A203,'13.mell_ÖNKfeladatok2020'!AG$171:AG$329)</f>
        <v>40</v>
      </c>
      <c r="P203" s="826">
        <f>+SUMIF('13.mell_ÖNKfeladatok2020'!$B$171:$B$329,'14.mell_Önk kiegészítés2020'!$A203,'13.mell_ÖNKfeladatok2020'!AO$171:AO$329)</f>
        <v>15653</v>
      </c>
      <c r="Q203" s="826">
        <f>+SUMIF('13.mell_ÖNKfeladatok2020'!$B$171:$B$329,'14.mell_Önk kiegészítés2020'!$A203,'13.mell_ÖNKfeladatok2020'!AS$171:AS$329)</f>
        <v>0</v>
      </c>
      <c r="R203" s="826">
        <f>+SUMIF('13.mell_ÖNKfeladatok2020'!$B$171:$B$329,'14.mell_Önk kiegészítés2020'!$A203,'13.mell_ÖNKfeladatok2020'!AW$171:AW$329)</f>
        <v>0</v>
      </c>
      <c r="S203" s="696">
        <f>SUM(K203:R203)</f>
        <v>112135</v>
      </c>
      <c r="T203" s="697">
        <f>S203-J203</f>
        <v>112133</v>
      </c>
      <c r="U203" s="1047">
        <f>+ROUND(SUMIF('10.mell_támogatások2020'!$B$6:$B$137,'14.mell_Önk kiegészítés2020'!$A203,'10.mell_támogatások2020'!F$6:F$137)/1000,0)</f>
        <v>104635</v>
      </c>
      <c r="V203" s="1025">
        <f>6630+162</f>
        <v>6792</v>
      </c>
      <c r="W203" s="697">
        <f>+T203-U203-V203</f>
        <v>706</v>
      </c>
      <c r="AE203" s="261">
        <v>6630</v>
      </c>
      <c r="AG203" s="261">
        <f>((77+13)+(31+5))+(31+5)</f>
        <v>162</v>
      </c>
    </row>
    <row r="204" spans="1:42" s="507" customFormat="1" ht="12.75" thickBot="1">
      <c r="A204" s="343" t="s">
        <v>1137</v>
      </c>
      <c r="B204" s="471" t="s">
        <v>1094</v>
      </c>
      <c r="C204" s="521">
        <f t="shared" ref="C204:W204" si="86">SUM(C203)</f>
        <v>0</v>
      </c>
      <c r="D204" s="521">
        <f t="shared" si="86"/>
        <v>0</v>
      </c>
      <c r="E204" s="521">
        <f t="shared" si="86"/>
        <v>2</v>
      </c>
      <c r="F204" s="521">
        <f t="shared" si="86"/>
        <v>0</v>
      </c>
      <c r="G204" s="521">
        <f t="shared" si="86"/>
        <v>0</v>
      </c>
      <c r="H204" s="521">
        <f t="shared" si="86"/>
        <v>0</v>
      </c>
      <c r="I204" s="521">
        <f t="shared" si="86"/>
        <v>0</v>
      </c>
      <c r="J204" s="524">
        <f t="shared" si="86"/>
        <v>2</v>
      </c>
      <c r="K204" s="521">
        <f t="shared" si="86"/>
        <v>77750</v>
      </c>
      <c r="L204" s="521">
        <f t="shared" si="86"/>
        <v>12863</v>
      </c>
      <c r="M204" s="521">
        <f t="shared" si="86"/>
        <v>5829</v>
      </c>
      <c r="N204" s="521">
        <f t="shared" si="86"/>
        <v>0</v>
      </c>
      <c r="O204" s="521">
        <f t="shared" si="86"/>
        <v>40</v>
      </c>
      <c r="P204" s="521">
        <f t="shared" si="86"/>
        <v>15653</v>
      </c>
      <c r="Q204" s="521">
        <f t="shared" si="86"/>
        <v>0</v>
      </c>
      <c r="R204" s="521">
        <f t="shared" si="86"/>
        <v>0</v>
      </c>
      <c r="S204" s="524">
        <f t="shared" si="86"/>
        <v>112135</v>
      </c>
      <c r="T204" s="524">
        <f t="shared" si="86"/>
        <v>112133</v>
      </c>
      <c r="U204" s="1044">
        <f t="shared" si="86"/>
        <v>104635</v>
      </c>
      <c r="V204" s="525">
        <f t="shared" si="86"/>
        <v>6792</v>
      </c>
      <c r="W204" s="524">
        <f t="shared" si="86"/>
        <v>706</v>
      </c>
      <c r="AB204" s="261"/>
      <c r="AC204" s="261"/>
      <c r="AD204" s="261"/>
      <c r="AE204" s="261"/>
      <c r="AF204" s="261"/>
      <c r="AG204" s="261"/>
      <c r="AH204" s="261"/>
      <c r="AI204" s="261"/>
      <c r="AJ204" s="261"/>
      <c r="AK204" s="261"/>
      <c r="AL204" s="261"/>
      <c r="AM204" s="261"/>
      <c r="AN204" s="261"/>
      <c r="AO204" s="261"/>
      <c r="AP204" s="261"/>
    </row>
    <row r="205" spans="1:42" ht="12.75" thickBot="1">
      <c r="A205" s="833">
        <f>+A203+1</f>
        <v>33</v>
      </c>
      <c r="B205" s="834" t="s">
        <v>1096</v>
      </c>
      <c r="C205" s="835">
        <f>+SUMIF('13.mell_ÖNKfeladatok2020'!$B$5:$B$163,'14.mell_Önk kiegészítés2020'!$A205,'13.mell_ÖNKfeladatok2020'!Q$5:Q$163)</f>
        <v>0</v>
      </c>
      <c r="D205" s="835">
        <f>+SUMIF('13.mell_ÖNKfeladatok2020'!$B$5:$B$163,'14.mell_Önk kiegészítés2020'!$A205,'13.mell_ÖNKfeladatok2020'!U$5:U$163)</f>
        <v>0</v>
      </c>
      <c r="E205" s="835">
        <f>+SUMIF('13.mell_ÖNKfeladatok2020'!$B$5:$B$163,'14.mell_Önk kiegészítés2020'!$A205,'13.mell_ÖNKfeladatok2020'!Y$5:Y$163)</f>
        <v>0</v>
      </c>
      <c r="F205" s="835">
        <f>+SUMIF('13.mell_ÖNKfeladatok2020'!$B$5:$B$163,'14.mell_Önk kiegészítés2020'!$A205,'13.mell_ÖNKfeladatok2020'!AC$5:AC$163)</f>
        <v>0</v>
      </c>
      <c r="G205" s="835">
        <f>+SUMIF('13.mell_ÖNKfeladatok2020'!$B$5:$B$163,'14.mell_Önk kiegészítés2020'!$A205,'13.mell_ÖNKfeladatok2020'!AK$5:AK$163)</f>
        <v>0</v>
      </c>
      <c r="H205" s="835">
        <f>+SUMIF('13.mell_ÖNKfeladatok2020'!$B$5:$B$163,'14.mell_Önk kiegészítés2020'!$A205,'13.mell_ÖNKfeladatok2020'!AO$5:AO$163)</f>
        <v>0</v>
      </c>
      <c r="I205" s="835">
        <f>+SUMIF('13.mell_ÖNKfeladatok2020'!$B$5:$B$163,'14.mell_Önk kiegészítés2020'!$A205,'13.mell_ÖNKfeladatok2020'!AS$5:AS$163)</f>
        <v>0</v>
      </c>
      <c r="J205" s="836">
        <f>SUM(C205:I205)</f>
        <v>0</v>
      </c>
      <c r="K205" s="835">
        <f>+SUMIF('13.mell_ÖNKfeladatok2020'!$B$171:$B$329,'14.mell_Önk kiegészítés2020'!$A205,'13.mell_ÖNKfeladatok2020'!Q$171:Q$329)</f>
        <v>0</v>
      </c>
      <c r="L205" s="835">
        <f>+SUMIF('13.mell_ÖNKfeladatok2020'!$B$171:$B$329,'14.mell_Önk kiegészítés2020'!$A205,'13.mell_ÖNKfeladatok2020'!U$171:U$329)</f>
        <v>0</v>
      </c>
      <c r="M205" s="835">
        <f>+SUMIF('13.mell_ÖNKfeladatok2020'!$B$171:$B$329,'14.mell_Önk kiegészítés2020'!$A205,'13.mell_ÖNKfeladatok2020'!Y$171:Y$329)</f>
        <v>0</v>
      </c>
      <c r="N205" s="835">
        <f>+SUMIF('13.mell_ÖNKfeladatok2020'!$B$171:$B$329,'14.mell_Önk kiegészítés2020'!$A205,'13.mell_ÖNKfeladatok2020'!AC$171:AC$329)</f>
        <v>0</v>
      </c>
      <c r="O205" s="835">
        <f>+SUMIF('13.mell_ÖNKfeladatok2020'!$B$171:$B$329,'14.mell_Önk kiegészítés2020'!$A205,'13.mell_ÖNKfeladatok2020'!AG$171:AG$329)</f>
        <v>0</v>
      </c>
      <c r="P205" s="835">
        <f>+SUMIF('13.mell_ÖNKfeladatok2020'!$B$171:$B$329,'14.mell_Önk kiegészítés2020'!$A205,'13.mell_ÖNKfeladatok2020'!AO$171:AO$329)</f>
        <v>0</v>
      </c>
      <c r="Q205" s="835">
        <f>+SUMIF('13.mell_ÖNKfeladatok2020'!$B$171:$B$329,'14.mell_Önk kiegészítés2020'!$A205,'13.mell_ÖNKfeladatok2020'!AS$171:AS$329)</f>
        <v>0</v>
      </c>
      <c r="R205" s="835">
        <f>+SUMIF('13.mell_ÖNKfeladatok2020'!$B$171:$B$329,'14.mell_Önk kiegészítés2020'!$A205,'13.mell_ÖNKfeladatok2020'!AW$171:AW$329)</f>
        <v>0</v>
      </c>
      <c r="S205" s="836">
        <f>SUM(K205:R205)</f>
        <v>0</v>
      </c>
      <c r="T205" s="524">
        <f>S205-J205</f>
        <v>0</v>
      </c>
      <c r="U205" s="1050">
        <f>+ROUND(SUMIF('10.mell_támogatások2020'!$B$6:$B$137,'14.mell_Önk kiegészítés2020'!$A205,'10.mell_támogatások2020'!F$6:F$137)/1000,0)</f>
        <v>0</v>
      </c>
      <c r="V205" s="1028"/>
      <c r="W205" s="524">
        <f>+T205-U205-V205</f>
        <v>0</v>
      </c>
    </row>
    <row r="206" spans="1:42" s="507" customFormat="1" ht="12.75" thickBot="1">
      <c r="A206" s="479" t="s">
        <v>1138</v>
      </c>
      <c r="B206" s="480" t="s">
        <v>1095</v>
      </c>
      <c r="C206" s="521">
        <f t="shared" ref="C206:W206" si="87">SUM(C205)</f>
        <v>0</v>
      </c>
      <c r="D206" s="521">
        <f t="shared" si="87"/>
        <v>0</v>
      </c>
      <c r="E206" s="521">
        <f t="shared" si="87"/>
        <v>0</v>
      </c>
      <c r="F206" s="521">
        <f t="shared" si="87"/>
        <v>0</v>
      </c>
      <c r="G206" s="521">
        <f t="shared" si="87"/>
        <v>0</v>
      </c>
      <c r="H206" s="521">
        <f t="shared" si="87"/>
        <v>0</v>
      </c>
      <c r="I206" s="521">
        <f t="shared" si="87"/>
        <v>0</v>
      </c>
      <c r="J206" s="524">
        <f t="shared" si="87"/>
        <v>0</v>
      </c>
      <c r="K206" s="521">
        <f t="shared" si="87"/>
        <v>0</v>
      </c>
      <c r="L206" s="521">
        <f t="shared" si="87"/>
        <v>0</v>
      </c>
      <c r="M206" s="521">
        <f t="shared" si="87"/>
        <v>0</v>
      </c>
      <c r="N206" s="521">
        <f t="shared" si="87"/>
        <v>0</v>
      </c>
      <c r="O206" s="521">
        <f t="shared" si="87"/>
        <v>0</v>
      </c>
      <c r="P206" s="521">
        <f t="shared" si="87"/>
        <v>0</v>
      </c>
      <c r="Q206" s="521">
        <f t="shared" si="87"/>
        <v>0</v>
      </c>
      <c r="R206" s="521">
        <f t="shared" si="87"/>
        <v>0</v>
      </c>
      <c r="S206" s="524">
        <f t="shared" si="87"/>
        <v>0</v>
      </c>
      <c r="T206" s="524">
        <f t="shared" si="87"/>
        <v>0</v>
      </c>
      <c r="U206" s="1044">
        <f t="shared" si="87"/>
        <v>0</v>
      </c>
      <c r="V206" s="525">
        <f t="shared" si="87"/>
        <v>0</v>
      </c>
      <c r="W206" s="524">
        <f t="shared" si="87"/>
        <v>0</v>
      </c>
      <c r="AB206" s="261"/>
      <c r="AC206" s="261"/>
      <c r="AD206" s="261"/>
      <c r="AE206" s="261"/>
      <c r="AF206" s="261"/>
      <c r="AG206" s="261"/>
      <c r="AH206" s="261"/>
      <c r="AI206" s="261"/>
      <c r="AJ206" s="261"/>
      <c r="AK206" s="261"/>
      <c r="AL206" s="261"/>
      <c r="AM206" s="261"/>
      <c r="AN206" s="261"/>
      <c r="AO206" s="261"/>
      <c r="AP206" s="261"/>
    </row>
    <row r="207" spans="1:42" ht="12.75" thickBot="1">
      <c r="A207" s="833">
        <f>+A205+1</f>
        <v>34</v>
      </c>
      <c r="B207" s="834" t="s">
        <v>1096</v>
      </c>
      <c r="C207" s="835">
        <f>+SUMIF('13.mell_ÖNKfeladatok2020'!$B$5:$B$163,'14.mell_Önk kiegészítés2020'!$A207,'13.mell_ÖNKfeladatok2020'!Q$5:Q$163)</f>
        <v>0</v>
      </c>
      <c r="D207" s="835">
        <f>+SUMIF('13.mell_ÖNKfeladatok2020'!$B$5:$B$163,'14.mell_Önk kiegészítés2020'!$A207,'13.mell_ÖNKfeladatok2020'!U$5:U$163)</f>
        <v>0</v>
      </c>
      <c r="E207" s="835">
        <f>+SUMIF('13.mell_ÖNKfeladatok2020'!$B$5:$B$163,'14.mell_Önk kiegészítés2020'!$A207,'13.mell_ÖNKfeladatok2020'!Y$5:Y$163)</f>
        <v>0</v>
      </c>
      <c r="F207" s="835">
        <f>+SUMIF('13.mell_ÖNKfeladatok2020'!$B$5:$B$163,'14.mell_Önk kiegészítés2020'!$A207,'13.mell_ÖNKfeladatok2020'!AC$5:AC$163)</f>
        <v>0</v>
      </c>
      <c r="G207" s="835">
        <f>+SUMIF('13.mell_ÖNKfeladatok2020'!$B$5:$B$163,'14.mell_Önk kiegészítés2020'!$A207,'13.mell_ÖNKfeladatok2020'!AK$5:AK$163)</f>
        <v>0</v>
      </c>
      <c r="H207" s="835">
        <f>+SUMIF('13.mell_ÖNKfeladatok2020'!$B$5:$B$163,'14.mell_Önk kiegészítés2020'!$A207,'13.mell_ÖNKfeladatok2020'!AO$5:AO$163)</f>
        <v>0</v>
      </c>
      <c r="I207" s="835">
        <f>+SUMIF('13.mell_ÖNKfeladatok2020'!$B$5:$B$163,'14.mell_Önk kiegészítés2020'!$A207,'13.mell_ÖNKfeladatok2020'!AS$5:AS$163)</f>
        <v>0</v>
      </c>
      <c r="J207" s="836">
        <f>SUM(C207:I207)</f>
        <v>0</v>
      </c>
      <c r="K207" s="835">
        <f>+SUMIF('13.mell_ÖNKfeladatok2020'!$B$171:$B$329,'14.mell_Önk kiegészítés2020'!$A207,'13.mell_ÖNKfeladatok2020'!Q$171:Q$329)</f>
        <v>0</v>
      </c>
      <c r="L207" s="835">
        <f>+SUMIF('13.mell_ÖNKfeladatok2020'!$B$171:$B$329,'14.mell_Önk kiegészítés2020'!$A207,'13.mell_ÖNKfeladatok2020'!U$171:U$329)</f>
        <v>0</v>
      </c>
      <c r="M207" s="835">
        <f>+SUMIF('13.mell_ÖNKfeladatok2020'!$B$171:$B$329,'14.mell_Önk kiegészítés2020'!$A207,'13.mell_ÖNKfeladatok2020'!Y$171:Y$329)</f>
        <v>0</v>
      </c>
      <c r="N207" s="835">
        <f>+SUMIF('13.mell_ÖNKfeladatok2020'!$B$171:$B$329,'14.mell_Önk kiegészítés2020'!$A207,'13.mell_ÖNKfeladatok2020'!AC$171:AC$329)</f>
        <v>0</v>
      </c>
      <c r="O207" s="835">
        <f>+SUMIF('13.mell_ÖNKfeladatok2020'!$B$171:$B$329,'14.mell_Önk kiegészítés2020'!$A207,'13.mell_ÖNKfeladatok2020'!AG$171:AG$329)</f>
        <v>0</v>
      </c>
      <c r="P207" s="835">
        <f>+SUMIF('13.mell_ÖNKfeladatok2020'!$B$171:$B$329,'14.mell_Önk kiegészítés2020'!$A207,'13.mell_ÖNKfeladatok2020'!AO$171:AO$329)</f>
        <v>0</v>
      </c>
      <c r="Q207" s="835">
        <f>+SUMIF('13.mell_ÖNKfeladatok2020'!$B$171:$B$329,'14.mell_Önk kiegészítés2020'!$A207,'13.mell_ÖNKfeladatok2020'!AS$171:AS$329)</f>
        <v>0</v>
      </c>
      <c r="R207" s="835">
        <f>+SUMIF('13.mell_ÖNKfeladatok2020'!$B$171:$B$329,'14.mell_Önk kiegészítés2020'!$A207,'13.mell_ÖNKfeladatok2020'!AW$171:AW$329)</f>
        <v>0</v>
      </c>
      <c r="S207" s="836">
        <f>SUM(K207:R207)</f>
        <v>0</v>
      </c>
      <c r="T207" s="524">
        <f>S207-J207</f>
        <v>0</v>
      </c>
      <c r="U207" s="1050">
        <f>+ROUND(SUMIF('10.mell_támogatások2020'!$B$6:$B$137,'14.mell_Önk kiegészítés2020'!$A207,'10.mell_támogatások2020'!F$6:F$137)/1000,0)</f>
        <v>0</v>
      </c>
      <c r="V207" s="1028"/>
      <c r="W207" s="524">
        <f>+T207-U207-V207</f>
        <v>0</v>
      </c>
    </row>
    <row r="208" spans="1:42" s="507" customFormat="1" ht="24.75" thickBot="1">
      <c r="A208" s="479" t="s">
        <v>1139</v>
      </c>
      <c r="B208" s="480" t="s">
        <v>1096</v>
      </c>
      <c r="C208" s="521">
        <f t="shared" ref="C208:W208" si="88">SUM(C207)</f>
        <v>0</v>
      </c>
      <c r="D208" s="521">
        <f t="shared" si="88"/>
        <v>0</v>
      </c>
      <c r="E208" s="521">
        <f t="shared" si="88"/>
        <v>0</v>
      </c>
      <c r="F208" s="521">
        <f t="shared" si="88"/>
        <v>0</v>
      </c>
      <c r="G208" s="521">
        <f t="shared" si="88"/>
        <v>0</v>
      </c>
      <c r="H208" s="521">
        <f t="shared" si="88"/>
        <v>0</v>
      </c>
      <c r="I208" s="521">
        <f t="shared" si="88"/>
        <v>0</v>
      </c>
      <c r="J208" s="524">
        <f t="shared" si="88"/>
        <v>0</v>
      </c>
      <c r="K208" s="521">
        <f t="shared" si="88"/>
        <v>0</v>
      </c>
      <c r="L208" s="521">
        <f t="shared" si="88"/>
        <v>0</v>
      </c>
      <c r="M208" s="521">
        <f t="shared" si="88"/>
        <v>0</v>
      </c>
      <c r="N208" s="521">
        <f t="shared" si="88"/>
        <v>0</v>
      </c>
      <c r="O208" s="521">
        <f t="shared" si="88"/>
        <v>0</v>
      </c>
      <c r="P208" s="521">
        <f t="shared" si="88"/>
        <v>0</v>
      </c>
      <c r="Q208" s="521">
        <f t="shared" si="88"/>
        <v>0</v>
      </c>
      <c r="R208" s="521">
        <f t="shared" si="88"/>
        <v>0</v>
      </c>
      <c r="S208" s="524">
        <f t="shared" si="88"/>
        <v>0</v>
      </c>
      <c r="T208" s="524">
        <f t="shared" si="88"/>
        <v>0</v>
      </c>
      <c r="U208" s="1044">
        <f t="shared" si="88"/>
        <v>0</v>
      </c>
      <c r="V208" s="525">
        <f t="shared" si="88"/>
        <v>0</v>
      </c>
      <c r="W208" s="524">
        <f t="shared" si="88"/>
        <v>0</v>
      </c>
      <c r="AB208" s="261"/>
      <c r="AC208" s="261"/>
      <c r="AD208" s="261"/>
      <c r="AE208" s="261"/>
      <c r="AF208" s="261"/>
      <c r="AG208" s="261"/>
      <c r="AH208" s="261"/>
      <c r="AI208" s="261"/>
      <c r="AJ208" s="261"/>
      <c r="AK208" s="261"/>
      <c r="AL208" s="261"/>
      <c r="AM208" s="261"/>
      <c r="AN208" s="261"/>
      <c r="AO208" s="261"/>
      <c r="AP208" s="261"/>
    </row>
    <row r="209" spans="1:42" s="507" customFormat="1" ht="12.75" thickBot="1">
      <c r="A209" s="473" t="s">
        <v>42</v>
      </c>
      <c r="B209" s="483" t="s">
        <v>1097</v>
      </c>
      <c r="C209" s="530">
        <f t="shared" ref="C209:W209" si="89">+C204+C206+C208</f>
        <v>0</v>
      </c>
      <c r="D209" s="530">
        <f t="shared" si="89"/>
        <v>0</v>
      </c>
      <c r="E209" s="530">
        <f t="shared" si="89"/>
        <v>2</v>
      </c>
      <c r="F209" s="530">
        <f t="shared" si="89"/>
        <v>0</v>
      </c>
      <c r="G209" s="530">
        <f t="shared" si="89"/>
        <v>0</v>
      </c>
      <c r="H209" s="530">
        <f t="shared" si="89"/>
        <v>0</v>
      </c>
      <c r="I209" s="530">
        <f t="shared" si="89"/>
        <v>0</v>
      </c>
      <c r="J209" s="533">
        <f t="shared" si="89"/>
        <v>2</v>
      </c>
      <c r="K209" s="530">
        <f t="shared" si="89"/>
        <v>77750</v>
      </c>
      <c r="L209" s="530">
        <f t="shared" si="89"/>
        <v>12863</v>
      </c>
      <c r="M209" s="530">
        <f t="shared" si="89"/>
        <v>5829</v>
      </c>
      <c r="N209" s="530">
        <f t="shared" si="89"/>
        <v>0</v>
      </c>
      <c r="O209" s="530">
        <f t="shared" si="89"/>
        <v>40</v>
      </c>
      <c r="P209" s="530">
        <f t="shared" si="89"/>
        <v>15653</v>
      </c>
      <c r="Q209" s="530">
        <f t="shared" si="89"/>
        <v>0</v>
      </c>
      <c r="R209" s="530">
        <f t="shared" si="89"/>
        <v>0</v>
      </c>
      <c r="S209" s="533">
        <f t="shared" si="89"/>
        <v>112135</v>
      </c>
      <c r="T209" s="533">
        <f t="shared" si="89"/>
        <v>112133</v>
      </c>
      <c r="U209" s="1046">
        <f t="shared" si="89"/>
        <v>104635</v>
      </c>
      <c r="V209" s="532">
        <f t="shared" si="89"/>
        <v>6792</v>
      </c>
      <c r="W209" s="533">
        <f t="shared" si="89"/>
        <v>706</v>
      </c>
      <c r="Y209" s="507">
        <f>+'13.mell_ÖNKfeladatok2020'!$H$161-J209</f>
        <v>0</v>
      </c>
      <c r="Z209" s="507">
        <f>+'13.mell_ÖNKfeladatok2020'!$H$327-S209</f>
        <v>110</v>
      </c>
      <c r="AB209" s="261"/>
      <c r="AC209" s="261"/>
      <c r="AD209" s="261"/>
      <c r="AE209" s="261"/>
      <c r="AF209" s="261"/>
      <c r="AG209" s="261"/>
      <c r="AH209" s="261"/>
      <c r="AI209" s="261"/>
      <c r="AJ209" s="261"/>
      <c r="AK209" s="261"/>
      <c r="AL209" s="261"/>
      <c r="AM209" s="261"/>
      <c r="AN209" s="261"/>
      <c r="AO209" s="261"/>
      <c r="AP209" s="261"/>
    </row>
    <row r="210" spans="1:42" s="194" customFormat="1" ht="12.75" thickBot="1">
      <c r="A210" s="494"/>
      <c r="B210" s="545"/>
      <c r="C210" s="534"/>
      <c r="D210" s="535"/>
      <c r="E210" s="535"/>
      <c r="F210" s="535"/>
      <c r="G210" s="535"/>
      <c r="H210" s="535"/>
      <c r="I210" s="536"/>
      <c r="J210" s="537"/>
      <c r="K210" s="546"/>
      <c r="L210" s="546"/>
      <c r="M210" s="546"/>
      <c r="N210" s="546"/>
      <c r="O210" s="546"/>
      <c r="P210" s="546"/>
      <c r="Q210" s="546"/>
      <c r="R210" s="546"/>
      <c r="S210" s="544"/>
      <c r="T210" s="544"/>
      <c r="U210" s="1052"/>
      <c r="V210" s="1030"/>
      <c r="W210" s="544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</row>
    <row r="211" spans="1:42" s="507" customFormat="1" ht="12.75" thickBot="1">
      <c r="A211" s="528" t="s">
        <v>41</v>
      </c>
      <c r="B211" s="529" t="s">
        <v>769</v>
      </c>
      <c r="C211" s="530">
        <f t="shared" ref="C211:W211" si="90">+C161+C173+C183+C193+C201+C209</f>
        <v>1347690</v>
      </c>
      <c r="D211" s="530">
        <f t="shared" si="90"/>
        <v>370140</v>
      </c>
      <c r="E211" s="530">
        <f t="shared" si="90"/>
        <v>153866</v>
      </c>
      <c r="F211" s="530">
        <f t="shared" si="90"/>
        <v>4745</v>
      </c>
      <c r="G211" s="530">
        <f t="shared" si="90"/>
        <v>219051</v>
      </c>
      <c r="H211" s="530">
        <f t="shared" si="90"/>
        <v>41924</v>
      </c>
      <c r="I211" s="530">
        <f t="shared" si="90"/>
        <v>664</v>
      </c>
      <c r="J211" s="533">
        <f t="shared" si="90"/>
        <v>2138080</v>
      </c>
      <c r="K211" s="547">
        <f t="shared" si="90"/>
        <v>941098</v>
      </c>
      <c r="L211" s="547">
        <f t="shared" si="90"/>
        <v>158725</v>
      </c>
      <c r="M211" s="547">
        <f t="shared" si="90"/>
        <v>628275</v>
      </c>
      <c r="N211" s="547">
        <f t="shared" si="90"/>
        <v>48427</v>
      </c>
      <c r="O211" s="547">
        <f t="shared" si="90"/>
        <v>97668</v>
      </c>
      <c r="P211" s="547">
        <f t="shared" si="90"/>
        <v>704564</v>
      </c>
      <c r="Q211" s="547">
        <f t="shared" si="90"/>
        <v>502891</v>
      </c>
      <c r="R211" s="547">
        <f t="shared" si="90"/>
        <v>0</v>
      </c>
      <c r="S211" s="548">
        <f t="shared" si="90"/>
        <v>3081648</v>
      </c>
      <c r="T211" s="548">
        <f t="shared" si="90"/>
        <v>943568</v>
      </c>
      <c r="U211" s="1053">
        <f t="shared" si="90"/>
        <v>0</v>
      </c>
      <c r="V211" s="1031">
        <f t="shared" si="90"/>
        <v>2845803</v>
      </c>
      <c r="W211" s="548">
        <f t="shared" si="90"/>
        <v>-1902235</v>
      </c>
      <c r="AB211" s="261"/>
      <c r="AC211" s="261"/>
      <c r="AD211" s="261"/>
      <c r="AE211" s="261"/>
      <c r="AF211" s="261"/>
      <c r="AG211" s="261"/>
      <c r="AH211" s="261"/>
      <c r="AI211" s="261"/>
      <c r="AJ211" s="261"/>
      <c r="AK211" s="261"/>
      <c r="AL211" s="261"/>
      <c r="AM211" s="261"/>
      <c r="AN211" s="261"/>
      <c r="AO211" s="261"/>
      <c r="AP211" s="261"/>
    </row>
    <row r="212" spans="1:42" s="507" customFormat="1" ht="12.75" thickBot="1">
      <c r="A212" s="558" t="s">
        <v>37</v>
      </c>
      <c r="B212" s="550" t="s">
        <v>770</v>
      </c>
      <c r="C212" s="551"/>
      <c r="D212" s="551"/>
      <c r="E212" s="551"/>
      <c r="F212" s="551">
        <f>+'1.mell._Össz_Mérleg2020'!$E$71</f>
        <v>797622</v>
      </c>
      <c r="G212" s="551"/>
      <c r="H212" s="551"/>
      <c r="I212" s="551">
        <f>+'1.mell._Össz_Mérleg2020'!$E$86</f>
        <v>2653354</v>
      </c>
      <c r="J212" s="557">
        <f>SUM(C212:I212)</f>
        <v>3450976</v>
      </c>
      <c r="K212" s="551"/>
      <c r="L212" s="551"/>
      <c r="M212" s="551"/>
      <c r="N212" s="551"/>
      <c r="O212" s="551">
        <f>+'1.mell._Össz_Mérleg2020'!$E$177</f>
        <v>109126</v>
      </c>
      <c r="P212" s="551"/>
      <c r="Q212" s="551"/>
      <c r="R212" s="551">
        <f>+'1.mell._Össz_Mérleg2020'!$E$192</f>
        <v>0</v>
      </c>
      <c r="S212" s="557">
        <f>SUM(K212:R212)</f>
        <v>109126</v>
      </c>
      <c r="T212" s="552">
        <f>S212-J212</f>
        <v>-3341850</v>
      </c>
      <c r="U212" s="1054"/>
      <c r="V212" s="1032">
        <v>-2845803</v>
      </c>
      <c r="W212" s="552">
        <f>+T212-U212-V212</f>
        <v>-496047</v>
      </c>
      <c r="AB212" s="261"/>
      <c r="AC212" s="261">
        <v>-2845803</v>
      </c>
      <c r="AD212" s="261"/>
      <c r="AE212" s="261"/>
      <c r="AF212" s="261"/>
      <c r="AG212" s="261"/>
      <c r="AH212" s="261"/>
      <c r="AI212" s="261"/>
      <c r="AJ212" s="261"/>
      <c r="AK212" s="261"/>
      <c r="AL212" s="261"/>
      <c r="AM212" s="261"/>
      <c r="AN212" s="261"/>
      <c r="AO212" s="261"/>
      <c r="AP212" s="261"/>
    </row>
    <row r="213" spans="1:42" s="194" customFormat="1" ht="12.75" thickBot="1">
      <c r="A213" s="528" t="s">
        <v>1142</v>
      </c>
      <c r="B213" s="529" t="s">
        <v>771</v>
      </c>
      <c r="C213" s="530">
        <f>+C211+C212</f>
        <v>1347690</v>
      </c>
      <c r="D213" s="530">
        <f t="shared" ref="D213:I213" si="91">+D211+D212</f>
        <v>370140</v>
      </c>
      <c r="E213" s="530">
        <f t="shared" si="91"/>
        <v>153866</v>
      </c>
      <c r="F213" s="530">
        <f t="shared" si="91"/>
        <v>802367</v>
      </c>
      <c r="G213" s="530">
        <f t="shared" si="91"/>
        <v>219051</v>
      </c>
      <c r="H213" s="530">
        <f t="shared" si="91"/>
        <v>41924</v>
      </c>
      <c r="I213" s="530">
        <f t="shared" si="91"/>
        <v>2654018</v>
      </c>
      <c r="J213" s="533">
        <f>+J211+J212</f>
        <v>5589056</v>
      </c>
      <c r="K213" s="530">
        <f t="shared" ref="K213:W213" si="92">+K211+K212</f>
        <v>941098</v>
      </c>
      <c r="L213" s="530">
        <f t="shared" si="92"/>
        <v>158725</v>
      </c>
      <c r="M213" s="530">
        <f t="shared" si="92"/>
        <v>628275</v>
      </c>
      <c r="N213" s="530">
        <f t="shared" si="92"/>
        <v>48427</v>
      </c>
      <c r="O213" s="530">
        <f t="shared" si="92"/>
        <v>206794</v>
      </c>
      <c r="P213" s="530">
        <f t="shared" si="92"/>
        <v>704564</v>
      </c>
      <c r="Q213" s="530">
        <f t="shared" si="92"/>
        <v>502891</v>
      </c>
      <c r="R213" s="530">
        <f t="shared" si="92"/>
        <v>0</v>
      </c>
      <c r="S213" s="533">
        <f t="shared" si="92"/>
        <v>3190774</v>
      </c>
      <c r="T213" s="533">
        <f t="shared" si="92"/>
        <v>-2398282</v>
      </c>
      <c r="U213" s="1046">
        <f t="shared" si="92"/>
        <v>0</v>
      </c>
      <c r="V213" s="532">
        <f t="shared" si="92"/>
        <v>0</v>
      </c>
      <c r="W213" s="533">
        <f t="shared" si="92"/>
        <v>-2398282</v>
      </c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</row>
    <row r="214" spans="1:42" s="507" customFormat="1" ht="11.25" customHeight="1">
      <c r="A214" s="559"/>
      <c r="B214" s="549"/>
      <c r="C214" s="549"/>
      <c r="D214" s="549"/>
      <c r="E214" s="549"/>
      <c r="F214" s="549"/>
      <c r="G214" s="549"/>
      <c r="H214" s="549"/>
      <c r="I214" s="549"/>
      <c r="J214" s="549"/>
      <c r="K214" s="549"/>
      <c r="L214" s="549"/>
      <c r="M214" s="549"/>
      <c r="N214" s="549"/>
      <c r="O214" s="549"/>
      <c r="P214" s="549"/>
      <c r="Q214" s="549"/>
      <c r="R214" s="549"/>
      <c r="S214" s="549"/>
      <c r="T214" s="549"/>
      <c r="U214" s="549"/>
      <c r="V214" s="549"/>
      <c r="W214" s="549"/>
      <c r="AB214" s="261"/>
      <c r="AC214" s="261"/>
      <c r="AD214" s="261"/>
      <c r="AE214" s="261"/>
      <c r="AF214" s="261"/>
      <c r="AG214" s="261"/>
      <c r="AH214" s="261"/>
      <c r="AI214" s="261"/>
      <c r="AJ214" s="261"/>
      <c r="AK214" s="261"/>
      <c r="AL214" s="261"/>
      <c r="AM214" s="261"/>
      <c r="AN214" s="261"/>
      <c r="AO214" s="261"/>
      <c r="AP214" s="261"/>
    </row>
    <row r="215" spans="1:42" ht="12.75" thickBot="1">
      <c r="W215" s="238" t="s">
        <v>457</v>
      </c>
    </row>
    <row r="216" spans="1:42" s="510" customFormat="1" ht="72.75" thickBot="1">
      <c r="A216" s="838" t="s">
        <v>17</v>
      </c>
      <c r="B216" s="1392" t="s">
        <v>1558</v>
      </c>
      <c r="C216" s="839" t="s">
        <v>762</v>
      </c>
      <c r="D216" s="354" t="s">
        <v>524</v>
      </c>
      <c r="E216" s="354" t="s">
        <v>763</v>
      </c>
      <c r="F216" s="354" t="s">
        <v>1143</v>
      </c>
      <c r="G216" s="354" t="s">
        <v>531</v>
      </c>
      <c r="H216" s="354" t="s">
        <v>532</v>
      </c>
      <c r="I216" s="353" t="s">
        <v>1144</v>
      </c>
      <c r="J216" s="296" t="s">
        <v>523</v>
      </c>
      <c r="K216" s="839" t="s">
        <v>46</v>
      </c>
      <c r="L216" s="354" t="s">
        <v>446</v>
      </c>
      <c r="M216" s="354" t="s">
        <v>447</v>
      </c>
      <c r="N216" s="354" t="s">
        <v>765</v>
      </c>
      <c r="O216" s="354" t="s">
        <v>1145</v>
      </c>
      <c r="P216" s="354" t="s">
        <v>450</v>
      </c>
      <c r="Q216" s="354" t="s">
        <v>451</v>
      </c>
      <c r="R216" s="291" t="s">
        <v>1146</v>
      </c>
      <c r="S216" s="296" t="s">
        <v>526</v>
      </c>
      <c r="T216" s="509" t="s">
        <v>755</v>
      </c>
      <c r="U216" s="1041" t="s">
        <v>1537</v>
      </c>
      <c r="V216" s="1443" t="s">
        <v>1536</v>
      </c>
      <c r="W216" s="509" t="s">
        <v>756</v>
      </c>
      <c r="AB216" s="510" t="s">
        <v>1153</v>
      </c>
      <c r="AC216" s="510" t="s">
        <v>1064</v>
      </c>
      <c r="AD216" s="510" t="s">
        <v>1039</v>
      </c>
      <c r="AE216" s="510" t="s">
        <v>1215</v>
      </c>
      <c r="AF216" s="510" t="s">
        <v>1151</v>
      </c>
      <c r="AG216" s="510" t="s">
        <v>1150</v>
      </c>
      <c r="AH216" s="510" t="s">
        <v>1149</v>
      </c>
      <c r="AI216" s="510" t="s">
        <v>1154</v>
      </c>
      <c r="AJ216" s="510" t="s">
        <v>1216</v>
      </c>
    </row>
    <row r="217" spans="1:42">
      <c r="A217" s="783">
        <v>1</v>
      </c>
      <c r="B217" s="695" t="s">
        <v>414</v>
      </c>
      <c r="C217" s="1393" t="str">
        <f t="shared" ref="C217:W217" si="93">IF(ISERROR(C147/C77),"-",C147/C77)</f>
        <v>-</v>
      </c>
      <c r="D217" s="1394" t="str">
        <f t="shared" si="93"/>
        <v>-</v>
      </c>
      <c r="E217" s="1394" t="str">
        <f t="shared" si="93"/>
        <v>-</v>
      </c>
      <c r="F217" s="1394" t="str">
        <f t="shared" si="93"/>
        <v>-</v>
      </c>
      <c r="G217" s="1394" t="str">
        <f t="shared" si="93"/>
        <v>-</v>
      </c>
      <c r="H217" s="1394" t="str">
        <f t="shared" si="93"/>
        <v>-</v>
      </c>
      <c r="I217" s="1394" t="str">
        <f t="shared" si="93"/>
        <v>-</v>
      </c>
      <c r="J217" s="1395" t="str">
        <f t="shared" si="93"/>
        <v>-</v>
      </c>
      <c r="K217" s="1394">
        <f t="shared" si="93"/>
        <v>1</v>
      </c>
      <c r="L217" s="1394">
        <f t="shared" si="93"/>
        <v>1</v>
      </c>
      <c r="M217" s="1394" t="str">
        <f t="shared" si="93"/>
        <v>-</v>
      </c>
      <c r="N217" s="1394" t="str">
        <f t="shared" si="93"/>
        <v>-</v>
      </c>
      <c r="O217" s="1394" t="str">
        <f t="shared" si="93"/>
        <v>-</v>
      </c>
      <c r="P217" s="1394" t="str">
        <f t="shared" si="93"/>
        <v>-</v>
      </c>
      <c r="Q217" s="1394" t="str">
        <f t="shared" si="93"/>
        <v>-</v>
      </c>
      <c r="R217" s="1394" t="str">
        <f t="shared" si="93"/>
        <v>-</v>
      </c>
      <c r="S217" s="1395">
        <f t="shared" si="93"/>
        <v>1</v>
      </c>
      <c r="T217" s="1395">
        <f t="shared" si="93"/>
        <v>1</v>
      </c>
      <c r="U217" s="1430">
        <f t="shared" si="93"/>
        <v>1</v>
      </c>
      <c r="V217" s="1444" t="str">
        <f t="shared" si="93"/>
        <v>-</v>
      </c>
      <c r="W217" s="1395">
        <f t="shared" si="93"/>
        <v>1</v>
      </c>
    </row>
    <row r="218" spans="1:42">
      <c r="A218" s="784">
        <f>+A217+1</f>
        <v>2</v>
      </c>
      <c r="B218" s="511" t="s">
        <v>649</v>
      </c>
      <c r="C218" s="1394" t="str">
        <f t="shared" ref="C218:S232" si="94">IF(ISERROR(C148/C78),"-",C148/C78)</f>
        <v>-</v>
      </c>
      <c r="D218" s="1394" t="str">
        <f t="shared" si="94"/>
        <v>-</v>
      </c>
      <c r="E218" s="1394" t="str">
        <f t="shared" si="94"/>
        <v>-</v>
      </c>
      <c r="F218" s="1394" t="str">
        <f t="shared" si="94"/>
        <v>-</v>
      </c>
      <c r="G218" s="1394" t="str">
        <f t="shared" si="94"/>
        <v>-</v>
      </c>
      <c r="H218" s="1394" t="str">
        <f t="shared" si="94"/>
        <v>-</v>
      </c>
      <c r="I218" s="1394" t="str">
        <f t="shared" si="94"/>
        <v>-</v>
      </c>
      <c r="J218" s="1396" t="str">
        <f t="shared" si="94"/>
        <v>-</v>
      </c>
      <c r="K218" s="1394" t="str">
        <f t="shared" si="94"/>
        <v>-</v>
      </c>
      <c r="L218" s="1394" t="str">
        <f t="shared" si="94"/>
        <v>-</v>
      </c>
      <c r="M218" s="1394">
        <f t="shared" si="94"/>
        <v>1</v>
      </c>
      <c r="N218" s="1394" t="str">
        <f t="shared" si="94"/>
        <v>-</v>
      </c>
      <c r="O218" s="1394" t="str">
        <f t="shared" si="94"/>
        <v>-</v>
      </c>
      <c r="P218" s="1394">
        <f t="shared" si="94"/>
        <v>1</v>
      </c>
      <c r="Q218" s="1394" t="str">
        <f t="shared" si="94"/>
        <v>-</v>
      </c>
      <c r="R218" s="1394" t="str">
        <f t="shared" si="94"/>
        <v>-</v>
      </c>
      <c r="S218" s="1396">
        <f t="shared" si="94"/>
        <v>1</v>
      </c>
      <c r="T218" s="1396">
        <f t="shared" ref="T218:W232" si="95">IF(ISERROR(T148/T78),"-",T148/T78)</f>
        <v>1</v>
      </c>
      <c r="U218" s="1430">
        <f t="shared" si="95"/>
        <v>1</v>
      </c>
      <c r="V218" s="1444" t="str">
        <f t="shared" si="95"/>
        <v>-</v>
      </c>
      <c r="W218" s="1396">
        <f t="shared" si="95"/>
        <v>1</v>
      </c>
    </row>
    <row r="219" spans="1:42">
      <c r="A219" s="784">
        <f>+A218+1</f>
        <v>3</v>
      </c>
      <c r="B219" s="514" t="s">
        <v>644</v>
      </c>
      <c r="C219" s="1397" t="str">
        <f t="shared" si="94"/>
        <v>-</v>
      </c>
      <c r="D219" s="1397" t="str">
        <f t="shared" si="94"/>
        <v>-</v>
      </c>
      <c r="E219" s="1397" t="str">
        <f t="shared" si="94"/>
        <v>-</v>
      </c>
      <c r="F219" s="1397" t="str">
        <f t="shared" si="94"/>
        <v>-</v>
      </c>
      <c r="G219" s="1394" t="str">
        <f t="shared" si="94"/>
        <v>-</v>
      </c>
      <c r="H219" s="1397" t="str">
        <f t="shared" si="94"/>
        <v>-</v>
      </c>
      <c r="I219" s="1397" t="str">
        <f t="shared" si="94"/>
        <v>-</v>
      </c>
      <c r="J219" s="1398" t="str">
        <f t="shared" si="94"/>
        <v>-</v>
      </c>
      <c r="K219" s="1397" t="str">
        <f t="shared" si="94"/>
        <v>-</v>
      </c>
      <c r="L219" s="1397" t="str">
        <f t="shared" si="94"/>
        <v>-</v>
      </c>
      <c r="M219" s="1397">
        <f t="shared" si="94"/>
        <v>1</v>
      </c>
      <c r="N219" s="1397" t="str">
        <f t="shared" si="94"/>
        <v>-</v>
      </c>
      <c r="O219" s="1397" t="str">
        <f t="shared" si="94"/>
        <v>-</v>
      </c>
      <c r="P219" s="1397" t="str">
        <f t="shared" si="94"/>
        <v>-</v>
      </c>
      <c r="Q219" s="1397" t="str">
        <f t="shared" si="94"/>
        <v>-</v>
      </c>
      <c r="R219" s="1397" t="str">
        <f t="shared" si="94"/>
        <v>-</v>
      </c>
      <c r="S219" s="1398">
        <f t="shared" si="94"/>
        <v>1</v>
      </c>
      <c r="T219" s="1398">
        <f t="shared" si="95"/>
        <v>1</v>
      </c>
      <c r="U219" s="1430">
        <f t="shared" si="95"/>
        <v>1</v>
      </c>
      <c r="V219" s="1444" t="str">
        <f t="shared" si="95"/>
        <v>-</v>
      </c>
      <c r="W219" s="1398">
        <f t="shared" si="95"/>
        <v>1</v>
      </c>
    </row>
    <row r="220" spans="1:42">
      <c r="A220" s="784">
        <f>+A219+1</f>
        <v>4</v>
      </c>
      <c r="B220" s="514" t="s">
        <v>646</v>
      </c>
      <c r="C220" s="1397" t="str">
        <f t="shared" si="94"/>
        <v>-</v>
      </c>
      <c r="D220" s="1397" t="str">
        <f t="shared" si="94"/>
        <v>-</v>
      </c>
      <c r="E220" s="1397" t="str">
        <f t="shared" si="94"/>
        <v>-</v>
      </c>
      <c r="F220" s="1397" t="str">
        <f t="shared" si="94"/>
        <v>-</v>
      </c>
      <c r="G220" s="1394" t="str">
        <f t="shared" si="94"/>
        <v>-</v>
      </c>
      <c r="H220" s="1397" t="str">
        <f t="shared" si="94"/>
        <v>-</v>
      </c>
      <c r="I220" s="1397" t="str">
        <f t="shared" si="94"/>
        <v>-</v>
      </c>
      <c r="J220" s="1398" t="str">
        <f t="shared" si="94"/>
        <v>-</v>
      </c>
      <c r="K220" s="1397" t="str">
        <f t="shared" si="94"/>
        <v>-</v>
      </c>
      <c r="L220" s="1397" t="str">
        <f t="shared" si="94"/>
        <v>-</v>
      </c>
      <c r="M220" s="1397">
        <f t="shared" si="94"/>
        <v>1</v>
      </c>
      <c r="N220" s="1397" t="str">
        <f t="shared" si="94"/>
        <v>-</v>
      </c>
      <c r="O220" s="1397" t="str">
        <f t="shared" si="94"/>
        <v>-</v>
      </c>
      <c r="P220" s="1397" t="str">
        <f t="shared" si="94"/>
        <v>-</v>
      </c>
      <c r="Q220" s="1397" t="str">
        <f t="shared" si="94"/>
        <v>-</v>
      </c>
      <c r="R220" s="1397" t="str">
        <f t="shared" si="94"/>
        <v>-</v>
      </c>
      <c r="S220" s="1398">
        <f t="shared" si="94"/>
        <v>1</v>
      </c>
      <c r="T220" s="1398">
        <f t="shared" si="95"/>
        <v>1</v>
      </c>
      <c r="U220" s="1430">
        <f t="shared" si="95"/>
        <v>1</v>
      </c>
      <c r="V220" s="1444">
        <f t="shared" si="95"/>
        <v>1</v>
      </c>
      <c r="W220" s="1398">
        <f t="shared" si="95"/>
        <v>1</v>
      </c>
    </row>
    <row r="221" spans="1:42">
      <c r="A221" s="784">
        <f>+A220+1</f>
        <v>5</v>
      </c>
      <c r="B221" s="514" t="s">
        <v>643</v>
      </c>
      <c r="C221" s="1397" t="str">
        <f t="shared" si="94"/>
        <v>-</v>
      </c>
      <c r="D221" s="1397" t="str">
        <f t="shared" si="94"/>
        <v>-</v>
      </c>
      <c r="E221" s="1397" t="str">
        <f t="shared" si="94"/>
        <v>-</v>
      </c>
      <c r="F221" s="1397" t="str">
        <f t="shared" si="94"/>
        <v>-</v>
      </c>
      <c r="G221" s="1394" t="str">
        <f t="shared" si="94"/>
        <v>-</v>
      </c>
      <c r="H221" s="1397" t="str">
        <f t="shared" si="94"/>
        <v>-</v>
      </c>
      <c r="I221" s="1397" t="str">
        <f t="shared" si="94"/>
        <v>-</v>
      </c>
      <c r="J221" s="1398" t="str">
        <f t="shared" si="94"/>
        <v>-</v>
      </c>
      <c r="K221" s="1397" t="str">
        <f t="shared" si="94"/>
        <v>-</v>
      </c>
      <c r="L221" s="1397" t="str">
        <f t="shared" si="94"/>
        <v>-</v>
      </c>
      <c r="M221" s="1397">
        <f t="shared" si="94"/>
        <v>1</v>
      </c>
      <c r="N221" s="1397" t="str">
        <f t="shared" si="94"/>
        <v>-</v>
      </c>
      <c r="O221" s="1397" t="str">
        <f t="shared" si="94"/>
        <v>-</v>
      </c>
      <c r="P221" s="1397" t="str">
        <f t="shared" si="94"/>
        <v>-</v>
      </c>
      <c r="Q221" s="1397">
        <f t="shared" si="94"/>
        <v>1</v>
      </c>
      <c r="R221" s="1397" t="str">
        <f t="shared" si="94"/>
        <v>-</v>
      </c>
      <c r="S221" s="1398">
        <f t="shared" si="94"/>
        <v>1</v>
      </c>
      <c r="T221" s="1398">
        <f t="shared" si="95"/>
        <v>1</v>
      </c>
      <c r="U221" s="1430">
        <f t="shared" si="95"/>
        <v>1</v>
      </c>
      <c r="V221" s="1444" t="str">
        <f t="shared" si="95"/>
        <v>-</v>
      </c>
      <c r="W221" s="1398">
        <f t="shared" si="95"/>
        <v>1</v>
      </c>
    </row>
    <row r="222" spans="1:42">
      <c r="A222" s="784">
        <f>+A221+1</f>
        <v>6</v>
      </c>
      <c r="B222" s="514" t="s">
        <v>1481</v>
      </c>
      <c r="C222" s="1397" t="str">
        <f t="shared" si="94"/>
        <v>-</v>
      </c>
      <c r="D222" s="1397" t="str">
        <f t="shared" si="94"/>
        <v>-</v>
      </c>
      <c r="E222" s="1397">
        <f t="shared" si="94"/>
        <v>1</v>
      </c>
      <c r="F222" s="1397" t="str">
        <f t="shared" si="94"/>
        <v>-</v>
      </c>
      <c r="G222" s="1394" t="str">
        <f t="shared" si="94"/>
        <v>-</v>
      </c>
      <c r="H222" s="1397" t="str">
        <f t="shared" si="94"/>
        <v>-</v>
      </c>
      <c r="I222" s="1397" t="str">
        <f t="shared" si="94"/>
        <v>-</v>
      </c>
      <c r="J222" s="1398">
        <f t="shared" si="94"/>
        <v>1</v>
      </c>
      <c r="K222" s="1397" t="str">
        <f t="shared" si="94"/>
        <v>-</v>
      </c>
      <c r="L222" s="1397" t="str">
        <f t="shared" si="94"/>
        <v>-</v>
      </c>
      <c r="M222" s="1397">
        <f t="shared" si="94"/>
        <v>1</v>
      </c>
      <c r="N222" s="1397">
        <f t="shared" si="94"/>
        <v>0.999958702430362</v>
      </c>
      <c r="O222" s="1397" t="str">
        <f t="shared" si="94"/>
        <v>-</v>
      </c>
      <c r="P222" s="1397">
        <f t="shared" si="94"/>
        <v>1</v>
      </c>
      <c r="Q222" s="1397" t="str">
        <f t="shared" si="94"/>
        <v>-</v>
      </c>
      <c r="R222" s="1397" t="str">
        <f t="shared" si="94"/>
        <v>-</v>
      </c>
      <c r="S222" s="1398">
        <f t="shared" si="94"/>
        <v>0.99997457379320864</v>
      </c>
      <c r="T222" s="1398">
        <f t="shared" si="95"/>
        <v>0.99997456991366485</v>
      </c>
      <c r="U222" s="1430">
        <f t="shared" si="95"/>
        <v>1</v>
      </c>
      <c r="V222" s="1444" t="str">
        <f t="shared" si="95"/>
        <v>-</v>
      </c>
      <c r="W222" s="1398">
        <f t="shared" si="95"/>
        <v>1.0000454865928268</v>
      </c>
      <c r="Y222" s="837"/>
    </row>
    <row r="223" spans="1:42">
      <c r="A223" s="784">
        <f>A222+1</f>
        <v>7</v>
      </c>
      <c r="B223" s="514" t="s">
        <v>774</v>
      </c>
      <c r="C223" s="1397">
        <f t="shared" si="94"/>
        <v>1</v>
      </c>
      <c r="D223" s="1397" t="str">
        <f t="shared" si="94"/>
        <v>-</v>
      </c>
      <c r="E223" s="1397">
        <f t="shared" si="94"/>
        <v>1</v>
      </c>
      <c r="F223" s="1397" t="str">
        <f t="shared" si="94"/>
        <v>-</v>
      </c>
      <c r="G223" s="1394">
        <f t="shared" si="94"/>
        <v>1</v>
      </c>
      <c r="H223" s="1397" t="str">
        <f t="shared" si="94"/>
        <v>-</v>
      </c>
      <c r="I223" s="1397" t="str">
        <f t="shared" si="94"/>
        <v>-</v>
      </c>
      <c r="J223" s="1398">
        <f t="shared" si="94"/>
        <v>1</v>
      </c>
      <c r="K223" s="1397">
        <f t="shared" si="94"/>
        <v>1</v>
      </c>
      <c r="L223" s="1397">
        <f t="shared" si="94"/>
        <v>1</v>
      </c>
      <c r="M223" s="1397">
        <f t="shared" si="94"/>
        <v>1</v>
      </c>
      <c r="N223" s="1397" t="str">
        <f t="shared" si="94"/>
        <v>-</v>
      </c>
      <c r="O223" s="1397">
        <f t="shared" si="94"/>
        <v>1</v>
      </c>
      <c r="P223" s="1397">
        <f t="shared" si="94"/>
        <v>1</v>
      </c>
      <c r="Q223" s="1397">
        <f t="shared" si="94"/>
        <v>1</v>
      </c>
      <c r="R223" s="1397" t="str">
        <f t="shared" si="94"/>
        <v>-</v>
      </c>
      <c r="S223" s="1398">
        <f t="shared" si="94"/>
        <v>1</v>
      </c>
      <c r="T223" s="1398">
        <f t="shared" si="95"/>
        <v>1</v>
      </c>
      <c r="U223" s="1431" t="str">
        <f t="shared" si="95"/>
        <v>-</v>
      </c>
      <c r="V223" s="1445" t="str">
        <f t="shared" si="95"/>
        <v>-</v>
      </c>
      <c r="W223" s="1398">
        <f t="shared" si="95"/>
        <v>1</v>
      </c>
    </row>
    <row r="224" spans="1:42" ht="12.75" thickBot="1">
      <c r="A224" s="784">
        <f>+A223+1</f>
        <v>8</v>
      </c>
      <c r="B224" s="517" t="s">
        <v>757</v>
      </c>
      <c r="C224" s="1397">
        <f t="shared" si="94"/>
        <v>1</v>
      </c>
      <c r="D224" s="1399">
        <f t="shared" si="94"/>
        <v>0.68749640124744371</v>
      </c>
      <c r="E224" s="1399">
        <f t="shared" si="94"/>
        <v>0.85205289962903197</v>
      </c>
      <c r="F224" s="1399">
        <f t="shared" si="94"/>
        <v>0.23736208625877633</v>
      </c>
      <c r="G224" s="1394">
        <f t="shared" si="94"/>
        <v>1</v>
      </c>
      <c r="H224" s="1399">
        <f t="shared" si="94"/>
        <v>0.98814434204633839</v>
      </c>
      <c r="I224" s="1399" t="str">
        <f t="shared" si="94"/>
        <v>-</v>
      </c>
      <c r="J224" s="1398">
        <f t="shared" si="94"/>
        <v>0.8925330798495591</v>
      </c>
      <c r="K224" s="1397">
        <f t="shared" si="94"/>
        <v>0.99981013546421882</v>
      </c>
      <c r="L224" s="1397">
        <f t="shared" si="94"/>
        <v>1</v>
      </c>
      <c r="M224" s="1397">
        <f t="shared" si="94"/>
        <v>0.62367581020397123</v>
      </c>
      <c r="N224" s="1397" t="str">
        <f t="shared" si="94"/>
        <v>-</v>
      </c>
      <c r="O224" s="1397">
        <f t="shared" si="94"/>
        <v>3.5541451969274267E-2</v>
      </c>
      <c r="P224" s="1397">
        <f t="shared" si="94"/>
        <v>0.38411126884668101</v>
      </c>
      <c r="Q224" s="1397">
        <f t="shared" si="94"/>
        <v>0.18656798851209544</v>
      </c>
      <c r="R224" s="1397" t="str">
        <f t="shared" si="94"/>
        <v>-</v>
      </c>
      <c r="S224" s="1398">
        <f t="shared" si="94"/>
        <v>0.15287410534648241</v>
      </c>
      <c r="T224" s="1398">
        <f t="shared" si="95"/>
        <v>-0.99390890186947334</v>
      </c>
      <c r="U224" s="1431">
        <f t="shared" si="95"/>
        <v>1</v>
      </c>
      <c r="V224" s="1445">
        <f t="shared" si="95"/>
        <v>1</v>
      </c>
      <c r="W224" s="1398">
        <f t="shared" si="95"/>
        <v>3.9042252485710609</v>
      </c>
    </row>
    <row r="225" spans="1:42" s="507" customFormat="1" ht="12.75" thickBot="1">
      <c r="A225" s="519" t="s">
        <v>587</v>
      </c>
      <c r="B225" s="520" t="s">
        <v>410</v>
      </c>
      <c r="C225" s="1400">
        <f t="shared" si="94"/>
        <v>1</v>
      </c>
      <c r="D225" s="1401">
        <f t="shared" si="94"/>
        <v>0.68749640124744371</v>
      </c>
      <c r="E225" s="1401">
        <f t="shared" si="94"/>
        <v>0.86965312849110432</v>
      </c>
      <c r="F225" s="1401">
        <f t="shared" si="94"/>
        <v>0.23736208625877633</v>
      </c>
      <c r="G225" s="1401">
        <f t="shared" si="94"/>
        <v>1</v>
      </c>
      <c r="H225" s="1401">
        <f t="shared" si="94"/>
        <v>0.98814434204633839</v>
      </c>
      <c r="I225" s="1402" t="str">
        <f t="shared" si="94"/>
        <v>-</v>
      </c>
      <c r="J225" s="1403">
        <f t="shared" si="94"/>
        <v>0.91133784625190961</v>
      </c>
      <c r="K225" s="1400">
        <f t="shared" si="94"/>
        <v>0.99991443516045264</v>
      </c>
      <c r="L225" s="1400">
        <f t="shared" si="94"/>
        <v>1</v>
      </c>
      <c r="M225" s="1400">
        <f t="shared" si="94"/>
        <v>0.79803208365677025</v>
      </c>
      <c r="N225" s="1400">
        <f t="shared" si="94"/>
        <v>0.999958702430362</v>
      </c>
      <c r="O225" s="1400">
        <f t="shared" si="94"/>
        <v>3.9615792324102263E-2</v>
      </c>
      <c r="P225" s="1400">
        <f t="shared" si="94"/>
        <v>0.86004716495777123</v>
      </c>
      <c r="Q225" s="1400">
        <f t="shared" si="94"/>
        <v>0.93177830357357916</v>
      </c>
      <c r="R225" s="1400" t="str">
        <f t="shared" si="94"/>
        <v>-</v>
      </c>
      <c r="S225" s="1403">
        <f t="shared" si="94"/>
        <v>0.43545353795078051</v>
      </c>
      <c r="T225" s="1403">
        <f t="shared" si="95"/>
        <v>-2.3693708439809336E-2</v>
      </c>
      <c r="U225" s="1432">
        <f t="shared" si="95"/>
        <v>1</v>
      </c>
      <c r="V225" s="1402">
        <f t="shared" si="95"/>
        <v>1</v>
      </c>
      <c r="W225" s="1403">
        <f t="shared" si="95"/>
        <v>-20.176130576947131</v>
      </c>
      <c r="AA225" s="261"/>
      <c r="AB225" s="261"/>
      <c r="AC225" s="261"/>
      <c r="AD225" s="261"/>
      <c r="AE225" s="261"/>
      <c r="AF225" s="261"/>
      <c r="AG225" s="261"/>
      <c r="AH225" s="261"/>
      <c r="AI225" s="261"/>
      <c r="AJ225" s="261"/>
      <c r="AK225" s="261"/>
      <c r="AL225" s="261"/>
      <c r="AM225" s="261"/>
      <c r="AN225" s="261"/>
      <c r="AO225" s="261"/>
      <c r="AP225" s="261"/>
    </row>
    <row r="226" spans="1:42" ht="12.75">
      <c r="A226" s="784">
        <f>+A224+1</f>
        <v>9</v>
      </c>
      <c r="B226" s="517" t="s">
        <v>772</v>
      </c>
      <c r="C226" s="1399">
        <f t="shared" si="94"/>
        <v>1</v>
      </c>
      <c r="D226" s="1399" t="str">
        <f t="shared" si="94"/>
        <v>-</v>
      </c>
      <c r="E226" s="1399" t="str">
        <f t="shared" si="94"/>
        <v>-</v>
      </c>
      <c r="F226" s="1399" t="str">
        <f t="shared" si="94"/>
        <v>-</v>
      </c>
      <c r="G226" s="1399" t="str">
        <f t="shared" si="94"/>
        <v>-</v>
      </c>
      <c r="H226" s="1399" t="str">
        <f t="shared" si="94"/>
        <v>-</v>
      </c>
      <c r="I226" s="1399" t="str">
        <f t="shared" si="94"/>
        <v>-</v>
      </c>
      <c r="J226" s="1405">
        <f t="shared" si="94"/>
        <v>1</v>
      </c>
      <c r="K226" s="1397" t="str">
        <f t="shared" si="94"/>
        <v>-</v>
      </c>
      <c r="L226" s="1397" t="str">
        <f t="shared" si="94"/>
        <v>-</v>
      </c>
      <c r="M226" s="1397">
        <f t="shared" si="94"/>
        <v>1</v>
      </c>
      <c r="N226" s="1397" t="str">
        <f t="shared" si="94"/>
        <v>-</v>
      </c>
      <c r="O226" s="1397">
        <f t="shared" si="94"/>
        <v>1</v>
      </c>
      <c r="P226" s="1397" t="str">
        <f t="shared" si="94"/>
        <v>-</v>
      </c>
      <c r="Q226" s="1397" t="str">
        <f t="shared" si="94"/>
        <v>-</v>
      </c>
      <c r="R226" s="1397" t="str">
        <f t="shared" si="94"/>
        <v>-</v>
      </c>
      <c r="S226" s="1398">
        <f t="shared" si="94"/>
        <v>1</v>
      </c>
      <c r="T226" s="1398">
        <f t="shared" si="95"/>
        <v>1</v>
      </c>
      <c r="U226" s="1433" t="str">
        <f t="shared" si="95"/>
        <v>-</v>
      </c>
      <c r="V226" s="1446" t="str">
        <f t="shared" si="95"/>
        <v>-</v>
      </c>
      <c r="W226" s="1398">
        <f t="shared" si="95"/>
        <v>1</v>
      </c>
    </row>
    <row r="227" spans="1:42" ht="12.75" thickBot="1">
      <c r="A227" s="784">
        <f>+A226+1</f>
        <v>10</v>
      </c>
      <c r="B227" s="517" t="s">
        <v>758</v>
      </c>
      <c r="C227" s="1399" t="str">
        <f t="shared" si="94"/>
        <v>-</v>
      </c>
      <c r="D227" s="1399" t="str">
        <f t="shared" si="94"/>
        <v>-</v>
      </c>
      <c r="E227" s="1399" t="str">
        <f t="shared" si="94"/>
        <v>-</v>
      </c>
      <c r="F227" s="1399" t="str">
        <f t="shared" si="94"/>
        <v>-</v>
      </c>
      <c r="G227" s="1399" t="str">
        <f t="shared" si="94"/>
        <v>-</v>
      </c>
      <c r="H227" s="1399" t="str">
        <f t="shared" si="94"/>
        <v>-</v>
      </c>
      <c r="I227" s="1399">
        <f t="shared" si="94"/>
        <v>0.11620581029051452</v>
      </c>
      <c r="J227" s="1405">
        <f t="shared" si="94"/>
        <v>0.11620581029051452</v>
      </c>
      <c r="K227" s="1397" t="str">
        <f t="shared" si="94"/>
        <v>-</v>
      </c>
      <c r="L227" s="1397" t="str">
        <f t="shared" si="94"/>
        <v>-</v>
      </c>
      <c r="M227" s="1397">
        <f t="shared" si="94"/>
        <v>1</v>
      </c>
      <c r="N227" s="1397" t="str">
        <f t="shared" si="94"/>
        <v>-</v>
      </c>
      <c r="O227" s="1397">
        <f t="shared" si="94"/>
        <v>0.68354430379746833</v>
      </c>
      <c r="P227" s="1397">
        <f t="shared" si="94"/>
        <v>1</v>
      </c>
      <c r="Q227" s="1397" t="str">
        <f t="shared" si="94"/>
        <v>-</v>
      </c>
      <c r="R227" s="1397" t="str">
        <f t="shared" si="94"/>
        <v>-</v>
      </c>
      <c r="S227" s="1398">
        <f t="shared" si="94"/>
        <v>0.99849245473595349</v>
      </c>
      <c r="T227" s="1398">
        <f t="shared" si="95"/>
        <v>1.0816575661096355</v>
      </c>
      <c r="U227" s="1431" t="str">
        <f t="shared" si="95"/>
        <v>-</v>
      </c>
      <c r="V227" s="1445" t="str">
        <f t="shared" si="95"/>
        <v>-</v>
      </c>
      <c r="W227" s="1398">
        <f t="shared" si="95"/>
        <v>1.0816575661096355</v>
      </c>
    </row>
    <row r="228" spans="1:42" s="507" customFormat="1" ht="12.75" thickBot="1">
      <c r="A228" s="519" t="s">
        <v>588</v>
      </c>
      <c r="B228" s="520" t="s">
        <v>411</v>
      </c>
      <c r="C228" s="1400">
        <f t="shared" si="94"/>
        <v>1</v>
      </c>
      <c r="D228" s="1401" t="str">
        <f t="shared" si="94"/>
        <v>-</v>
      </c>
      <c r="E228" s="1401" t="str">
        <f t="shared" si="94"/>
        <v>-</v>
      </c>
      <c r="F228" s="1401" t="str">
        <f t="shared" si="94"/>
        <v>-</v>
      </c>
      <c r="G228" s="1401" t="str">
        <f t="shared" si="94"/>
        <v>-</v>
      </c>
      <c r="H228" s="1401" t="str">
        <f t="shared" si="94"/>
        <v>-</v>
      </c>
      <c r="I228" s="1404">
        <f t="shared" si="94"/>
        <v>0.11620581029051452</v>
      </c>
      <c r="J228" s="1403">
        <f t="shared" si="94"/>
        <v>0.13512587771878745</v>
      </c>
      <c r="K228" s="1400" t="str">
        <f t="shared" si="94"/>
        <v>-</v>
      </c>
      <c r="L228" s="1400" t="str">
        <f t="shared" si="94"/>
        <v>-</v>
      </c>
      <c r="M228" s="1400">
        <f t="shared" si="94"/>
        <v>1</v>
      </c>
      <c r="N228" s="1400" t="str">
        <f t="shared" si="94"/>
        <v>-</v>
      </c>
      <c r="O228" s="1400">
        <f t="shared" si="94"/>
        <v>0.83896940418679544</v>
      </c>
      <c r="P228" s="1400">
        <f t="shared" si="94"/>
        <v>1</v>
      </c>
      <c r="Q228" s="1400" t="str">
        <f t="shared" si="94"/>
        <v>-</v>
      </c>
      <c r="R228" s="1400" t="str">
        <f t="shared" si="94"/>
        <v>-</v>
      </c>
      <c r="S228" s="1403">
        <f t="shared" si="94"/>
        <v>0.99856253683499363</v>
      </c>
      <c r="T228" s="1403">
        <f t="shared" si="95"/>
        <v>1.077673863921667</v>
      </c>
      <c r="U228" s="1432" t="str">
        <f t="shared" si="95"/>
        <v>-</v>
      </c>
      <c r="V228" s="1402" t="str">
        <f t="shared" si="95"/>
        <v>-</v>
      </c>
      <c r="W228" s="1403">
        <f t="shared" si="95"/>
        <v>1.077673863921667</v>
      </c>
      <c r="AA228" s="261"/>
      <c r="AB228" s="261"/>
      <c r="AC228" s="261"/>
      <c r="AD228" s="261"/>
      <c r="AE228" s="261"/>
      <c r="AF228" s="261"/>
      <c r="AG228" s="261"/>
      <c r="AH228" s="261"/>
      <c r="AI228" s="261"/>
      <c r="AJ228" s="261"/>
      <c r="AK228" s="261"/>
      <c r="AL228" s="261"/>
      <c r="AM228" s="261"/>
      <c r="AN228" s="261"/>
      <c r="AO228" s="261"/>
      <c r="AP228" s="261"/>
    </row>
    <row r="229" spans="1:42" ht="12.75" thickBot="1">
      <c r="A229" s="784">
        <f>+A227+1</f>
        <v>11</v>
      </c>
      <c r="B229" s="526" t="s">
        <v>412</v>
      </c>
      <c r="C229" s="1406" t="str">
        <f t="shared" si="94"/>
        <v>-</v>
      </c>
      <c r="D229" s="1406" t="str">
        <f t="shared" si="94"/>
        <v>-</v>
      </c>
      <c r="E229" s="1406" t="str">
        <f t="shared" si="94"/>
        <v>-</v>
      </c>
      <c r="F229" s="1406" t="str">
        <f t="shared" si="94"/>
        <v>-</v>
      </c>
      <c r="G229" s="1406" t="str">
        <f t="shared" si="94"/>
        <v>-</v>
      </c>
      <c r="H229" s="1406" t="str">
        <f t="shared" si="94"/>
        <v>-</v>
      </c>
      <c r="I229" s="1406" t="str">
        <f t="shared" si="94"/>
        <v>-</v>
      </c>
      <c r="J229" s="1407" t="str">
        <f t="shared" si="94"/>
        <v>-</v>
      </c>
      <c r="K229" s="1397" t="str">
        <f t="shared" si="94"/>
        <v>-</v>
      </c>
      <c r="L229" s="1397" t="str">
        <f t="shared" si="94"/>
        <v>-</v>
      </c>
      <c r="M229" s="1397" t="str">
        <f t="shared" si="94"/>
        <v>-</v>
      </c>
      <c r="N229" s="1397" t="str">
        <f t="shared" si="94"/>
        <v>-</v>
      </c>
      <c r="O229" s="1397" t="str">
        <f t="shared" si="94"/>
        <v>-</v>
      </c>
      <c r="P229" s="1397" t="str">
        <f t="shared" si="94"/>
        <v>-</v>
      </c>
      <c r="Q229" s="1397" t="str">
        <f t="shared" si="94"/>
        <v>-</v>
      </c>
      <c r="R229" s="1397" t="str">
        <f t="shared" si="94"/>
        <v>-</v>
      </c>
      <c r="S229" s="1398" t="str">
        <f t="shared" si="94"/>
        <v>-</v>
      </c>
      <c r="T229" s="1398" t="str">
        <f t="shared" si="95"/>
        <v>-</v>
      </c>
      <c r="U229" s="1431" t="str">
        <f t="shared" si="95"/>
        <v>-</v>
      </c>
      <c r="V229" s="1445" t="str">
        <f t="shared" si="95"/>
        <v>-</v>
      </c>
      <c r="W229" s="1398" t="str">
        <f t="shared" si="95"/>
        <v>-</v>
      </c>
    </row>
    <row r="230" spans="1:42" s="507" customFormat="1" ht="12.75" thickBot="1">
      <c r="A230" s="519" t="s">
        <v>589</v>
      </c>
      <c r="B230" s="520" t="s">
        <v>412</v>
      </c>
      <c r="C230" s="1400" t="str">
        <f t="shared" si="94"/>
        <v>-</v>
      </c>
      <c r="D230" s="1401" t="str">
        <f t="shared" si="94"/>
        <v>-</v>
      </c>
      <c r="E230" s="1401" t="str">
        <f t="shared" si="94"/>
        <v>-</v>
      </c>
      <c r="F230" s="1401" t="str">
        <f t="shared" si="94"/>
        <v>-</v>
      </c>
      <c r="G230" s="1401" t="str">
        <f t="shared" si="94"/>
        <v>-</v>
      </c>
      <c r="H230" s="1401" t="str">
        <f t="shared" si="94"/>
        <v>-</v>
      </c>
      <c r="I230" s="1404" t="str">
        <f t="shared" si="94"/>
        <v>-</v>
      </c>
      <c r="J230" s="1403" t="str">
        <f t="shared" si="94"/>
        <v>-</v>
      </c>
      <c r="K230" s="1400" t="str">
        <f t="shared" si="94"/>
        <v>-</v>
      </c>
      <c r="L230" s="1400" t="str">
        <f t="shared" si="94"/>
        <v>-</v>
      </c>
      <c r="M230" s="1400" t="str">
        <f t="shared" si="94"/>
        <v>-</v>
      </c>
      <c r="N230" s="1400" t="str">
        <f t="shared" si="94"/>
        <v>-</v>
      </c>
      <c r="O230" s="1400" t="str">
        <f t="shared" si="94"/>
        <v>-</v>
      </c>
      <c r="P230" s="1400" t="str">
        <f t="shared" si="94"/>
        <v>-</v>
      </c>
      <c r="Q230" s="1400" t="str">
        <f t="shared" si="94"/>
        <v>-</v>
      </c>
      <c r="R230" s="1400" t="str">
        <f t="shared" si="94"/>
        <v>-</v>
      </c>
      <c r="S230" s="1403" t="str">
        <f t="shared" si="94"/>
        <v>-</v>
      </c>
      <c r="T230" s="1403" t="str">
        <f t="shared" si="95"/>
        <v>-</v>
      </c>
      <c r="U230" s="1432" t="str">
        <f t="shared" si="95"/>
        <v>-</v>
      </c>
      <c r="V230" s="1402" t="str">
        <f t="shared" si="95"/>
        <v>-</v>
      </c>
      <c r="W230" s="1403" t="str">
        <f t="shared" si="95"/>
        <v>-</v>
      </c>
      <c r="AA230" s="261"/>
      <c r="AB230" s="261"/>
      <c r="AC230" s="261"/>
      <c r="AD230" s="261"/>
      <c r="AE230" s="261"/>
      <c r="AF230" s="261"/>
      <c r="AG230" s="261"/>
      <c r="AH230" s="261"/>
      <c r="AI230" s="261"/>
      <c r="AJ230" s="261"/>
      <c r="AK230" s="261"/>
      <c r="AL230" s="261"/>
      <c r="AM230" s="261"/>
      <c r="AN230" s="261"/>
      <c r="AO230" s="261"/>
      <c r="AP230" s="261"/>
    </row>
    <row r="231" spans="1:42" s="507" customFormat="1" ht="12.75" thickBot="1">
      <c r="A231" s="528" t="s">
        <v>23</v>
      </c>
      <c r="B231" s="529" t="s">
        <v>413</v>
      </c>
      <c r="C231" s="1408">
        <f t="shared" si="94"/>
        <v>1</v>
      </c>
      <c r="D231" s="1409">
        <f t="shared" si="94"/>
        <v>0.68749640124744371</v>
      </c>
      <c r="E231" s="1409">
        <f t="shared" si="94"/>
        <v>0.86965312849110432</v>
      </c>
      <c r="F231" s="1409">
        <f t="shared" si="94"/>
        <v>0.23736208625877633</v>
      </c>
      <c r="G231" s="1409">
        <f t="shared" si="94"/>
        <v>1</v>
      </c>
      <c r="H231" s="1409">
        <f t="shared" si="94"/>
        <v>0.98814434204633839</v>
      </c>
      <c r="I231" s="1410">
        <f t="shared" si="94"/>
        <v>0.11620581029051452</v>
      </c>
      <c r="J231" s="1411">
        <f t="shared" si="94"/>
        <v>0.90931437985240215</v>
      </c>
      <c r="K231" s="1408">
        <f t="shared" si="94"/>
        <v>0.99991443516045264</v>
      </c>
      <c r="L231" s="1408">
        <f t="shared" si="94"/>
        <v>1</v>
      </c>
      <c r="M231" s="1408">
        <f t="shared" si="94"/>
        <v>0.8004811369825291</v>
      </c>
      <c r="N231" s="1408">
        <f t="shared" si="94"/>
        <v>0.999958702430362</v>
      </c>
      <c r="O231" s="1408">
        <f t="shared" si="94"/>
        <v>3.9820647789151793E-2</v>
      </c>
      <c r="P231" s="1408">
        <f t="shared" si="94"/>
        <v>0.87125455529219742</v>
      </c>
      <c r="Q231" s="1408">
        <f t="shared" si="94"/>
        <v>0.93177830357357916</v>
      </c>
      <c r="R231" s="1408" t="str">
        <f t="shared" si="94"/>
        <v>-</v>
      </c>
      <c r="S231" s="1411">
        <f t="shared" si="94"/>
        <v>0.44393443261785664</v>
      </c>
      <c r="T231" s="1411">
        <f t="shared" si="95"/>
        <v>5.8070061512402304E-3</v>
      </c>
      <c r="U231" s="1434">
        <f t="shared" si="95"/>
        <v>1</v>
      </c>
      <c r="V231" s="1447">
        <f t="shared" si="95"/>
        <v>1</v>
      </c>
      <c r="W231" s="1411">
        <f t="shared" si="95"/>
        <v>-12.465513315344241</v>
      </c>
      <c r="AA231" s="261"/>
      <c r="AB231" s="261"/>
      <c r="AC231" s="261"/>
      <c r="AD231" s="261"/>
      <c r="AE231" s="261"/>
      <c r="AF231" s="261"/>
      <c r="AG231" s="261"/>
      <c r="AH231" s="261"/>
      <c r="AI231" s="261"/>
      <c r="AJ231" s="261"/>
      <c r="AK231" s="261"/>
      <c r="AL231" s="261"/>
      <c r="AM231" s="261"/>
      <c r="AN231" s="261"/>
      <c r="AO231" s="261"/>
      <c r="AP231" s="261"/>
    </row>
    <row r="232" spans="1:42" s="507" customFormat="1" ht="12.75" thickBot="1">
      <c r="A232" s="539"/>
      <c r="B232" s="540"/>
      <c r="C232" s="1412" t="str">
        <f t="shared" si="94"/>
        <v>-</v>
      </c>
      <c r="D232" s="1412" t="str">
        <f t="shared" si="94"/>
        <v>-</v>
      </c>
      <c r="E232" s="1412" t="str">
        <f t="shared" si="94"/>
        <v>-</v>
      </c>
      <c r="F232" s="1412" t="str">
        <f t="shared" si="94"/>
        <v>-</v>
      </c>
      <c r="G232" s="1412" t="str">
        <f t="shared" si="94"/>
        <v>-</v>
      </c>
      <c r="H232" s="1412" t="str">
        <f t="shared" si="94"/>
        <v>-</v>
      </c>
      <c r="I232" s="1413" t="str">
        <f t="shared" si="94"/>
        <v>-</v>
      </c>
      <c r="J232" s="1414" t="str">
        <f t="shared" si="94"/>
        <v>-</v>
      </c>
      <c r="K232" s="1412" t="str">
        <f t="shared" si="94"/>
        <v>-</v>
      </c>
      <c r="L232" s="1412" t="str">
        <f t="shared" si="94"/>
        <v>-</v>
      </c>
      <c r="M232" s="1412" t="str">
        <f t="shared" si="94"/>
        <v>-</v>
      </c>
      <c r="N232" s="1412" t="str">
        <f t="shared" si="94"/>
        <v>-</v>
      </c>
      <c r="O232" s="1412" t="str">
        <f t="shared" si="94"/>
        <v>-</v>
      </c>
      <c r="P232" s="1412" t="str">
        <f t="shared" si="94"/>
        <v>-</v>
      </c>
      <c r="Q232" s="1412" t="str">
        <f t="shared" si="94"/>
        <v>-</v>
      </c>
      <c r="R232" s="1412" t="str">
        <f t="shared" si="94"/>
        <v>-</v>
      </c>
      <c r="S232" s="1414" t="str">
        <f t="shared" si="94"/>
        <v>-</v>
      </c>
      <c r="T232" s="1414" t="str">
        <f t="shared" si="95"/>
        <v>-</v>
      </c>
      <c r="U232" s="1413" t="str">
        <f t="shared" si="95"/>
        <v>-</v>
      </c>
      <c r="V232" s="1448" t="str">
        <f t="shared" si="95"/>
        <v>-</v>
      </c>
      <c r="W232" s="1414" t="str">
        <f t="shared" si="95"/>
        <v>-</v>
      </c>
      <c r="AA232" s="261"/>
      <c r="AB232" s="261"/>
      <c r="AC232" s="261"/>
      <c r="AD232" s="261"/>
      <c r="AE232" s="261"/>
      <c r="AF232" s="261"/>
      <c r="AG232" s="261"/>
      <c r="AH232" s="261"/>
      <c r="AI232" s="261"/>
      <c r="AJ232" s="261"/>
      <c r="AK232" s="261"/>
      <c r="AL232" s="261"/>
      <c r="AM232" s="261"/>
      <c r="AN232" s="261"/>
      <c r="AO232" s="261"/>
      <c r="AP232" s="261"/>
    </row>
    <row r="233" spans="1:42">
      <c r="A233" s="824">
        <f>+A229+1</f>
        <v>12</v>
      </c>
      <c r="B233" s="825" t="s">
        <v>773</v>
      </c>
      <c r="C233" s="1406">
        <f t="shared" ref="C233:S247" si="96">IF(ISERROR(C163/C93),"-",C163/C93)</f>
        <v>1</v>
      </c>
      <c r="D233" s="1406">
        <f t="shared" si="96"/>
        <v>0.5</v>
      </c>
      <c r="E233" s="1406">
        <f t="shared" si="96"/>
        <v>1</v>
      </c>
      <c r="F233" s="1406" t="str">
        <f t="shared" si="96"/>
        <v>-</v>
      </c>
      <c r="G233" s="1406" t="str">
        <f t="shared" si="96"/>
        <v>-</v>
      </c>
      <c r="H233" s="1406" t="str">
        <f t="shared" si="96"/>
        <v>-</v>
      </c>
      <c r="I233" s="1406" t="str">
        <f t="shared" si="96"/>
        <v>-</v>
      </c>
      <c r="J233" s="1396">
        <f t="shared" si="96"/>
        <v>0.9996646995708155</v>
      </c>
      <c r="K233" s="1394">
        <f t="shared" si="96"/>
        <v>1</v>
      </c>
      <c r="L233" s="1394">
        <f t="shared" si="96"/>
        <v>1</v>
      </c>
      <c r="M233" s="1394">
        <f t="shared" si="96"/>
        <v>0.82090153613699324</v>
      </c>
      <c r="N233" s="1394" t="str">
        <f t="shared" si="96"/>
        <v>-</v>
      </c>
      <c r="O233" s="1394" t="str">
        <f t="shared" si="96"/>
        <v>-</v>
      </c>
      <c r="P233" s="1394">
        <f t="shared" si="96"/>
        <v>1</v>
      </c>
      <c r="Q233" s="1394" t="str">
        <f t="shared" si="96"/>
        <v>-</v>
      </c>
      <c r="R233" s="1394" t="str">
        <f t="shared" si="96"/>
        <v>-</v>
      </c>
      <c r="S233" s="1396">
        <f t="shared" si="96"/>
        <v>0.97168293809425221</v>
      </c>
      <c r="T233" s="1396">
        <f t="shared" ref="T233:U248" si="97">IF(ISERROR(T163/T93),"-",T163/T93)</f>
        <v>0.9699166962970488</v>
      </c>
      <c r="U233" s="1430">
        <f t="shared" si="97"/>
        <v>1</v>
      </c>
      <c r="V233" s="1444">
        <f t="shared" ref="V233:W252" si="98">IF(ISERROR(V163/V93),"-",V163/V93)</f>
        <v>1</v>
      </c>
      <c r="W233" s="1396">
        <f t="shared" si="98"/>
        <v>0.9314399822498336</v>
      </c>
    </row>
    <row r="234" spans="1:42">
      <c r="A234" s="784">
        <f>+A233+1</f>
        <v>13</v>
      </c>
      <c r="B234" s="514" t="s">
        <v>774</v>
      </c>
      <c r="C234" s="1399">
        <f t="shared" si="96"/>
        <v>1</v>
      </c>
      <c r="D234" s="1399" t="str">
        <f t="shared" si="96"/>
        <v>-</v>
      </c>
      <c r="E234" s="1399" t="str">
        <f t="shared" si="96"/>
        <v>-</v>
      </c>
      <c r="F234" s="1399" t="str">
        <f t="shared" si="96"/>
        <v>-</v>
      </c>
      <c r="G234" s="1399" t="str">
        <f t="shared" si="96"/>
        <v>-</v>
      </c>
      <c r="H234" s="1399" t="str">
        <f t="shared" si="96"/>
        <v>-</v>
      </c>
      <c r="I234" s="1399" t="str">
        <f t="shared" si="96"/>
        <v>-</v>
      </c>
      <c r="J234" s="1398">
        <f t="shared" si="96"/>
        <v>1</v>
      </c>
      <c r="K234" s="1397">
        <f t="shared" si="96"/>
        <v>1</v>
      </c>
      <c r="L234" s="1397">
        <f t="shared" si="96"/>
        <v>1</v>
      </c>
      <c r="M234" s="1397">
        <f t="shared" si="96"/>
        <v>1</v>
      </c>
      <c r="N234" s="1397" t="str">
        <f t="shared" si="96"/>
        <v>-</v>
      </c>
      <c r="O234" s="1397" t="str">
        <f t="shared" si="96"/>
        <v>-</v>
      </c>
      <c r="P234" s="1397" t="str">
        <f t="shared" si="96"/>
        <v>-</v>
      </c>
      <c r="Q234" s="1397" t="str">
        <f t="shared" si="96"/>
        <v>-</v>
      </c>
      <c r="R234" s="1397" t="str">
        <f t="shared" si="96"/>
        <v>-</v>
      </c>
      <c r="S234" s="1398">
        <f t="shared" si="96"/>
        <v>1</v>
      </c>
      <c r="T234" s="1398">
        <f t="shared" si="97"/>
        <v>1</v>
      </c>
      <c r="U234" s="1431" t="str">
        <f t="shared" si="97"/>
        <v>-</v>
      </c>
      <c r="V234" s="1445" t="str">
        <f t="shared" si="98"/>
        <v>-</v>
      </c>
      <c r="W234" s="1398">
        <f t="shared" si="98"/>
        <v>1</v>
      </c>
    </row>
    <row r="235" spans="1:42" ht="12.75" thickBot="1">
      <c r="A235" s="784">
        <f>+A234+1</f>
        <v>14</v>
      </c>
      <c r="B235" s="517" t="s">
        <v>759</v>
      </c>
      <c r="C235" s="1399" t="str">
        <f t="shared" si="96"/>
        <v>-</v>
      </c>
      <c r="D235" s="1399" t="str">
        <f t="shared" si="96"/>
        <v>-</v>
      </c>
      <c r="E235" s="1399">
        <f t="shared" si="96"/>
        <v>1</v>
      </c>
      <c r="F235" s="1399" t="str">
        <f t="shared" si="96"/>
        <v>-</v>
      </c>
      <c r="G235" s="1399" t="str">
        <f t="shared" si="96"/>
        <v>-</v>
      </c>
      <c r="H235" s="1399" t="str">
        <f t="shared" si="96"/>
        <v>-</v>
      </c>
      <c r="I235" s="1399" t="str">
        <f t="shared" si="96"/>
        <v>-</v>
      </c>
      <c r="J235" s="1398">
        <f t="shared" si="96"/>
        <v>1</v>
      </c>
      <c r="K235" s="1397">
        <f t="shared" si="96"/>
        <v>1</v>
      </c>
      <c r="L235" s="1397">
        <f t="shared" si="96"/>
        <v>1</v>
      </c>
      <c r="M235" s="1397">
        <f t="shared" si="96"/>
        <v>1</v>
      </c>
      <c r="N235" s="1397" t="str">
        <f t="shared" si="96"/>
        <v>-</v>
      </c>
      <c r="O235" s="1397">
        <f t="shared" si="96"/>
        <v>1</v>
      </c>
      <c r="P235" s="1397" t="str">
        <f t="shared" si="96"/>
        <v>-</v>
      </c>
      <c r="Q235" s="1397" t="str">
        <f t="shared" si="96"/>
        <v>-</v>
      </c>
      <c r="R235" s="1397" t="str">
        <f t="shared" si="96"/>
        <v>-</v>
      </c>
      <c r="S235" s="1398">
        <f t="shared" si="96"/>
        <v>1</v>
      </c>
      <c r="T235" s="1398">
        <f t="shared" si="97"/>
        <v>1</v>
      </c>
      <c r="U235" s="1431" t="str">
        <f t="shared" si="97"/>
        <v>-</v>
      </c>
      <c r="V235" s="1445" t="str">
        <f t="shared" si="98"/>
        <v>-</v>
      </c>
      <c r="W235" s="1398">
        <f t="shared" si="98"/>
        <v>1</v>
      </c>
    </row>
    <row r="236" spans="1:42" s="507" customFormat="1" ht="12.75" thickBot="1">
      <c r="A236" s="519" t="s">
        <v>590</v>
      </c>
      <c r="B236" s="520" t="s">
        <v>865</v>
      </c>
      <c r="C236" s="1400">
        <f t="shared" si="96"/>
        <v>1</v>
      </c>
      <c r="D236" s="1401">
        <f t="shared" si="96"/>
        <v>0.5</v>
      </c>
      <c r="E236" s="1401">
        <f t="shared" si="96"/>
        <v>1</v>
      </c>
      <c r="F236" s="1401" t="str">
        <f t="shared" si="96"/>
        <v>-</v>
      </c>
      <c r="G236" s="1401" t="str">
        <f t="shared" si="96"/>
        <v>-</v>
      </c>
      <c r="H236" s="1401" t="str">
        <f t="shared" si="96"/>
        <v>-</v>
      </c>
      <c r="I236" s="1402" t="str">
        <f t="shared" si="96"/>
        <v>-</v>
      </c>
      <c r="J236" s="1403">
        <f t="shared" si="96"/>
        <v>0.99991293748911714</v>
      </c>
      <c r="K236" s="1400">
        <f t="shared" si="96"/>
        <v>1</v>
      </c>
      <c r="L236" s="1400">
        <f t="shared" si="96"/>
        <v>1</v>
      </c>
      <c r="M236" s="1400">
        <f t="shared" si="96"/>
        <v>0.88208767159625967</v>
      </c>
      <c r="N236" s="1400" t="str">
        <f t="shared" si="96"/>
        <v>-</v>
      </c>
      <c r="O236" s="1400">
        <f t="shared" si="96"/>
        <v>1</v>
      </c>
      <c r="P236" s="1400">
        <f t="shared" si="96"/>
        <v>1</v>
      </c>
      <c r="Q236" s="1400" t="str">
        <f t="shared" si="96"/>
        <v>-</v>
      </c>
      <c r="R236" s="1400" t="str">
        <f t="shared" si="96"/>
        <v>-</v>
      </c>
      <c r="S236" s="1403">
        <f t="shared" si="96"/>
        <v>0.98305238224598823</v>
      </c>
      <c r="T236" s="1403">
        <f t="shared" si="97"/>
        <v>0.98037911080681139</v>
      </c>
      <c r="U236" s="1432">
        <f t="shared" si="97"/>
        <v>1</v>
      </c>
      <c r="V236" s="1402">
        <f t="shared" si="98"/>
        <v>1</v>
      </c>
      <c r="W236" s="1403">
        <f t="shared" si="98"/>
        <v>0.969050615547417</v>
      </c>
      <c r="AA236" s="261"/>
      <c r="AB236" s="261"/>
      <c r="AC236" s="261"/>
      <c r="AD236" s="261"/>
      <c r="AE236" s="261"/>
      <c r="AF236" s="261"/>
      <c r="AG236" s="261"/>
      <c r="AH236" s="261"/>
      <c r="AI236" s="261"/>
      <c r="AJ236" s="261"/>
      <c r="AK236" s="261"/>
      <c r="AL236" s="261"/>
      <c r="AM236" s="261"/>
      <c r="AN236" s="261"/>
      <c r="AO236" s="261"/>
      <c r="AP236" s="261"/>
    </row>
    <row r="237" spans="1:42">
      <c r="A237" s="784">
        <f>+A235+1</f>
        <v>15</v>
      </c>
      <c r="B237" s="538" t="s">
        <v>416</v>
      </c>
      <c r="C237" s="1394" t="str">
        <f t="shared" si="96"/>
        <v>-</v>
      </c>
      <c r="D237" s="1394" t="str">
        <f t="shared" si="96"/>
        <v>-</v>
      </c>
      <c r="E237" s="1394">
        <f t="shared" si="96"/>
        <v>0.9827664557625756</v>
      </c>
      <c r="F237" s="1394" t="str">
        <f t="shared" si="96"/>
        <v>-</v>
      </c>
      <c r="G237" s="1394" t="str">
        <f t="shared" si="96"/>
        <v>-</v>
      </c>
      <c r="H237" s="1394" t="str">
        <f t="shared" si="96"/>
        <v>-</v>
      </c>
      <c r="I237" s="1394" t="str">
        <f t="shared" si="96"/>
        <v>-</v>
      </c>
      <c r="J237" s="1398">
        <f t="shared" si="96"/>
        <v>0.9827664557625756</v>
      </c>
      <c r="K237" s="1397">
        <f t="shared" si="96"/>
        <v>1</v>
      </c>
      <c r="L237" s="1397">
        <f t="shared" si="96"/>
        <v>1</v>
      </c>
      <c r="M237" s="1397">
        <f t="shared" si="96"/>
        <v>1</v>
      </c>
      <c r="N237" s="1397" t="str">
        <f t="shared" si="96"/>
        <v>-</v>
      </c>
      <c r="O237" s="1397" t="str">
        <f t="shared" si="96"/>
        <v>-</v>
      </c>
      <c r="P237" s="1397">
        <f t="shared" si="96"/>
        <v>1</v>
      </c>
      <c r="Q237" s="1397" t="str">
        <f t="shared" si="96"/>
        <v>-</v>
      </c>
      <c r="R237" s="1397" t="str">
        <f t="shared" si="96"/>
        <v>-</v>
      </c>
      <c r="S237" s="1398">
        <f t="shared" si="96"/>
        <v>1</v>
      </c>
      <c r="T237" s="1398">
        <f t="shared" si="97"/>
        <v>1.0368901526489076</v>
      </c>
      <c r="U237" s="1431" t="str">
        <f t="shared" si="97"/>
        <v>-</v>
      </c>
      <c r="V237" s="1445" t="str">
        <f t="shared" si="98"/>
        <v>-</v>
      </c>
      <c r="W237" s="1398">
        <f t="shared" si="98"/>
        <v>1.0368901526489076</v>
      </c>
    </row>
    <row r="238" spans="1:42">
      <c r="A238" s="784">
        <f>+A237+1</f>
        <v>16</v>
      </c>
      <c r="B238" s="517" t="s">
        <v>647</v>
      </c>
      <c r="C238" s="1399" t="str">
        <f t="shared" si="96"/>
        <v>-</v>
      </c>
      <c r="D238" s="1399" t="str">
        <f t="shared" si="96"/>
        <v>-</v>
      </c>
      <c r="E238" s="1399" t="str">
        <f t="shared" si="96"/>
        <v>-</v>
      </c>
      <c r="F238" s="1399" t="str">
        <f t="shared" si="96"/>
        <v>-</v>
      </c>
      <c r="G238" s="1399" t="str">
        <f t="shared" si="96"/>
        <v>-</v>
      </c>
      <c r="H238" s="1399" t="str">
        <f t="shared" si="96"/>
        <v>-</v>
      </c>
      <c r="I238" s="1399" t="str">
        <f t="shared" si="96"/>
        <v>-</v>
      </c>
      <c r="J238" s="1405" t="str">
        <f t="shared" si="96"/>
        <v>-</v>
      </c>
      <c r="K238" s="1397" t="str">
        <f t="shared" si="96"/>
        <v>-</v>
      </c>
      <c r="L238" s="1397" t="str">
        <f t="shared" si="96"/>
        <v>-</v>
      </c>
      <c r="M238" s="1397" t="str">
        <f t="shared" si="96"/>
        <v>-</v>
      </c>
      <c r="N238" s="1397" t="str">
        <f t="shared" si="96"/>
        <v>-</v>
      </c>
      <c r="O238" s="1397" t="str">
        <f t="shared" si="96"/>
        <v>-</v>
      </c>
      <c r="P238" s="1397" t="str">
        <f t="shared" si="96"/>
        <v>-</v>
      </c>
      <c r="Q238" s="1397" t="str">
        <f t="shared" si="96"/>
        <v>-</v>
      </c>
      <c r="R238" s="1397" t="str">
        <f t="shared" si="96"/>
        <v>-</v>
      </c>
      <c r="S238" s="1398" t="str">
        <f t="shared" si="96"/>
        <v>-</v>
      </c>
      <c r="T238" s="1398" t="str">
        <f t="shared" si="97"/>
        <v>-</v>
      </c>
      <c r="U238" s="1431" t="str">
        <f t="shared" si="97"/>
        <v>-</v>
      </c>
      <c r="V238" s="1445" t="str">
        <f t="shared" si="98"/>
        <v>-</v>
      </c>
      <c r="W238" s="1398" t="str">
        <f t="shared" si="98"/>
        <v>-</v>
      </c>
    </row>
    <row r="239" spans="1:42" ht="12.75" thickBot="1">
      <c r="A239" s="784">
        <f>+A238+1</f>
        <v>17</v>
      </c>
      <c r="B239" s="517" t="s">
        <v>890</v>
      </c>
      <c r="C239" s="1399" t="str">
        <f t="shared" si="96"/>
        <v>-</v>
      </c>
      <c r="D239" s="1399" t="str">
        <f t="shared" si="96"/>
        <v>-</v>
      </c>
      <c r="E239" s="1399" t="str">
        <f t="shared" si="96"/>
        <v>-</v>
      </c>
      <c r="F239" s="1399" t="str">
        <f t="shared" si="96"/>
        <v>-</v>
      </c>
      <c r="G239" s="1399" t="str">
        <f t="shared" si="96"/>
        <v>-</v>
      </c>
      <c r="H239" s="1399" t="str">
        <f t="shared" si="96"/>
        <v>-</v>
      </c>
      <c r="I239" s="1399" t="str">
        <f t="shared" si="96"/>
        <v>-</v>
      </c>
      <c r="J239" s="1405" t="str">
        <f t="shared" si="96"/>
        <v>-</v>
      </c>
      <c r="K239" s="1397" t="str">
        <f t="shared" si="96"/>
        <v>-</v>
      </c>
      <c r="L239" s="1397" t="str">
        <f t="shared" si="96"/>
        <v>-</v>
      </c>
      <c r="M239" s="1397" t="str">
        <f t="shared" si="96"/>
        <v>-</v>
      </c>
      <c r="N239" s="1397" t="str">
        <f t="shared" si="96"/>
        <v>-</v>
      </c>
      <c r="O239" s="1397" t="str">
        <f t="shared" si="96"/>
        <v>-</v>
      </c>
      <c r="P239" s="1397" t="str">
        <f t="shared" si="96"/>
        <v>-</v>
      </c>
      <c r="Q239" s="1397" t="str">
        <f t="shared" si="96"/>
        <v>-</v>
      </c>
      <c r="R239" s="1397" t="str">
        <f t="shared" si="96"/>
        <v>-</v>
      </c>
      <c r="S239" s="1398" t="str">
        <f t="shared" si="96"/>
        <v>-</v>
      </c>
      <c r="T239" s="1398" t="str">
        <f t="shared" si="97"/>
        <v>-</v>
      </c>
      <c r="U239" s="1431" t="str">
        <f t="shared" si="97"/>
        <v>-</v>
      </c>
      <c r="V239" s="1445" t="str">
        <f t="shared" si="98"/>
        <v>-</v>
      </c>
      <c r="W239" s="1398" t="str">
        <f t="shared" si="98"/>
        <v>-</v>
      </c>
    </row>
    <row r="240" spans="1:42" s="507" customFormat="1" ht="12.75" thickBot="1">
      <c r="A240" s="519" t="s">
        <v>632</v>
      </c>
      <c r="B240" s="520" t="s">
        <v>866</v>
      </c>
      <c r="C240" s="1400" t="str">
        <f t="shared" si="96"/>
        <v>-</v>
      </c>
      <c r="D240" s="1401" t="str">
        <f t="shared" si="96"/>
        <v>-</v>
      </c>
      <c r="E240" s="1401">
        <f t="shared" si="96"/>
        <v>0.9827664557625756</v>
      </c>
      <c r="F240" s="1401" t="str">
        <f t="shared" si="96"/>
        <v>-</v>
      </c>
      <c r="G240" s="1401" t="str">
        <f t="shared" si="96"/>
        <v>-</v>
      </c>
      <c r="H240" s="1401" t="str">
        <f t="shared" si="96"/>
        <v>-</v>
      </c>
      <c r="I240" s="1404" t="str">
        <f t="shared" si="96"/>
        <v>-</v>
      </c>
      <c r="J240" s="1403">
        <f t="shared" si="96"/>
        <v>0.9827664557625756</v>
      </c>
      <c r="K240" s="1400">
        <f t="shared" si="96"/>
        <v>1</v>
      </c>
      <c r="L240" s="1400">
        <f t="shared" si="96"/>
        <v>1</v>
      </c>
      <c r="M240" s="1400">
        <f t="shared" si="96"/>
        <v>1</v>
      </c>
      <c r="N240" s="1400" t="str">
        <f t="shared" si="96"/>
        <v>-</v>
      </c>
      <c r="O240" s="1400" t="str">
        <f t="shared" si="96"/>
        <v>-</v>
      </c>
      <c r="P240" s="1400">
        <f t="shared" si="96"/>
        <v>1</v>
      </c>
      <c r="Q240" s="1400" t="str">
        <f t="shared" si="96"/>
        <v>-</v>
      </c>
      <c r="R240" s="1400" t="str">
        <f t="shared" si="96"/>
        <v>-</v>
      </c>
      <c r="S240" s="1403">
        <f t="shared" si="96"/>
        <v>1</v>
      </c>
      <c r="T240" s="1403">
        <f t="shared" si="97"/>
        <v>1.0368901526489076</v>
      </c>
      <c r="U240" s="1432" t="str">
        <f t="shared" si="97"/>
        <v>-</v>
      </c>
      <c r="V240" s="1402" t="str">
        <f t="shared" si="98"/>
        <v>-</v>
      </c>
      <c r="W240" s="1403">
        <f t="shared" si="98"/>
        <v>1.0368901526489076</v>
      </c>
      <c r="AA240" s="261"/>
      <c r="AB240" s="261"/>
      <c r="AC240" s="261"/>
      <c r="AD240" s="261"/>
      <c r="AE240" s="261"/>
      <c r="AF240" s="261"/>
      <c r="AG240" s="261"/>
      <c r="AH240" s="261"/>
      <c r="AI240" s="261"/>
      <c r="AJ240" s="261"/>
      <c r="AK240" s="261"/>
      <c r="AL240" s="261"/>
      <c r="AM240" s="261"/>
      <c r="AN240" s="261"/>
      <c r="AO240" s="261"/>
      <c r="AP240" s="261"/>
    </row>
    <row r="241" spans="1:42" ht="12.75" thickBot="1">
      <c r="A241" s="784">
        <f>+A239+1</f>
        <v>18</v>
      </c>
      <c r="B241" s="526" t="s">
        <v>867</v>
      </c>
      <c r="C241" s="1406" t="str">
        <f t="shared" si="96"/>
        <v>-</v>
      </c>
      <c r="D241" s="1406" t="str">
        <f t="shared" si="96"/>
        <v>-</v>
      </c>
      <c r="E241" s="1406" t="str">
        <f t="shared" si="96"/>
        <v>-</v>
      </c>
      <c r="F241" s="1406" t="str">
        <f t="shared" si="96"/>
        <v>-</v>
      </c>
      <c r="G241" s="1406" t="str">
        <f t="shared" si="96"/>
        <v>-</v>
      </c>
      <c r="H241" s="1406" t="str">
        <f t="shared" si="96"/>
        <v>-</v>
      </c>
      <c r="I241" s="1406" t="str">
        <f t="shared" si="96"/>
        <v>-</v>
      </c>
      <c r="J241" s="1407" t="str">
        <f t="shared" si="96"/>
        <v>-</v>
      </c>
      <c r="K241" s="1397" t="str">
        <f t="shared" si="96"/>
        <v>-</v>
      </c>
      <c r="L241" s="1397" t="str">
        <f t="shared" si="96"/>
        <v>-</v>
      </c>
      <c r="M241" s="1397" t="str">
        <f t="shared" si="96"/>
        <v>-</v>
      </c>
      <c r="N241" s="1397" t="str">
        <f t="shared" si="96"/>
        <v>-</v>
      </c>
      <c r="O241" s="1397" t="str">
        <f t="shared" si="96"/>
        <v>-</v>
      </c>
      <c r="P241" s="1397" t="str">
        <f t="shared" si="96"/>
        <v>-</v>
      </c>
      <c r="Q241" s="1397" t="str">
        <f t="shared" si="96"/>
        <v>-</v>
      </c>
      <c r="R241" s="1397" t="str">
        <f t="shared" si="96"/>
        <v>-</v>
      </c>
      <c r="S241" s="1398" t="str">
        <f t="shared" si="96"/>
        <v>-</v>
      </c>
      <c r="T241" s="1398" t="str">
        <f t="shared" si="97"/>
        <v>-</v>
      </c>
      <c r="U241" s="1431" t="str">
        <f t="shared" si="97"/>
        <v>-</v>
      </c>
      <c r="V241" s="1445" t="str">
        <f t="shared" si="98"/>
        <v>-</v>
      </c>
      <c r="W241" s="1398" t="str">
        <f t="shared" si="98"/>
        <v>-</v>
      </c>
    </row>
    <row r="242" spans="1:42" s="507" customFormat="1" ht="12.75" thickBot="1">
      <c r="A242" s="519" t="s">
        <v>746</v>
      </c>
      <c r="B242" s="520" t="s">
        <v>867</v>
      </c>
      <c r="C242" s="1400" t="str">
        <f t="shared" si="96"/>
        <v>-</v>
      </c>
      <c r="D242" s="1401" t="str">
        <f t="shared" si="96"/>
        <v>-</v>
      </c>
      <c r="E242" s="1401" t="str">
        <f t="shared" si="96"/>
        <v>-</v>
      </c>
      <c r="F242" s="1401" t="str">
        <f t="shared" si="96"/>
        <v>-</v>
      </c>
      <c r="G242" s="1401" t="str">
        <f t="shared" si="96"/>
        <v>-</v>
      </c>
      <c r="H242" s="1401" t="str">
        <f t="shared" si="96"/>
        <v>-</v>
      </c>
      <c r="I242" s="1404" t="str">
        <f t="shared" si="96"/>
        <v>-</v>
      </c>
      <c r="J242" s="1403" t="str">
        <f t="shared" si="96"/>
        <v>-</v>
      </c>
      <c r="K242" s="1400" t="str">
        <f t="shared" si="96"/>
        <v>-</v>
      </c>
      <c r="L242" s="1400" t="str">
        <f t="shared" si="96"/>
        <v>-</v>
      </c>
      <c r="M242" s="1400" t="str">
        <f t="shared" si="96"/>
        <v>-</v>
      </c>
      <c r="N242" s="1400" t="str">
        <f t="shared" si="96"/>
        <v>-</v>
      </c>
      <c r="O242" s="1400" t="str">
        <f t="shared" si="96"/>
        <v>-</v>
      </c>
      <c r="P242" s="1400" t="str">
        <f t="shared" si="96"/>
        <v>-</v>
      </c>
      <c r="Q242" s="1400" t="str">
        <f t="shared" si="96"/>
        <v>-</v>
      </c>
      <c r="R242" s="1400" t="str">
        <f t="shared" si="96"/>
        <v>-</v>
      </c>
      <c r="S242" s="1403" t="str">
        <f t="shared" si="96"/>
        <v>-</v>
      </c>
      <c r="T242" s="1403" t="str">
        <f t="shared" si="97"/>
        <v>-</v>
      </c>
      <c r="U242" s="1432" t="str">
        <f t="shared" si="97"/>
        <v>-</v>
      </c>
      <c r="V242" s="1402" t="str">
        <f t="shared" si="98"/>
        <v>-</v>
      </c>
      <c r="W242" s="1403" t="str">
        <f t="shared" si="98"/>
        <v>-</v>
      </c>
      <c r="AA242" s="261"/>
      <c r="AB242" s="261"/>
      <c r="AC242" s="261"/>
      <c r="AD242" s="261"/>
      <c r="AE242" s="261"/>
      <c r="AF242" s="261"/>
      <c r="AG242" s="261"/>
      <c r="AH242" s="261"/>
      <c r="AI242" s="261"/>
      <c r="AJ242" s="261"/>
      <c r="AK242" s="261"/>
      <c r="AL242" s="261"/>
      <c r="AM242" s="261"/>
      <c r="AN242" s="261"/>
      <c r="AO242" s="261"/>
      <c r="AP242" s="261"/>
    </row>
    <row r="243" spans="1:42" s="507" customFormat="1" ht="12.75" thickBot="1">
      <c r="A243" s="528" t="s">
        <v>22</v>
      </c>
      <c r="B243" s="529" t="s">
        <v>868</v>
      </c>
      <c r="C243" s="1408">
        <f t="shared" si="96"/>
        <v>1</v>
      </c>
      <c r="D243" s="1409">
        <f t="shared" si="96"/>
        <v>0.5</v>
      </c>
      <c r="E243" s="1409">
        <f t="shared" si="96"/>
        <v>0.98974988044992407</v>
      </c>
      <c r="F243" s="1409" t="str">
        <f t="shared" si="96"/>
        <v>-</v>
      </c>
      <c r="G243" s="1409" t="str">
        <f t="shared" si="96"/>
        <v>-</v>
      </c>
      <c r="H243" s="1409" t="str">
        <f t="shared" si="96"/>
        <v>-</v>
      </c>
      <c r="I243" s="1410" t="str">
        <f t="shared" si="96"/>
        <v>-</v>
      </c>
      <c r="J243" s="1411">
        <f t="shared" si="96"/>
        <v>0.99421179260085779</v>
      </c>
      <c r="K243" s="1408">
        <f t="shared" si="96"/>
        <v>1</v>
      </c>
      <c r="L243" s="1408">
        <f t="shared" si="96"/>
        <v>1</v>
      </c>
      <c r="M243" s="1408">
        <f t="shared" si="96"/>
        <v>0.92011322534989781</v>
      </c>
      <c r="N243" s="1408" t="str">
        <f t="shared" si="96"/>
        <v>-</v>
      </c>
      <c r="O243" s="1408">
        <f t="shared" si="96"/>
        <v>1</v>
      </c>
      <c r="P243" s="1408">
        <f t="shared" si="96"/>
        <v>1</v>
      </c>
      <c r="Q243" s="1408" t="str">
        <f t="shared" si="96"/>
        <v>-</v>
      </c>
      <c r="R243" s="1408" t="str">
        <f t="shared" si="96"/>
        <v>-</v>
      </c>
      <c r="S243" s="1411">
        <f t="shared" si="96"/>
        <v>0.98459328837542814</v>
      </c>
      <c r="T243" s="1411">
        <f t="shared" si="97"/>
        <v>0.98238990361574097</v>
      </c>
      <c r="U243" s="1434">
        <f t="shared" si="97"/>
        <v>1</v>
      </c>
      <c r="V243" s="1447">
        <f t="shared" si="98"/>
        <v>1</v>
      </c>
      <c r="W243" s="1411">
        <f t="shared" si="98"/>
        <v>0.97278155697395441</v>
      </c>
      <c r="AA243" s="261"/>
      <c r="AB243" s="261"/>
      <c r="AC243" s="261"/>
      <c r="AD243" s="261"/>
      <c r="AE243" s="261"/>
      <c r="AF243" s="261"/>
      <c r="AG243" s="261"/>
      <c r="AH243" s="261"/>
      <c r="AI243" s="261"/>
      <c r="AJ243" s="261"/>
      <c r="AK243" s="261"/>
      <c r="AL243" s="261"/>
      <c r="AM243" s="261"/>
      <c r="AN243" s="261"/>
      <c r="AO243" s="261"/>
      <c r="AP243" s="261"/>
    </row>
    <row r="244" spans="1:42" s="507" customFormat="1" ht="12.75" thickBot="1">
      <c r="A244" s="539"/>
      <c r="B244" s="540"/>
      <c r="C244" s="1412" t="str">
        <f t="shared" si="96"/>
        <v>-</v>
      </c>
      <c r="D244" s="1412" t="str">
        <f t="shared" si="96"/>
        <v>-</v>
      </c>
      <c r="E244" s="1412" t="str">
        <f t="shared" si="96"/>
        <v>-</v>
      </c>
      <c r="F244" s="1412" t="str">
        <f t="shared" si="96"/>
        <v>-</v>
      </c>
      <c r="G244" s="1412" t="str">
        <f t="shared" si="96"/>
        <v>-</v>
      </c>
      <c r="H244" s="1412" t="str">
        <f t="shared" si="96"/>
        <v>-</v>
      </c>
      <c r="I244" s="1413" t="str">
        <f t="shared" si="96"/>
        <v>-</v>
      </c>
      <c r="J244" s="1414" t="str">
        <f t="shared" si="96"/>
        <v>-</v>
      </c>
      <c r="K244" s="1412" t="str">
        <f t="shared" si="96"/>
        <v>-</v>
      </c>
      <c r="L244" s="1412" t="str">
        <f t="shared" si="96"/>
        <v>-</v>
      </c>
      <c r="M244" s="1412" t="str">
        <f t="shared" si="96"/>
        <v>-</v>
      </c>
      <c r="N244" s="1412" t="str">
        <f t="shared" si="96"/>
        <v>-</v>
      </c>
      <c r="O244" s="1412" t="str">
        <f t="shared" si="96"/>
        <v>-</v>
      </c>
      <c r="P244" s="1412" t="str">
        <f t="shared" si="96"/>
        <v>-</v>
      </c>
      <c r="Q244" s="1412" t="str">
        <f t="shared" si="96"/>
        <v>-</v>
      </c>
      <c r="R244" s="1412" t="str">
        <f t="shared" si="96"/>
        <v>-</v>
      </c>
      <c r="S244" s="1414" t="str">
        <f t="shared" si="96"/>
        <v>-</v>
      </c>
      <c r="T244" s="1414" t="str">
        <f t="shared" si="97"/>
        <v>-</v>
      </c>
      <c r="U244" s="1413" t="str">
        <f t="shared" si="97"/>
        <v>-</v>
      </c>
      <c r="V244" s="1448" t="str">
        <f t="shared" si="98"/>
        <v>-</v>
      </c>
      <c r="W244" s="1414" t="str">
        <f t="shared" si="98"/>
        <v>-</v>
      </c>
      <c r="AA244" s="261"/>
      <c r="AB244" s="261"/>
      <c r="AC244" s="261"/>
      <c r="AD244" s="261"/>
      <c r="AE244" s="261"/>
      <c r="AF244" s="261"/>
      <c r="AG244" s="261"/>
      <c r="AH244" s="261"/>
      <c r="AI244" s="261"/>
      <c r="AJ244" s="261"/>
      <c r="AK244" s="261"/>
      <c r="AL244" s="261"/>
      <c r="AM244" s="261"/>
      <c r="AN244" s="261"/>
      <c r="AO244" s="261"/>
      <c r="AP244" s="261"/>
    </row>
    <row r="245" spans="1:42">
      <c r="A245" s="783">
        <f>+A241+1</f>
        <v>19</v>
      </c>
      <c r="B245" s="695" t="s">
        <v>1074</v>
      </c>
      <c r="C245" s="1416" t="str">
        <f t="shared" si="96"/>
        <v>-</v>
      </c>
      <c r="D245" s="1416" t="str">
        <f t="shared" si="96"/>
        <v>-</v>
      </c>
      <c r="E245" s="1416">
        <f t="shared" si="96"/>
        <v>1</v>
      </c>
      <c r="F245" s="1416" t="str">
        <f t="shared" si="96"/>
        <v>-</v>
      </c>
      <c r="G245" s="1416" t="str">
        <f t="shared" si="96"/>
        <v>-</v>
      </c>
      <c r="H245" s="1416" t="str">
        <f t="shared" si="96"/>
        <v>-</v>
      </c>
      <c r="I245" s="1416" t="str">
        <f t="shared" si="96"/>
        <v>-</v>
      </c>
      <c r="J245" s="1395">
        <f t="shared" si="96"/>
        <v>1</v>
      </c>
      <c r="K245" s="1416">
        <f t="shared" si="96"/>
        <v>0.95001053056496476</v>
      </c>
      <c r="L245" s="1416">
        <f t="shared" si="96"/>
        <v>0.83625824186769193</v>
      </c>
      <c r="M245" s="1416">
        <f t="shared" si="96"/>
        <v>1</v>
      </c>
      <c r="N245" s="1416" t="str">
        <f t="shared" si="96"/>
        <v>-</v>
      </c>
      <c r="O245" s="1416">
        <f t="shared" si="96"/>
        <v>1</v>
      </c>
      <c r="P245" s="1416">
        <f t="shared" si="96"/>
        <v>1</v>
      </c>
      <c r="Q245" s="1416" t="str">
        <f t="shared" si="96"/>
        <v>-</v>
      </c>
      <c r="R245" s="1416" t="str">
        <f t="shared" si="96"/>
        <v>-</v>
      </c>
      <c r="S245" s="1395">
        <f t="shared" si="96"/>
        <v>0.93533721052909213</v>
      </c>
      <c r="T245" s="1395">
        <f t="shared" si="97"/>
        <v>0.93478398212403446</v>
      </c>
      <c r="U245" s="1435">
        <f t="shared" si="97"/>
        <v>1</v>
      </c>
      <c r="V245" s="1449">
        <f t="shared" si="98"/>
        <v>1</v>
      </c>
      <c r="W245" s="1395">
        <f t="shared" si="98"/>
        <v>0.52789813210090508</v>
      </c>
    </row>
    <row r="246" spans="1:42">
      <c r="A246" s="784">
        <f>+A245+1</f>
        <v>20</v>
      </c>
      <c r="B246" s="514" t="s">
        <v>1147</v>
      </c>
      <c r="C246" s="1397" t="str">
        <f t="shared" si="96"/>
        <v>-</v>
      </c>
      <c r="D246" s="1397" t="str">
        <f t="shared" si="96"/>
        <v>-</v>
      </c>
      <c r="E246" s="1397">
        <f t="shared" si="96"/>
        <v>0.86173486834606183</v>
      </c>
      <c r="F246" s="1397" t="str">
        <f t="shared" si="96"/>
        <v>-</v>
      </c>
      <c r="G246" s="1397" t="str">
        <f t="shared" si="96"/>
        <v>-</v>
      </c>
      <c r="H246" s="1397" t="str">
        <f t="shared" si="96"/>
        <v>-</v>
      </c>
      <c r="I246" s="1397" t="str">
        <f t="shared" si="96"/>
        <v>-</v>
      </c>
      <c r="J246" s="1398">
        <f t="shared" si="96"/>
        <v>0.86173486834606183</v>
      </c>
      <c r="K246" s="1397" t="str">
        <f t="shared" si="96"/>
        <v>-</v>
      </c>
      <c r="L246" s="1397" t="str">
        <f t="shared" si="96"/>
        <v>-</v>
      </c>
      <c r="M246" s="1397">
        <f t="shared" si="96"/>
        <v>0.94936857838925703</v>
      </c>
      <c r="N246" s="1397" t="str">
        <f t="shared" si="96"/>
        <v>-</v>
      </c>
      <c r="O246" s="1397" t="str">
        <f t="shared" si="96"/>
        <v>-</v>
      </c>
      <c r="P246" s="1397" t="str">
        <f t="shared" si="96"/>
        <v>-</v>
      </c>
      <c r="Q246" s="1397" t="str">
        <f t="shared" si="96"/>
        <v>-</v>
      </c>
      <c r="R246" s="1397" t="str">
        <f t="shared" si="96"/>
        <v>-</v>
      </c>
      <c r="S246" s="1398">
        <f t="shared" si="96"/>
        <v>0.94936857838925703</v>
      </c>
      <c r="T246" s="1398">
        <f t="shared" si="97"/>
        <v>0.959458750032811</v>
      </c>
      <c r="U246" s="1431">
        <f t="shared" si="97"/>
        <v>1</v>
      </c>
      <c r="V246" s="1445">
        <f t="shared" si="98"/>
        <v>1</v>
      </c>
      <c r="W246" s="1398">
        <f t="shared" si="98"/>
        <v>1.7114233072316904</v>
      </c>
    </row>
    <row r="247" spans="1:42" ht="12.75" thickBot="1">
      <c r="A247" s="824">
        <f>+A246+1</f>
        <v>21</v>
      </c>
      <c r="B247" s="526" t="s">
        <v>1140</v>
      </c>
      <c r="C247" s="1406" t="str">
        <f t="shared" si="96"/>
        <v>-</v>
      </c>
      <c r="D247" s="1406" t="str">
        <f t="shared" si="96"/>
        <v>-</v>
      </c>
      <c r="E247" s="1406" t="str">
        <f t="shared" si="96"/>
        <v>-</v>
      </c>
      <c r="F247" s="1406" t="str">
        <f t="shared" si="96"/>
        <v>-</v>
      </c>
      <c r="G247" s="1406" t="str">
        <f t="shared" si="96"/>
        <v>-</v>
      </c>
      <c r="H247" s="1406" t="str">
        <f t="shared" si="96"/>
        <v>-</v>
      </c>
      <c r="I247" s="1406" t="str">
        <f t="shared" si="96"/>
        <v>-</v>
      </c>
      <c r="J247" s="1407" t="str">
        <f t="shared" si="96"/>
        <v>-</v>
      </c>
      <c r="K247" s="1394">
        <f t="shared" si="96"/>
        <v>1</v>
      </c>
      <c r="L247" s="1394">
        <f t="shared" si="96"/>
        <v>1</v>
      </c>
      <c r="M247" s="1394">
        <f t="shared" si="96"/>
        <v>1</v>
      </c>
      <c r="N247" s="1394" t="str">
        <f t="shared" si="96"/>
        <v>-</v>
      </c>
      <c r="O247" s="1394" t="str">
        <f t="shared" si="96"/>
        <v>-</v>
      </c>
      <c r="P247" s="1394">
        <f t="shared" si="96"/>
        <v>1</v>
      </c>
      <c r="Q247" s="1394" t="str">
        <f t="shared" si="96"/>
        <v>-</v>
      </c>
      <c r="R247" s="1394" t="str">
        <f t="shared" si="96"/>
        <v>-</v>
      </c>
      <c r="S247" s="1396">
        <f t="shared" si="96"/>
        <v>1</v>
      </c>
      <c r="T247" s="1396">
        <f t="shared" si="97"/>
        <v>1</v>
      </c>
      <c r="U247" s="1430">
        <f t="shared" si="97"/>
        <v>1</v>
      </c>
      <c r="V247" s="1444" t="str">
        <f t="shared" si="98"/>
        <v>-</v>
      </c>
      <c r="W247" s="1396">
        <f t="shared" si="98"/>
        <v>1</v>
      </c>
    </row>
    <row r="248" spans="1:42" s="507" customFormat="1" ht="12.75" thickBot="1">
      <c r="A248" s="343" t="s">
        <v>747</v>
      </c>
      <c r="B248" s="471" t="s">
        <v>417</v>
      </c>
      <c r="C248" s="1400" t="str">
        <f t="shared" ref="C248:S262" si="99">IF(ISERROR(C178/C108),"-",C178/C108)</f>
        <v>-</v>
      </c>
      <c r="D248" s="1400" t="str">
        <f t="shared" si="99"/>
        <v>-</v>
      </c>
      <c r="E248" s="1400">
        <f t="shared" si="99"/>
        <v>0.89309007579763788</v>
      </c>
      <c r="F248" s="1400" t="str">
        <f t="shared" si="99"/>
        <v>-</v>
      </c>
      <c r="G248" s="1400" t="str">
        <f t="shared" si="99"/>
        <v>-</v>
      </c>
      <c r="H248" s="1400" t="str">
        <f t="shared" si="99"/>
        <v>-</v>
      </c>
      <c r="I248" s="1400" t="str">
        <f t="shared" si="99"/>
        <v>-</v>
      </c>
      <c r="J248" s="1403">
        <f t="shared" si="99"/>
        <v>0.89309007579763788</v>
      </c>
      <c r="K248" s="1400">
        <f t="shared" si="99"/>
        <v>0.95712420170027956</v>
      </c>
      <c r="L248" s="1400">
        <f t="shared" si="99"/>
        <v>0.85704845048867861</v>
      </c>
      <c r="M248" s="1400">
        <f t="shared" si="99"/>
        <v>0.96200619982513313</v>
      </c>
      <c r="N248" s="1400" t="str">
        <f t="shared" si="99"/>
        <v>-</v>
      </c>
      <c r="O248" s="1400">
        <f t="shared" si="99"/>
        <v>1</v>
      </c>
      <c r="P248" s="1400">
        <f t="shared" si="99"/>
        <v>1</v>
      </c>
      <c r="Q248" s="1400" t="str">
        <f t="shared" si="99"/>
        <v>-</v>
      </c>
      <c r="R248" s="1400" t="str">
        <f t="shared" si="99"/>
        <v>-</v>
      </c>
      <c r="S248" s="1403">
        <f t="shared" si="99"/>
        <v>0.94533052004014195</v>
      </c>
      <c r="T248" s="1403">
        <f t="shared" si="97"/>
        <v>0.94672155193252305</v>
      </c>
      <c r="U248" s="1432">
        <f t="shared" si="97"/>
        <v>1</v>
      </c>
      <c r="V248" s="1402">
        <f t="shared" si="98"/>
        <v>1</v>
      </c>
      <c r="W248" s="1403">
        <f t="shared" si="98"/>
        <v>0.58606983316619565</v>
      </c>
      <c r="AA248" s="261"/>
      <c r="AB248" s="261"/>
      <c r="AC248" s="261"/>
      <c r="AD248" s="261"/>
      <c r="AE248" s="261"/>
      <c r="AF248" s="261"/>
      <c r="AG248" s="261"/>
      <c r="AH248" s="261"/>
      <c r="AI248" s="261"/>
      <c r="AJ248" s="261"/>
      <c r="AK248" s="261"/>
      <c r="AL248" s="261"/>
      <c r="AM248" s="261"/>
      <c r="AN248" s="261"/>
      <c r="AO248" s="261"/>
      <c r="AP248" s="261"/>
    </row>
    <row r="249" spans="1:42" ht="12.75" thickBot="1">
      <c r="A249" s="827">
        <f>+A247+1</f>
        <v>22</v>
      </c>
      <c r="B249" s="526" t="s">
        <v>418</v>
      </c>
      <c r="C249" s="1406" t="str">
        <f t="shared" si="99"/>
        <v>-</v>
      </c>
      <c r="D249" s="1406" t="str">
        <f t="shared" si="99"/>
        <v>-</v>
      </c>
      <c r="E249" s="1406" t="str">
        <f t="shared" si="99"/>
        <v>-</v>
      </c>
      <c r="F249" s="1406" t="str">
        <f t="shared" si="99"/>
        <v>-</v>
      </c>
      <c r="G249" s="1406" t="str">
        <f t="shared" si="99"/>
        <v>-</v>
      </c>
      <c r="H249" s="1406" t="str">
        <f t="shared" si="99"/>
        <v>-</v>
      </c>
      <c r="I249" s="1406" t="str">
        <f t="shared" si="99"/>
        <v>-</v>
      </c>
      <c r="J249" s="1407" t="str">
        <f t="shared" si="99"/>
        <v>-</v>
      </c>
      <c r="K249" s="1399" t="str">
        <f t="shared" si="99"/>
        <v>-</v>
      </c>
      <c r="L249" s="1399" t="str">
        <f t="shared" si="99"/>
        <v>-</v>
      </c>
      <c r="M249" s="1399" t="str">
        <f t="shared" si="99"/>
        <v>-</v>
      </c>
      <c r="N249" s="1399" t="str">
        <f t="shared" si="99"/>
        <v>-</v>
      </c>
      <c r="O249" s="1399" t="str">
        <f t="shared" si="99"/>
        <v>-</v>
      </c>
      <c r="P249" s="1399" t="str">
        <f t="shared" si="99"/>
        <v>-</v>
      </c>
      <c r="Q249" s="1399" t="str">
        <f t="shared" si="99"/>
        <v>-</v>
      </c>
      <c r="R249" s="1399" t="str">
        <f t="shared" si="99"/>
        <v>-</v>
      </c>
      <c r="S249" s="1405" t="str">
        <f t="shared" si="99"/>
        <v>-</v>
      </c>
      <c r="T249" s="1405" t="str">
        <f t="shared" ref="T249:U264" si="100">IF(ISERROR(T179/T109),"-",T179/T109)</f>
        <v>-</v>
      </c>
      <c r="U249" s="1436" t="str">
        <f t="shared" si="100"/>
        <v>-</v>
      </c>
      <c r="V249" s="1450" t="str">
        <f t="shared" si="98"/>
        <v>-</v>
      </c>
      <c r="W249" s="1405" t="str">
        <f t="shared" si="98"/>
        <v>-</v>
      </c>
    </row>
    <row r="250" spans="1:42" s="507" customFormat="1" ht="12.75" thickBot="1">
      <c r="A250" s="343" t="s">
        <v>748</v>
      </c>
      <c r="B250" s="471" t="s">
        <v>418</v>
      </c>
      <c r="C250" s="1400" t="str">
        <f t="shared" si="99"/>
        <v>-</v>
      </c>
      <c r="D250" s="1400" t="str">
        <f t="shared" si="99"/>
        <v>-</v>
      </c>
      <c r="E250" s="1400" t="str">
        <f t="shared" si="99"/>
        <v>-</v>
      </c>
      <c r="F250" s="1400" t="str">
        <f t="shared" si="99"/>
        <v>-</v>
      </c>
      <c r="G250" s="1400" t="str">
        <f t="shared" si="99"/>
        <v>-</v>
      </c>
      <c r="H250" s="1400" t="str">
        <f t="shared" si="99"/>
        <v>-</v>
      </c>
      <c r="I250" s="1400" t="str">
        <f t="shared" si="99"/>
        <v>-</v>
      </c>
      <c r="J250" s="1403" t="str">
        <f t="shared" si="99"/>
        <v>-</v>
      </c>
      <c r="K250" s="1400" t="str">
        <f t="shared" si="99"/>
        <v>-</v>
      </c>
      <c r="L250" s="1400" t="str">
        <f t="shared" si="99"/>
        <v>-</v>
      </c>
      <c r="M250" s="1400" t="str">
        <f t="shared" si="99"/>
        <v>-</v>
      </c>
      <c r="N250" s="1400" t="str">
        <f t="shared" si="99"/>
        <v>-</v>
      </c>
      <c r="O250" s="1400" t="str">
        <f t="shared" si="99"/>
        <v>-</v>
      </c>
      <c r="P250" s="1400" t="str">
        <f t="shared" si="99"/>
        <v>-</v>
      </c>
      <c r="Q250" s="1400" t="str">
        <f t="shared" si="99"/>
        <v>-</v>
      </c>
      <c r="R250" s="1400" t="str">
        <f t="shared" si="99"/>
        <v>-</v>
      </c>
      <c r="S250" s="1403" t="str">
        <f t="shared" si="99"/>
        <v>-</v>
      </c>
      <c r="T250" s="1403" t="str">
        <f t="shared" si="100"/>
        <v>-</v>
      </c>
      <c r="U250" s="1432" t="str">
        <f t="shared" si="100"/>
        <v>-</v>
      </c>
      <c r="V250" s="1402" t="str">
        <f t="shared" si="98"/>
        <v>-</v>
      </c>
      <c r="W250" s="1403" t="str">
        <f t="shared" si="98"/>
        <v>-</v>
      </c>
      <c r="AA250" s="261"/>
      <c r="AB250" s="261"/>
      <c r="AC250" s="261"/>
      <c r="AD250" s="261"/>
      <c r="AE250" s="261"/>
      <c r="AF250" s="261"/>
      <c r="AG250" s="261"/>
      <c r="AH250" s="261"/>
      <c r="AI250" s="261"/>
      <c r="AJ250" s="261"/>
      <c r="AK250" s="261"/>
      <c r="AL250" s="261"/>
      <c r="AM250" s="261"/>
      <c r="AN250" s="261"/>
      <c r="AO250" s="261"/>
      <c r="AP250" s="261"/>
    </row>
    <row r="251" spans="1:42" ht="12.75" thickBot="1">
      <c r="A251" s="827">
        <f>+A249+1</f>
        <v>23</v>
      </c>
      <c r="B251" s="526" t="s">
        <v>766</v>
      </c>
      <c r="C251" s="1406" t="str">
        <f t="shared" si="99"/>
        <v>-</v>
      </c>
      <c r="D251" s="1406" t="str">
        <f t="shared" si="99"/>
        <v>-</v>
      </c>
      <c r="E251" s="1406" t="str">
        <f t="shared" si="99"/>
        <v>-</v>
      </c>
      <c r="F251" s="1406" t="str">
        <f t="shared" si="99"/>
        <v>-</v>
      </c>
      <c r="G251" s="1406" t="str">
        <f t="shared" si="99"/>
        <v>-</v>
      </c>
      <c r="H251" s="1406" t="str">
        <f t="shared" si="99"/>
        <v>-</v>
      </c>
      <c r="I251" s="1406" t="str">
        <f t="shared" si="99"/>
        <v>-</v>
      </c>
      <c r="J251" s="1407" t="str">
        <f t="shared" si="99"/>
        <v>-</v>
      </c>
      <c r="K251" s="1399" t="str">
        <f t="shared" si="99"/>
        <v>-</v>
      </c>
      <c r="L251" s="1399" t="str">
        <f t="shared" si="99"/>
        <v>-</v>
      </c>
      <c r="M251" s="1399" t="str">
        <f t="shared" si="99"/>
        <v>-</v>
      </c>
      <c r="N251" s="1399" t="str">
        <f t="shared" si="99"/>
        <v>-</v>
      </c>
      <c r="O251" s="1399" t="str">
        <f t="shared" si="99"/>
        <v>-</v>
      </c>
      <c r="P251" s="1399" t="str">
        <f t="shared" si="99"/>
        <v>-</v>
      </c>
      <c r="Q251" s="1399" t="str">
        <f t="shared" si="99"/>
        <v>-</v>
      </c>
      <c r="R251" s="1399" t="str">
        <f t="shared" si="99"/>
        <v>-</v>
      </c>
      <c r="S251" s="1405" t="str">
        <f t="shared" si="99"/>
        <v>-</v>
      </c>
      <c r="T251" s="1405" t="str">
        <f t="shared" si="100"/>
        <v>-</v>
      </c>
      <c r="U251" s="1436" t="str">
        <f t="shared" si="100"/>
        <v>-</v>
      </c>
      <c r="V251" s="1450" t="str">
        <f t="shared" si="98"/>
        <v>-</v>
      </c>
      <c r="W251" s="1405" t="str">
        <f t="shared" si="98"/>
        <v>-</v>
      </c>
    </row>
    <row r="252" spans="1:42" s="507" customFormat="1" ht="12.75" thickBot="1">
      <c r="A252" s="343" t="s">
        <v>749</v>
      </c>
      <c r="B252" s="471" t="s">
        <v>766</v>
      </c>
      <c r="C252" s="1400" t="str">
        <f t="shared" si="99"/>
        <v>-</v>
      </c>
      <c r="D252" s="1400" t="str">
        <f t="shared" si="99"/>
        <v>-</v>
      </c>
      <c r="E252" s="1400" t="str">
        <f t="shared" si="99"/>
        <v>-</v>
      </c>
      <c r="F252" s="1400" t="str">
        <f t="shared" si="99"/>
        <v>-</v>
      </c>
      <c r="G252" s="1400" t="str">
        <f t="shared" si="99"/>
        <v>-</v>
      </c>
      <c r="H252" s="1400" t="str">
        <f t="shared" si="99"/>
        <v>-</v>
      </c>
      <c r="I252" s="1400" t="str">
        <f t="shared" si="99"/>
        <v>-</v>
      </c>
      <c r="J252" s="1403" t="str">
        <f t="shared" si="99"/>
        <v>-</v>
      </c>
      <c r="K252" s="1400" t="str">
        <f t="shared" si="99"/>
        <v>-</v>
      </c>
      <c r="L252" s="1400" t="str">
        <f t="shared" si="99"/>
        <v>-</v>
      </c>
      <c r="M252" s="1400" t="str">
        <f t="shared" si="99"/>
        <v>-</v>
      </c>
      <c r="N252" s="1400" t="str">
        <f t="shared" si="99"/>
        <v>-</v>
      </c>
      <c r="O252" s="1400" t="str">
        <f t="shared" si="99"/>
        <v>-</v>
      </c>
      <c r="P252" s="1400" t="str">
        <f t="shared" si="99"/>
        <v>-</v>
      </c>
      <c r="Q252" s="1400" t="str">
        <f t="shared" si="99"/>
        <v>-</v>
      </c>
      <c r="R252" s="1400" t="str">
        <f t="shared" si="99"/>
        <v>-</v>
      </c>
      <c r="S252" s="1403" t="str">
        <f t="shared" si="99"/>
        <v>-</v>
      </c>
      <c r="T252" s="1403" t="str">
        <f t="shared" si="100"/>
        <v>-</v>
      </c>
      <c r="U252" s="1432" t="str">
        <f t="shared" si="100"/>
        <v>-</v>
      </c>
      <c r="V252" s="1402" t="str">
        <f t="shared" si="98"/>
        <v>-</v>
      </c>
      <c r="W252" s="1403" t="str">
        <f t="shared" si="98"/>
        <v>-</v>
      </c>
      <c r="AA252" s="261"/>
      <c r="AB252" s="261"/>
      <c r="AC252" s="261"/>
      <c r="AD252" s="261"/>
      <c r="AE252" s="261"/>
      <c r="AF252" s="261"/>
      <c r="AG252" s="261"/>
      <c r="AH252" s="261"/>
      <c r="AI252" s="261"/>
      <c r="AJ252" s="261"/>
      <c r="AK252" s="261"/>
      <c r="AL252" s="261"/>
      <c r="AM252" s="261"/>
      <c r="AN252" s="261"/>
      <c r="AO252" s="261"/>
      <c r="AP252" s="261"/>
    </row>
    <row r="253" spans="1:42" s="507" customFormat="1" ht="12.75" thickBot="1">
      <c r="A253" s="473" t="s">
        <v>21</v>
      </c>
      <c r="B253" s="483" t="s">
        <v>419</v>
      </c>
      <c r="C253" s="1408" t="str">
        <f t="shared" si="99"/>
        <v>-</v>
      </c>
      <c r="D253" s="1409" t="str">
        <f t="shared" si="99"/>
        <v>-</v>
      </c>
      <c r="E253" s="1409">
        <f t="shared" si="99"/>
        <v>0.89309007579763788</v>
      </c>
      <c r="F253" s="1409" t="str">
        <f t="shared" si="99"/>
        <v>-</v>
      </c>
      <c r="G253" s="1409" t="str">
        <f t="shared" si="99"/>
        <v>-</v>
      </c>
      <c r="H253" s="1409" t="str">
        <f t="shared" si="99"/>
        <v>-</v>
      </c>
      <c r="I253" s="1410" t="str">
        <f t="shared" si="99"/>
        <v>-</v>
      </c>
      <c r="J253" s="1411">
        <f t="shared" si="99"/>
        <v>0.89309007579763788</v>
      </c>
      <c r="K253" s="1408">
        <f t="shared" si="99"/>
        <v>0.95712420170027956</v>
      </c>
      <c r="L253" s="1408">
        <f t="shared" si="99"/>
        <v>0.85704845048867861</v>
      </c>
      <c r="M253" s="1408">
        <f t="shared" si="99"/>
        <v>0.96200619982513313</v>
      </c>
      <c r="N253" s="1408" t="str">
        <f t="shared" si="99"/>
        <v>-</v>
      </c>
      <c r="O253" s="1408">
        <f t="shared" si="99"/>
        <v>1</v>
      </c>
      <c r="P253" s="1408">
        <f t="shared" si="99"/>
        <v>1</v>
      </c>
      <c r="Q253" s="1408" t="str">
        <f t="shared" si="99"/>
        <v>-</v>
      </c>
      <c r="R253" s="1408" t="str">
        <f t="shared" si="99"/>
        <v>-</v>
      </c>
      <c r="S253" s="1411">
        <f t="shared" si="99"/>
        <v>0.94533052004014195</v>
      </c>
      <c r="T253" s="1411">
        <f t="shared" si="100"/>
        <v>0.94672155193252305</v>
      </c>
      <c r="U253" s="1434">
        <f t="shared" si="100"/>
        <v>1</v>
      </c>
      <c r="V253" s="1447">
        <f t="shared" ref="V253:W272" si="101">IF(ISERROR(V183/V113),"-",V183/V113)</f>
        <v>1</v>
      </c>
      <c r="W253" s="1411">
        <f t="shared" si="101"/>
        <v>0.58606983316619565</v>
      </c>
      <c r="AA253" s="261"/>
      <c r="AB253" s="261"/>
      <c r="AC253" s="261"/>
      <c r="AD253" s="261"/>
      <c r="AE253" s="261"/>
      <c r="AF253" s="261"/>
      <c r="AG253" s="261"/>
      <c r="AH253" s="261"/>
      <c r="AI253" s="261"/>
      <c r="AJ253" s="261"/>
      <c r="AK253" s="261"/>
      <c r="AL253" s="261"/>
      <c r="AM253" s="261"/>
      <c r="AN253" s="261"/>
      <c r="AO253" s="261"/>
      <c r="AP253" s="261"/>
    </row>
    <row r="254" spans="1:42" s="194" customFormat="1" ht="12.75" thickBot="1">
      <c r="A254" s="343"/>
      <c r="B254" s="471"/>
      <c r="C254" s="1412" t="str">
        <f t="shared" si="99"/>
        <v>-</v>
      </c>
      <c r="D254" s="1417" t="str">
        <f t="shared" si="99"/>
        <v>-</v>
      </c>
      <c r="E254" s="1417" t="str">
        <f t="shared" si="99"/>
        <v>-</v>
      </c>
      <c r="F254" s="1417" t="str">
        <f t="shared" si="99"/>
        <v>-</v>
      </c>
      <c r="G254" s="1417" t="str">
        <f t="shared" si="99"/>
        <v>-</v>
      </c>
      <c r="H254" s="1417" t="str">
        <f t="shared" si="99"/>
        <v>-</v>
      </c>
      <c r="I254" s="1415" t="str">
        <f t="shared" si="99"/>
        <v>-</v>
      </c>
      <c r="J254" s="1414" t="str">
        <f t="shared" si="99"/>
        <v>-</v>
      </c>
      <c r="K254" s="1412" t="str">
        <f t="shared" si="99"/>
        <v>-</v>
      </c>
      <c r="L254" s="1412" t="str">
        <f t="shared" si="99"/>
        <v>-</v>
      </c>
      <c r="M254" s="1412" t="str">
        <f t="shared" si="99"/>
        <v>-</v>
      </c>
      <c r="N254" s="1412" t="str">
        <f t="shared" si="99"/>
        <v>-</v>
      </c>
      <c r="O254" s="1412" t="str">
        <f t="shared" si="99"/>
        <v>-</v>
      </c>
      <c r="P254" s="1412" t="str">
        <f t="shared" si="99"/>
        <v>-</v>
      </c>
      <c r="Q254" s="1412" t="str">
        <f t="shared" si="99"/>
        <v>-</v>
      </c>
      <c r="R254" s="1412" t="str">
        <f t="shared" si="99"/>
        <v>-</v>
      </c>
      <c r="S254" s="1414" t="str">
        <f t="shared" si="99"/>
        <v>-</v>
      </c>
      <c r="T254" s="1414" t="str">
        <f t="shared" si="100"/>
        <v>-</v>
      </c>
      <c r="U254" s="1413" t="str">
        <f t="shared" si="100"/>
        <v>-</v>
      </c>
      <c r="V254" s="1448" t="str">
        <f t="shared" si="101"/>
        <v>-</v>
      </c>
      <c r="W254" s="1414" t="str">
        <f t="shared" si="101"/>
        <v>-</v>
      </c>
      <c r="AA254" s="261"/>
      <c r="AB254" s="195"/>
      <c r="AC254" s="195"/>
      <c r="AD254" s="195"/>
      <c r="AE254" s="195"/>
      <c r="AF254" s="195"/>
      <c r="AG254" s="195"/>
      <c r="AH254" s="195"/>
      <c r="AI254" s="195"/>
      <c r="AJ254" s="195"/>
      <c r="AK254" s="195"/>
      <c r="AL254" s="195"/>
      <c r="AM254" s="195"/>
      <c r="AN254" s="195"/>
      <c r="AO254" s="195"/>
      <c r="AP254" s="195"/>
    </row>
    <row r="255" spans="1:42">
      <c r="A255" s="783">
        <f>+A251+1</f>
        <v>24</v>
      </c>
      <c r="B255" s="695" t="s">
        <v>1084</v>
      </c>
      <c r="C255" s="1416" t="str">
        <f t="shared" si="99"/>
        <v>-</v>
      </c>
      <c r="D255" s="1416" t="str">
        <f t="shared" si="99"/>
        <v>-</v>
      </c>
      <c r="E255" s="1416" t="str">
        <f t="shared" si="99"/>
        <v>-</v>
      </c>
      <c r="F255" s="1416" t="str">
        <f t="shared" si="99"/>
        <v>-</v>
      </c>
      <c r="G255" s="1416" t="str">
        <f t="shared" si="99"/>
        <v>-</v>
      </c>
      <c r="H255" s="1416" t="str">
        <f t="shared" si="99"/>
        <v>-</v>
      </c>
      <c r="I255" s="1416" t="str">
        <f t="shared" si="99"/>
        <v>-</v>
      </c>
      <c r="J255" s="1395" t="str">
        <f t="shared" si="99"/>
        <v>-</v>
      </c>
      <c r="K255" s="1416" t="str">
        <f t="shared" si="99"/>
        <v>-</v>
      </c>
      <c r="L255" s="1416" t="str">
        <f t="shared" si="99"/>
        <v>-</v>
      </c>
      <c r="M255" s="1416">
        <f t="shared" si="99"/>
        <v>1</v>
      </c>
      <c r="N255" s="1416" t="str">
        <f t="shared" si="99"/>
        <v>-</v>
      </c>
      <c r="O255" s="1416" t="str">
        <f t="shared" si="99"/>
        <v>-</v>
      </c>
      <c r="P255" s="1416" t="str">
        <f t="shared" si="99"/>
        <v>-</v>
      </c>
      <c r="Q255" s="1416" t="str">
        <f t="shared" si="99"/>
        <v>-</v>
      </c>
      <c r="R255" s="1416" t="str">
        <f t="shared" si="99"/>
        <v>-</v>
      </c>
      <c r="S255" s="1395">
        <f t="shared" si="99"/>
        <v>1</v>
      </c>
      <c r="T255" s="1395">
        <f t="shared" si="100"/>
        <v>1</v>
      </c>
      <c r="U255" s="1435">
        <f t="shared" si="100"/>
        <v>1</v>
      </c>
      <c r="V255" s="1449">
        <f t="shared" si="101"/>
        <v>1</v>
      </c>
      <c r="W255" s="1395">
        <f t="shared" si="101"/>
        <v>1</v>
      </c>
    </row>
    <row r="256" spans="1:42">
      <c r="A256" s="784">
        <f>+A255+1</f>
        <v>25</v>
      </c>
      <c r="B256" s="514" t="s">
        <v>1141</v>
      </c>
      <c r="C256" s="1397">
        <f t="shared" si="99"/>
        <v>1</v>
      </c>
      <c r="D256" s="1397" t="str">
        <f t="shared" si="99"/>
        <v>-</v>
      </c>
      <c r="E256" s="1397">
        <f t="shared" si="99"/>
        <v>0.98766756032171577</v>
      </c>
      <c r="F256" s="1397">
        <f t="shared" si="99"/>
        <v>1</v>
      </c>
      <c r="G256" s="1397" t="str">
        <f t="shared" si="99"/>
        <v>-</v>
      </c>
      <c r="H256" s="1397" t="str">
        <f t="shared" si="99"/>
        <v>-</v>
      </c>
      <c r="I256" s="1397" t="str">
        <f t="shared" si="99"/>
        <v>-</v>
      </c>
      <c r="J256" s="1398">
        <f t="shared" si="99"/>
        <v>0.99588624575210161</v>
      </c>
      <c r="K256" s="1397">
        <f t="shared" si="99"/>
        <v>0.9814553622734159</v>
      </c>
      <c r="L256" s="1397">
        <f t="shared" si="99"/>
        <v>0.96652030735455541</v>
      </c>
      <c r="M256" s="1397">
        <f t="shared" si="99"/>
        <v>0.96456441089932199</v>
      </c>
      <c r="N256" s="1397" t="str">
        <f t="shared" si="99"/>
        <v>-</v>
      </c>
      <c r="O256" s="1397">
        <f t="shared" si="99"/>
        <v>1</v>
      </c>
      <c r="P256" s="1397">
        <f t="shared" si="99"/>
        <v>9.8489822718319103E-2</v>
      </c>
      <c r="Q256" s="1397" t="str">
        <f t="shared" si="99"/>
        <v>-</v>
      </c>
      <c r="R256" s="1397" t="str">
        <f t="shared" si="99"/>
        <v>-</v>
      </c>
      <c r="S256" s="1398">
        <f t="shared" si="99"/>
        <v>0.89700429639220769</v>
      </c>
      <c r="T256" s="1398">
        <f t="shared" si="100"/>
        <v>0.87753161213060482</v>
      </c>
      <c r="U256" s="1431">
        <f t="shared" si="100"/>
        <v>1</v>
      </c>
      <c r="V256" s="1445">
        <f t="shared" si="101"/>
        <v>1</v>
      </c>
      <c r="W256" s="1398">
        <f t="shared" si="101"/>
        <v>0.64327485380116955</v>
      </c>
    </row>
    <row r="257" spans="1:42" ht="12.75" thickBot="1">
      <c r="A257" s="829">
        <f>+A256+1</f>
        <v>26</v>
      </c>
      <c r="B257" s="526" t="s">
        <v>1091</v>
      </c>
      <c r="C257" s="1406" t="str">
        <f t="shared" si="99"/>
        <v>-</v>
      </c>
      <c r="D257" s="1406" t="str">
        <f t="shared" si="99"/>
        <v>-</v>
      </c>
      <c r="E257" s="1406">
        <f t="shared" si="99"/>
        <v>1</v>
      </c>
      <c r="F257" s="1406" t="str">
        <f t="shared" si="99"/>
        <v>-</v>
      </c>
      <c r="G257" s="1406" t="str">
        <f t="shared" si="99"/>
        <v>-</v>
      </c>
      <c r="H257" s="1406" t="str">
        <f t="shared" si="99"/>
        <v>-</v>
      </c>
      <c r="I257" s="1406" t="str">
        <f t="shared" si="99"/>
        <v>-</v>
      </c>
      <c r="J257" s="1407">
        <f t="shared" si="99"/>
        <v>1</v>
      </c>
      <c r="K257" s="1406">
        <f t="shared" si="99"/>
        <v>1</v>
      </c>
      <c r="L257" s="1406">
        <f t="shared" si="99"/>
        <v>1</v>
      </c>
      <c r="M257" s="1406">
        <f t="shared" si="99"/>
        <v>1</v>
      </c>
      <c r="N257" s="1406" t="str">
        <f t="shared" si="99"/>
        <v>-</v>
      </c>
      <c r="O257" s="1406" t="str">
        <f t="shared" si="99"/>
        <v>-</v>
      </c>
      <c r="P257" s="1406" t="str">
        <f t="shared" si="99"/>
        <v>-</v>
      </c>
      <c r="Q257" s="1406" t="str">
        <f t="shared" si="99"/>
        <v>-</v>
      </c>
      <c r="R257" s="1406" t="str">
        <f t="shared" si="99"/>
        <v>-</v>
      </c>
      <c r="S257" s="1407">
        <f t="shared" si="99"/>
        <v>1</v>
      </c>
      <c r="T257" s="1407">
        <f t="shared" si="100"/>
        <v>1</v>
      </c>
      <c r="U257" s="1437">
        <f t="shared" si="100"/>
        <v>1</v>
      </c>
      <c r="V257" s="1451" t="str">
        <f t="shared" si="101"/>
        <v>-</v>
      </c>
      <c r="W257" s="1407">
        <f t="shared" si="101"/>
        <v>1</v>
      </c>
    </row>
    <row r="258" spans="1:42" s="507" customFormat="1" ht="12.75" thickBot="1">
      <c r="A258" s="343" t="s">
        <v>750</v>
      </c>
      <c r="B258" s="471" t="s">
        <v>420</v>
      </c>
      <c r="C258" s="1400">
        <f t="shared" si="99"/>
        <v>1</v>
      </c>
      <c r="D258" s="1400" t="str">
        <f t="shared" si="99"/>
        <v>-</v>
      </c>
      <c r="E258" s="1400">
        <f t="shared" si="99"/>
        <v>0.98824731732243232</v>
      </c>
      <c r="F258" s="1400">
        <f t="shared" si="99"/>
        <v>1</v>
      </c>
      <c r="G258" s="1400" t="str">
        <f t="shared" si="99"/>
        <v>-</v>
      </c>
      <c r="H258" s="1400" t="str">
        <f t="shared" si="99"/>
        <v>-</v>
      </c>
      <c r="I258" s="1400" t="str">
        <f t="shared" si="99"/>
        <v>-</v>
      </c>
      <c r="J258" s="1403">
        <f t="shared" si="99"/>
        <v>0.99595284180890375</v>
      </c>
      <c r="K258" s="1400">
        <f t="shared" si="99"/>
        <v>0.98534692698229254</v>
      </c>
      <c r="L258" s="1400">
        <f t="shared" si="99"/>
        <v>0.97292498890368395</v>
      </c>
      <c r="M258" s="1400">
        <f t="shared" si="99"/>
        <v>0.97619047619047616</v>
      </c>
      <c r="N258" s="1400" t="str">
        <f t="shared" si="99"/>
        <v>-</v>
      </c>
      <c r="O258" s="1400">
        <f t="shared" si="99"/>
        <v>1</v>
      </c>
      <c r="P258" s="1400">
        <f t="shared" si="99"/>
        <v>9.8489822718319103E-2</v>
      </c>
      <c r="Q258" s="1400" t="str">
        <f t="shared" si="99"/>
        <v>-</v>
      </c>
      <c r="R258" s="1400" t="str">
        <f t="shared" si="99"/>
        <v>-</v>
      </c>
      <c r="S258" s="1403">
        <f t="shared" si="99"/>
        <v>0.9199908560978397</v>
      </c>
      <c r="T258" s="1403">
        <f t="shared" si="100"/>
        <v>0.90864904629289056</v>
      </c>
      <c r="U258" s="1432">
        <f t="shared" si="100"/>
        <v>1</v>
      </c>
      <c r="V258" s="1402">
        <f t="shared" si="101"/>
        <v>1</v>
      </c>
      <c r="W258" s="1403">
        <f t="shared" si="101"/>
        <v>0.68556701030927836</v>
      </c>
      <c r="AA258" s="261"/>
      <c r="AB258" s="261"/>
      <c r="AC258" s="261"/>
      <c r="AD258" s="261"/>
      <c r="AE258" s="261"/>
      <c r="AF258" s="261"/>
      <c r="AG258" s="261"/>
      <c r="AH258" s="261"/>
      <c r="AI258" s="261"/>
      <c r="AJ258" s="261"/>
      <c r="AK258" s="261"/>
      <c r="AL258" s="261"/>
      <c r="AM258" s="261"/>
      <c r="AN258" s="261"/>
      <c r="AO258" s="261"/>
      <c r="AP258" s="261"/>
    </row>
    <row r="259" spans="1:42" ht="12.75" thickBot="1">
      <c r="A259" s="833">
        <f>+A257+1</f>
        <v>27</v>
      </c>
      <c r="B259" s="834" t="s">
        <v>752</v>
      </c>
      <c r="C259" s="1418" t="str">
        <f t="shared" si="99"/>
        <v>-</v>
      </c>
      <c r="D259" s="1418" t="str">
        <f t="shared" si="99"/>
        <v>-</v>
      </c>
      <c r="E259" s="1418" t="str">
        <f t="shared" si="99"/>
        <v>-</v>
      </c>
      <c r="F259" s="1418" t="str">
        <f t="shared" si="99"/>
        <v>-</v>
      </c>
      <c r="G259" s="1418" t="str">
        <f t="shared" si="99"/>
        <v>-</v>
      </c>
      <c r="H259" s="1418" t="str">
        <f t="shared" si="99"/>
        <v>-</v>
      </c>
      <c r="I259" s="1418" t="str">
        <f t="shared" si="99"/>
        <v>-</v>
      </c>
      <c r="J259" s="1403" t="str">
        <f t="shared" si="99"/>
        <v>-</v>
      </c>
      <c r="K259" s="1418" t="str">
        <f t="shared" si="99"/>
        <v>-</v>
      </c>
      <c r="L259" s="1418" t="str">
        <f t="shared" si="99"/>
        <v>-</v>
      </c>
      <c r="M259" s="1418" t="str">
        <f t="shared" si="99"/>
        <v>-</v>
      </c>
      <c r="N259" s="1418" t="str">
        <f t="shared" si="99"/>
        <v>-</v>
      </c>
      <c r="O259" s="1418" t="str">
        <f t="shared" si="99"/>
        <v>-</v>
      </c>
      <c r="P259" s="1418" t="str">
        <f t="shared" si="99"/>
        <v>-</v>
      </c>
      <c r="Q259" s="1418" t="str">
        <f t="shared" si="99"/>
        <v>-</v>
      </c>
      <c r="R259" s="1418" t="str">
        <f t="shared" si="99"/>
        <v>-</v>
      </c>
      <c r="S259" s="1403" t="str">
        <f t="shared" si="99"/>
        <v>-</v>
      </c>
      <c r="T259" s="1403" t="str">
        <f t="shared" si="100"/>
        <v>-</v>
      </c>
      <c r="U259" s="1438" t="str">
        <f t="shared" si="100"/>
        <v>-</v>
      </c>
      <c r="V259" s="1452" t="str">
        <f t="shared" si="101"/>
        <v>-</v>
      </c>
      <c r="W259" s="1403" t="str">
        <f t="shared" si="101"/>
        <v>-</v>
      </c>
    </row>
    <row r="260" spans="1:42" s="507" customFormat="1" ht="12.75" thickBot="1">
      <c r="A260" s="479" t="s">
        <v>633</v>
      </c>
      <c r="B260" s="480" t="s">
        <v>752</v>
      </c>
      <c r="C260" s="1419" t="str">
        <f t="shared" si="99"/>
        <v>-</v>
      </c>
      <c r="D260" s="1419" t="str">
        <f t="shared" si="99"/>
        <v>-</v>
      </c>
      <c r="E260" s="1419" t="str">
        <f t="shared" si="99"/>
        <v>-</v>
      </c>
      <c r="F260" s="1419" t="str">
        <f t="shared" si="99"/>
        <v>-</v>
      </c>
      <c r="G260" s="1419" t="str">
        <f t="shared" si="99"/>
        <v>-</v>
      </c>
      <c r="H260" s="1419" t="str">
        <f t="shared" si="99"/>
        <v>-</v>
      </c>
      <c r="I260" s="1419" t="str">
        <f t="shared" si="99"/>
        <v>-</v>
      </c>
      <c r="J260" s="1420" t="str">
        <f t="shared" si="99"/>
        <v>-</v>
      </c>
      <c r="K260" s="1419" t="str">
        <f t="shared" si="99"/>
        <v>-</v>
      </c>
      <c r="L260" s="1419" t="str">
        <f t="shared" si="99"/>
        <v>-</v>
      </c>
      <c r="M260" s="1419" t="str">
        <f t="shared" si="99"/>
        <v>-</v>
      </c>
      <c r="N260" s="1419" t="str">
        <f t="shared" si="99"/>
        <v>-</v>
      </c>
      <c r="O260" s="1419" t="str">
        <f t="shared" si="99"/>
        <v>-</v>
      </c>
      <c r="P260" s="1419" t="str">
        <f t="shared" si="99"/>
        <v>-</v>
      </c>
      <c r="Q260" s="1419" t="str">
        <f t="shared" si="99"/>
        <v>-</v>
      </c>
      <c r="R260" s="1419" t="str">
        <f t="shared" si="99"/>
        <v>-</v>
      </c>
      <c r="S260" s="1420" t="str">
        <f t="shared" si="99"/>
        <v>-</v>
      </c>
      <c r="T260" s="1420" t="str">
        <f t="shared" si="100"/>
        <v>-</v>
      </c>
      <c r="U260" s="1439" t="str">
        <f t="shared" si="100"/>
        <v>-</v>
      </c>
      <c r="V260" s="1453" t="str">
        <f t="shared" si="101"/>
        <v>-</v>
      </c>
      <c r="W260" s="1420" t="str">
        <f t="shared" si="101"/>
        <v>-</v>
      </c>
      <c r="AA260" s="261"/>
      <c r="AB260" s="261"/>
      <c r="AC260" s="261"/>
      <c r="AD260" s="261"/>
      <c r="AE260" s="261"/>
      <c r="AF260" s="261"/>
      <c r="AG260" s="261"/>
      <c r="AH260" s="261"/>
      <c r="AI260" s="261"/>
      <c r="AJ260" s="261"/>
      <c r="AK260" s="261"/>
      <c r="AL260" s="261"/>
      <c r="AM260" s="261"/>
      <c r="AN260" s="261"/>
      <c r="AO260" s="261"/>
      <c r="AP260" s="261"/>
    </row>
    <row r="261" spans="1:42" ht="12.75" thickBot="1">
      <c r="A261" s="833">
        <f>+A259+1</f>
        <v>28</v>
      </c>
      <c r="B261" s="834" t="s">
        <v>767</v>
      </c>
      <c r="C261" s="1418" t="str">
        <f t="shared" si="99"/>
        <v>-</v>
      </c>
      <c r="D261" s="1418" t="str">
        <f t="shared" si="99"/>
        <v>-</v>
      </c>
      <c r="E261" s="1418" t="str">
        <f t="shared" si="99"/>
        <v>-</v>
      </c>
      <c r="F261" s="1418" t="str">
        <f t="shared" si="99"/>
        <v>-</v>
      </c>
      <c r="G261" s="1418" t="str">
        <f t="shared" si="99"/>
        <v>-</v>
      </c>
      <c r="H261" s="1418" t="str">
        <f t="shared" si="99"/>
        <v>-</v>
      </c>
      <c r="I261" s="1418" t="str">
        <f t="shared" si="99"/>
        <v>-</v>
      </c>
      <c r="J261" s="1403" t="str">
        <f t="shared" si="99"/>
        <v>-</v>
      </c>
      <c r="K261" s="1418" t="str">
        <f t="shared" si="99"/>
        <v>-</v>
      </c>
      <c r="L261" s="1418" t="str">
        <f t="shared" si="99"/>
        <v>-</v>
      </c>
      <c r="M261" s="1418" t="str">
        <f t="shared" si="99"/>
        <v>-</v>
      </c>
      <c r="N261" s="1418" t="str">
        <f t="shared" si="99"/>
        <v>-</v>
      </c>
      <c r="O261" s="1418" t="str">
        <f t="shared" si="99"/>
        <v>-</v>
      </c>
      <c r="P261" s="1418" t="str">
        <f t="shared" si="99"/>
        <v>-</v>
      </c>
      <c r="Q261" s="1418" t="str">
        <f t="shared" si="99"/>
        <v>-</v>
      </c>
      <c r="R261" s="1418" t="str">
        <f t="shared" si="99"/>
        <v>-</v>
      </c>
      <c r="S261" s="1403" t="str">
        <f t="shared" si="99"/>
        <v>-</v>
      </c>
      <c r="T261" s="1403" t="str">
        <f t="shared" si="100"/>
        <v>-</v>
      </c>
      <c r="U261" s="1438" t="str">
        <f t="shared" si="100"/>
        <v>-</v>
      </c>
      <c r="V261" s="1452" t="str">
        <f t="shared" si="101"/>
        <v>-</v>
      </c>
      <c r="W261" s="1403" t="str">
        <f t="shared" si="101"/>
        <v>-</v>
      </c>
    </row>
    <row r="262" spans="1:42" s="507" customFormat="1" ht="12.75" thickBot="1">
      <c r="A262" s="479" t="s">
        <v>751</v>
      </c>
      <c r="B262" s="480" t="s">
        <v>767</v>
      </c>
      <c r="C262" s="1419" t="str">
        <f t="shared" si="99"/>
        <v>-</v>
      </c>
      <c r="D262" s="1419" t="str">
        <f t="shared" si="99"/>
        <v>-</v>
      </c>
      <c r="E262" s="1419" t="str">
        <f t="shared" si="99"/>
        <v>-</v>
      </c>
      <c r="F262" s="1419" t="str">
        <f t="shared" si="99"/>
        <v>-</v>
      </c>
      <c r="G262" s="1419" t="str">
        <f t="shared" si="99"/>
        <v>-</v>
      </c>
      <c r="H262" s="1419" t="str">
        <f t="shared" si="99"/>
        <v>-</v>
      </c>
      <c r="I262" s="1419" t="str">
        <f t="shared" si="99"/>
        <v>-</v>
      </c>
      <c r="J262" s="1420" t="str">
        <f t="shared" si="99"/>
        <v>-</v>
      </c>
      <c r="K262" s="1419" t="str">
        <f t="shared" si="99"/>
        <v>-</v>
      </c>
      <c r="L262" s="1419" t="str">
        <f t="shared" si="99"/>
        <v>-</v>
      </c>
      <c r="M262" s="1419" t="str">
        <f t="shared" si="99"/>
        <v>-</v>
      </c>
      <c r="N262" s="1419" t="str">
        <f t="shared" si="99"/>
        <v>-</v>
      </c>
      <c r="O262" s="1419" t="str">
        <f t="shared" si="99"/>
        <v>-</v>
      </c>
      <c r="P262" s="1419" t="str">
        <f t="shared" si="99"/>
        <v>-</v>
      </c>
      <c r="Q262" s="1419" t="str">
        <f t="shared" si="99"/>
        <v>-</v>
      </c>
      <c r="R262" s="1419" t="str">
        <f t="shared" si="99"/>
        <v>-</v>
      </c>
      <c r="S262" s="1420" t="str">
        <f t="shared" si="99"/>
        <v>-</v>
      </c>
      <c r="T262" s="1420" t="str">
        <f t="shared" si="100"/>
        <v>-</v>
      </c>
      <c r="U262" s="1439" t="str">
        <f t="shared" si="100"/>
        <v>-</v>
      </c>
      <c r="V262" s="1453" t="str">
        <f t="shared" si="101"/>
        <v>-</v>
      </c>
      <c r="W262" s="1420" t="str">
        <f t="shared" si="101"/>
        <v>-</v>
      </c>
      <c r="AA262" s="261"/>
      <c r="AB262" s="261"/>
      <c r="AC262" s="261"/>
      <c r="AD262" s="261"/>
      <c r="AE262" s="261"/>
      <c r="AF262" s="261"/>
      <c r="AG262" s="261"/>
      <c r="AH262" s="261"/>
      <c r="AI262" s="261"/>
      <c r="AJ262" s="261"/>
      <c r="AK262" s="261"/>
      <c r="AL262" s="261"/>
      <c r="AM262" s="261"/>
      <c r="AN262" s="261"/>
      <c r="AO262" s="261"/>
      <c r="AP262" s="261"/>
    </row>
    <row r="263" spans="1:42" s="507" customFormat="1" ht="12.75" thickBot="1">
      <c r="A263" s="473" t="s">
        <v>20</v>
      </c>
      <c r="B263" s="483" t="s">
        <v>422</v>
      </c>
      <c r="C263" s="1408">
        <f t="shared" ref="C263:S277" si="102">IF(ISERROR(C193/C123),"-",C193/C123)</f>
        <v>1</v>
      </c>
      <c r="D263" s="1409" t="str">
        <f t="shared" si="102"/>
        <v>-</v>
      </c>
      <c r="E263" s="1409">
        <f t="shared" si="102"/>
        <v>0.98824731732243232</v>
      </c>
      <c r="F263" s="1409">
        <f t="shared" si="102"/>
        <v>1</v>
      </c>
      <c r="G263" s="1409" t="str">
        <f t="shared" si="102"/>
        <v>-</v>
      </c>
      <c r="H263" s="1409" t="str">
        <f t="shared" si="102"/>
        <v>-</v>
      </c>
      <c r="I263" s="1410" t="str">
        <f t="shared" si="102"/>
        <v>-</v>
      </c>
      <c r="J263" s="1411">
        <f t="shared" si="102"/>
        <v>0.99595284180890375</v>
      </c>
      <c r="K263" s="1408">
        <f t="shared" si="102"/>
        <v>0.98534692698229254</v>
      </c>
      <c r="L263" s="1408">
        <f t="shared" si="102"/>
        <v>0.97292498890368395</v>
      </c>
      <c r="M263" s="1408">
        <f t="shared" si="102"/>
        <v>0.97619047619047616</v>
      </c>
      <c r="N263" s="1408" t="str">
        <f t="shared" si="102"/>
        <v>-</v>
      </c>
      <c r="O263" s="1408">
        <f t="shared" si="102"/>
        <v>1</v>
      </c>
      <c r="P263" s="1408">
        <f t="shared" si="102"/>
        <v>9.8489822718319103E-2</v>
      </c>
      <c r="Q263" s="1408" t="str">
        <f t="shared" si="102"/>
        <v>-</v>
      </c>
      <c r="R263" s="1408" t="str">
        <f t="shared" si="102"/>
        <v>-</v>
      </c>
      <c r="S263" s="1411">
        <f t="shared" si="102"/>
        <v>0.9199908560978397</v>
      </c>
      <c r="T263" s="1411">
        <f t="shared" si="100"/>
        <v>0.90864904629289056</v>
      </c>
      <c r="U263" s="1434">
        <f t="shared" si="100"/>
        <v>1</v>
      </c>
      <c r="V263" s="1447">
        <f t="shared" si="101"/>
        <v>1</v>
      </c>
      <c r="W263" s="1411">
        <f t="shared" si="101"/>
        <v>0.68556701030927836</v>
      </c>
      <c r="AA263" s="261"/>
      <c r="AB263" s="261"/>
      <c r="AC263" s="261"/>
      <c r="AD263" s="261"/>
      <c r="AE263" s="261"/>
      <c r="AF263" s="261"/>
      <c r="AG263" s="261"/>
      <c r="AH263" s="261"/>
      <c r="AI263" s="261"/>
      <c r="AJ263" s="261"/>
      <c r="AK263" s="261"/>
      <c r="AL263" s="261"/>
      <c r="AM263" s="261"/>
      <c r="AN263" s="261"/>
      <c r="AO263" s="261"/>
      <c r="AP263" s="261"/>
    </row>
    <row r="264" spans="1:42" s="194" customFormat="1" ht="12.75" thickBot="1">
      <c r="A264" s="494"/>
      <c r="B264" s="545"/>
      <c r="C264" s="1421" t="str">
        <f t="shared" si="102"/>
        <v>-</v>
      </c>
      <c r="D264" s="1422" t="str">
        <f t="shared" si="102"/>
        <v>-</v>
      </c>
      <c r="E264" s="1422" t="str">
        <f t="shared" si="102"/>
        <v>-</v>
      </c>
      <c r="F264" s="1422" t="str">
        <f t="shared" si="102"/>
        <v>-</v>
      </c>
      <c r="G264" s="1422" t="str">
        <f t="shared" si="102"/>
        <v>-</v>
      </c>
      <c r="H264" s="1422" t="str">
        <f t="shared" si="102"/>
        <v>-</v>
      </c>
      <c r="I264" s="1423" t="str">
        <f t="shared" si="102"/>
        <v>-</v>
      </c>
      <c r="J264" s="1424" t="str">
        <f t="shared" si="102"/>
        <v>-</v>
      </c>
      <c r="K264" s="1425" t="str">
        <f t="shared" si="102"/>
        <v>-</v>
      </c>
      <c r="L264" s="1425" t="str">
        <f t="shared" si="102"/>
        <v>-</v>
      </c>
      <c r="M264" s="1425" t="str">
        <f t="shared" si="102"/>
        <v>-</v>
      </c>
      <c r="N264" s="1425" t="str">
        <f t="shared" si="102"/>
        <v>-</v>
      </c>
      <c r="O264" s="1425" t="str">
        <f t="shared" si="102"/>
        <v>-</v>
      </c>
      <c r="P264" s="1425" t="str">
        <f t="shared" si="102"/>
        <v>-</v>
      </c>
      <c r="Q264" s="1425" t="str">
        <f t="shared" si="102"/>
        <v>-</v>
      </c>
      <c r="R264" s="1425" t="str">
        <f t="shared" si="102"/>
        <v>-</v>
      </c>
      <c r="S264" s="1414" t="str">
        <f t="shared" si="102"/>
        <v>-</v>
      </c>
      <c r="T264" s="1414" t="str">
        <f t="shared" si="100"/>
        <v>-</v>
      </c>
      <c r="U264" s="1440" t="str">
        <f t="shared" si="100"/>
        <v>-</v>
      </c>
      <c r="V264" s="1454" t="str">
        <f t="shared" si="101"/>
        <v>-</v>
      </c>
      <c r="W264" s="1414" t="str">
        <f t="shared" si="101"/>
        <v>-</v>
      </c>
      <c r="AA264" s="261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</row>
    <row r="265" spans="1:42" ht="12.75" thickBot="1">
      <c r="A265" s="783">
        <f>+A261+1</f>
        <v>29</v>
      </c>
      <c r="B265" s="695" t="s">
        <v>856</v>
      </c>
      <c r="C265" s="1416" t="str">
        <f t="shared" si="102"/>
        <v>-</v>
      </c>
      <c r="D265" s="1416" t="str">
        <f t="shared" si="102"/>
        <v>-</v>
      </c>
      <c r="E265" s="1416" t="str">
        <f t="shared" si="102"/>
        <v>-</v>
      </c>
      <c r="F265" s="1416" t="str">
        <f t="shared" si="102"/>
        <v>-</v>
      </c>
      <c r="G265" s="1416" t="str">
        <f t="shared" si="102"/>
        <v>-</v>
      </c>
      <c r="H265" s="1416" t="str">
        <f t="shared" si="102"/>
        <v>-</v>
      </c>
      <c r="I265" s="1416" t="str">
        <f t="shared" si="102"/>
        <v>-</v>
      </c>
      <c r="J265" s="1395" t="str">
        <f t="shared" si="102"/>
        <v>-</v>
      </c>
      <c r="K265" s="1416" t="str">
        <f t="shared" si="102"/>
        <v>-</v>
      </c>
      <c r="L265" s="1416" t="str">
        <f t="shared" si="102"/>
        <v>-</v>
      </c>
      <c r="M265" s="1416" t="str">
        <f t="shared" si="102"/>
        <v>-</v>
      </c>
      <c r="N265" s="1416" t="str">
        <f t="shared" si="102"/>
        <v>-</v>
      </c>
      <c r="O265" s="1416" t="str">
        <f t="shared" si="102"/>
        <v>-</v>
      </c>
      <c r="P265" s="1416" t="str">
        <f t="shared" si="102"/>
        <v>-</v>
      </c>
      <c r="Q265" s="1416" t="str">
        <f t="shared" si="102"/>
        <v>-</v>
      </c>
      <c r="R265" s="1416" t="str">
        <f t="shared" si="102"/>
        <v>-</v>
      </c>
      <c r="S265" s="1395" t="str">
        <f t="shared" si="102"/>
        <v>-</v>
      </c>
      <c r="T265" s="1395" t="str">
        <f t="shared" ref="T265:U280" si="103">IF(ISERROR(T195/T125),"-",T195/T125)</f>
        <v>-</v>
      </c>
      <c r="U265" s="1435" t="str">
        <f t="shared" si="103"/>
        <v>-</v>
      </c>
      <c r="V265" s="1449" t="str">
        <f t="shared" si="101"/>
        <v>-</v>
      </c>
      <c r="W265" s="1395" t="str">
        <f t="shared" si="101"/>
        <v>-</v>
      </c>
    </row>
    <row r="266" spans="1:42" s="507" customFormat="1" ht="12.75" thickBot="1">
      <c r="A266" s="343" t="s">
        <v>881</v>
      </c>
      <c r="B266" s="471" t="s">
        <v>856</v>
      </c>
      <c r="C266" s="1400" t="str">
        <f t="shared" si="102"/>
        <v>-</v>
      </c>
      <c r="D266" s="1400" t="str">
        <f t="shared" si="102"/>
        <v>-</v>
      </c>
      <c r="E266" s="1400" t="str">
        <f t="shared" si="102"/>
        <v>-</v>
      </c>
      <c r="F266" s="1400" t="str">
        <f t="shared" si="102"/>
        <v>-</v>
      </c>
      <c r="G266" s="1400" t="str">
        <f t="shared" si="102"/>
        <v>-</v>
      </c>
      <c r="H266" s="1400" t="str">
        <f t="shared" si="102"/>
        <v>-</v>
      </c>
      <c r="I266" s="1400" t="str">
        <f t="shared" si="102"/>
        <v>-</v>
      </c>
      <c r="J266" s="1403" t="str">
        <f t="shared" si="102"/>
        <v>-</v>
      </c>
      <c r="K266" s="1400" t="str">
        <f t="shared" si="102"/>
        <v>-</v>
      </c>
      <c r="L266" s="1400" t="str">
        <f t="shared" si="102"/>
        <v>-</v>
      </c>
      <c r="M266" s="1400" t="str">
        <f t="shared" si="102"/>
        <v>-</v>
      </c>
      <c r="N266" s="1400" t="str">
        <f t="shared" si="102"/>
        <v>-</v>
      </c>
      <c r="O266" s="1400" t="str">
        <f t="shared" si="102"/>
        <v>-</v>
      </c>
      <c r="P266" s="1400" t="str">
        <f t="shared" si="102"/>
        <v>-</v>
      </c>
      <c r="Q266" s="1400" t="str">
        <f t="shared" si="102"/>
        <v>-</v>
      </c>
      <c r="R266" s="1400" t="str">
        <f t="shared" si="102"/>
        <v>-</v>
      </c>
      <c r="S266" s="1403" t="str">
        <f t="shared" si="102"/>
        <v>-</v>
      </c>
      <c r="T266" s="1403" t="str">
        <f t="shared" si="103"/>
        <v>-</v>
      </c>
      <c r="U266" s="1432" t="str">
        <f t="shared" si="103"/>
        <v>-</v>
      </c>
      <c r="V266" s="1402" t="str">
        <f t="shared" si="101"/>
        <v>-</v>
      </c>
      <c r="W266" s="1403" t="str">
        <f t="shared" si="101"/>
        <v>-</v>
      </c>
      <c r="AA266" s="261"/>
      <c r="AB266" s="261"/>
      <c r="AC266" s="261"/>
      <c r="AD266" s="261"/>
      <c r="AE266" s="261"/>
      <c r="AF266" s="261"/>
      <c r="AG266" s="261"/>
      <c r="AH266" s="261"/>
      <c r="AI266" s="261"/>
      <c r="AJ266" s="261"/>
      <c r="AK266" s="261"/>
      <c r="AL266" s="261"/>
      <c r="AM266" s="261"/>
      <c r="AN266" s="261"/>
      <c r="AO266" s="261"/>
      <c r="AP266" s="261"/>
    </row>
    <row r="267" spans="1:42" ht="12.75" thickBot="1">
      <c r="A267" s="833">
        <f>+A265+1</f>
        <v>30</v>
      </c>
      <c r="B267" s="834" t="s">
        <v>1071</v>
      </c>
      <c r="C267" s="1418" t="str">
        <f t="shared" si="102"/>
        <v>-</v>
      </c>
      <c r="D267" s="1418" t="str">
        <f t="shared" si="102"/>
        <v>-</v>
      </c>
      <c r="E267" s="1418" t="str">
        <f t="shared" si="102"/>
        <v>-</v>
      </c>
      <c r="F267" s="1418" t="str">
        <f t="shared" si="102"/>
        <v>-</v>
      </c>
      <c r="G267" s="1418" t="str">
        <f t="shared" si="102"/>
        <v>-</v>
      </c>
      <c r="H267" s="1418" t="str">
        <f t="shared" si="102"/>
        <v>-</v>
      </c>
      <c r="I267" s="1418" t="str">
        <f t="shared" si="102"/>
        <v>-</v>
      </c>
      <c r="J267" s="1403" t="str">
        <f t="shared" si="102"/>
        <v>-</v>
      </c>
      <c r="K267" s="1418">
        <f t="shared" si="102"/>
        <v>1</v>
      </c>
      <c r="L267" s="1418">
        <f t="shared" si="102"/>
        <v>1</v>
      </c>
      <c r="M267" s="1418">
        <f t="shared" si="102"/>
        <v>1</v>
      </c>
      <c r="N267" s="1418" t="str">
        <f t="shared" si="102"/>
        <v>-</v>
      </c>
      <c r="O267" s="1418">
        <f t="shared" si="102"/>
        <v>1</v>
      </c>
      <c r="P267" s="1418" t="str">
        <f t="shared" si="102"/>
        <v>-</v>
      </c>
      <c r="Q267" s="1418" t="str">
        <f t="shared" si="102"/>
        <v>-</v>
      </c>
      <c r="R267" s="1418" t="str">
        <f t="shared" si="102"/>
        <v>-</v>
      </c>
      <c r="S267" s="1403">
        <f t="shared" si="102"/>
        <v>1</v>
      </c>
      <c r="T267" s="1403">
        <f t="shared" si="103"/>
        <v>1</v>
      </c>
      <c r="U267" s="1438" t="str">
        <f t="shared" si="103"/>
        <v>-</v>
      </c>
      <c r="V267" s="1452" t="str">
        <f t="shared" si="101"/>
        <v>-</v>
      </c>
      <c r="W267" s="1403">
        <f t="shared" si="101"/>
        <v>1</v>
      </c>
    </row>
    <row r="268" spans="1:42" s="507" customFormat="1" ht="12.75" thickBot="1">
      <c r="A268" s="479" t="s">
        <v>882</v>
      </c>
      <c r="B268" s="480" t="s">
        <v>857</v>
      </c>
      <c r="C268" s="1400" t="str">
        <f t="shared" si="102"/>
        <v>-</v>
      </c>
      <c r="D268" s="1400" t="str">
        <f t="shared" si="102"/>
        <v>-</v>
      </c>
      <c r="E268" s="1400" t="str">
        <f t="shared" si="102"/>
        <v>-</v>
      </c>
      <c r="F268" s="1400" t="str">
        <f t="shared" si="102"/>
        <v>-</v>
      </c>
      <c r="G268" s="1400" t="str">
        <f t="shared" si="102"/>
        <v>-</v>
      </c>
      <c r="H268" s="1400" t="str">
        <f t="shared" si="102"/>
        <v>-</v>
      </c>
      <c r="I268" s="1400" t="str">
        <f t="shared" si="102"/>
        <v>-</v>
      </c>
      <c r="J268" s="1403" t="str">
        <f t="shared" si="102"/>
        <v>-</v>
      </c>
      <c r="K268" s="1400">
        <f t="shared" si="102"/>
        <v>1</v>
      </c>
      <c r="L268" s="1400">
        <f t="shared" si="102"/>
        <v>1</v>
      </c>
      <c r="M268" s="1400">
        <f t="shared" si="102"/>
        <v>1</v>
      </c>
      <c r="N268" s="1400" t="str">
        <f t="shared" si="102"/>
        <v>-</v>
      </c>
      <c r="O268" s="1400">
        <f t="shared" si="102"/>
        <v>1</v>
      </c>
      <c r="P268" s="1400" t="str">
        <f t="shared" si="102"/>
        <v>-</v>
      </c>
      <c r="Q268" s="1400" t="str">
        <f t="shared" si="102"/>
        <v>-</v>
      </c>
      <c r="R268" s="1400" t="str">
        <f t="shared" si="102"/>
        <v>-</v>
      </c>
      <c r="S268" s="1403">
        <f t="shared" si="102"/>
        <v>1</v>
      </c>
      <c r="T268" s="1403">
        <f t="shared" si="103"/>
        <v>1</v>
      </c>
      <c r="U268" s="1432" t="str">
        <f t="shared" si="103"/>
        <v>-</v>
      </c>
      <c r="V268" s="1402" t="str">
        <f t="shared" si="101"/>
        <v>-</v>
      </c>
      <c r="W268" s="1403">
        <f t="shared" si="101"/>
        <v>1</v>
      </c>
      <c r="AA268" s="261"/>
      <c r="AB268" s="261"/>
      <c r="AC268" s="261"/>
      <c r="AD268" s="261"/>
      <c r="AE268" s="261"/>
      <c r="AF268" s="261"/>
      <c r="AG268" s="261"/>
      <c r="AH268" s="261"/>
      <c r="AI268" s="261"/>
      <c r="AJ268" s="261"/>
      <c r="AK268" s="261"/>
      <c r="AL268" s="261"/>
      <c r="AM268" s="261"/>
      <c r="AN268" s="261"/>
      <c r="AO268" s="261"/>
      <c r="AP268" s="261"/>
    </row>
    <row r="269" spans="1:42" ht="12.75" thickBot="1">
      <c r="A269" s="833">
        <f>+A267+1</f>
        <v>31</v>
      </c>
      <c r="B269" s="834" t="s">
        <v>884</v>
      </c>
      <c r="C269" s="1418" t="str">
        <f t="shared" si="102"/>
        <v>-</v>
      </c>
      <c r="D269" s="1418" t="str">
        <f t="shared" si="102"/>
        <v>-</v>
      </c>
      <c r="E269" s="1418" t="str">
        <f t="shared" si="102"/>
        <v>-</v>
      </c>
      <c r="F269" s="1418" t="str">
        <f t="shared" si="102"/>
        <v>-</v>
      </c>
      <c r="G269" s="1418" t="str">
        <f t="shared" si="102"/>
        <v>-</v>
      </c>
      <c r="H269" s="1418" t="str">
        <f t="shared" si="102"/>
        <v>-</v>
      </c>
      <c r="I269" s="1418" t="str">
        <f t="shared" si="102"/>
        <v>-</v>
      </c>
      <c r="J269" s="1403" t="str">
        <f t="shared" si="102"/>
        <v>-</v>
      </c>
      <c r="K269" s="1418" t="str">
        <f t="shared" si="102"/>
        <v>-</v>
      </c>
      <c r="L269" s="1418" t="str">
        <f t="shared" si="102"/>
        <v>-</v>
      </c>
      <c r="M269" s="1418" t="str">
        <f t="shared" si="102"/>
        <v>-</v>
      </c>
      <c r="N269" s="1418" t="str">
        <f t="shared" si="102"/>
        <v>-</v>
      </c>
      <c r="O269" s="1418" t="str">
        <f t="shared" si="102"/>
        <v>-</v>
      </c>
      <c r="P269" s="1418" t="str">
        <f t="shared" si="102"/>
        <v>-</v>
      </c>
      <c r="Q269" s="1418" t="str">
        <f t="shared" si="102"/>
        <v>-</v>
      </c>
      <c r="R269" s="1418" t="str">
        <f t="shared" si="102"/>
        <v>-</v>
      </c>
      <c r="S269" s="1403" t="str">
        <f t="shared" si="102"/>
        <v>-</v>
      </c>
      <c r="T269" s="1403" t="str">
        <f t="shared" si="103"/>
        <v>-</v>
      </c>
      <c r="U269" s="1438" t="str">
        <f t="shared" si="103"/>
        <v>-</v>
      </c>
      <c r="V269" s="1452" t="str">
        <f t="shared" si="101"/>
        <v>-</v>
      </c>
      <c r="W269" s="1403" t="str">
        <f t="shared" si="101"/>
        <v>-</v>
      </c>
    </row>
    <row r="270" spans="1:42" s="507" customFormat="1" ht="12.75" thickBot="1">
      <c r="A270" s="479" t="s">
        <v>883</v>
      </c>
      <c r="B270" s="480" t="s">
        <v>884</v>
      </c>
      <c r="C270" s="1400" t="str">
        <f t="shared" si="102"/>
        <v>-</v>
      </c>
      <c r="D270" s="1400" t="str">
        <f t="shared" si="102"/>
        <v>-</v>
      </c>
      <c r="E270" s="1400" t="str">
        <f t="shared" si="102"/>
        <v>-</v>
      </c>
      <c r="F270" s="1400" t="str">
        <f t="shared" si="102"/>
        <v>-</v>
      </c>
      <c r="G270" s="1400" t="str">
        <f t="shared" si="102"/>
        <v>-</v>
      </c>
      <c r="H270" s="1400" t="str">
        <f t="shared" si="102"/>
        <v>-</v>
      </c>
      <c r="I270" s="1400" t="str">
        <f t="shared" si="102"/>
        <v>-</v>
      </c>
      <c r="J270" s="1403" t="str">
        <f t="shared" si="102"/>
        <v>-</v>
      </c>
      <c r="K270" s="1400" t="str">
        <f t="shared" si="102"/>
        <v>-</v>
      </c>
      <c r="L270" s="1400" t="str">
        <f t="shared" si="102"/>
        <v>-</v>
      </c>
      <c r="M270" s="1400" t="str">
        <f t="shared" si="102"/>
        <v>-</v>
      </c>
      <c r="N270" s="1400" t="str">
        <f t="shared" si="102"/>
        <v>-</v>
      </c>
      <c r="O270" s="1400" t="str">
        <f t="shared" si="102"/>
        <v>-</v>
      </c>
      <c r="P270" s="1400" t="str">
        <f t="shared" si="102"/>
        <v>-</v>
      </c>
      <c r="Q270" s="1400" t="str">
        <f t="shared" si="102"/>
        <v>-</v>
      </c>
      <c r="R270" s="1400" t="str">
        <f t="shared" si="102"/>
        <v>-</v>
      </c>
      <c r="S270" s="1403" t="str">
        <f t="shared" si="102"/>
        <v>-</v>
      </c>
      <c r="T270" s="1403" t="str">
        <f t="shared" si="103"/>
        <v>-</v>
      </c>
      <c r="U270" s="1432" t="str">
        <f t="shared" si="103"/>
        <v>-</v>
      </c>
      <c r="V270" s="1402" t="str">
        <f t="shared" si="101"/>
        <v>-</v>
      </c>
      <c r="W270" s="1403" t="str">
        <f t="shared" si="101"/>
        <v>-</v>
      </c>
      <c r="AA270" s="261"/>
      <c r="AB270" s="261"/>
      <c r="AC270" s="261"/>
      <c r="AD270" s="261"/>
      <c r="AE270" s="261"/>
      <c r="AF270" s="261"/>
      <c r="AG270" s="261"/>
      <c r="AH270" s="261"/>
      <c r="AI270" s="261"/>
      <c r="AJ270" s="261"/>
      <c r="AK270" s="261"/>
      <c r="AL270" s="261"/>
      <c r="AM270" s="261"/>
      <c r="AN270" s="261"/>
      <c r="AO270" s="261"/>
      <c r="AP270" s="261"/>
    </row>
    <row r="271" spans="1:42" s="507" customFormat="1" ht="12.75" thickBot="1">
      <c r="A271" s="473" t="s">
        <v>552</v>
      </c>
      <c r="B271" s="483" t="s">
        <v>858</v>
      </c>
      <c r="C271" s="1408" t="str">
        <f t="shared" si="102"/>
        <v>-</v>
      </c>
      <c r="D271" s="1408" t="str">
        <f t="shared" si="102"/>
        <v>-</v>
      </c>
      <c r="E271" s="1408" t="str">
        <f t="shared" si="102"/>
        <v>-</v>
      </c>
      <c r="F271" s="1408" t="str">
        <f t="shared" si="102"/>
        <v>-</v>
      </c>
      <c r="G271" s="1408" t="str">
        <f t="shared" si="102"/>
        <v>-</v>
      </c>
      <c r="H271" s="1408" t="str">
        <f t="shared" si="102"/>
        <v>-</v>
      </c>
      <c r="I271" s="1408" t="str">
        <f t="shared" si="102"/>
        <v>-</v>
      </c>
      <c r="J271" s="1411" t="str">
        <f t="shared" si="102"/>
        <v>-</v>
      </c>
      <c r="K271" s="1408">
        <f t="shared" si="102"/>
        <v>1</v>
      </c>
      <c r="L271" s="1408">
        <f t="shared" si="102"/>
        <v>1</v>
      </c>
      <c r="M271" s="1408">
        <f t="shared" si="102"/>
        <v>1</v>
      </c>
      <c r="N271" s="1408" t="str">
        <f t="shared" si="102"/>
        <v>-</v>
      </c>
      <c r="O271" s="1408">
        <f t="shared" si="102"/>
        <v>1</v>
      </c>
      <c r="P271" s="1408" t="str">
        <f t="shared" si="102"/>
        <v>-</v>
      </c>
      <c r="Q271" s="1408" t="str">
        <f t="shared" si="102"/>
        <v>-</v>
      </c>
      <c r="R271" s="1408" t="str">
        <f t="shared" si="102"/>
        <v>-</v>
      </c>
      <c r="S271" s="1411">
        <f t="shared" si="102"/>
        <v>1</v>
      </c>
      <c r="T271" s="1411">
        <f t="shared" si="103"/>
        <v>1</v>
      </c>
      <c r="U271" s="1434" t="str">
        <f t="shared" si="103"/>
        <v>-</v>
      </c>
      <c r="V271" s="1447" t="str">
        <f t="shared" si="101"/>
        <v>-</v>
      </c>
      <c r="W271" s="1411">
        <f t="shared" si="101"/>
        <v>1</v>
      </c>
      <c r="AA271" s="261"/>
      <c r="AB271" s="261"/>
      <c r="AC271" s="261"/>
      <c r="AD271" s="261"/>
      <c r="AE271" s="261"/>
      <c r="AF271" s="261"/>
      <c r="AG271" s="261"/>
      <c r="AH271" s="261"/>
      <c r="AI271" s="261"/>
      <c r="AJ271" s="261"/>
      <c r="AK271" s="261"/>
      <c r="AL271" s="261"/>
      <c r="AM271" s="261"/>
      <c r="AN271" s="261"/>
      <c r="AO271" s="261"/>
      <c r="AP271" s="261"/>
    </row>
    <row r="272" spans="1:42" s="194" customFormat="1" ht="12.75" thickBot="1">
      <c r="A272" s="494"/>
      <c r="B272" s="545"/>
      <c r="C272" s="1421" t="str">
        <f t="shared" si="102"/>
        <v>-</v>
      </c>
      <c r="D272" s="1422" t="str">
        <f t="shared" si="102"/>
        <v>-</v>
      </c>
      <c r="E272" s="1422" t="str">
        <f t="shared" si="102"/>
        <v>-</v>
      </c>
      <c r="F272" s="1422" t="str">
        <f t="shared" si="102"/>
        <v>-</v>
      </c>
      <c r="G272" s="1422" t="str">
        <f t="shared" si="102"/>
        <v>-</v>
      </c>
      <c r="H272" s="1422" t="str">
        <f t="shared" si="102"/>
        <v>-</v>
      </c>
      <c r="I272" s="1423" t="str">
        <f t="shared" si="102"/>
        <v>-</v>
      </c>
      <c r="J272" s="1424" t="str">
        <f t="shared" si="102"/>
        <v>-</v>
      </c>
      <c r="K272" s="1425" t="str">
        <f t="shared" si="102"/>
        <v>-</v>
      </c>
      <c r="L272" s="1425" t="str">
        <f t="shared" si="102"/>
        <v>-</v>
      </c>
      <c r="M272" s="1425" t="str">
        <f t="shared" si="102"/>
        <v>-</v>
      </c>
      <c r="N272" s="1425" t="str">
        <f t="shared" si="102"/>
        <v>-</v>
      </c>
      <c r="O272" s="1425" t="str">
        <f t="shared" si="102"/>
        <v>-</v>
      </c>
      <c r="P272" s="1425" t="str">
        <f t="shared" si="102"/>
        <v>-</v>
      </c>
      <c r="Q272" s="1425" t="str">
        <f t="shared" si="102"/>
        <v>-</v>
      </c>
      <c r="R272" s="1425" t="str">
        <f t="shared" si="102"/>
        <v>-</v>
      </c>
      <c r="S272" s="1414" t="str">
        <f t="shared" si="102"/>
        <v>-</v>
      </c>
      <c r="T272" s="1414" t="str">
        <f t="shared" si="103"/>
        <v>-</v>
      </c>
      <c r="U272" s="1440" t="str">
        <f t="shared" si="103"/>
        <v>-</v>
      </c>
      <c r="V272" s="1454" t="str">
        <f t="shared" si="101"/>
        <v>-</v>
      </c>
      <c r="W272" s="1414" t="str">
        <f t="shared" si="101"/>
        <v>-</v>
      </c>
      <c r="AA272" s="261"/>
      <c r="AB272" s="195"/>
      <c r="AC272" s="195"/>
      <c r="AD272" s="195"/>
      <c r="AE272" s="195"/>
      <c r="AF272" s="195"/>
      <c r="AG272" s="195"/>
      <c r="AH272" s="195"/>
      <c r="AI272" s="195"/>
      <c r="AJ272" s="195"/>
      <c r="AK272" s="195"/>
      <c r="AL272" s="195"/>
      <c r="AM272" s="195"/>
      <c r="AN272" s="195"/>
      <c r="AO272" s="195"/>
      <c r="AP272" s="195"/>
    </row>
    <row r="273" spans="1:42" ht="12.75" thickBot="1">
      <c r="A273" s="783">
        <f>+A269+1</f>
        <v>32</v>
      </c>
      <c r="B273" s="695" t="s">
        <v>1148</v>
      </c>
      <c r="C273" s="1416" t="str">
        <f t="shared" si="102"/>
        <v>-</v>
      </c>
      <c r="D273" s="1416" t="str">
        <f t="shared" si="102"/>
        <v>-</v>
      </c>
      <c r="E273" s="1416">
        <f t="shared" si="102"/>
        <v>1</v>
      </c>
      <c r="F273" s="1416" t="str">
        <f t="shared" si="102"/>
        <v>-</v>
      </c>
      <c r="G273" s="1416" t="str">
        <f t="shared" si="102"/>
        <v>-</v>
      </c>
      <c r="H273" s="1416" t="str">
        <f t="shared" si="102"/>
        <v>-</v>
      </c>
      <c r="I273" s="1416" t="str">
        <f t="shared" si="102"/>
        <v>-</v>
      </c>
      <c r="J273" s="1395">
        <f t="shared" si="102"/>
        <v>1</v>
      </c>
      <c r="K273" s="1416">
        <f t="shared" si="102"/>
        <v>0.99935732647814912</v>
      </c>
      <c r="L273" s="1416">
        <f t="shared" si="102"/>
        <v>1</v>
      </c>
      <c r="M273" s="1416">
        <f t="shared" si="102"/>
        <v>0.98981151299032089</v>
      </c>
      <c r="N273" s="1416" t="str">
        <f t="shared" si="102"/>
        <v>-</v>
      </c>
      <c r="O273" s="1416">
        <f t="shared" si="102"/>
        <v>1</v>
      </c>
      <c r="P273" s="1416">
        <f t="shared" si="102"/>
        <v>1</v>
      </c>
      <c r="Q273" s="1416" t="str">
        <f t="shared" si="102"/>
        <v>-</v>
      </c>
      <c r="R273" s="1416" t="str">
        <f t="shared" si="102"/>
        <v>-</v>
      </c>
      <c r="S273" s="1395">
        <f t="shared" si="102"/>
        <v>0.99902000089090826</v>
      </c>
      <c r="T273" s="1395">
        <f t="shared" si="103"/>
        <v>0.99901998342881071</v>
      </c>
      <c r="U273" s="1435">
        <f t="shared" si="103"/>
        <v>1</v>
      </c>
      <c r="V273" s="1449">
        <f t="shared" ref="V273:W292" si="104">IF(ISERROR(V203/V133),"-",V203/V133)</f>
        <v>1</v>
      </c>
      <c r="W273" s="1395">
        <f t="shared" si="104"/>
        <v>0.86519607843137258</v>
      </c>
    </row>
    <row r="274" spans="1:42" s="507" customFormat="1" ht="12.75" thickBot="1">
      <c r="A274" s="343" t="s">
        <v>1137</v>
      </c>
      <c r="B274" s="471" t="s">
        <v>1094</v>
      </c>
      <c r="C274" s="1400" t="str">
        <f t="shared" si="102"/>
        <v>-</v>
      </c>
      <c r="D274" s="1400" t="str">
        <f t="shared" si="102"/>
        <v>-</v>
      </c>
      <c r="E274" s="1400">
        <f t="shared" si="102"/>
        <v>1</v>
      </c>
      <c r="F274" s="1400" t="str">
        <f t="shared" si="102"/>
        <v>-</v>
      </c>
      <c r="G274" s="1400" t="str">
        <f t="shared" si="102"/>
        <v>-</v>
      </c>
      <c r="H274" s="1400" t="str">
        <f t="shared" si="102"/>
        <v>-</v>
      </c>
      <c r="I274" s="1400" t="str">
        <f t="shared" si="102"/>
        <v>-</v>
      </c>
      <c r="J274" s="1403">
        <f t="shared" si="102"/>
        <v>1</v>
      </c>
      <c r="K274" s="1400">
        <f t="shared" si="102"/>
        <v>0.99935732647814912</v>
      </c>
      <c r="L274" s="1400">
        <f t="shared" si="102"/>
        <v>1</v>
      </c>
      <c r="M274" s="1400">
        <f t="shared" si="102"/>
        <v>0.98981151299032089</v>
      </c>
      <c r="N274" s="1400" t="str">
        <f t="shared" si="102"/>
        <v>-</v>
      </c>
      <c r="O274" s="1400">
        <f t="shared" si="102"/>
        <v>1</v>
      </c>
      <c r="P274" s="1400">
        <f t="shared" si="102"/>
        <v>1</v>
      </c>
      <c r="Q274" s="1400" t="str">
        <f t="shared" si="102"/>
        <v>-</v>
      </c>
      <c r="R274" s="1400" t="str">
        <f t="shared" si="102"/>
        <v>-</v>
      </c>
      <c r="S274" s="1403">
        <f t="shared" si="102"/>
        <v>0.99902000089090826</v>
      </c>
      <c r="T274" s="1403">
        <f t="shared" si="103"/>
        <v>0.99901998342881071</v>
      </c>
      <c r="U274" s="1432">
        <f t="shared" si="103"/>
        <v>1</v>
      </c>
      <c r="V274" s="1402">
        <f t="shared" si="104"/>
        <v>1</v>
      </c>
      <c r="W274" s="1403">
        <f t="shared" si="104"/>
        <v>0.86519607843137258</v>
      </c>
      <c r="AA274" s="261"/>
      <c r="AB274" s="261"/>
      <c r="AC274" s="261"/>
      <c r="AD274" s="261"/>
      <c r="AE274" s="261"/>
      <c r="AF274" s="261"/>
      <c r="AG274" s="261"/>
      <c r="AH274" s="261"/>
      <c r="AI274" s="261"/>
      <c r="AJ274" s="261"/>
      <c r="AK274" s="261"/>
      <c r="AL274" s="261"/>
      <c r="AM274" s="261"/>
      <c r="AN274" s="261"/>
      <c r="AO274" s="261"/>
      <c r="AP274" s="261"/>
    </row>
    <row r="275" spans="1:42" ht="12.75" thickBot="1">
      <c r="A275" s="833">
        <f>+A273+1</f>
        <v>33</v>
      </c>
      <c r="B275" s="834" t="s">
        <v>1096</v>
      </c>
      <c r="C275" s="1418" t="str">
        <f t="shared" si="102"/>
        <v>-</v>
      </c>
      <c r="D275" s="1418" t="str">
        <f t="shared" si="102"/>
        <v>-</v>
      </c>
      <c r="E275" s="1418" t="str">
        <f t="shared" si="102"/>
        <v>-</v>
      </c>
      <c r="F275" s="1418" t="str">
        <f t="shared" si="102"/>
        <v>-</v>
      </c>
      <c r="G275" s="1418" t="str">
        <f t="shared" si="102"/>
        <v>-</v>
      </c>
      <c r="H275" s="1418" t="str">
        <f t="shared" si="102"/>
        <v>-</v>
      </c>
      <c r="I275" s="1418" t="str">
        <f t="shared" si="102"/>
        <v>-</v>
      </c>
      <c r="J275" s="1403" t="str">
        <f t="shared" si="102"/>
        <v>-</v>
      </c>
      <c r="K275" s="1418" t="str">
        <f t="shared" si="102"/>
        <v>-</v>
      </c>
      <c r="L275" s="1418" t="str">
        <f t="shared" si="102"/>
        <v>-</v>
      </c>
      <c r="M275" s="1418" t="str">
        <f t="shared" si="102"/>
        <v>-</v>
      </c>
      <c r="N275" s="1418" t="str">
        <f t="shared" si="102"/>
        <v>-</v>
      </c>
      <c r="O275" s="1418" t="str">
        <f t="shared" si="102"/>
        <v>-</v>
      </c>
      <c r="P275" s="1418" t="str">
        <f t="shared" si="102"/>
        <v>-</v>
      </c>
      <c r="Q275" s="1418" t="str">
        <f t="shared" si="102"/>
        <v>-</v>
      </c>
      <c r="R275" s="1418" t="str">
        <f t="shared" si="102"/>
        <v>-</v>
      </c>
      <c r="S275" s="1403" t="str">
        <f t="shared" si="102"/>
        <v>-</v>
      </c>
      <c r="T275" s="1403" t="str">
        <f t="shared" si="103"/>
        <v>-</v>
      </c>
      <c r="U275" s="1438" t="str">
        <f t="shared" si="103"/>
        <v>-</v>
      </c>
      <c r="V275" s="1452" t="str">
        <f t="shared" si="104"/>
        <v>-</v>
      </c>
      <c r="W275" s="1403" t="str">
        <f t="shared" si="104"/>
        <v>-</v>
      </c>
    </row>
    <row r="276" spans="1:42" s="507" customFormat="1" ht="12.75" thickBot="1">
      <c r="A276" s="479" t="s">
        <v>1138</v>
      </c>
      <c r="B276" s="480" t="s">
        <v>1095</v>
      </c>
      <c r="C276" s="1400" t="str">
        <f t="shared" si="102"/>
        <v>-</v>
      </c>
      <c r="D276" s="1400" t="str">
        <f t="shared" si="102"/>
        <v>-</v>
      </c>
      <c r="E276" s="1400" t="str">
        <f t="shared" si="102"/>
        <v>-</v>
      </c>
      <c r="F276" s="1400" t="str">
        <f t="shared" si="102"/>
        <v>-</v>
      </c>
      <c r="G276" s="1400" t="str">
        <f t="shared" si="102"/>
        <v>-</v>
      </c>
      <c r="H276" s="1400" t="str">
        <f t="shared" si="102"/>
        <v>-</v>
      </c>
      <c r="I276" s="1400" t="str">
        <f t="shared" si="102"/>
        <v>-</v>
      </c>
      <c r="J276" s="1403" t="str">
        <f t="shared" si="102"/>
        <v>-</v>
      </c>
      <c r="K276" s="1400" t="str">
        <f t="shared" si="102"/>
        <v>-</v>
      </c>
      <c r="L276" s="1400" t="str">
        <f t="shared" si="102"/>
        <v>-</v>
      </c>
      <c r="M276" s="1400" t="str">
        <f t="shared" si="102"/>
        <v>-</v>
      </c>
      <c r="N276" s="1400" t="str">
        <f t="shared" si="102"/>
        <v>-</v>
      </c>
      <c r="O276" s="1400" t="str">
        <f t="shared" si="102"/>
        <v>-</v>
      </c>
      <c r="P276" s="1400" t="str">
        <f t="shared" si="102"/>
        <v>-</v>
      </c>
      <c r="Q276" s="1400" t="str">
        <f t="shared" si="102"/>
        <v>-</v>
      </c>
      <c r="R276" s="1400" t="str">
        <f t="shared" si="102"/>
        <v>-</v>
      </c>
      <c r="S276" s="1403" t="str">
        <f t="shared" si="102"/>
        <v>-</v>
      </c>
      <c r="T276" s="1403" t="str">
        <f t="shared" si="103"/>
        <v>-</v>
      </c>
      <c r="U276" s="1432" t="str">
        <f t="shared" si="103"/>
        <v>-</v>
      </c>
      <c r="V276" s="1402" t="str">
        <f t="shared" si="104"/>
        <v>-</v>
      </c>
      <c r="W276" s="1403" t="str">
        <f t="shared" si="104"/>
        <v>-</v>
      </c>
      <c r="AA276" s="261"/>
      <c r="AB276" s="261"/>
      <c r="AC276" s="261"/>
      <c r="AD276" s="261"/>
      <c r="AE276" s="261"/>
      <c r="AF276" s="261"/>
      <c r="AG276" s="261"/>
      <c r="AH276" s="261"/>
      <c r="AI276" s="261"/>
      <c r="AJ276" s="261"/>
      <c r="AK276" s="261"/>
      <c r="AL276" s="261"/>
      <c r="AM276" s="261"/>
      <c r="AN276" s="261"/>
      <c r="AO276" s="261"/>
      <c r="AP276" s="261"/>
    </row>
    <row r="277" spans="1:42" ht="12.75" thickBot="1">
      <c r="A277" s="833">
        <f>+A275+1</f>
        <v>34</v>
      </c>
      <c r="B277" s="834" t="s">
        <v>1096</v>
      </c>
      <c r="C277" s="1418" t="str">
        <f t="shared" si="102"/>
        <v>-</v>
      </c>
      <c r="D277" s="1418" t="str">
        <f t="shared" si="102"/>
        <v>-</v>
      </c>
      <c r="E277" s="1418" t="str">
        <f t="shared" si="102"/>
        <v>-</v>
      </c>
      <c r="F277" s="1418" t="str">
        <f t="shared" si="102"/>
        <v>-</v>
      </c>
      <c r="G277" s="1418" t="str">
        <f t="shared" si="102"/>
        <v>-</v>
      </c>
      <c r="H277" s="1418" t="str">
        <f t="shared" si="102"/>
        <v>-</v>
      </c>
      <c r="I277" s="1418" t="str">
        <f t="shared" si="102"/>
        <v>-</v>
      </c>
      <c r="J277" s="1403" t="str">
        <f t="shared" si="102"/>
        <v>-</v>
      </c>
      <c r="K277" s="1418" t="str">
        <f t="shared" si="102"/>
        <v>-</v>
      </c>
      <c r="L277" s="1418" t="str">
        <f t="shared" si="102"/>
        <v>-</v>
      </c>
      <c r="M277" s="1418" t="str">
        <f t="shared" si="102"/>
        <v>-</v>
      </c>
      <c r="N277" s="1418" t="str">
        <f t="shared" si="102"/>
        <v>-</v>
      </c>
      <c r="O277" s="1418" t="str">
        <f t="shared" si="102"/>
        <v>-</v>
      </c>
      <c r="P277" s="1418" t="str">
        <f t="shared" si="102"/>
        <v>-</v>
      </c>
      <c r="Q277" s="1418" t="str">
        <f t="shared" si="102"/>
        <v>-</v>
      </c>
      <c r="R277" s="1418" t="str">
        <f t="shared" si="102"/>
        <v>-</v>
      </c>
      <c r="S277" s="1403" t="str">
        <f t="shared" si="102"/>
        <v>-</v>
      </c>
      <c r="T277" s="1403" t="str">
        <f t="shared" si="103"/>
        <v>-</v>
      </c>
      <c r="U277" s="1438" t="str">
        <f t="shared" si="103"/>
        <v>-</v>
      </c>
      <c r="V277" s="1452" t="str">
        <f t="shared" si="104"/>
        <v>-</v>
      </c>
      <c r="W277" s="1403" t="str">
        <f t="shared" si="104"/>
        <v>-</v>
      </c>
    </row>
    <row r="278" spans="1:42" s="507" customFormat="1" ht="24.75" thickBot="1">
      <c r="A278" s="479" t="s">
        <v>1139</v>
      </c>
      <c r="B278" s="480" t="s">
        <v>1096</v>
      </c>
      <c r="C278" s="1400" t="str">
        <f t="shared" ref="C278:S283" si="105">IF(ISERROR(C208/C138),"-",C208/C138)</f>
        <v>-</v>
      </c>
      <c r="D278" s="1400" t="str">
        <f t="shared" si="105"/>
        <v>-</v>
      </c>
      <c r="E278" s="1400" t="str">
        <f t="shared" si="105"/>
        <v>-</v>
      </c>
      <c r="F278" s="1400" t="str">
        <f t="shared" si="105"/>
        <v>-</v>
      </c>
      <c r="G278" s="1400" t="str">
        <f t="shared" si="105"/>
        <v>-</v>
      </c>
      <c r="H278" s="1400" t="str">
        <f t="shared" si="105"/>
        <v>-</v>
      </c>
      <c r="I278" s="1400" t="str">
        <f t="shared" si="105"/>
        <v>-</v>
      </c>
      <c r="J278" s="1403" t="str">
        <f t="shared" si="105"/>
        <v>-</v>
      </c>
      <c r="K278" s="1400" t="str">
        <f t="shared" si="105"/>
        <v>-</v>
      </c>
      <c r="L278" s="1400" t="str">
        <f t="shared" si="105"/>
        <v>-</v>
      </c>
      <c r="M278" s="1400" t="str">
        <f t="shared" si="105"/>
        <v>-</v>
      </c>
      <c r="N278" s="1400" t="str">
        <f t="shared" si="105"/>
        <v>-</v>
      </c>
      <c r="O278" s="1400" t="str">
        <f t="shared" si="105"/>
        <v>-</v>
      </c>
      <c r="P278" s="1400" t="str">
        <f t="shared" si="105"/>
        <v>-</v>
      </c>
      <c r="Q278" s="1400" t="str">
        <f t="shared" si="105"/>
        <v>-</v>
      </c>
      <c r="R278" s="1400" t="str">
        <f t="shared" si="105"/>
        <v>-</v>
      </c>
      <c r="S278" s="1403" t="str">
        <f t="shared" si="105"/>
        <v>-</v>
      </c>
      <c r="T278" s="1403" t="str">
        <f t="shared" si="103"/>
        <v>-</v>
      </c>
      <c r="U278" s="1432" t="str">
        <f t="shared" si="103"/>
        <v>-</v>
      </c>
      <c r="V278" s="1402" t="str">
        <f t="shared" si="104"/>
        <v>-</v>
      </c>
      <c r="W278" s="1403" t="str">
        <f t="shared" si="104"/>
        <v>-</v>
      </c>
      <c r="AA278" s="261"/>
      <c r="AB278" s="261"/>
      <c r="AC278" s="261"/>
      <c r="AD278" s="261"/>
      <c r="AE278" s="261"/>
      <c r="AF278" s="261"/>
      <c r="AG278" s="261"/>
      <c r="AH278" s="261"/>
      <c r="AI278" s="261"/>
      <c r="AJ278" s="261"/>
      <c r="AK278" s="261"/>
      <c r="AL278" s="261"/>
      <c r="AM278" s="261"/>
      <c r="AN278" s="261"/>
      <c r="AO278" s="261"/>
      <c r="AP278" s="261"/>
    </row>
    <row r="279" spans="1:42" s="507" customFormat="1" ht="12.75" thickBot="1">
      <c r="A279" s="473" t="s">
        <v>42</v>
      </c>
      <c r="B279" s="483" t="s">
        <v>1097</v>
      </c>
      <c r="C279" s="1408" t="str">
        <f t="shared" si="105"/>
        <v>-</v>
      </c>
      <c r="D279" s="1408" t="str">
        <f t="shared" si="105"/>
        <v>-</v>
      </c>
      <c r="E279" s="1408">
        <f t="shared" si="105"/>
        <v>1</v>
      </c>
      <c r="F279" s="1408" t="str">
        <f t="shared" si="105"/>
        <v>-</v>
      </c>
      <c r="G279" s="1408" t="str">
        <f t="shared" si="105"/>
        <v>-</v>
      </c>
      <c r="H279" s="1408" t="str">
        <f t="shared" si="105"/>
        <v>-</v>
      </c>
      <c r="I279" s="1408" t="str">
        <f t="shared" si="105"/>
        <v>-</v>
      </c>
      <c r="J279" s="1411">
        <f t="shared" si="105"/>
        <v>1</v>
      </c>
      <c r="K279" s="1408">
        <f t="shared" si="105"/>
        <v>0.99935732647814912</v>
      </c>
      <c r="L279" s="1408">
        <f t="shared" si="105"/>
        <v>1</v>
      </c>
      <c r="M279" s="1408">
        <f t="shared" si="105"/>
        <v>0.98981151299032089</v>
      </c>
      <c r="N279" s="1408" t="str">
        <f t="shared" si="105"/>
        <v>-</v>
      </c>
      <c r="O279" s="1408">
        <f t="shared" si="105"/>
        <v>1</v>
      </c>
      <c r="P279" s="1408">
        <f t="shared" si="105"/>
        <v>1</v>
      </c>
      <c r="Q279" s="1408" t="str">
        <f t="shared" si="105"/>
        <v>-</v>
      </c>
      <c r="R279" s="1408" t="str">
        <f t="shared" si="105"/>
        <v>-</v>
      </c>
      <c r="S279" s="1411">
        <f t="shared" si="105"/>
        <v>0.99902000089090826</v>
      </c>
      <c r="T279" s="1411">
        <f t="shared" si="103"/>
        <v>0.99901998342881071</v>
      </c>
      <c r="U279" s="1434">
        <f t="shared" si="103"/>
        <v>1</v>
      </c>
      <c r="V279" s="1447">
        <f t="shared" si="104"/>
        <v>1</v>
      </c>
      <c r="W279" s="1411">
        <f t="shared" si="104"/>
        <v>0.86519607843137258</v>
      </c>
      <c r="AA279" s="261"/>
      <c r="AB279" s="261"/>
      <c r="AC279" s="261"/>
      <c r="AD279" s="261"/>
      <c r="AE279" s="261"/>
      <c r="AF279" s="261"/>
      <c r="AG279" s="261"/>
      <c r="AH279" s="261"/>
      <c r="AI279" s="261"/>
      <c r="AJ279" s="261"/>
      <c r="AK279" s="261"/>
      <c r="AL279" s="261"/>
      <c r="AM279" s="261"/>
      <c r="AN279" s="261"/>
      <c r="AO279" s="261"/>
      <c r="AP279" s="261"/>
    </row>
    <row r="280" spans="1:42" s="194" customFormat="1" ht="12.75" thickBot="1">
      <c r="A280" s="494"/>
      <c r="B280" s="545"/>
      <c r="C280" s="1421" t="str">
        <f t="shared" si="105"/>
        <v>-</v>
      </c>
      <c r="D280" s="1422" t="str">
        <f t="shared" si="105"/>
        <v>-</v>
      </c>
      <c r="E280" s="1422" t="str">
        <f t="shared" si="105"/>
        <v>-</v>
      </c>
      <c r="F280" s="1422" t="str">
        <f t="shared" si="105"/>
        <v>-</v>
      </c>
      <c r="G280" s="1422" t="str">
        <f t="shared" si="105"/>
        <v>-</v>
      </c>
      <c r="H280" s="1422" t="str">
        <f t="shared" si="105"/>
        <v>-</v>
      </c>
      <c r="I280" s="1423" t="str">
        <f t="shared" si="105"/>
        <v>-</v>
      </c>
      <c r="J280" s="1424" t="str">
        <f t="shared" si="105"/>
        <v>-</v>
      </c>
      <c r="K280" s="1425" t="str">
        <f t="shared" si="105"/>
        <v>-</v>
      </c>
      <c r="L280" s="1425" t="str">
        <f t="shared" si="105"/>
        <v>-</v>
      </c>
      <c r="M280" s="1425" t="str">
        <f t="shared" si="105"/>
        <v>-</v>
      </c>
      <c r="N280" s="1425" t="str">
        <f t="shared" si="105"/>
        <v>-</v>
      </c>
      <c r="O280" s="1425" t="str">
        <f t="shared" si="105"/>
        <v>-</v>
      </c>
      <c r="P280" s="1425" t="str">
        <f t="shared" si="105"/>
        <v>-</v>
      </c>
      <c r="Q280" s="1425" t="str">
        <f t="shared" si="105"/>
        <v>-</v>
      </c>
      <c r="R280" s="1425" t="str">
        <f t="shared" si="105"/>
        <v>-</v>
      </c>
      <c r="S280" s="1414" t="str">
        <f t="shared" si="105"/>
        <v>-</v>
      </c>
      <c r="T280" s="1414" t="str">
        <f t="shared" si="103"/>
        <v>-</v>
      </c>
      <c r="U280" s="1440" t="str">
        <f t="shared" si="103"/>
        <v>-</v>
      </c>
      <c r="V280" s="1454" t="str">
        <f t="shared" si="104"/>
        <v>-</v>
      </c>
      <c r="W280" s="1414" t="str">
        <f t="shared" si="104"/>
        <v>-</v>
      </c>
      <c r="AA280" s="261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</row>
    <row r="281" spans="1:42" s="507" customFormat="1" ht="12.75" thickBot="1">
      <c r="A281" s="528" t="s">
        <v>41</v>
      </c>
      <c r="B281" s="529" t="s">
        <v>769</v>
      </c>
      <c r="C281" s="1408">
        <f t="shared" si="105"/>
        <v>1</v>
      </c>
      <c r="D281" s="1408">
        <f t="shared" si="105"/>
        <v>0.68749291871520879</v>
      </c>
      <c r="E281" s="1408">
        <f t="shared" si="105"/>
        <v>0.90662471348688667</v>
      </c>
      <c r="F281" s="1408">
        <f t="shared" si="105"/>
        <v>0.23782076984763431</v>
      </c>
      <c r="G281" s="1408">
        <f t="shared" si="105"/>
        <v>1</v>
      </c>
      <c r="H281" s="1408">
        <f t="shared" si="105"/>
        <v>0.98814434204633839</v>
      </c>
      <c r="I281" s="1408">
        <f t="shared" si="105"/>
        <v>0.11620581029051452</v>
      </c>
      <c r="J281" s="1411">
        <f t="shared" si="105"/>
        <v>0.91256362737725027</v>
      </c>
      <c r="K281" s="1426">
        <f t="shared" si="105"/>
        <v>0.98759495822834886</v>
      </c>
      <c r="L281" s="1426">
        <f t="shared" si="105"/>
        <v>0.95006793681576851</v>
      </c>
      <c r="M281" s="1426">
        <f t="shared" si="105"/>
        <v>0.8440472352087699</v>
      </c>
      <c r="N281" s="1426">
        <f t="shared" si="105"/>
        <v>0.999958702430362</v>
      </c>
      <c r="O281" s="1426">
        <f t="shared" si="105"/>
        <v>4.0286411853777994E-2</v>
      </c>
      <c r="P281" s="1426">
        <f t="shared" si="105"/>
        <v>0.87202723893851308</v>
      </c>
      <c r="Q281" s="1426">
        <f t="shared" si="105"/>
        <v>0.93177830357357916</v>
      </c>
      <c r="R281" s="1426" t="str">
        <f t="shared" si="105"/>
        <v>-</v>
      </c>
      <c r="S281" s="1427">
        <f t="shared" si="105"/>
        <v>0.54208670578392726</v>
      </c>
      <c r="T281" s="1427">
        <f t="shared" ref="T281:U283" si="106">IF(ISERROR(T211/T141),"-",T211/T141)</f>
        <v>0.2823489983093197</v>
      </c>
      <c r="U281" s="1441" t="str">
        <f t="shared" si="106"/>
        <v>-</v>
      </c>
      <c r="V281" s="1455">
        <f t="shared" si="104"/>
        <v>1</v>
      </c>
      <c r="W281" s="1427">
        <f t="shared" si="104"/>
        <v>-3.8347878326045719</v>
      </c>
      <c r="AA281" s="261"/>
      <c r="AB281" s="261"/>
      <c r="AC281" s="261"/>
      <c r="AD281" s="261"/>
      <c r="AE281" s="261"/>
      <c r="AF281" s="261"/>
      <c r="AG281" s="261"/>
      <c r="AH281" s="261"/>
      <c r="AI281" s="261"/>
      <c r="AJ281" s="261"/>
      <c r="AK281" s="261"/>
      <c r="AL281" s="261"/>
      <c r="AM281" s="261"/>
      <c r="AN281" s="261"/>
      <c r="AO281" s="261"/>
      <c r="AP281" s="261"/>
    </row>
    <row r="282" spans="1:42" s="507" customFormat="1" ht="12.75" thickBot="1">
      <c r="A282" s="558" t="s">
        <v>37</v>
      </c>
      <c r="B282" s="550" t="s">
        <v>770</v>
      </c>
      <c r="C282" s="1428" t="str">
        <f t="shared" si="105"/>
        <v>-</v>
      </c>
      <c r="D282" s="1428" t="str">
        <f t="shared" si="105"/>
        <v>-</v>
      </c>
      <c r="E282" s="1428" t="str">
        <f t="shared" si="105"/>
        <v>-</v>
      </c>
      <c r="F282" s="1428">
        <f t="shared" si="105"/>
        <v>1</v>
      </c>
      <c r="G282" s="1428" t="str">
        <f t="shared" si="105"/>
        <v>-</v>
      </c>
      <c r="H282" s="1428" t="str">
        <f t="shared" si="105"/>
        <v>-</v>
      </c>
      <c r="I282" s="1428">
        <f t="shared" si="105"/>
        <v>1</v>
      </c>
      <c r="J282" s="1429">
        <f t="shared" si="105"/>
        <v>1</v>
      </c>
      <c r="K282" s="1428" t="str">
        <f t="shared" si="105"/>
        <v>-</v>
      </c>
      <c r="L282" s="1428" t="str">
        <f t="shared" si="105"/>
        <v>-</v>
      </c>
      <c r="M282" s="1428" t="str">
        <f t="shared" si="105"/>
        <v>-</v>
      </c>
      <c r="N282" s="1428" t="str">
        <f t="shared" si="105"/>
        <v>-</v>
      </c>
      <c r="O282" s="1428">
        <f t="shared" si="105"/>
        <v>1</v>
      </c>
      <c r="P282" s="1428" t="str">
        <f t="shared" si="105"/>
        <v>-</v>
      </c>
      <c r="Q282" s="1428" t="str">
        <f t="shared" si="105"/>
        <v>-</v>
      </c>
      <c r="R282" s="1428" t="str">
        <f t="shared" si="105"/>
        <v>-</v>
      </c>
      <c r="S282" s="1429">
        <f t="shared" si="105"/>
        <v>1</v>
      </c>
      <c r="T282" s="1429">
        <f t="shared" si="106"/>
        <v>1</v>
      </c>
      <c r="U282" s="1442" t="str">
        <f t="shared" si="106"/>
        <v>-</v>
      </c>
      <c r="V282" s="1456">
        <f t="shared" si="104"/>
        <v>1</v>
      </c>
      <c r="W282" s="1429">
        <f t="shared" si="104"/>
        <v>1</v>
      </c>
      <c r="AA282" s="261"/>
      <c r="AB282" s="261"/>
      <c r="AC282" s="261"/>
      <c r="AD282" s="261"/>
      <c r="AE282" s="261"/>
      <c r="AF282" s="261"/>
      <c r="AG282" s="261"/>
      <c r="AH282" s="261"/>
      <c r="AI282" s="261"/>
      <c r="AJ282" s="261"/>
      <c r="AK282" s="261"/>
      <c r="AL282" s="261"/>
      <c r="AM282" s="261"/>
      <c r="AN282" s="261"/>
      <c r="AO282" s="261"/>
      <c r="AP282" s="261"/>
    </row>
    <row r="283" spans="1:42" s="194" customFormat="1" ht="12.75" thickBot="1">
      <c r="A283" s="528" t="s">
        <v>1142</v>
      </c>
      <c r="B283" s="529" t="s">
        <v>771</v>
      </c>
      <c r="C283" s="1408">
        <f t="shared" si="105"/>
        <v>1</v>
      </c>
      <c r="D283" s="1408">
        <f t="shared" si="105"/>
        <v>0.68749291871520879</v>
      </c>
      <c r="E283" s="1408">
        <f t="shared" si="105"/>
        <v>0.90662471348688667</v>
      </c>
      <c r="F283" s="1408">
        <f t="shared" si="105"/>
        <v>0.98139984882102416</v>
      </c>
      <c r="G283" s="1408">
        <f t="shared" si="105"/>
        <v>1</v>
      </c>
      <c r="H283" s="1408">
        <f t="shared" si="105"/>
        <v>0.98814434204633839</v>
      </c>
      <c r="I283" s="1408">
        <f t="shared" si="105"/>
        <v>0.99810083833884655</v>
      </c>
      <c r="J283" s="1411">
        <f t="shared" si="105"/>
        <v>0.96464255423880985</v>
      </c>
      <c r="K283" s="1408">
        <f t="shared" si="105"/>
        <v>0.98759495822834886</v>
      </c>
      <c r="L283" s="1408">
        <f t="shared" si="105"/>
        <v>0.95006793681576851</v>
      </c>
      <c r="M283" s="1408">
        <f t="shared" si="105"/>
        <v>0.8440472352087699</v>
      </c>
      <c r="N283" s="1408">
        <f t="shared" si="105"/>
        <v>0.999958702430362</v>
      </c>
      <c r="O283" s="1408">
        <f t="shared" si="105"/>
        <v>8.1624903738631682E-2</v>
      </c>
      <c r="P283" s="1408">
        <f t="shared" si="105"/>
        <v>0.87202723893851308</v>
      </c>
      <c r="Q283" s="1408">
        <f t="shared" si="105"/>
        <v>0.93177830357357916</v>
      </c>
      <c r="R283" s="1408" t="str">
        <f t="shared" si="105"/>
        <v>-</v>
      </c>
      <c r="S283" s="1411">
        <f t="shared" si="105"/>
        <v>0.55071131535607876</v>
      </c>
      <c r="T283" s="1411" t="str">
        <f t="shared" si="106"/>
        <v>-</v>
      </c>
      <c r="U283" s="1434" t="str">
        <f t="shared" si="106"/>
        <v>-</v>
      </c>
      <c r="V283" s="1447" t="str">
        <f t="shared" si="104"/>
        <v>-</v>
      </c>
      <c r="W283" s="1411" t="str">
        <f t="shared" si="104"/>
        <v>-</v>
      </c>
      <c r="AA283" s="261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</row>
    <row r="284" spans="1:42" s="507" customFormat="1" ht="11.25" customHeight="1">
      <c r="A284" s="559"/>
      <c r="B284" s="549"/>
      <c r="C284" s="549"/>
      <c r="D284" s="549"/>
      <c r="E284" s="549"/>
      <c r="F284" s="549"/>
      <c r="G284" s="549"/>
      <c r="H284" s="549"/>
      <c r="I284" s="549"/>
      <c r="J284" s="549"/>
      <c r="K284" s="549"/>
      <c r="L284" s="549"/>
      <c r="M284" s="549"/>
      <c r="N284" s="549"/>
      <c r="O284" s="549"/>
      <c r="P284" s="549"/>
      <c r="Q284" s="549"/>
      <c r="R284" s="549"/>
      <c r="S284" s="549"/>
      <c r="T284" s="549"/>
      <c r="U284" s="549"/>
      <c r="V284" s="549"/>
      <c r="W284" s="549"/>
      <c r="AB284" s="261"/>
      <c r="AC284" s="261"/>
      <c r="AD284" s="261"/>
      <c r="AE284" s="261"/>
      <c r="AF284" s="261"/>
      <c r="AG284" s="261"/>
      <c r="AH284" s="261"/>
      <c r="AI284" s="261"/>
      <c r="AJ284" s="261"/>
      <c r="AK284" s="261"/>
      <c r="AL284" s="261"/>
      <c r="AM284" s="261"/>
      <c r="AN284" s="261"/>
      <c r="AO284" s="261"/>
      <c r="AP284" s="261"/>
    </row>
    <row r="285" spans="1:42" hidden="1">
      <c r="J285" s="507">
        <f>+'1.mell._Össz_Mérleg2020'!F102</f>
        <v>0.96464255423880985</v>
      </c>
      <c r="S285" s="507">
        <f>+'1.mell._Össz_Mérleg2020'!F208</f>
        <v>0.55071131535607876</v>
      </c>
    </row>
    <row r="286" spans="1:42" hidden="1">
      <c r="J286" s="507">
        <f>+J283-J285</f>
        <v>0</v>
      </c>
      <c r="S286" s="507">
        <f>+S283-S285</f>
        <v>0</v>
      </c>
      <c r="U286" s="1033"/>
      <c r="V286" s="1033"/>
    </row>
  </sheetData>
  <mergeCells count="1">
    <mergeCell ref="B3:W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0" fitToHeight="4" orientation="landscape" r:id="rId1"/>
  <headerFooter>
    <oddHeader xml:space="preserve">&amp;C 14. melléklet - &amp;P. oldal
</oddHeader>
  </headerFooter>
  <rowBreaks count="3" manualBreakCount="3">
    <brk id="74" max="22" man="1"/>
    <brk id="144" max="22" man="1"/>
    <brk id="214" max="22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F0"/>
  </sheetPr>
  <dimension ref="A1:K275"/>
  <sheetViews>
    <sheetView tabSelected="1" zoomScaleNormal="100" zoomScaleSheetLayoutView="85" workbookViewId="0">
      <pane ySplit="5" topLeftCell="A6" activePane="bottomLeft" state="frozen"/>
      <selection activeCell="F45" sqref="F45"/>
      <selection pane="bottomLeft" activeCell="B276" sqref="B276"/>
    </sheetView>
  </sheetViews>
  <sheetFormatPr defaultRowHeight="12"/>
  <cols>
    <col min="1" max="1" width="8.85546875" style="864" customWidth="1"/>
    <col min="2" max="2" width="92.140625" style="864" bestFit="1" customWidth="1"/>
    <col min="3" max="5" width="19.140625" style="864" customWidth="1"/>
    <col min="6" max="6" width="0" style="864" hidden="1" customWidth="1"/>
    <col min="7" max="9" width="9.140625" style="864" hidden="1" customWidth="1"/>
    <col min="10" max="10" width="10.85546875" style="118" hidden="1" customWidth="1"/>
    <col min="11" max="11" width="0" style="864" hidden="1" customWidth="1"/>
    <col min="12" max="241" width="9.140625" style="864"/>
    <col min="242" max="242" width="8.85546875" style="864" customWidth="1"/>
    <col min="243" max="243" width="92.140625" style="864" bestFit="1" customWidth="1"/>
    <col min="244" max="246" width="19.140625" style="864" customWidth="1"/>
    <col min="247" max="16384" width="9.140625" style="864"/>
  </cols>
  <sheetData>
    <row r="1" spans="1:11" ht="15.75">
      <c r="E1" s="188" t="s">
        <v>781</v>
      </c>
    </row>
    <row r="2" spans="1:11" s="1754" customFormat="1" ht="15.75">
      <c r="A2" s="1902" t="s">
        <v>1560</v>
      </c>
      <c r="B2" s="1903"/>
      <c r="C2" s="1903"/>
      <c r="D2" s="1903"/>
      <c r="E2" s="1903"/>
      <c r="J2" s="1461"/>
    </row>
    <row r="3" spans="1:11" s="1463" customFormat="1" ht="12.75" thickBot="1">
      <c r="A3" s="1462"/>
      <c r="E3" s="238" t="s">
        <v>457</v>
      </c>
      <c r="J3" s="1464"/>
    </row>
    <row r="4" spans="1:11" s="1468" customFormat="1" ht="24">
      <c r="A4" s="1465" t="s">
        <v>1561</v>
      </c>
      <c r="B4" s="1466" t="s">
        <v>7</v>
      </c>
      <c r="C4" s="1466" t="s">
        <v>1562</v>
      </c>
      <c r="D4" s="1466" t="s">
        <v>1563</v>
      </c>
      <c r="E4" s="1467" t="s">
        <v>1564</v>
      </c>
      <c r="J4" s="1469"/>
    </row>
    <row r="5" spans="1:11" ht="12.75" thickBot="1">
      <c r="A5" s="1470">
        <v>2</v>
      </c>
      <c r="B5" s="1471">
        <v>3</v>
      </c>
      <c r="C5" s="1471">
        <v>4</v>
      </c>
      <c r="D5" s="1471">
        <v>5</v>
      </c>
      <c r="E5" s="1472">
        <v>6</v>
      </c>
    </row>
    <row r="6" spans="1:11">
      <c r="A6" s="1473" t="s">
        <v>1565</v>
      </c>
      <c r="B6" s="1474" t="s">
        <v>1566</v>
      </c>
      <c r="C6" s="1475">
        <v>771710</v>
      </c>
      <c r="D6" s="1475"/>
      <c r="E6" s="1476">
        <f>+C6+D6</f>
        <v>771710</v>
      </c>
      <c r="J6" s="118">
        <v>771709866</v>
      </c>
      <c r="K6" s="118">
        <f>+ROUND(J6/1000,0)-E6</f>
        <v>0</v>
      </c>
    </row>
    <row r="7" spans="1:11">
      <c r="A7" s="1477" t="s">
        <v>1567</v>
      </c>
      <c r="B7" s="1478" t="s">
        <v>1568</v>
      </c>
      <c r="C7" s="1479"/>
      <c r="D7" s="1479"/>
      <c r="E7" s="1480">
        <f t="shared" ref="E7:E19" si="0">+C7+D7</f>
        <v>0</v>
      </c>
      <c r="J7" s="118">
        <v>0</v>
      </c>
      <c r="K7" s="118">
        <f t="shared" ref="K7:K70" si="1">+ROUND(J7/1000,0)-E7</f>
        <v>0</v>
      </c>
    </row>
    <row r="8" spans="1:11">
      <c r="A8" s="1477" t="s">
        <v>1569</v>
      </c>
      <c r="B8" s="1478" t="s">
        <v>1570</v>
      </c>
      <c r="C8" s="1479">
        <f>1318</f>
        <v>1318</v>
      </c>
      <c r="D8" s="1479"/>
      <c r="E8" s="1480">
        <f t="shared" si="0"/>
        <v>1318</v>
      </c>
      <c r="J8" s="118">
        <v>1318400</v>
      </c>
      <c r="K8" s="118">
        <f t="shared" si="1"/>
        <v>0</v>
      </c>
    </row>
    <row r="9" spans="1:11">
      <c r="A9" s="1477" t="s">
        <v>1571</v>
      </c>
      <c r="B9" s="1478" t="s">
        <v>1572</v>
      </c>
      <c r="C9" s="1479">
        <v>8570</v>
      </c>
      <c r="D9" s="1479"/>
      <c r="E9" s="1480">
        <f t="shared" si="0"/>
        <v>8570</v>
      </c>
      <c r="J9" s="118">
        <v>8569714</v>
      </c>
      <c r="K9" s="118">
        <f t="shared" si="1"/>
        <v>0</v>
      </c>
    </row>
    <row r="10" spans="1:11">
      <c r="A10" s="1477" t="s">
        <v>1573</v>
      </c>
      <c r="B10" s="1478" t="s">
        <v>1574</v>
      </c>
      <c r="C10" s="1479">
        <v>421</v>
      </c>
      <c r="D10" s="1479"/>
      <c r="E10" s="1480">
        <f t="shared" si="0"/>
        <v>421</v>
      </c>
      <c r="J10" s="118">
        <v>421200</v>
      </c>
      <c r="K10" s="118">
        <f t="shared" si="1"/>
        <v>0</v>
      </c>
    </row>
    <row r="11" spans="1:11">
      <c r="A11" s="1477" t="s">
        <v>1575</v>
      </c>
      <c r="B11" s="1478" t="s">
        <v>1576</v>
      </c>
      <c r="C11" s="1479">
        <v>12750</v>
      </c>
      <c r="D11" s="1479"/>
      <c r="E11" s="1480">
        <f t="shared" si="0"/>
        <v>12750</v>
      </c>
      <c r="J11" s="118">
        <v>12750300</v>
      </c>
      <c r="K11" s="118">
        <f t="shared" si="1"/>
        <v>0</v>
      </c>
    </row>
    <row r="12" spans="1:11">
      <c r="A12" s="1477" t="s">
        <v>1577</v>
      </c>
      <c r="B12" s="1478" t="s">
        <v>1578</v>
      </c>
      <c r="C12" s="1479">
        <v>16753</v>
      </c>
      <c r="D12" s="1479"/>
      <c r="E12" s="1480">
        <f t="shared" si="0"/>
        <v>16753</v>
      </c>
      <c r="J12" s="118">
        <v>16753017</v>
      </c>
      <c r="K12" s="118">
        <f t="shared" si="1"/>
        <v>0</v>
      </c>
    </row>
    <row r="13" spans="1:11">
      <c r="A13" s="1477" t="s">
        <v>1579</v>
      </c>
      <c r="B13" s="1478" t="s">
        <v>1580</v>
      </c>
      <c r="C13" s="1479"/>
      <c r="D13" s="1479"/>
      <c r="E13" s="1480">
        <f t="shared" si="0"/>
        <v>0</v>
      </c>
      <c r="J13" s="118">
        <v>0</v>
      </c>
      <c r="K13" s="118">
        <f t="shared" si="1"/>
        <v>0</v>
      </c>
    </row>
    <row r="14" spans="1:11">
      <c r="A14" s="1477" t="s">
        <v>1581</v>
      </c>
      <c r="B14" s="1478" t="s">
        <v>1582</v>
      </c>
      <c r="C14" s="1479">
        <v>2887</v>
      </c>
      <c r="D14" s="1479"/>
      <c r="E14" s="1480">
        <f t="shared" si="0"/>
        <v>2887</v>
      </c>
      <c r="J14" s="118">
        <v>2886709</v>
      </c>
      <c r="K14" s="118">
        <f t="shared" si="1"/>
        <v>0</v>
      </c>
    </row>
    <row r="15" spans="1:11">
      <c r="A15" s="1477" t="s">
        <v>1583</v>
      </c>
      <c r="B15" s="1478" t="s">
        <v>1584</v>
      </c>
      <c r="C15" s="1479">
        <v>3618</v>
      </c>
      <c r="D15" s="1479"/>
      <c r="E15" s="1480">
        <f t="shared" si="0"/>
        <v>3618</v>
      </c>
      <c r="J15" s="118">
        <v>3618000</v>
      </c>
      <c r="K15" s="118">
        <f t="shared" si="1"/>
        <v>0</v>
      </c>
    </row>
    <row r="16" spans="1:11">
      <c r="A16" s="1477" t="s">
        <v>1585</v>
      </c>
      <c r="B16" s="1478" t="s">
        <v>1586</v>
      </c>
      <c r="C16" s="1479"/>
      <c r="D16" s="1479"/>
      <c r="E16" s="1480">
        <f t="shared" si="0"/>
        <v>0</v>
      </c>
      <c r="J16" s="118">
        <v>0</v>
      </c>
      <c r="K16" s="118">
        <f t="shared" si="1"/>
        <v>0</v>
      </c>
    </row>
    <row r="17" spans="1:11">
      <c r="A17" s="1477" t="s">
        <v>1587</v>
      </c>
      <c r="B17" s="1478" t="s">
        <v>1588</v>
      </c>
      <c r="C17" s="1479">
        <v>150</v>
      </c>
      <c r="D17" s="1479"/>
      <c r="E17" s="1480">
        <f t="shared" si="0"/>
        <v>150</v>
      </c>
      <c r="J17" s="118">
        <v>150000</v>
      </c>
      <c r="K17" s="118">
        <f t="shared" si="1"/>
        <v>0</v>
      </c>
    </row>
    <row r="18" spans="1:11">
      <c r="A18" s="1477" t="s">
        <v>1589</v>
      </c>
      <c r="B18" s="1478" t="s">
        <v>1590</v>
      </c>
      <c r="C18" s="1479">
        <v>29158</v>
      </c>
      <c r="D18" s="1479"/>
      <c r="E18" s="1480">
        <f t="shared" si="0"/>
        <v>29158</v>
      </c>
      <c r="J18" s="118">
        <v>29157694</v>
      </c>
      <c r="K18" s="118">
        <f t="shared" si="1"/>
        <v>0</v>
      </c>
    </row>
    <row r="19" spans="1:11" ht="12.75" thickBot="1">
      <c r="A19" s="1470" t="s">
        <v>1591</v>
      </c>
      <c r="B19" s="1481" t="s">
        <v>1592</v>
      </c>
      <c r="C19" s="1482"/>
      <c r="D19" s="1482"/>
      <c r="E19" s="1483">
        <f t="shared" si="0"/>
        <v>0</v>
      </c>
      <c r="J19" s="118">
        <v>0</v>
      </c>
      <c r="K19" s="118">
        <f t="shared" si="1"/>
        <v>0</v>
      </c>
    </row>
    <row r="20" spans="1:11" ht="12.75" thickBot="1">
      <c r="A20" s="1484" t="s">
        <v>1593</v>
      </c>
      <c r="B20" s="1485" t="s">
        <v>1594</v>
      </c>
      <c r="C20" s="1486">
        <f>SUM(C6:C18)</f>
        <v>847335</v>
      </c>
      <c r="D20" s="1486">
        <f>SUM(D6:D18)</f>
        <v>0</v>
      </c>
      <c r="E20" s="1487">
        <f>SUM(E6:E18)</f>
        <v>847335</v>
      </c>
      <c r="G20" s="118">
        <f>+'1.mell._Össz_Mérleg2020'!E112</f>
        <v>847335</v>
      </c>
      <c r="H20" s="118">
        <f>+G20-E20</f>
        <v>0</v>
      </c>
      <c r="I20" s="118"/>
      <c r="J20" s="118">
        <v>847334900</v>
      </c>
      <c r="K20" s="118">
        <f t="shared" si="1"/>
        <v>0</v>
      </c>
    </row>
    <row r="21" spans="1:11">
      <c r="A21" s="1488" t="s">
        <v>1595</v>
      </c>
      <c r="B21" s="1489" t="s">
        <v>1596</v>
      </c>
      <c r="C21" s="1490">
        <v>40296</v>
      </c>
      <c r="D21" s="1490"/>
      <c r="E21" s="1491">
        <f>+C21+D21</f>
        <v>40296</v>
      </c>
      <c r="J21" s="118">
        <v>40295733</v>
      </c>
      <c r="K21" s="118">
        <f t="shared" si="1"/>
        <v>0</v>
      </c>
    </row>
    <row r="22" spans="1:11">
      <c r="A22" s="1477" t="s">
        <v>1597</v>
      </c>
      <c r="B22" s="1478" t="s">
        <v>1598</v>
      </c>
      <c r="C22" s="1479">
        <v>49267</v>
      </c>
      <c r="D22" s="1479"/>
      <c r="E22" s="1480">
        <f>+C22+D22</f>
        <v>49267</v>
      </c>
      <c r="J22" s="118">
        <v>49267085</v>
      </c>
      <c r="K22" s="118">
        <f t="shared" si="1"/>
        <v>0</v>
      </c>
    </row>
    <row r="23" spans="1:11" ht="12.75" thickBot="1">
      <c r="A23" s="1470" t="s">
        <v>1599</v>
      </c>
      <c r="B23" s="1481" t="s">
        <v>1600</v>
      </c>
      <c r="C23" s="1482">
        <f>4201-1</f>
        <v>4200</v>
      </c>
      <c r="D23" s="1482"/>
      <c r="E23" s="1483">
        <f>+C23+D23</f>
        <v>4200</v>
      </c>
      <c r="J23" s="118">
        <v>4200580</v>
      </c>
      <c r="K23" s="118">
        <f t="shared" si="1"/>
        <v>1</v>
      </c>
    </row>
    <row r="24" spans="1:11" ht="12.75" thickBot="1">
      <c r="A24" s="1484" t="s">
        <v>1601</v>
      </c>
      <c r="B24" s="1485" t="s">
        <v>1602</v>
      </c>
      <c r="C24" s="1486">
        <f>SUM(C21:C23)</f>
        <v>93763</v>
      </c>
      <c r="D24" s="1486">
        <f>SUM(D21:D23)</f>
        <v>0</v>
      </c>
      <c r="E24" s="1487">
        <f>SUM(E21:E23)</f>
        <v>93763</v>
      </c>
      <c r="G24" s="118">
        <f>+'1.mell._Össz_Mérleg2020'!E113</f>
        <v>93763</v>
      </c>
      <c r="H24" s="118">
        <f>+G24-E24</f>
        <v>0</v>
      </c>
      <c r="I24" s="118"/>
      <c r="J24" s="118">
        <v>93763398</v>
      </c>
      <c r="K24" s="118">
        <f t="shared" si="1"/>
        <v>0</v>
      </c>
    </row>
    <row r="25" spans="1:11" ht="12.75" thickBot="1">
      <c r="A25" s="1492" t="s">
        <v>1603</v>
      </c>
      <c r="B25" s="1493" t="s">
        <v>1604</v>
      </c>
      <c r="C25" s="1494">
        <f>+C20+C24</f>
        <v>941098</v>
      </c>
      <c r="D25" s="1494">
        <f>+D20+D24</f>
        <v>0</v>
      </c>
      <c r="E25" s="1495">
        <f>+E20+E24</f>
        <v>941098</v>
      </c>
      <c r="J25" s="118">
        <v>941098298</v>
      </c>
      <c r="K25" s="118">
        <f t="shared" si="1"/>
        <v>0</v>
      </c>
    </row>
    <row r="26" spans="1:11" ht="12.75" thickBot="1">
      <c r="A26" s="1484" t="s">
        <v>1605</v>
      </c>
      <c r="B26" s="1485" t="s">
        <v>2664</v>
      </c>
      <c r="C26" s="1486">
        <f>SUM(C27:C32)</f>
        <v>158725</v>
      </c>
      <c r="D26" s="1486">
        <f>SUM(D27:D32)</f>
        <v>0</v>
      </c>
      <c r="E26" s="1487">
        <f>SUM(E27:E32)</f>
        <v>158725</v>
      </c>
      <c r="G26" s="118">
        <f>+'1.mell._Össz_Mérleg2020'!E114</f>
        <v>158725</v>
      </c>
      <c r="H26" s="118">
        <f>+G26-E26</f>
        <v>0</v>
      </c>
      <c r="I26" s="118"/>
      <c r="J26" s="118">
        <v>158725443</v>
      </c>
      <c r="K26" s="118">
        <f t="shared" si="1"/>
        <v>0</v>
      </c>
    </row>
    <row r="27" spans="1:11">
      <c r="A27" s="1488" t="s">
        <v>1606</v>
      </c>
      <c r="B27" s="1489" t="s">
        <v>1607</v>
      </c>
      <c r="C27" s="1490">
        <v>144854</v>
      </c>
      <c r="D27" s="1490"/>
      <c r="E27" s="1491">
        <f t="shared" ref="E27:E35" si="2">+C27+D27</f>
        <v>144854</v>
      </c>
      <c r="J27" s="118">
        <v>144854002</v>
      </c>
      <c r="K27" s="118">
        <f t="shared" si="1"/>
        <v>0</v>
      </c>
    </row>
    <row r="28" spans="1:11">
      <c r="A28" s="1477" t="s">
        <v>1608</v>
      </c>
      <c r="B28" s="1478" t="s">
        <v>1609</v>
      </c>
      <c r="C28" s="1479">
        <v>7183</v>
      </c>
      <c r="D28" s="1479"/>
      <c r="E28" s="1480">
        <f t="shared" si="2"/>
        <v>7183</v>
      </c>
      <c r="J28" s="118">
        <v>7183000</v>
      </c>
      <c r="K28" s="118">
        <f t="shared" si="1"/>
        <v>0</v>
      </c>
    </row>
    <row r="29" spans="1:11">
      <c r="A29" s="1477" t="s">
        <v>1610</v>
      </c>
      <c r="B29" s="1478" t="s">
        <v>1611</v>
      </c>
      <c r="C29" s="1479"/>
      <c r="D29" s="1479"/>
      <c r="E29" s="1480">
        <f t="shared" si="2"/>
        <v>0</v>
      </c>
      <c r="J29" s="118">
        <v>0</v>
      </c>
      <c r="K29" s="118">
        <f t="shared" si="1"/>
        <v>0</v>
      </c>
    </row>
    <row r="30" spans="1:11">
      <c r="A30" s="1477" t="s">
        <v>1612</v>
      </c>
      <c r="B30" s="1478" t="s">
        <v>1613</v>
      </c>
      <c r="C30" s="1479">
        <v>2290</v>
      </c>
      <c r="D30" s="1479"/>
      <c r="E30" s="1480">
        <f t="shared" si="2"/>
        <v>2290</v>
      </c>
      <c r="J30" s="118">
        <v>2290258</v>
      </c>
      <c r="K30" s="118">
        <f t="shared" si="1"/>
        <v>0</v>
      </c>
    </row>
    <row r="31" spans="1:11">
      <c r="A31" s="1477" t="s">
        <v>1614</v>
      </c>
      <c r="B31" s="1478" t="s">
        <v>1615</v>
      </c>
      <c r="C31" s="1479"/>
      <c r="D31" s="1479"/>
      <c r="E31" s="1480">
        <f t="shared" si="2"/>
        <v>0</v>
      </c>
      <c r="J31" s="118">
        <v>0</v>
      </c>
      <c r="K31" s="118">
        <f t="shared" si="1"/>
        <v>0</v>
      </c>
    </row>
    <row r="32" spans="1:11">
      <c r="A32" s="1477" t="s">
        <v>1616</v>
      </c>
      <c r="B32" s="1478" t="s">
        <v>1617</v>
      </c>
      <c r="C32" s="1479">
        <v>4398</v>
      </c>
      <c r="D32" s="1479"/>
      <c r="E32" s="1480">
        <f t="shared" si="2"/>
        <v>4398</v>
      </c>
      <c r="J32" s="118">
        <v>4398183</v>
      </c>
      <c r="K32" s="118">
        <f t="shared" si="1"/>
        <v>0</v>
      </c>
    </row>
    <row r="33" spans="1:11">
      <c r="A33" s="1477" t="s">
        <v>1618</v>
      </c>
      <c r="B33" s="1478" t="s">
        <v>1619</v>
      </c>
      <c r="C33" s="1479">
        <v>12267</v>
      </c>
      <c r="D33" s="1479"/>
      <c r="E33" s="1480">
        <f t="shared" si="2"/>
        <v>12267</v>
      </c>
      <c r="J33" s="118">
        <v>12267066</v>
      </c>
      <c r="K33" s="118">
        <f t="shared" si="1"/>
        <v>0</v>
      </c>
    </row>
    <row r="34" spans="1:11">
      <c r="A34" s="1477" t="s">
        <v>1620</v>
      </c>
      <c r="B34" s="1478" t="s">
        <v>1621</v>
      </c>
      <c r="C34" s="1479">
        <v>82214</v>
      </c>
      <c r="D34" s="1479"/>
      <c r="E34" s="1480">
        <f t="shared" si="2"/>
        <v>82214</v>
      </c>
      <c r="J34" s="118">
        <v>82213773</v>
      </c>
      <c r="K34" s="118">
        <f t="shared" si="1"/>
        <v>0</v>
      </c>
    </row>
    <row r="35" spans="1:11" ht="12.75" thickBot="1">
      <c r="A35" s="1470" t="s">
        <v>1622</v>
      </c>
      <c r="B35" s="1481" t="s">
        <v>1623</v>
      </c>
      <c r="C35" s="1482"/>
      <c r="D35" s="1482"/>
      <c r="E35" s="1483">
        <f t="shared" si="2"/>
        <v>0</v>
      </c>
      <c r="J35" s="118">
        <v>0</v>
      </c>
      <c r="K35" s="118">
        <f t="shared" si="1"/>
        <v>0</v>
      </c>
    </row>
    <row r="36" spans="1:11" ht="12.75" thickBot="1">
      <c r="A36" s="1484" t="s">
        <v>1624</v>
      </c>
      <c r="B36" s="1485" t="s">
        <v>1625</v>
      </c>
      <c r="C36" s="1486">
        <f>SUM(C33:C35)</f>
        <v>94481</v>
      </c>
      <c r="D36" s="1486">
        <f>SUM(D33:D35)</f>
        <v>0</v>
      </c>
      <c r="E36" s="1487">
        <f>SUM(E33:E35)</f>
        <v>94481</v>
      </c>
      <c r="G36" s="118">
        <f>+'1.mell._Össz_Mérleg2020'!E118</f>
        <v>94481</v>
      </c>
      <c r="H36" s="118">
        <f>+G36-E36</f>
        <v>0</v>
      </c>
      <c r="I36" s="118"/>
      <c r="J36" s="118">
        <v>94480839</v>
      </c>
      <c r="K36" s="118">
        <f t="shared" si="1"/>
        <v>0</v>
      </c>
    </row>
    <row r="37" spans="1:11">
      <c r="A37" s="1488" t="s">
        <v>1626</v>
      </c>
      <c r="B37" s="1489" t="s">
        <v>1627</v>
      </c>
      <c r="C37" s="1490">
        <v>20202</v>
      </c>
      <c r="D37" s="1490"/>
      <c r="E37" s="1491">
        <f>+C37+D37</f>
        <v>20202</v>
      </c>
      <c r="J37" s="118">
        <v>20201912</v>
      </c>
      <c r="K37" s="118">
        <f t="shared" si="1"/>
        <v>0</v>
      </c>
    </row>
    <row r="38" spans="1:11" ht="12.75" thickBot="1">
      <c r="A38" s="1470" t="s">
        <v>1628</v>
      </c>
      <c r="B38" s="1481" t="s">
        <v>1629</v>
      </c>
      <c r="C38" s="1482">
        <v>3554</v>
      </c>
      <c r="D38" s="1482"/>
      <c r="E38" s="1483">
        <f>+C38+D38</f>
        <v>3554</v>
      </c>
      <c r="J38" s="118">
        <v>3554171</v>
      </c>
      <c r="K38" s="118">
        <f t="shared" si="1"/>
        <v>0</v>
      </c>
    </row>
    <row r="39" spans="1:11" ht="12.75" thickBot="1">
      <c r="A39" s="1484" t="s">
        <v>1630</v>
      </c>
      <c r="B39" s="1485" t="s">
        <v>1631</v>
      </c>
      <c r="C39" s="1486">
        <f>SUM(C37:C38)</f>
        <v>23756</v>
      </c>
      <c r="D39" s="1486">
        <f>SUM(D37:D38)</f>
        <v>0</v>
      </c>
      <c r="E39" s="1487">
        <f>SUM(E37:E38)</f>
        <v>23756</v>
      </c>
      <c r="G39" s="118">
        <f>+'1.mell._Össz_Mérleg2020'!E119</f>
        <v>23756</v>
      </c>
      <c r="H39" s="118">
        <f>+G39-E39</f>
        <v>0</v>
      </c>
      <c r="I39" s="118"/>
      <c r="J39" s="118">
        <v>23756083</v>
      </c>
      <c r="K39" s="118">
        <f t="shared" si="1"/>
        <v>0</v>
      </c>
    </row>
    <row r="40" spans="1:11">
      <c r="A40" s="1488" t="s">
        <v>1632</v>
      </c>
      <c r="B40" s="1489" t="s">
        <v>1633</v>
      </c>
      <c r="C40" s="1490">
        <v>50902</v>
      </c>
      <c r="D40" s="1490"/>
      <c r="E40" s="1491">
        <f t="shared" ref="E40:E49" si="3">+C40+D40</f>
        <v>50902</v>
      </c>
      <c r="J40" s="118">
        <v>50901515</v>
      </c>
      <c r="K40" s="118">
        <f t="shared" si="1"/>
        <v>0</v>
      </c>
    </row>
    <row r="41" spans="1:11">
      <c r="A41" s="1477" t="s">
        <v>1634</v>
      </c>
      <c r="B41" s="1478" t="s">
        <v>1635</v>
      </c>
      <c r="C41" s="1479">
        <f>59894+1</f>
        <v>59895</v>
      </c>
      <c r="D41" s="1479"/>
      <c r="E41" s="1480">
        <f t="shared" si="3"/>
        <v>59895</v>
      </c>
      <c r="J41" s="118">
        <v>59894476</v>
      </c>
      <c r="K41" s="118">
        <f t="shared" si="1"/>
        <v>-1</v>
      </c>
    </row>
    <row r="42" spans="1:11">
      <c r="A42" s="1477" t="s">
        <v>1636</v>
      </c>
      <c r="B42" s="1478" t="s">
        <v>1637</v>
      </c>
      <c r="C42" s="1479">
        <v>21531</v>
      </c>
      <c r="D42" s="1479"/>
      <c r="E42" s="1480">
        <f t="shared" si="3"/>
        <v>21531</v>
      </c>
      <c r="J42" s="118">
        <v>21531411</v>
      </c>
      <c r="K42" s="118">
        <f t="shared" si="1"/>
        <v>0</v>
      </c>
    </row>
    <row r="43" spans="1:11">
      <c r="A43" s="1477" t="s">
        <v>1638</v>
      </c>
      <c r="B43" s="1478" t="s">
        <v>1639</v>
      </c>
      <c r="C43" s="1479"/>
      <c r="D43" s="1479"/>
      <c r="E43" s="1480">
        <f t="shared" si="3"/>
        <v>0</v>
      </c>
      <c r="J43" s="118">
        <v>0</v>
      </c>
      <c r="K43" s="118">
        <f t="shared" si="1"/>
        <v>0</v>
      </c>
    </row>
    <row r="44" spans="1:11">
      <c r="A44" s="1477" t="s">
        <v>1640</v>
      </c>
      <c r="B44" s="1478" t="s">
        <v>1641</v>
      </c>
      <c r="C44" s="1479">
        <v>27016</v>
      </c>
      <c r="D44" s="1479"/>
      <c r="E44" s="1480">
        <f t="shared" si="3"/>
        <v>27016</v>
      </c>
      <c r="J44" s="118">
        <v>27016363</v>
      </c>
      <c r="K44" s="118">
        <f t="shared" si="1"/>
        <v>0</v>
      </c>
    </row>
    <row r="45" spans="1:11">
      <c r="A45" s="1477" t="s">
        <v>1642</v>
      </c>
      <c r="B45" s="1478" t="s">
        <v>1643</v>
      </c>
      <c r="C45" s="1479">
        <v>10311</v>
      </c>
      <c r="D45" s="1479"/>
      <c r="E45" s="1480">
        <f t="shared" si="3"/>
        <v>10311</v>
      </c>
      <c r="J45" s="118">
        <v>10311255</v>
      </c>
      <c r="K45" s="118">
        <f t="shared" si="1"/>
        <v>0</v>
      </c>
    </row>
    <row r="46" spans="1:11">
      <c r="A46" s="1477" t="s">
        <v>1644</v>
      </c>
      <c r="B46" s="1478" t="s">
        <v>1645</v>
      </c>
      <c r="C46" s="1479">
        <v>3139</v>
      </c>
      <c r="D46" s="1479"/>
      <c r="E46" s="1480">
        <f t="shared" si="3"/>
        <v>3139</v>
      </c>
      <c r="J46" s="118">
        <v>3138590</v>
      </c>
      <c r="K46" s="118">
        <f t="shared" si="1"/>
        <v>0</v>
      </c>
    </row>
    <row r="47" spans="1:11">
      <c r="A47" s="1477" t="s">
        <v>1646</v>
      </c>
      <c r="B47" s="1478" t="s">
        <v>1647</v>
      </c>
      <c r="C47" s="1479">
        <f>11301+1</f>
        <v>11302</v>
      </c>
      <c r="D47" s="1479"/>
      <c r="E47" s="1480">
        <f t="shared" si="3"/>
        <v>11302</v>
      </c>
      <c r="J47" s="118">
        <v>11301352</v>
      </c>
      <c r="K47" s="118">
        <f t="shared" si="1"/>
        <v>-1</v>
      </c>
    </row>
    <row r="48" spans="1:11">
      <c r="A48" s="1470" t="s">
        <v>1648</v>
      </c>
      <c r="B48" s="1481" t="s">
        <v>1649</v>
      </c>
      <c r="C48" s="1482">
        <v>159260</v>
      </c>
      <c r="D48" s="1482"/>
      <c r="E48" s="1480">
        <f t="shared" si="3"/>
        <v>159260</v>
      </c>
      <c r="J48" s="118">
        <v>159260271</v>
      </c>
      <c r="K48" s="118">
        <f t="shared" si="1"/>
        <v>0</v>
      </c>
    </row>
    <row r="49" spans="1:11" ht="12.75" thickBot="1">
      <c r="A49" s="1470" t="s">
        <v>1650</v>
      </c>
      <c r="B49" s="1481" t="s">
        <v>1651</v>
      </c>
      <c r="C49" s="1482">
        <v>2892</v>
      </c>
      <c r="D49" s="1482"/>
      <c r="E49" s="1483">
        <f t="shared" si="3"/>
        <v>2892</v>
      </c>
      <c r="J49" s="118">
        <v>2891932</v>
      </c>
      <c r="K49" s="118">
        <f t="shared" si="1"/>
        <v>0</v>
      </c>
    </row>
    <row r="50" spans="1:11" ht="12.75" thickBot="1">
      <c r="A50" s="1484" t="s">
        <v>1652</v>
      </c>
      <c r="B50" s="1485" t="s">
        <v>1653</v>
      </c>
      <c r="C50" s="1486">
        <f>SUM(C40:C49)-C43-C46-C49</f>
        <v>340217</v>
      </c>
      <c r="D50" s="1486">
        <f>SUM(D40:D49)-D43-D46-D49</f>
        <v>0</v>
      </c>
      <c r="E50" s="1487">
        <f>SUM(E40:E49)-E43-E46-E49</f>
        <v>340217</v>
      </c>
      <c r="G50" s="118">
        <f>+'1.mell._Össz_Mérleg2020'!E120</f>
        <v>340217</v>
      </c>
      <c r="H50" s="118">
        <f>+G50-E50</f>
        <v>0</v>
      </c>
      <c r="I50" s="118"/>
      <c r="J50" s="118">
        <v>340216643</v>
      </c>
      <c r="K50" s="118">
        <f t="shared" si="1"/>
        <v>0</v>
      </c>
    </row>
    <row r="51" spans="1:11">
      <c r="A51" s="1488" t="s">
        <v>1654</v>
      </c>
      <c r="B51" s="1489" t="s">
        <v>1655</v>
      </c>
      <c r="C51" s="1490">
        <v>3273</v>
      </c>
      <c r="D51" s="1490"/>
      <c r="E51" s="1491">
        <f>+C51+D51</f>
        <v>3273</v>
      </c>
      <c r="J51" s="118">
        <v>3273185</v>
      </c>
      <c r="K51" s="118">
        <f t="shared" si="1"/>
        <v>0</v>
      </c>
    </row>
    <row r="52" spans="1:11" ht="12.75" thickBot="1">
      <c r="A52" s="1470" t="s">
        <v>1656</v>
      </c>
      <c r="B52" s="1481" t="s">
        <v>1657</v>
      </c>
      <c r="C52" s="1482">
        <v>3725</v>
      </c>
      <c r="D52" s="1482"/>
      <c r="E52" s="1483">
        <f>+C52+D52</f>
        <v>3725</v>
      </c>
      <c r="J52" s="118">
        <v>3725000</v>
      </c>
      <c r="K52" s="118">
        <f t="shared" si="1"/>
        <v>0</v>
      </c>
    </row>
    <row r="53" spans="1:11" ht="12.75" thickBot="1">
      <c r="A53" s="1484" t="s">
        <v>1658</v>
      </c>
      <c r="B53" s="1485" t="s">
        <v>1659</v>
      </c>
      <c r="C53" s="1486">
        <f>SUM(C51:C52)</f>
        <v>6998</v>
      </c>
      <c r="D53" s="1486">
        <f>SUM(D51:D52)</f>
        <v>0</v>
      </c>
      <c r="E53" s="1487">
        <f>SUM(E51:E52)</f>
        <v>6998</v>
      </c>
      <c r="G53" s="118">
        <f>+'1.mell._Össz_Mérleg2020'!E121</f>
        <v>6998</v>
      </c>
      <c r="H53" s="118">
        <f>+G53-E53</f>
        <v>0</v>
      </c>
      <c r="I53" s="118"/>
      <c r="J53" s="118">
        <v>6998185</v>
      </c>
      <c r="K53" s="118">
        <f t="shared" si="1"/>
        <v>0</v>
      </c>
    </row>
    <row r="54" spans="1:11">
      <c r="A54" s="1488" t="s">
        <v>1660</v>
      </c>
      <c r="B54" s="1489" t="s">
        <v>1661</v>
      </c>
      <c r="C54" s="1490">
        <v>97327</v>
      </c>
      <c r="D54" s="1490"/>
      <c r="E54" s="1491">
        <f t="shared" ref="E54:E63" si="4">+C54+D54</f>
        <v>97327</v>
      </c>
      <c r="J54" s="118">
        <v>97327170</v>
      </c>
      <c r="K54" s="118">
        <f t="shared" si="1"/>
        <v>0</v>
      </c>
    </row>
    <row r="55" spans="1:11">
      <c r="A55" s="1477" t="s">
        <v>1662</v>
      </c>
      <c r="B55" s="1478" t="s">
        <v>1663</v>
      </c>
      <c r="C55" s="1479">
        <v>55919</v>
      </c>
      <c r="D55" s="1479"/>
      <c r="E55" s="1480">
        <f t="shared" si="4"/>
        <v>55919</v>
      </c>
      <c r="J55" s="118">
        <v>55919000</v>
      </c>
      <c r="K55" s="118">
        <f t="shared" si="1"/>
        <v>0</v>
      </c>
    </row>
    <row r="56" spans="1:11">
      <c r="A56" s="1477" t="s">
        <v>1664</v>
      </c>
      <c r="B56" s="1478" t="s">
        <v>1665</v>
      </c>
      <c r="C56" s="1479">
        <v>1916</v>
      </c>
      <c r="D56" s="1479"/>
      <c r="E56" s="1480">
        <f t="shared" si="4"/>
        <v>1916</v>
      </c>
      <c r="J56" s="118">
        <v>1915989</v>
      </c>
      <c r="K56" s="118">
        <f t="shared" si="1"/>
        <v>0</v>
      </c>
    </row>
    <row r="57" spans="1:11">
      <c r="A57" s="1477" t="s">
        <v>1666</v>
      </c>
      <c r="B57" s="1478" t="s">
        <v>1667</v>
      </c>
      <c r="C57" s="1479"/>
      <c r="D57" s="1479"/>
      <c r="E57" s="1480">
        <f t="shared" si="4"/>
        <v>0</v>
      </c>
      <c r="J57" s="118">
        <v>0</v>
      </c>
      <c r="K57" s="118">
        <f t="shared" si="1"/>
        <v>0</v>
      </c>
    </row>
    <row r="58" spans="1:11">
      <c r="A58" s="1477" t="s">
        <v>1668</v>
      </c>
      <c r="B58" s="1478" t="s">
        <v>1669</v>
      </c>
      <c r="C58" s="1479"/>
      <c r="D58" s="1479"/>
      <c r="E58" s="1480">
        <f t="shared" si="4"/>
        <v>0</v>
      </c>
      <c r="J58" s="118">
        <v>0</v>
      </c>
      <c r="K58" s="118">
        <f t="shared" si="1"/>
        <v>0</v>
      </c>
    </row>
    <row r="59" spans="1:11">
      <c r="A59" s="1477" t="s">
        <v>1670</v>
      </c>
      <c r="B59" s="1478" t="s">
        <v>1671</v>
      </c>
      <c r="C59" s="1479">
        <f>109+1</f>
        <v>110</v>
      </c>
      <c r="D59" s="1479"/>
      <c r="E59" s="1480">
        <f t="shared" si="4"/>
        <v>110</v>
      </c>
      <c r="J59" s="118">
        <v>109478</v>
      </c>
      <c r="K59" s="118">
        <f t="shared" si="1"/>
        <v>-1</v>
      </c>
    </row>
    <row r="60" spans="1:11">
      <c r="A60" s="1477" t="s">
        <v>1672</v>
      </c>
      <c r="B60" s="1478" t="s">
        <v>1673</v>
      </c>
      <c r="C60" s="1479"/>
      <c r="D60" s="1479"/>
      <c r="E60" s="1480">
        <f t="shared" si="4"/>
        <v>0</v>
      </c>
      <c r="J60" s="118">
        <v>0</v>
      </c>
      <c r="K60" s="118">
        <f t="shared" si="1"/>
        <v>0</v>
      </c>
    </row>
    <row r="61" spans="1:11">
      <c r="A61" s="1477" t="s">
        <v>1674</v>
      </c>
      <c r="B61" s="1478" t="s">
        <v>1675</v>
      </c>
      <c r="C61" s="1479"/>
      <c r="D61" s="1479"/>
      <c r="E61" s="1480">
        <f t="shared" si="4"/>
        <v>0</v>
      </c>
      <c r="J61" s="118">
        <v>0</v>
      </c>
      <c r="K61" s="118">
        <f t="shared" si="1"/>
        <v>0</v>
      </c>
    </row>
    <row r="62" spans="1:11">
      <c r="A62" s="1477" t="s">
        <v>1676</v>
      </c>
      <c r="B62" s="1478" t="s">
        <v>1677</v>
      </c>
      <c r="C62" s="1479">
        <v>25</v>
      </c>
      <c r="D62" s="1479"/>
      <c r="E62" s="1480">
        <f t="shared" si="4"/>
        <v>25</v>
      </c>
      <c r="J62" s="118">
        <v>24590</v>
      </c>
      <c r="K62" s="118">
        <f t="shared" si="1"/>
        <v>0</v>
      </c>
    </row>
    <row r="63" spans="1:11" ht="12.75" thickBot="1">
      <c r="A63" s="1470" t="s">
        <v>1678</v>
      </c>
      <c r="B63" s="1481" t="s">
        <v>1679</v>
      </c>
      <c r="C63" s="1482">
        <v>7551</v>
      </c>
      <c r="D63" s="1482"/>
      <c r="E63" s="1483">
        <f t="shared" si="4"/>
        <v>7551</v>
      </c>
      <c r="J63" s="118">
        <v>7551226</v>
      </c>
      <c r="K63" s="118">
        <f t="shared" si="1"/>
        <v>0</v>
      </c>
    </row>
    <row r="64" spans="1:11" ht="12.75" thickBot="1">
      <c r="A64" s="1484" t="s">
        <v>1680</v>
      </c>
      <c r="B64" s="1485" t="s">
        <v>1681</v>
      </c>
      <c r="C64" s="1486">
        <f>+C54+C55+C56+C59+C63</f>
        <v>162823</v>
      </c>
      <c r="D64" s="1486">
        <f>+D54+D55+D56+D59+D63</f>
        <v>0</v>
      </c>
      <c r="E64" s="1487">
        <f>+E54+E55+E56+E59+E63</f>
        <v>162823</v>
      </c>
      <c r="G64" s="118">
        <f>+'1.mell._Össz_Mérleg2020'!E122</f>
        <v>162823</v>
      </c>
      <c r="H64" s="118">
        <f>+G64-E64</f>
        <v>0</v>
      </c>
      <c r="I64" s="118"/>
      <c r="J64" s="118">
        <v>162822863</v>
      </c>
      <c r="K64" s="118">
        <f t="shared" si="1"/>
        <v>0</v>
      </c>
    </row>
    <row r="65" spans="1:11" ht="12.75" thickBot="1">
      <c r="A65" s="1484" t="s">
        <v>1682</v>
      </c>
      <c r="B65" s="1485" t="s">
        <v>1683</v>
      </c>
      <c r="C65" s="1486">
        <f>+C36+C39+C50+C53+C64</f>
        <v>628275</v>
      </c>
      <c r="D65" s="1486">
        <f>+D36+D39+D50+D53+D64</f>
        <v>0</v>
      </c>
      <c r="E65" s="1487">
        <f>+E36+E39+E50+E53+E64</f>
        <v>628275</v>
      </c>
      <c r="G65" s="118"/>
      <c r="J65" s="118">
        <v>628274613</v>
      </c>
      <c r="K65" s="118">
        <f t="shared" si="1"/>
        <v>0</v>
      </c>
    </row>
    <row r="66" spans="1:11" s="859" customFormat="1" ht="12.75" thickBot="1">
      <c r="A66" s="1492" t="s">
        <v>1684</v>
      </c>
      <c r="B66" s="1493" t="s">
        <v>133</v>
      </c>
      <c r="C66" s="1494"/>
      <c r="D66" s="1494"/>
      <c r="E66" s="1495">
        <f>+C66+D66</f>
        <v>0</v>
      </c>
      <c r="G66" s="118">
        <f>+'1.mell._Össz_Mérleg2020'!E124</f>
        <v>0</v>
      </c>
      <c r="H66" s="118">
        <f>+G66-E66</f>
        <v>0</v>
      </c>
      <c r="I66" s="118"/>
      <c r="J66" s="119">
        <v>0</v>
      </c>
      <c r="K66" s="118">
        <f t="shared" si="1"/>
        <v>0</v>
      </c>
    </row>
    <row r="67" spans="1:11" s="859" customFormat="1" ht="12.75" thickBot="1">
      <c r="A67" s="1484" t="s">
        <v>1685</v>
      </c>
      <c r="B67" s="1485" t="s">
        <v>1686</v>
      </c>
      <c r="C67" s="1486">
        <f>SUM(C68:C77)</f>
        <v>0</v>
      </c>
      <c r="D67" s="1486">
        <f>SUM(D68:D77)</f>
        <v>0</v>
      </c>
      <c r="E67" s="1487">
        <f>SUM(E68:E77)</f>
        <v>0</v>
      </c>
      <c r="G67" s="118">
        <f>+'1.mell._Össz_Mérleg2020'!E125</f>
        <v>0</v>
      </c>
      <c r="H67" s="118">
        <f>+G67-E67</f>
        <v>0</v>
      </c>
      <c r="I67" s="118"/>
      <c r="J67" s="119">
        <v>0</v>
      </c>
      <c r="K67" s="118">
        <f t="shared" si="1"/>
        <v>0</v>
      </c>
    </row>
    <row r="68" spans="1:11">
      <c r="A68" s="1488" t="s">
        <v>1687</v>
      </c>
      <c r="B68" s="1489" t="s">
        <v>1688</v>
      </c>
      <c r="C68" s="1490"/>
      <c r="D68" s="1490"/>
      <c r="E68" s="1491">
        <f t="shared" ref="E68:E77" si="5">+C68+D68</f>
        <v>0</v>
      </c>
      <c r="J68" s="118">
        <v>0</v>
      </c>
      <c r="K68" s="118">
        <f t="shared" si="1"/>
        <v>0</v>
      </c>
    </row>
    <row r="69" spans="1:11">
      <c r="A69" s="1477" t="s">
        <v>1689</v>
      </c>
      <c r="B69" s="1478" t="s">
        <v>1690</v>
      </c>
      <c r="C69" s="1479"/>
      <c r="D69" s="1479"/>
      <c r="E69" s="1480">
        <f t="shared" si="5"/>
        <v>0</v>
      </c>
      <c r="J69" s="118">
        <v>0</v>
      </c>
      <c r="K69" s="118">
        <f t="shared" si="1"/>
        <v>0</v>
      </c>
    </row>
    <row r="70" spans="1:11">
      <c r="A70" s="1477" t="s">
        <v>1691</v>
      </c>
      <c r="B70" s="1478" t="s">
        <v>1692</v>
      </c>
      <c r="C70" s="1479"/>
      <c r="D70" s="1479"/>
      <c r="E70" s="1480">
        <f t="shared" si="5"/>
        <v>0</v>
      </c>
      <c r="J70" s="118">
        <v>0</v>
      </c>
      <c r="K70" s="118">
        <f t="shared" si="1"/>
        <v>0</v>
      </c>
    </row>
    <row r="71" spans="1:11">
      <c r="A71" s="1477" t="s">
        <v>1693</v>
      </c>
      <c r="B71" s="1478" t="s">
        <v>1694</v>
      </c>
      <c r="C71" s="1479"/>
      <c r="D71" s="1479"/>
      <c r="E71" s="1480">
        <f t="shared" si="5"/>
        <v>0</v>
      </c>
      <c r="J71" s="118">
        <v>0</v>
      </c>
      <c r="K71" s="118">
        <f t="shared" ref="K71:K134" si="6">+ROUND(J71/1000,0)-E71</f>
        <v>0</v>
      </c>
    </row>
    <row r="72" spans="1:11">
      <c r="A72" s="1477" t="s">
        <v>1695</v>
      </c>
      <c r="B72" s="1478" t="s">
        <v>1696</v>
      </c>
      <c r="C72" s="1479"/>
      <c r="D72" s="1479"/>
      <c r="E72" s="1480">
        <f t="shared" si="5"/>
        <v>0</v>
      </c>
      <c r="J72" s="118">
        <v>0</v>
      </c>
      <c r="K72" s="118">
        <f t="shared" si="6"/>
        <v>0</v>
      </c>
    </row>
    <row r="73" spans="1:11">
      <c r="A73" s="1477" t="s">
        <v>1697</v>
      </c>
      <c r="B73" s="1478" t="s">
        <v>1698</v>
      </c>
      <c r="C73" s="1479"/>
      <c r="D73" s="1479"/>
      <c r="E73" s="1480">
        <f t="shared" si="5"/>
        <v>0</v>
      </c>
      <c r="J73" s="118">
        <v>0</v>
      </c>
      <c r="K73" s="118">
        <f t="shared" si="6"/>
        <v>0</v>
      </c>
    </row>
    <row r="74" spans="1:11">
      <c r="A74" s="1477" t="s">
        <v>1699</v>
      </c>
      <c r="B74" s="1478" t="s">
        <v>1700</v>
      </c>
      <c r="C74" s="1479"/>
      <c r="D74" s="1479"/>
      <c r="E74" s="1480">
        <f t="shared" si="5"/>
        <v>0</v>
      </c>
      <c r="J74" s="118">
        <v>0</v>
      </c>
      <c r="K74" s="118">
        <f t="shared" si="6"/>
        <v>0</v>
      </c>
    </row>
    <row r="75" spans="1:11">
      <c r="A75" s="1477" t="s">
        <v>1701</v>
      </c>
      <c r="B75" s="1478" t="s">
        <v>1702</v>
      </c>
      <c r="C75" s="1479"/>
      <c r="D75" s="1479"/>
      <c r="E75" s="1480">
        <f t="shared" si="5"/>
        <v>0</v>
      </c>
      <c r="J75" s="118">
        <v>0</v>
      </c>
      <c r="K75" s="118">
        <f t="shared" si="6"/>
        <v>0</v>
      </c>
    </row>
    <row r="76" spans="1:11">
      <c r="A76" s="1477" t="s">
        <v>1703</v>
      </c>
      <c r="B76" s="1478" t="s">
        <v>1704</v>
      </c>
      <c r="C76" s="1479"/>
      <c r="D76" s="1479"/>
      <c r="E76" s="1480">
        <f t="shared" si="5"/>
        <v>0</v>
      </c>
      <c r="J76" s="118">
        <v>0</v>
      </c>
      <c r="K76" s="118">
        <f t="shared" si="6"/>
        <v>0</v>
      </c>
    </row>
    <row r="77" spans="1:11" ht="12.75" thickBot="1">
      <c r="A77" s="1477" t="s">
        <v>1705</v>
      </c>
      <c r="B77" s="1478" t="s">
        <v>1706</v>
      </c>
      <c r="C77" s="1479"/>
      <c r="D77" s="1479"/>
      <c r="E77" s="1480">
        <f t="shared" si="5"/>
        <v>0</v>
      </c>
      <c r="J77" s="118">
        <v>0</v>
      </c>
      <c r="K77" s="118">
        <f t="shared" si="6"/>
        <v>0</v>
      </c>
    </row>
    <row r="78" spans="1:11" ht="12.75" thickBot="1">
      <c r="A78" s="1484" t="s">
        <v>1707</v>
      </c>
      <c r="B78" s="1485" t="s">
        <v>135</v>
      </c>
      <c r="C78" s="1486"/>
      <c r="D78" s="1486"/>
      <c r="E78" s="1487">
        <f>+C78+D78</f>
        <v>0</v>
      </c>
      <c r="G78" s="118">
        <f>+'1.mell._Össz_Mérleg2020'!E126</f>
        <v>0</v>
      </c>
      <c r="H78" s="118">
        <f>+G78-E78</f>
        <v>0</v>
      </c>
      <c r="I78" s="118"/>
      <c r="J78" s="118">
        <v>0</v>
      </c>
      <c r="K78" s="118">
        <f t="shared" si="6"/>
        <v>0</v>
      </c>
    </row>
    <row r="79" spans="1:11" s="859" customFormat="1" ht="12.75" thickBot="1">
      <c r="A79" s="1484" t="s">
        <v>1708</v>
      </c>
      <c r="B79" s="1485" t="s">
        <v>2665</v>
      </c>
      <c r="C79" s="1486">
        <f>SUM(C80:C87)</f>
        <v>0</v>
      </c>
      <c r="D79" s="1486">
        <f>SUM(D80:D87)</f>
        <v>0</v>
      </c>
      <c r="E79" s="1486">
        <f>SUM(E80:E87)</f>
        <v>0</v>
      </c>
      <c r="G79" s="118">
        <f>+'1.mell._Össz_Mérleg2020'!E127</f>
        <v>0</v>
      </c>
      <c r="H79" s="118">
        <f>+G79-E79</f>
        <v>0</v>
      </c>
      <c r="I79" s="118"/>
      <c r="J79" s="119">
        <v>0</v>
      </c>
      <c r="K79" s="118">
        <f t="shared" si="6"/>
        <v>0</v>
      </c>
    </row>
    <row r="80" spans="1:11" s="859" customFormat="1">
      <c r="A80" s="1488" t="s">
        <v>1709</v>
      </c>
      <c r="B80" s="1489" t="s">
        <v>1710</v>
      </c>
      <c r="C80" s="1490"/>
      <c r="D80" s="1490"/>
      <c r="E80" s="1491">
        <f t="shared" ref="E80:E86" si="7">+C80+D80</f>
        <v>0</v>
      </c>
      <c r="J80" s="119">
        <v>0</v>
      </c>
      <c r="K80" s="118">
        <f t="shared" si="6"/>
        <v>0</v>
      </c>
    </row>
    <row r="81" spans="1:11">
      <c r="A81" s="1477" t="s">
        <v>1711</v>
      </c>
      <c r="B81" s="1478" t="s">
        <v>1712</v>
      </c>
      <c r="C81" s="1479"/>
      <c r="D81" s="1479"/>
      <c r="E81" s="1480">
        <f t="shared" si="7"/>
        <v>0</v>
      </c>
      <c r="J81" s="118">
        <v>0</v>
      </c>
      <c r="K81" s="118">
        <f t="shared" si="6"/>
        <v>0</v>
      </c>
    </row>
    <row r="82" spans="1:11">
      <c r="A82" s="1477" t="s">
        <v>1713</v>
      </c>
      <c r="B82" s="1478" t="s">
        <v>1714</v>
      </c>
      <c r="C82" s="1479"/>
      <c r="D82" s="1479"/>
      <c r="E82" s="1480">
        <f t="shared" si="7"/>
        <v>0</v>
      </c>
      <c r="J82" s="118">
        <v>0</v>
      </c>
      <c r="K82" s="118">
        <f t="shared" si="6"/>
        <v>0</v>
      </c>
    </row>
    <row r="83" spans="1:11">
      <c r="A83" s="1477" t="s">
        <v>1715</v>
      </c>
      <c r="B83" s="1478" t="s">
        <v>1716</v>
      </c>
      <c r="C83" s="1479"/>
      <c r="D83" s="1479"/>
      <c r="E83" s="1480">
        <f t="shared" si="7"/>
        <v>0</v>
      </c>
      <c r="J83" s="118">
        <v>0</v>
      </c>
      <c r="K83" s="118">
        <f t="shared" si="6"/>
        <v>0</v>
      </c>
    </row>
    <row r="84" spans="1:11">
      <c r="A84" s="1477" t="s">
        <v>1717</v>
      </c>
      <c r="B84" s="1478" t="s">
        <v>1718</v>
      </c>
      <c r="C84" s="1479"/>
      <c r="D84" s="1479"/>
      <c r="E84" s="1480">
        <f t="shared" si="7"/>
        <v>0</v>
      </c>
      <c r="J84" s="118">
        <v>0</v>
      </c>
      <c r="K84" s="118">
        <f t="shared" si="6"/>
        <v>0</v>
      </c>
    </row>
    <row r="85" spans="1:11">
      <c r="A85" s="1477" t="s">
        <v>1719</v>
      </c>
      <c r="B85" s="1478" t="s">
        <v>1720</v>
      </c>
      <c r="C85" s="1479"/>
      <c r="D85" s="1479"/>
      <c r="E85" s="1480">
        <f t="shared" si="7"/>
        <v>0</v>
      </c>
      <c r="J85" s="118">
        <v>0</v>
      </c>
      <c r="K85" s="118">
        <f t="shared" si="6"/>
        <v>0</v>
      </c>
    </row>
    <row r="86" spans="1:11">
      <c r="A86" s="1477" t="s">
        <v>1721</v>
      </c>
      <c r="B86" s="1478" t="s">
        <v>1722</v>
      </c>
      <c r="C86" s="1479"/>
      <c r="D86" s="1479"/>
      <c r="E86" s="1480">
        <f t="shared" si="7"/>
        <v>0</v>
      </c>
      <c r="J86" s="118">
        <v>0</v>
      </c>
      <c r="K86" s="118">
        <f t="shared" si="6"/>
        <v>0</v>
      </c>
    </row>
    <row r="87" spans="1:11">
      <c r="A87" s="1477" t="s">
        <v>1723</v>
      </c>
      <c r="B87" s="1478" t="s">
        <v>1724</v>
      </c>
      <c r="C87" s="1479"/>
      <c r="D87" s="1479"/>
      <c r="E87" s="1480">
        <f>+C87+D87</f>
        <v>0</v>
      </c>
      <c r="J87" s="118">
        <v>0</v>
      </c>
      <c r="K87" s="118">
        <f t="shared" si="6"/>
        <v>0</v>
      </c>
    </row>
    <row r="88" spans="1:11">
      <c r="A88" s="1477" t="s">
        <v>1725</v>
      </c>
      <c r="B88" s="1478" t="s">
        <v>2666</v>
      </c>
      <c r="C88" s="1479"/>
      <c r="D88" s="1479"/>
      <c r="E88" s="1480">
        <f>+C88+D88</f>
        <v>0</v>
      </c>
      <c r="J88" s="118">
        <v>0</v>
      </c>
      <c r="K88" s="118">
        <f t="shared" si="6"/>
        <v>0</v>
      </c>
    </row>
    <row r="89" spans="1:11" ht="12.75" thickBot="1">
      <c r="A89" s="1470" t="s">
        <v>1726</v>
      </c>
      <c r="B89" s="1481" t="s">
        <v>2667</v>
      </c>
      <c r="C89" s="1482"/>
      <c r="D89" s="1482"/>
      <c r="E89" s="1483">
        <f>+C89+D89</f>
        <v>0</v>
      </c>
      <c r="I89" s="118"/>
      <c r="J89" s="118">
        <v>0</v>
      </c>
      <c r="K89" s="118">
        <f t="shared" si="6"/>
        <v>0</v>
      </c>
    </row>
    <row r="90" spans="1:11" ht="12.75" thickBot="1">
      <c r="A90" s="1484" t="s">
        <v>1727</v>
      </c>
      <c r="B90" s="1485" t="s">
        <v>2668</v>
      </c>
      <c r="C90" s="1486">
        <f>SUM(C91:C98)</f>
        <v>0</v>
      </c>
      <c r="D90" s="1486">
        <f>SUM(D91:D98)</f>
        <v>0</v>
      </c>
      <c r="E90" s="1487">
        <f>SUM(E91:E98)</f>
        <v>0</v>
      </c>
      <c r="G90" s="118">
        <f>+'1.mell._Össz_Mérleg2020'!E128</f>
        <v>0</v>
      </c>
      <c r="H90" s="118">
        <f>+G90-E90</f>
        <v>0</v>
      </c>
      <c r="J90" s="118">
        <v>0</v>
      </c>
      <c r="K90" s="118">
        <f t="shared" si="6"/>
        <v>0</v>
      </c>
    </row>
    <row r="91" spans="1:11" s="859" customFormat="1" ht="24">
      <c r="A91" s="1488" t="s">
        <v>1729</v>
      </c>
      <c r="B91" s="1489" t="s">
        <v>1728</v>
      </c>
      <c r="C91" s="1490"/>
      <c r="D91" s="1490"/>
      <c r="E91" s="1491">
        <f>+C91+D91</f>
        <v>0</v>
      </c>
      <c r="F91" s="864"/>
      <c r="G91" s="864"/>
      <c r="H91" s="864"/>
      <c r="I91" s="864"/>
      <c r="J91" s="118">
        <v>0</v>
      </c>
      <c r="K91" s="118">
        <f t="shared" si="6"/>
        <v>0</v>
      </c>
    </row>
    <row r="92" spans="1:11">
      <c r="A92" s="1477" t="s">
        <v>1731</v>
      </c>
      <c r="B92" s="1478" t="s">
        <v>1730</v>
      </c>
      <c r="C92" s="1479"/>
      <c r="D92" s="1479"/>
      <c r="E92" s="1480">
        <f t="shared" ref="E92:E98" si="8">+C92+D92</f>
        <v>0</v>
      </c>
      <c r="F92" s="859"/>
      <c r="G92" s="859"/>
      <c r="H92" s="859"/>
      <c r="I92" s="859"/>
      <c r="J92" s="119">
        <v>0</v>
      </c>
      <c r="K92" s="118">
        <f t="shared" si="6"/>
        <v>0</v>
      </c>
    </row>
    <row r="93" spans="1:11">
      <c r="A93" s="1477" t="s">
        <v>1733</v>
      </c>
      <c r="B93" s="1478" t="s">
        <v>1732</v>
      </c>
      <c r="C93" s="1479"/>
      <c r="D93" s="1479"/>
      <c r="E93" s="1480">
        <f t="shared" si="8"/>
        <v>0</v>
      </c>
      <c r="J93" s="118">
        <v>0</v>
      </c>
      <c r="K93" s="118">
        <f t="shared" si="6"/>
        <v>0</v>
      </c>
    </row>
    <row r="94" spans="1:11">
      <c r="A94" s="1477" t="s">
        <v>1735</v>
      </c>
      <c r="B94" s="1478" t="s">
        <v>1734</v>
      </c>
      <c r="C94" s="1479"/>
      <c r="D94" s="1479"/>
      <c r="E94" s="1480">
        <f t="shared" si="8"/>
        <v>0</v>
      </c>
      <c r="J94" s="118">
        <v>0</v>
      </c>
      <c r="K94" s="118">
        <f t="shared" si="6"/>
        <v>0</v>
      </c>
    </row>
    <row r="95" spans="1:11">
      <c r="A95" s="1477" t="s">
        <v>1737</v>
      </c>
      <c r="B95" s="1478" t="s">
        <v>1736</v>
      </c>
      <c r="C95" s="1479"/>
      <c r="D95" s="1479"/>
      <c r="E95" s="1480">
        <f t="shared" si="8"/>
        <v>0</v>
      </c>
      <c r="J95" s="118">
        <v>0</v>
      </c>
      <c r="K95" s="118">
        <f t="shared" si="6"/>
        <v>0</v>
      </c>
    </row>
    <row r="96" spans="1:11">
      <c r="A96" s="1477" t="s">
        <v>1739</v>
      </c>
      <c r="B96" s="1478" t="s">
        <v>1738</v>
      </c>
      <c r="C96" s="1479"/>
      <c r="D96" s="1479"/>
      <c r="E96" s="1480">
        <f t="shared" si="8"/>
        <v>0</v>
      </c>
      <c r="J96" s="118">
        <v>0</v>
      </c>
      <c r="K96" s="118">
        <f t="shared" si="6"/>
        <v>0</v>
      </c>
    </row>
    <row r="97" spans="1:11">
      <c r="A97" s="1477" t="s">
        <v>1741</v>
      </c>
      <c r="B97" s="1478" t="s">
        <v>1740</v>
      </c>
      <c r="C97" s="1479"/>
      <c r="D97" s="1479"/>
      <c r="E97" s="1480">
        <f t="shared" si="8"/>
        <v>0</v>
      </c>
      <c r="J97" s="118">
        <v>0</v>
      </c>
      <c r="K97" s="118">
        <f t="shared" si="6"/>
        <v>0</v>
      </c>
    </row>
    <row r="98" spans="1:11" ht="12.75" thickBot="1">
      <c r="A98" s="1477" t="s">
        <v>1743</v>
      </c>
      <c r="B98" s="1481" t="s">
        <v>1742</v>
      </c>
      <c r="C98" s="1482"/>
      <c r="D98" s="1482"/>
      <c r="E98" s="1483">
        <f t="shared" si="8"/>
        <v>0</v>
      </c>
      <c r="J98" s="118">
        <v>0</v>
      </c>
      <c r="K98" s="118">
        <f t="shared" si="6"/>
        <v>0</v>
      </c>
    </row>
    <row r="99" spans="1:11" ht="12.75" thickBot="1">
      <c r="A99" s="1484" t="s">
        <v>1744</v>
      </c>
      <c r="B99" s="1485" t="s">
        <v>2669</v>
      </c>
      <c r="C99" s="1486">
        <f>SUM(C100:C101)</f>
        <v>0</v>
      </c>
      <c r="D99" s="1486">
        <f>SUM(D100:D101)</f>
        <v>0</v>
      </c>
      <c r="E99" s="1487">
        <f>SUM(E100:E101)</f>
        <v>0</v>
      </c>
      <c r="G99" s="118">
        <f>+'1.mell._Össz_Mérleg2020'!E129</f>
        <v>0</v>
      </c>
      <c r="H99" s="118">
        <f>+G99-E99</f>
        <v>0</v>
      </c>
      <c r="I99" s="118"/>
      <c r="J99" s="118">
        <v>0</v>
      </c>
      <c r="K99" s="118">
        <f t="shared" si="6"/>
        <v>0</v>
      </c>
    </row>
    <row r="100" spans="1:11">
      <c r="A100" s="1488" t="s">
        <v>1746</v>
      </c>
      <c r="B100" s="1489" t="s">
        <v>1745</v>
      </c>
      <c r="C100" s="1490"/>
      <c r="D100" s="1490"/>
      <c r="E100" s="1491">
        <f>+C100+D100</f>
        <v>0</v>
      </c>
      <c r="J100" s="118">
        <v>0</v>
      </c>
      <c r="K100" s="118">
        <f t="shared" si="6"/>
        <v>0</v>
      </c>
    </row>
    <row r="101" spans="1:11" s="859" customFormat="1" ht="12.75" thickBot="1">
      <c r="A101" s="1477" t="s">
        <v>1748</v>
      </c>
      <c r="B101" s="1478" t="s">
        <v>1747</v>
      </c>
      <c r="C101" s="1479"/>
      <c r="D101" s="1479"/>
      <c r="E101" s="1480">
        <f>+C101+D101</f>
        <v>0</v>
      </c>
      <c r="F101" s="864"/>
      <c r="G101" s="864"/>
      <c r="H101" s="864"/>
      <c r="I101" s="864"/>
      <c r="J101" s="118">
        <v>0</v>
      </c>
      <c r="K101" s="118">
        <f t="shared" si="6"/>
        <v>0</v>
      </c>
    </row>
    <row r="102" spans="1:11" ht="12.75" thickBot="1">
      <c r="A102" s="1484" t="s">
        <v>1749</v>
      </c>
      <c r="B102" s="1485" t="s">
        <v>2670</v>
      </c>
      <c r="C102" s="1486">
        <f>SUM(C103:C104)</f>
        <v>2376</v>
      </c>
      <c r="D102" s="1486">
        <f>SUM(D103:D104)</f>
        <v>0</v>
      </c>
      <c r="E102" s="1487">
        <f>SUM(E103:E104)</f>
        <v>2376</v>
      </c>
      <c r="F102" s="859"/>
      <c r="G102" s="118">
        <f>+'1.mell._Össz_Mérleg2020'!E130</f>
        <v>2376</v>
      </c>
      <c r="H102" s="118">
        <f>+G102-E102</f>
        <v>0</v>
      </c>
      <c r="I102" s="118"/>
      <c r="J102" s="119">
        <v>2376000</v>
      </c>
      <c r="K102" s="118">
        <f t="shared" si="6"/>
        <v>0</v>
      </c>
    </row>
    <row r="103" spans="1:11">
      <c r="A103" s="1488" t="s">
        <v>1751</v>
      </c>
      <c r="B103" s="1489" t="s">
        <v>1750</v>
      </c>
      <c r="C103" s="1490"/>
      <c r="D103" s="1490"/>
      <c r="E103" s="1491">
        <f t="shared" ref="E103:E124" si="9">+C103+D103</f>
        <v>0</v>
      </c>
      <c r="J103" s="118">
        <v>0</v>
      </c>
      <c r="K103" s="118">
        <f t="shared" si="6"/>
        <v>0</v>
      </c>
    </row>
    <row r="104" spans="1:11" ht="12.75" thickBot="1">
      <c r="A104" s="1470" t="s">
        <v>1753</v>
      </c>
      <c r="B104" s="1481" t="s">
        <v>1752</v>
      </c>
      <c r="C104" s="1482">
        <v>2376</v>
      </c>
      <c r="D104" s="1482"/>
      <c r="E104" s="1483">
        <f t="shared" si="9"/>
        <v>2376</v>
      </c>
      <c r="J104" s="118">
        <v>2376000</v>
      </c>
      <c r="K104" s="118">
        <f t="shared" si="6"/>
        <v>0</v>
      </c>
    </row>
    <row r="105" spans="1:11" ht="12.75" thickBot="1">
      <c r="A105" s="1484" t="s">
        <v>1754</v>
      </c>
      <c r="B105" s="1485" t="s">
        <v>2671</v>
      </c>
      <c r="C105" s="1486">
        <v>46051</v>
      </c>
      <c r="D105" s="1486"/>
      <c r="E105" s="1487">
        <f t="shared" si="9"/>
        <v>46051</v>
      </c>
      <c r="G105" s="118">
        <f>+'1.mell._Össz_Mérleg2020'!E131</f>
        <v>46051</v>
      </c>
      <c r="H105" s="118">
        <f>+G105-E105</f>
        <v>0</v>
      </c>
      <c r="I105" s="118"/>
      <c r="J105" s="118">
        <v>46051170</v>
      </c>
      <c r="K105" s="118">
        <f t="shared" si="6"/>
        <v>0</v>
      </c>
    </row>
    <row r="106" spans="1:11">
      <c r="A106" s="1488" t="s">
        <v>1756</v>
      </c>
      <c r="B106" s="1489" t="s">
        <v>1755</v>
      </c>
      <c r="C106" s="1490"/>
      <c r="D106" s="1490"/>
      <c r="E106" s="1491">
        <f t="shared" si="9"/>
        <v>0</v>
      </c>
      <c r="J106" s="118">
        <v>0</v>
      </c>
      <c r="K106" s="118">
        <f t="shared" si="6"/>
        <v>0</v>
      </c>
    </row>
    <row r="107" spans="1:11">
      <c r="A107" s="1477" t="s">
        <v>1758</v>
      </c>
      <c r="B107" s="1478" t="s">
        <v>1757</v>
      </c>
      <c r="C107" s="1479"/>
      <c r="D107" s="1479"/>
      <c r="E107" s="1480">
        <f t="shared" si="9"/>
        <v>0</v>
      </c>
      <c r="J107" s="118">
        <v>0</v>
      </c>
      <c r="K107" s="118">
        <f t="shared" si="6"/>
        <v>0</v>
      </c>
    </row>
    <row r="108" spans="1:11" s="859" customFormat="1">
      <c r="A108" s="1477" t="s">
        <v>1760</v>
      </c>
      <c r="B108" s="1478" t="s">
        <v>1759</v>
      </c>
      <c r="C108" s="1479"/>
      <c r="D108" s="1479"/>
      <c r="E108" s="1480">
        <f t="shared" si="9"/>
        <v>0</v>
      </c>
      <c r="F108" s="864"/>
      <c r="G108" s="864"/>
      <c r="H108" s="864"/>
      <c r="I108" s="864"/>
      <c r="J108" s="118">
        <v>0</v>
      </c>
      <c r="K108" s="118">
        <f t="shared" si="6"/>
        <v>0</v>
      </c>
    </row>
    <row r="109" spans="1:11">
      <c r="A109" s="1477" t="s">
        <v>1762</v>
      </c>
      <c r="B109" s="1478" t="s">
        <v>1761</v>
      </c>
      <c r="C109" s="1479"/>
      <c r="D109" s="1479"/>
      <c r="E109" s="1480">
        <f t="shared" si="9"/>
        <v>0</v>
      </c>
      <c r="F109" s="859"/>
      <c r="G109" s="859"/>
      <c r="H109" s="859"/>
      <c r="I109" s="859"/>
      <c r="J109" s="119">
        <v>0</v>
      </c>
      <c r="K109" s="118">
        <f t="shared" si="6"/>
        <v>0</v>
      </c>
    </row>
    <row r="110" spans="1:11">
      <c r="A110" s="1477" t="s">
        <v>1764</v>
      </c>
      <c r="B110" s="1478" t="s">
        <v>1763</v>
      </c>
      <c r="C110" s="1479"/>
      <c r="D110" s="1479"/>
      <c r="E110" s="1480">
        <f t="shared" si="9"/>
        <v>0</v>
      </c>
      <c r="J110" s="118">
        <v>0</v>
      </c>
      <c r="K110" s="118">
        <f t="shared" si="6"/>
        <v>0</v>
      </c>
    </row>
    <row r="111" spans="1:11" s="859" customFormat="1">
      <c r="A111" s="1477" t="s">
        <v>1766</v>
      </c>
      <c r="B111" s="1478" t="s">
        <v>1765</v>
      </c>
      <c r="C111" s="1479"/>
      <c r="D111" s="1479"/>
      <c r="E111" s="1480">
        <f t="shared" si="9"/>
        <v>0</v>
      </c>
      <c r="F111" s="864"/>
      <c r="G111" s="864"/>
      <c r="H111" s="864"/>
      <c r="I111" s="864"/>
      <c r="J111" s="118">
        <v>0</v>
      </c>
      <c r="K111" s="118">
        <f t="shared" si="6"/>
        <v>0</v>
      </c>
    </row>
    <row r="112" spans="1:11">
      <c r="A112" s="1477" t="s">
        <v>1768</v>
      </c>
      <c r="B112" s="1478" t="s">
        <v>1767</v>
      </c>
      <c r="C112" s="1479"/>
      <c r="D112" s="1479"/>
      <c r="E112" s="1480">
        <f t="shared" si="9"/>
        <v>0</v>
      </c>
      <c r="F112" s="859"/>
      <c r="G112" s="859"/>
      <c r="H112" s="859"/>
      <c r="I112" s="859"/>
      <c r="J112" s="119">
        <v>0</v>
      </c>
      <c r="K112" s="118">
        <f t="shared" si="6"/>
        <v>0</v>
      </c>
    </row>
    <row r="113" spans="1:11" ht="24">
      <c r="A113" s="1477" t="s">
        <v>1769</v>
      </c>
      <c r="B113" s="1478" t="s">
        <v>2672</v>
      </c>
      <c r="C113" s="1479"/>
      <c r="D113" s="1479"/>
      <c r="E113" s="1480">
        <f t="shared" si="9"/>
        <v>0</v>
      </c>
      <c r="J113" s="118">
        <v>0</v>
      </c>
      <c r="K113" s="118">
        <f t="shared" si="6"/>
        <v>0</v>
      </c>
    </row>
    <row r="114" spans="1:11">
      <c r="A114" s="1477" t="s">
        <v>1771</v>
      </c>
      <c r="B114" s="1478" t="s">
        <v>1770</v>
      </c>
      <c r="C114" s="1479"/>
      <c r="D114" s="1479"/>
      <c r="E114" s="1480">
        <f t="shared" si="9"/>
        <v>0</v>
      </c>
      <c r="J114" s="118">
        <v>0</v>
      </c>
      <c r="K114" s="118">
        <f t="shared" si="6"/>
        <v>0</v>
      </c>
    </row>
    <row r="115" spans="1:11">
      <c r="A115" s="1477" t="s">
        <v>1773</v>
      </c>
      <c r="B115" s="1478" t="s">
        <v>1772</v>
      </c>
      <c r="C115" s="1479"/>
      <c r="D115" s="1479"/>
      <c r="E115" s="1480">
        <f t="shared" si="9"/>
        <v>0</v>
      </c>
      <c r="J115" s="118">
        <v>0</v>
      </c>
      <c r="K115" s="118">
        <f t="shared" si="6"/>
        <v>0</v>
      </c>
    </row>
    <row r="116" spans="1:11">
      <c r="A116" s="1477" t="s">
        <v>1775</v>
      </c>
      <c r="B116" s="1478" t="s">
        <v>1774</v>
      </c>
      <c r="C116" s="1479"/>
      <c r="D116" s="1479"/>
      <c r="E116" s="1480">
        <f t="shared" si="9"/>
        <v>0</v>
      </c>
      <c r="J116" s="118">
        <v>0</v>
      </c>
      <c r="K116" s="118">
        <f t="shared" si="6"/>
        <v>0</v>
      </c>
    </row>
    <row r="117" spans="1:11">
      <c r="A117" s="1477" t="s">
        <v>1776</v>
      </c>
      <c r="B117" s="1478" t="s">
        <v>2673</v>
      </c>
      <c r="C117" s="1479"/>
      <c r="D117" s="1479"/>
      <c r="E117" s="1480">
        <f t="shared" si="9"/>
        <v>0</v>
      </c>
      <c r="J117" s="118">
        <v>0</v>
      </c>
      <c r="K117" s="118">
        <f t="shared" si="6"/>
        <v>0</v>
      </c>
    </row>
    <row r="118" spans="1:11">
      <c r="A118" s="1477" t="s">
        <v>1778</v>
      </c>
      <c r="B118" s="1478" t="s">
        <v>1777</v>
      </c>
      <c r="C118" s="1479"/>
      <c r="D118" s="1479"/>
      <c r="E118" s="1480">
        <f t="shared" si="9"/>
        <v>0</v>
      </c>
      <c r="J118" s="118">
        <v>0</v>
      </c>
      <c r="K118" s="118">
        <f t="shared" si="6"/>
        <v>0</v>
      </c>
    </row>
    <row r="119" spans="1:11">
      <c r="A119" s="1477" t="s">
        <v>1780</v>
      </c>
      <c r="B119" s="1478" t="s">
        <v>1779</v>
      </c>
      <c r="C119" s="1479"/>
      <c r="D119" s="1479"/>
      <c r="E119" s="1480">
        <f t="shared" si="9"/>
        <v>0</v>
      </c>
      <c r="J119" s="118">
        <v>0</v>
      </c>
      <c r="K119" s="118">
        <f t="shared" si="6"/>
        <v>0</v>
      </c>
    </row>
    <row r="120" spans="1:11">
      <c r="A120" s="1477" t="s">
        <v>1782</v>
      </c>
      <c r="B120" s="1478" t="s">
        <v>1781</v>
      </c>
      <c r="C120" s="1479">
        <v>8060</v>
      </c>
      <c r="D120" s="1479"/>
      <c r="E120" s="1480">
        <f t="shared" si="9"/>
        <v>8060</v>
      </c>
      <c r="J120" s="118">
        <v>8060000</v>
      </c>
      <c r="K120" s="118">
        <f t="shared" si="6"/>
        <v>0</v>
      </c>
    </row>
    <row r="121" spans="1:11">
      <c r="A121" s="1477" t="s">
        <v>1784</v>
      </c>
      <c r="B121" s="1478" t="s">
        <v>1783</v>
      </c>
      <c r="C121" s="1479">
        <v>1147</v>
      </c>
      <c r="D121" s="1479"/>
      <c r="E121" s="1480">
        <f t="shared" si="9"/>
        <v>1147</v>
      </c>
      <c r="J121" s="118">
        <v>1147345</v>
      </c>
      <c r="K121" s="118">
        <f t="shared" si="6"/>
        <v>0</v>
      </c>
    </row>
    <row r="122" spans="1:11">
      <c r="A122" s="1477" t="s">
        <v>1786</v>
      </c>
      <c r="B122" s="1478" t="s">
        <v>1785</v>
      </c>
      <c r="C122" s="1479">
        <v>36299</v>
      </c>
      <c r="D122" s="1479"/>
      <c r="E122" s="1480">
        <f t="shared" si="9"/>
        <v>36299</v>
      </c>
      <c r="J122" s="118">
        <v>36298612</v>
      </c>
      <c r="K122" s="118">
        <f t="shared" si="6"/>
        <v>0</v>
      </c>
    </row>
    <row r="123" spans="1:11">
      <c r="A123" s="1477" t="s">
        <v>1788</v>
      </c>
      <c r="B123" s="1478" t="s">
        <v>1787</v>
      </c>
      <c r="C123" s="1479"/>
      <c r="D123" s="1479"/>
      <c r="E123" s="1480">
        <f t="shared" si="9"/>
        <v>0</v>
      </c>
      <c r="J123" s="118">
        <v>0</v>
      </c>
      <c r="K123" s="118">
        <f t="shared" si="6"/>
        <v>0</v>
      </c>
    </row>
    <row r="124" spans="1:11" ht="12.75" thickBot="1">
      <c r="A124" s="1477" t="s">
        <v>1790</v>
      </c>
      <c r="B124" s="1478" t="s">
        <v>1789</v>
      </c>
      <c r="C124" s="1479">
        <v>329</v>
      </c>
      <c r="D124" s="1479"/>
      <c r="E124" s="1480">
        <f t="shared" si="9"/>
        <v>329</v>
      </c>
      <c r="J124" s="118">
        <v>328713</v>
      </c>
      <c r="K124" s="118">
        <f t="shared" si="6"/>
        <v>0</v>
      </c>
    </row>
    <row r="125" spans="1:11" ht="12.75" thickBot="1">
      <c r="A125" s="1484" t="s">
        <v>1791</v>
      </c>
      <c r="B125" s="1485" t="s">
        <v>2674</v>
      </c>
      <c r="C125" s="1486">
        <f>+C66+C67+C78++C79+C89+C99+C102+C105</f>
        <v>48427</v>
      </c>
      <c r="D125" s="1486">
        <f>+D66+D67+D78++D79+D89+D99+D102+D105</f>
        <v>0</v>
      </c>
      <c r="E125" s="1487">
        <f>+E66+E67+E78++E79+E89+E99+E102+E105</f>
        <v>48427</v>
      </c>
      <c r="G125" s="118"/>
      <c r="J125" s="118">
        <v>48427170</v>
      </c>
      <c r="K125" s="118">
        <f t="shared" si="6"/>
        <v>0</v>
      </c>
    </row>
    <row r="126" spans="1:11" ht="12.75" thickBot="1">
      <c r="A126" s="1484" t="s">
        <v>1792</v>
      </c>
      <c r="B126" s="1485" t="s">
        <v>2675</v>
      </c>
      <c r="C126" s="1486"/>
      <c r="D126" s="1486"/>
      <c r="E126" s="1487">
        <f>+C126+D126</f>
        <v>0</v>
      </c>
      <c r="G126" s="118">
        <f>+'1.mell._Össz_Mérleg2020'!E133</f>
        <v>0</v>
      </c>
      <c r="H126" s="118">
        <f>+G126-E126</f>
        <v>0</v>
      </c>
      <c r="I126" s="118"/>
      <c r="J126" s="118">
        <v>0</v>
      </c>
      <c r="K126" s="118">
        <f t="shared" si="6"/>
        <v>0</v>
      </c>
    </row>
    <row r="127" spans="1:11">
      <c r="A127" s="1488" t="s">
        <v>1794</v>
      </c>
      <c r="B127" s="1489" t="s">
        <v>1793</v>
      </c>
      <c r="C127" s="1490"/>
      <c r="D127" s="1490"/>
      <c r="E127" s="1491">
        <f>+C127+D127</f>
        <v>0</v>
      </c>
      <c r="J127" s="118">
        <v>0</v>
      </c>
      <c r="K127" s="118">
        <f t="shared" si="6"/>
        <v>0</v>
      </c>
    </row>
    <row r="128" spans="1:11">
      <c r="A128" s="1477" t="s">
        <v>1796</v>
      </c>
      <c r="B128" s="1478" t="s">
        <v>1795</v>
      </c>
      <c r="C128" s="1479">
        <f>6511+1</f>
        <v>6512</v>
      </c>
      <c r="D128" s="1479"/>
      <c r="E128" s="1480">
        <f>+C128+D128</f>
        <v>6512</v>
      </c>
      <c r="J128" s="118">
        <v>6511051</v>
      </c>
      <c r="K128" s="118">
        <f t="shared" si="6"/>
        <v>-1</v>
      </c>
    </row>
    <row r="129" spans="1:11">
      <c r="A129" s="1477" t="s">
        <v>1798</v>
      </c>
      <c r="B129" s="1478" t="s">
        <v>1797</v>
      </c>
      <c r="C129" s="1479"/>
      <c r="D129" s="1479"/>
      <c r="E129" s="1480">
        <f>+C129+D129</f>
        <v>0</v>
      </c>
      <c r="J129" s="118">
        <v>0</v>
      </c>
      <c r="K129" s="118">
        <f t="shared" si="6"/>
        <v>0</v>
      </c>
    </row>
    <row r="130" spans="1:11" ht="12.75" thickBot="1">
      <c r="A130" s="1470" t="s">
        <v>1800</v>
      </c>
      <c r="B130" s="1481" t="s">
        <v>1799</v>
      </c>
      <c r="C130" s="1482">
        <v>1176</v>
      </c>
      <c r="D130" s="1482"/>
      <c r="E130" s="1483">
        <f>+C130+D130</f>
        <v>1176</v>
      </c>
      <c r="I130" s="118">
        <f>+E130-'16.mell 2020K02'!E15</f>
        <v>0</v>
      </c>
      <c r="J130" s="118">
        <v>1175752</v>
      </c>
      <c r="K130" s="118">
        <f t="shared" si="6"/>
        <v>0</v>
      </c>
    </row>
    <row r="131" spans="1:11" ht="12.75" thickBot="1">
      <c r="A131" s="1484" t="s">
        <v>1801</v>
      </c>
      <c r="B131" s="1485" t="s">
        <v>2676</v>
      </c>
      <c r="C131" s="1486">
        <f>SUM(C128:C130)</f>
        <v>7688</v>
      </c>
      <c r="D131" s="1486">
        <f>SUM(D128:D130)</f>
        <v>0</v>
      </c>
      <c r="E131" s="1487">
        <f>SUM(E128:E130)</f>
        <v>7688</v>
      </c>
      <c r="G131" s="118">
        <f>+'1.mell._Össz_Mérleg2020'!E134</f>
        <v>7687</v>
      </c>
      <c r="H131" s="118">
        <f>+G131-E131</f>
        <v>-1</v>
      </c>
      <c r="I131" s="118"/>
      <c r="J131" s="118">
        <v>7686803</v>
      </c>
      <c r="K131" s="118">
        <f t="shared" si="6"/>
        <v>-1</v>
      </c>
    </row>
    <row r="132" spans="1:11" ht="12.75" thickBot="1">
      <c r="A132" s="1492" t="s">
        <v>1802</v>
      </c>
      <c r="B132" s="1493" t="s">
        <v>143</v>
      </c>
      <c r="C132" s="1494"/>
      <c r="D132" s="1494"/>
      <c r="E132" s="1495">
        <f>+C132+D132</f>
        <v>0</v>
      </c>
      <c r="G132" s="118">
        <f>+'1.mell._Össz_Mérleg2020'!E135</f>
        <v>0</v>
      </c>
      <c r="H132" s="118">
        <f>+G132-E132</f>
        <v>0</v>
      </c>
      <c r="I132" s="118"/>
      <c r="J132" s="118">
        <v>0</v>
      </c>
      <c r="K132" s="118">
        <f t="shared" si="6"/>
        <v>0</v>
      </c>
    </row>
    <row r="133" spans="1:11" ht="12.75" thickBot="1">
      <c r="A133" s="1484" t="s">
        <v>1803</v>
      </c>
      <c r="B133" s="1485" t="s">
        <v>2677</v>
      </c>
      <c r="C133" s="1486">
        <f>SUM(C134:C143)</f>
        <v>0</v>
      </c>
      <c r="D133" s="1486">
        <f>SUM(D134:D143)</f>
        <v>0</v>
      </c>
      <c r="E133" s="1487">
        <f>SUM(E134:E143)</f>
        <v>0</v>
      </c>
      <c r="G133" s="118">
        <f>+'1.mell._Össz_Mérleg2020'!E136</f>
        <v>0</v>
      </c>
      <c r="H133" s="118">
        <f>+G133-E133</f>
        <v>0</v>
      </c>
      <c r="I133" s="118"/>
      <c r="J133" s="118">
        <v>0</v>
      </c>
      <c r="K133" s="118">
        <f t="shared" si="6"/>
        <v>0</v>
      </c>
    </row>
    <row r="134" spans="1:11">
      <c r="A134" s="1488" t="s">
        <v>1805</v>
      </c>
      <c r="B134" s="1489" t="s">
        <v>1804</v>
      </c>
      <c r="C134" s="1490"/>
      <c r="D134" s="1490"/>
      <c r="E134" s="1491">
        <f t="shared" ref="E134:E143" si="10">+C134+D134</f>
        <v>0</v>
      </c>
      <c r="J134" s="118">
        <v>0</v>
      </c>
      <c r="K134" s="118">
        <f t="shared" si="6"/>
        <v>0</v>
      </c>
    </row>
    <row r="135" spans="1:11">
      <c r="A135" s="1477" t="s">
        <v>1807</v>
      </c>
      <c r="B135" s="1478" t="s">
        <v>1806</v>
      </c>
      <c r="C135" s="1479"/>
      <c r="D135" s="1479"/>
      <c r="E135" s="1480">
        <f t="shared" si="10"/>
        <v>0</v>
      </c>
      <c r="J135" s="118">
        <v>0</v>
      </c>
      <c r="K135" s="118">
        <f t="shared" ref="K135:K198" si="11">+ROUND(J135/1000,0)-E135</f>
        <v>0</v>
      </c>
    </row>
    <row r="136" spans="1:11">
      <c r="A136" s="1477" t="s">
        <v>1809</v>
      </c>
      <c r="B136" s="1478" t="s">
        <v>1808</v>
      </c>
      <c r="C136" s="1479"/>
      <c r="D136" s="1479"/>
      <c r="E136" s="1480">
        <f t="shared" si="10"/>
        <v>0</v>
      </c>
      <c r="J136" s="118">
        <v>0</v>
      </c>
      <c r="K136" s="118">
        <f t="shared" si="11"/>
        <v>0</v>
      </c>
    </row>
    <row r="137" spans="1:11">
      <c r="A137" s="1477" t="s">
        <v>1811</v>
      </c>
      <c r="B137" s="1478" t="s">
        <v>1810</v>
      </c>
      <c r="C137" s="1479"/>
      <c r="D137" s="1479"/>
      <c r="E137" s="1480">
        <f t="shared" si="10"/>
        <v>0</v>
      </c>
      <c r="J137" s="118">
        <v>0</v>
      </c>
      <c r="K137" s="118">
        <f t="shared" si="11"/>
        <v>0</v>
      </c>
    </row>
    <row r="138" spans="1:11">
      <c r="A138" s="1477" t="s">
        <v>1813</v>
      </c>
      <c r="B138" s="1478" t="s">
        <v>1812</v>
      </c>
      <c r="C138" s="1479"/>
      <c r="D138" s="1479"/>
      <c r="E138" s="1480">
        <f t="shared" si="10"/>
        <v>0</v>
      </c>
      <c r="J138" s="118">
        <v>0</v>
      </c>
      <c r="K138" s="118">
        <f t="shared" si="11"/>
        <v>0</v>
      </c>
    </row>
    <row r="139" spans="1:11">
      <c r="A139" s="1477" t="s">
        <v>1815</v>
      </c>
      <c r="B139" s="1478" t="s">
        <v>1814</v>
      </c>
      <c r="C139" s="1479"/>
      <c r="D139" s="1479"/>
      <c r="E139" s="1480">
        <f t="shared" si="10"/>
        <v>0</v>
      </c>
      <c r="J139" s="118">
        <v>0</v>
      </c>
      <c r="K139" s="118">
        <f t="shared" si="11"/>
        <v>0</v>
      </c>
    </row>
    <row r="140" spans="1:11">
      <c r="A140" s="1477" t="s">
        <v>1817</v>
      </c>
      <c r="B140" s="1478" t="s">
        <v>1816</v>
      </c>
      <c r="C140" s="1479"/>
      <c r="D140" s="1479"/>
      <c r="E140" s="1480">
        <f t="shared" si="10"/>
        <v>0</v>
      </c>
      <c r="J140" s="118">
        <v>0</v>
      </c>
      <c r="K140" s="118">
        <f t="shared" si="11"/>
        <v>0</v>
      </c>
    </row>
    <row r="141" spans="1:11">
      <c r="A141" s="1477" t="s">
        <v>1819</v>
      </c>
      <c r="B141" s="1478" t="s">
        <v>1818</v>
      </c>
      <c r="C141" s="1479"/>
      <c r="D141" s="1479"/>
      <c r="E141" s="1480">
        <f t="shared" si="10"/>
        <v>0</v>
      </c>
      <c r="J141" s="118">
        <v>0</v>
      </c>
      <c r="K141" s="118">
        <f t="shared" si="11"/>
        <v>0</v>
      </c>
    </row>
    <row r="142" spans="1:11">
      <c r="A142" s="1477" t="s">
        <v>1821</v>
      </c>
      <c r="B142" s="1478" t="s">
        <v>1820</v>
      </c>
      <c r="C142" s="1479"/>
      <c r="D142" s="1479"/>
      <c r="E142" s="1480">
        <f t="shared" si="10"/>
        <v>0</v>
      </c>
      <c r="J142" s="118">
        <v>0</v>
      </c>
      <c r="K142" s="118">
        <f t="shared" si="11"/>
        <v>0</v>
      </c>
    </row>
    <row r="143" spans="1:11" s="859" customFormat="1" ht="12.75" thickBot="1">
      <c r="A143" s="1470" t="s">
        <v>1823</v>
      </c>
      <c r="B143" s="1481" t="s">
        <v>1822</v>
      </c>
      <c r="C143" s="1482"/>
      <c r="D143" s="1482"/>
      <c r="E143" s="1483">
        <f t="shared" si="10"/>
        <v>0</v>
      </c>
      <c r="F143" s="864"/>
      <c r="G143" s="864"/>
      <c r="H143" s="864"/>
      <c r="I143" s="864"/>
      <c r="J143" s="118">
        <v>0</v>
      </c>
      <c r="K143" s="118">
        <f t="shared" si="11"/>
        <v>0</v>
      </c>
    </row>
    <row r="144" spans="1:11" s="859" customFormat="1" ht="12.75" thickBot="1">
      <c r="A144" s="1484" t="s">
        <v>1824</v>
      </c>
      <c r="B144" s="1485" t="s">
        <v>2678</v>
      </c>
      <c r="C144" s="1486">
        <f>SUM(C145:C154)</f>
        <v>0</v>
      </c>
      <c r="D144" s="1486">
        <f>SUM(D145:D154)</f>
        <v>0</v>
      </c>
      <c r="E144" s="1487">
        <f>SUM(E145:E154)</f>
        <v>0</v>
      </c>
      <c r="G144" s="118">
        <f>+'1.mell._Össz_Mérleg2020'!E137</f>
        <v>0</v>
      </c>
      <c r="H144" s="118">
        <f>+G144-E144</f>
        <v>0</v>
      </c>
      <c r="I144" s="118"/>
      <c r="J144" s="119">
        <v>0</v>
      </c>
      <c r="K144" s="118">
        <f t="shared" si="11"/>
        <v>0</v>
      </c>
    </row>
    <row r="145" spans="1:11" s="859" customFormat="1">
      <c r="A145" s="1488" t="s">
        <v>1826</v>
      </c>
      <c r="B145" s="1489" t="s">
        <v>1825</v>
      </c>
      <c r="C145" s="1490"/>
      <c r="D145" s="1490"/>
      <c r="E145" s="1491">
        <f t="shared" ref="E145:E154" si="12">+C145+D145</f>
        <v>0</v>
      </c>
      <c r="J145" s="119">
        <v>0</v>
      </c>
      <c r="K145" s="118">
        <f t="shared" si="11"/>
        <v>0</v>
      </c>
    </row>
    <row r="146" spans="1:11">
      <c r="A146" s="1477" t="s">
        <v>1828</v>
      </c>
      <c r="B146" s="1478" t="s">
        <v>1827</v>
      </c>
      <c r="C146" s="1479"/>
      <c r="D146" s="1479"/>
      <c r="E146" s="1480">
        <f t="shared" si="12"/>
        <v>0</v>
      </c>
      <c r="F146" s="859"/>
      <c r="G146" s="118"/>
      <c r="H146" s="859"/>
      <c r="I146" s="859"/>
      <c r="J146" s="119">
        <v>0</v>
      </c>
      <c r="K146" s="118">
        <f t="shared" si="11"/>
        <v>0</v>
      </c>
    </row>
    <row r="147" spans="1:11">
      <c r="A147" s="1477" t="s">
        <v>1830</v>
      </c>
      <c r="B147" s="1478" t="s">
        <v>1829</v>
      </c>
      <c r="C147" s="1479"/>
      <c r="D147" s="1479"/>
      <c r="E147" s="1480">
        <f t="shared" si="12"/>
        <v>0</v>
      </c>
      <c r="J147" s="118">
        <v>0</v>
      </c>
      <c r="K147" s="118">
        <f t="shared" si="11"/>
        <v>0</v>
      </c>
    </row>
    <row r="148" spans="1:11">
      <c r="A148" s="1477" t="s">
        <v>1832</v>
      </c>
      <c r="B148" s="1478" t="s">
        <v>1831</v>
      </c>
      <c r="C148" s="1479"/>
      <c r="D148" s="1479"/>
      <c r="E148" s="1480">
        <f t="shared" si="12"/>
        <v>0</v>
      </c>
      <c r="J148" s="118">
        <v>0</v>
      </c>
      <c r="K148" s="118">
        <f t="shared" si="11"/>
        <v>0</v>
      </c>
    </row>
    <row r="149" spans="1:11">
      <c r="A149" s="1477" t="s">
        <v>1834</v>
      </c>
      <c r="B149" s="1478" t="s">
        <v>1833</v>
      </c>
      <c r="C149" s="1479"/>
      <c r="D149" s="1479"/>
      <c r="E149" s="1480">
        <f t="shared" si="12"/>
        <v>0</v>
      </c>
      <c r="J149" s="118">
        <v>0</v>
      </c>
      <c r="K149" s="118">
        <f t="shared" si="11"/>
        <v>0</v>
      </c>
    </row>
    <row r="150" spans="1:11">
      <c r="A150" s="1477" t="s">
        <v>1836</v>
      </c>
      <c r="B150" s="1478" t="s">
        <v>1835</v>
      </c>
      <c r="C150" s="1479"/>
      <c r="D150" s="1479"/>
      <c r="E150" s="1480">
        <f t="shared" si="12"/>
        <v>0</v>
      </c>
      <c r="J150" s="118">
        <v>0</v>
      </c>
      <c r="K150" s="118">
        <f t="shared" si="11"/>
        <v>0</v>
      </c>
    </row>
    <row r="151" spans="1:11">
      <c r="A151" s="1477" t="s">
        <v>1838</v>
      </c>
      <c r="B151" s="1478" t="s">
        <v>1837</v>
      </c>
      <c r="C151" s="1479"/>
      <c r="D151" s="1479"/>
      <c r="E151" s="1480">
        <f t="shared" si="12"/>
        <v>0</v>
      </c>
      <c r="J151" s="118">
        <v>0</v>
      </c>
      <c r="K151" s="118">
        <f t="shared" si="11"/>
        <v>0</v>
      </c>
    </row>
    <row r="152" spans="1:11">
      <c r="A152" s="1477" t="s">
        <v>1840</v>
      </c>
      <c r="B152" s="1478" t="s">
        <v>1839</v>
      </c>
      <c r="C152" s="1479"/>
      <c r="D152" s="1479"/>
      <c r="E152" s="1480">
        <f t="shared" si="12"/>
        <v>0</v>
      </c>
      <c r="J152" s="118">
        <v>0</v>
      </c>
      <c r="K152" s="118">
        <f t="shared" si="11"/>
        <v>0</v>
      </c>
    </row>
    <row r="153" spans="1:11">
      <c r="A153" s="1477" t="s">
        <v>1842</v>
      </c>
      <c r="B153" s="1478" t="s">
        <v>1841</v>
      </c>
      <c r="C153" s="1479"/>
      <c r="D153" s="1479"/>
      <c r="E153" s="1480">
        <f t="shared" si="12"/>
        <v>0</v>
      </c>
      <c r="J153" s="118">
        <v>0</v>
      </c>
      <c r="K153" s="118">
        <f t="shared" si="11"/>
        <v>0</v>
      </c>
    </row>
    <row r="154" spans="1:11" ht="12.75" thickBot="1">
      <c r="A154" s="1470" t="s">
        <v>1844</v>
      </c>
      <c r="B154" s="1481" t="s">
        <v>1843</v>
      </c>
      <c r="C154" s="1482"/>
      <c r="D154" s="1482"/>
      <c r="E154" s="1483">
        <f t="shared" si="12"/>
        <v>0</v>
      </c>
      <c r="J154" s="118">
        <v>0</v>
      </c>
      <c r="K154" s="118">
        <f t="shared" si="11"/>
        <v>0</v>
      </c>
    </row>
    <row r="155" spans="1:11" ht="12.75" thickBot="1">
      <c r="A155" s="1484" t="s">
        <v>1845</v>
      </c>
      <c r="B155" s="1485" t="s">
        <v>2679</v>
      </c>
      <c r="C155" s="1486">
        <f>SUM(C156:C165)</f>
        <v>9479</v>
      </c>
      <c r="D155" s="1486">
        <f>SUM(D156:D165)</f>
        <v>0</v>
      </c>
      <c r="E155" s="1487">
        <f>SUM(E156:E165)</f>
        <v>9479</v>
      </c>
      <c r="G155" s="118">
        <f>+'1.mell._Össz_Mérleg2020'!E138</f>
        <v>9479</v>
      </c>
      <c r="H155" s="118">
        <f>+G155-E155</f>
        <v>0</v>
      </c>
      <c r="I155" s="118"/>
      <c r="J155" s="118">
        <v>9479269</v>
      </c>
      <c r="K155" s="118">
        <f t="shared" si="11"/>
        <v>0</v>
      </c>
    </row>
    <row r="156" spans="1:11" s="859" customFormat="1">
      <c r="A156" s="1488" t="s">
        <v>1847</v>
      </c>
      <c r="B156" s="1489" t="s">
        <v>1846</v>
      </c>
      <c r="C156" s="1490">
        <v>1781</v>
      </c>
      <c r="D156" s="1490"/>
      <c r="E156" s="1491">
        <f t="shared" ref="E156:E165" si="13">+C156+D156</f>
        <v>1781</v>
      </c>
      <c r="F156" s="864"/>
      <c r="G156" s="864"/>
      <c r="H156" s="864"/>
      <c r="I156" s="864"/>
      <c r="J156" s="118">
        <v>1780800</v>
      </c>
      <c r="K156" s="118">
        <f t="shared" si="11"/>
        <v>0</v>
      </c>
    </row>
    <row r="157" spans="1:11">
      <c r="A157" s="1477" t="s">
        <v>1849</v>
      </c>
      <c r="B157" s="1478" t="s">
        <v>1848</v>
      </c>
      <c r="C157" s="1479"/>
      <c r="D157" s="1479"/>
      <c r="E157" s="1480">
        <f t="shared" si="13"/>
        <v>0</v>
      </c>
      <c r="F157" s="859"/>
      <c r="G157" s="118"/>
      <c r="H157" s="859"/>
      <c r="I157" s="859"/>
      <c r="J157" s="119">
        <v>0</v>
      </c>
      <c r="K157" s="118">
        <f t="shared" si="11"/>
        <v>0</v>
      </c>
    </row>
    <row r="158" spans="1:11">
      <c r="A158" s="1477" t="s">
        <v>1851</v>
      </c>
      <c r="B158" s="1478" t="s">
        <v>1850</v>
      </c>
      <c r="C158" s="1479">
        <v>204</v>
      </c>
      <c r="D158" s="1479"/>
      <c r="E158" s="1480">
        <f t="shared" si="13"/>
        <v>204</v>
      </c>
      <c r="J158" s="118">
        <v>204110</v>
      </c>
      <c r="K158" s="118">
        <f t="shared" si="11"/>
        <v>0</v>
      </c>
    </row>
    <row r="159" spans="1:11">
      <c r="A159" s="1477" t="s">
        <v>1853</v>
      </c>
      <c r="B159" s="1478" t="s">
        <v>1852</v>
      </c>
      <c r="C159" s="1479"/>
      <c r="D159" s="1479"/>
      <c r="E159" s="1480">
        <f t="shared" si="13"/>
        <v>0</v>
      </c>
      <c r="J159" s="118">
        <v>0</v>
      </c>
      <c r="K159" s="118">
        <f t="shared" si="11"/>
        <v>0</v>
      </c>
    </row>
    <row r="160" spans="1:11">
      <c r="A160" s="1477" t="s">
        <v>1855</v>
      </c>
      <c r="B160" s="1478" t="s">
        <v>1854</v>
      </c>
      <c r="C160" s="1479"/>
      <c r="D160" s="1479"/>
      <c r="E160" s="1480">
        <f t="shared" si="13"/>
        <v>0</v>
      </c>
      <c r="J160" s="118">
        <v>0</v>
      </c>
      <c r="K160" s="118">
        <f t="shared" si="11"/>
        <v>0</v>
      </c>
    </row>
    <row r="161" spans="1:11">
      <c r="A161" s="1477" t="s">
        <v>1857</v>
      </c>
      <c r="B161" s="1478" t="s">
        <v>1856</v>
      </c>
      <c r="C161" s="1479"/>
      <c r="D161" s="1479"/>
      <c r="E161" s="1480">
        <f t="shared" si="13"/>
        <v>0</v>
      </c>
      <c r="J161" s="118">
        <v>0</v>
      </c>
      <c r="K161" s="118">
        <f t="shared" si="11"/>
        <v>0</v>
      </c>
    </row>
    <row r="162" spans="1:11">
      <c r="A162" s="1477" t="s">
        <v>1859</v>
      </c>
      <c r="B162" s="1478" t="s">
        <v>1858</v>
      </c>
      <c r="C162" s="1479"/>
      <c r="D162" s="1479"/>
      <c r="E162" s="1480">
        <f t="shared" si="13"/>
        <v>0</v>
      </c>
      <c r="J162" s="118">
        <v>0</v>
      </c>
      <c r="K162" s="118">
        <f t="shared" si="11"/>
        <v>0</v>
      </c>
    </row>
    <row r="163" spans="1:11">
      <c r="A163" s="1477" t="s">
        <v>1861</v>
      </c>
      <c r="B163" s="1478" t="s">
        <v>1860</v>
      </c>
      <c r="C163" s="1479">
        <v>7244</v>
      </c>
      <c r="D163" s="1479"/>
      <c r="E163" s="1480">
        <f t="shared" si="13"/>
        <v>7244</v>
      </c>
      <c r="J163" s="118">
        <v>7244359</v>
      </c>
      <c r="K163" s="118">
        <f t="shared" si="11"/>
        <v>0</v>
      </c>
    </row>
    <row r="164" spans="1:11">
      <c r="A164" s="1477" t="s">
        <v>1863</v>
      </c>
      <c r="B164" s="1478" t="s">
        <v>1862</v>
      </c>
      <c r="C164" s="1479">
        <v>250</v>
      </c>
      <c r="D164" s="1479"/>
      <c r="E164" s="1480">
        <f t="shared" si="13"/>
        <v>250</v>
      </c>
      <c r="J164" s="118">
        <v>250000</v>
      </c>
      <c r="K164" s="118">
        <f t="shared" si="11"/>
        <v>0</v>
      </c>
    </row>
    <row r="165" spans="1:11" ht="12.75" thickBot="1">
      <c r="A165" s="1470" t="s">
        <v>1865</v>
      </c>
      <c r="B165" s="1481" t="s">
        <v>1864</v>
      </c>
      <c r="C165" s="1482"/>
      <c r="D165" s="1482"/>
      <c r="E165" s="1483">
        <f t="shared" si="13"/>
        <v>0</v>
      </c>
      <c r="J165" s="118">
        <v>0</v>
      </c>
      <c r="K165" s="118">
        <f t="shared" si="11"/>
        <v>0</v>
      </c>
    </row>
    <row r="166" spans="1:11" ht="12.75" thickBot="1">
      <c r="A166" s="1484" t="s">
        <v>1866</v>
      </c>
      <c r="B166" s="1485" t="s">
        <v>2680</v>
      </c>
      <c r="C166" s="1486">
        <v>0</v>
      </c>
      <c r="D166" s="1486">
        <v>0</v>
      </c>
      <c r="E166" s="1487">
        <f>+C166+D166</f>
        <v>0</v>
      </c>
      <c r="G166" s="118">
        <f>+'1.mell._Össz_Mérleg2020'!E140</f>
        <v>0</v>
      </c>
      <c r="H166" s="118">
        <f>+G166-E166</f>
        <v>0</v>
      </c>
      <c r="I166" s="118"/>
      <c r="J166" s="118">
        <v>0</v>
      </c>
      <c r="K166" s="118">
        <f t="shared" si="11"/>
        <v>0</v>
      </c>
    </row>
    <row r="167" spans="1:11" s="859" customFormat="1" ht="12.75" thickBot="1">
      <c r="A167" s="1496" t="s">
        <v>1868</v>
      </c>
      <c r="B167" s="1498" t="s">
        <v>1867</v>
      </c>
      <c r="C167" s="1497"/>
      <c r="D167" s="1497"/>
      <c r="E167" s="1499">
        <f>+C167+D167</f>
        <v>0</v>
      </c>
      <c r="F167" s="864"/>
      <c r="G167" s="864"/>
      <c r="H167" s="864"/>
      <c r="I167" s="864"/>
      <c r="J167" s="118">
        <v>0</v>
      </c>
      <c r="K167" s="118">
        <f t="shared" si="11"/>
        <v>0</v>
      </c>
    </row>
    <row r="168" spans="1:11" ht="12.75" thickBot="1">
      <c r="A168" s="1484" t="s">
        <v>1869</v>
      </c>
      <c r="B168" s="1485" t="s">
        <v>2681</v>
      </c>
      <c r="C168" s="1486">
        <f>SUM(C169:C179)</f>
        <v>10850</v>
      </c>
      <c r="D168" s="1486">
        <f>SUM(D169:D179)</f>
        <v>0</v>
      </c>
      <c r="E168" s="1487">
        <f>SUM(E169:E179)</f>
        <v>10850</v>
      </c>
      <c r="F168" s="859"/>
      <c r="G168" s="118">
        <f>+'1.mell._Össz_Mérleg2020'!E141</f>
        <v>10850</v>
      </c>
      <c r="H168" s="118">
        <f>+G168-E168</f>
        <v>0</v>
      </c>
      <c r="I168" s="118"/>
      <c r="J168" s="119">
        <v>10850000</v>
      </c>
      <c r="K168" s="118">
        <f t="shared" si="11"/>
        <v>0</v>
      </c>
    </row>
    <row r="169" spans="1:11">
      <c r="A169" s="1488" t="s">
        <v>1871</v>
      </c>
      <c r="B169" s="1489" t="s">
        <v>1870</v>
      </c>
      <c r="C169" s="1490"/>
      <c r="D169" s="1490"/>
      <c r="E169" s="1491">
        <f t="shared" ref="E169:E179" si="14">+C169+D169</f>
        <v>0</v>
      </c>
      <c r="G169" s="118"/>
      <c r="J169" s="118">
        <v>0</v>
      </c>
      <c r="K169" s="118">
        <f t="shared" si="11"/>
        <v>0</v>
      </c>
    </row>
    <row r="170" spans="1:11">
      <c r="A170" s="1477" t="s">
        <v>1873</v>
      </c>
      <c r="B170" s="1478" t="s">
        <v>1872</v>
      </c>
      <c r="C170" s="1479">
        <v>10850</v>
      </c>
      <c r="D170" s="1479"/>
      <c r="E170" s="1480">
        <f t="shared" si="14"/>
        <v>10850</v>
      </c>
      <c r="J170" s="118">
        <v>10850000</v>
      </c>
      <c r="K170" s="118">
        <f t="shared" si="11"/>
        <v>0</v>
      </c>
    </row>
    <row r="171" spans="1:11">
      <c r="A171" s="1477" t="s">
        <v>1875</v>
      </c>
      <c r="B171" s="1478" t="s">
        <v>1874</v>
      </c>
      <c r="C171" s="1479"/>
      <c r="D171" s="1479"/>
      <c r="E171" s="1480">
        <f t="shared" si="14"/>
        <v>0</v>
      </c>
      <c r="J171" s="118">
        <v>0</v>
      </c>
      <c r="K171" s="118">
        <f t="shared" si="11"/>
        <v>0</v>
      </c>
    </row>
    <row r="172" spans="1:11">
      <c r="A172" s="1477" t="s">
        <v>1877</v>
      </c>
      <c r="B172" s="1478" t="s">
        <v>1876</v>
      </c>
      <c r="C172" s="1479"/>
      <c r="D172" s="1479"/>
      <c r="E172" s="1480">
        <f t="shared" si="14"/>
        <v>0</v>
      </c>
      <c r="J172" s="118">
        <v>0</v>
      </c>
      <c r="K172" s="118">
        <f t="shared" si="11"/>
        <v>0</v>
      </c>
    </row>
    <row r="173" spans="1:11">
      <c r="A173" s="1477" t="s">
        <v>1879</v>
      </c>
      <c r="B173" s="1478" t="s">
        <v>1878</v>
      </c>
      <c r="C173" s="1479"/>
      <c r="D173" s="1479"/>
      <c r="E173" s="1480">
        <f t="shared" si="14"/>
        <v>0</v>
      </c>
      <c r="J173" s="118">
        <v>0</v>
      </c>
      <c r="K173" s="118">
        <f t="shared" si="11"/>
        <v>0</v>
      </c>
    </row>
    <row r="174" spans="1:11">
      <c r="A174" s="1477" t="s">
        <v>1881</v>
      </c>
      <c r="B174" s="1478" t="s">
        <v>1880</v>
      </c>
      <c r="C174" s="1479"/>
      <c r="D174" s="1479"/>
      <c r="E174" s="1480">
        <f t="shared" si="14"/>
        <v>0</v>
      </c>
      <c r="J174" s="118">
        <v>0</v>
      </c>
      <c r="K174" s="118">
        <f t="shared" si="11"/>
        <v>0</v>
      </c>
    </row>
    <row r="175" spans="1:11">
      <c r="A175" s="1477" t="s">
        <v>1883</v>
      </c>
      <c r="B175" s="1478" t="s">
        <v>1882</v>
      </c>
      <c r="C175" s="1479"/>
      <c r="D175" s="1479"/>
      <c r="E175" s="1480">
        <f t="shared" si="14"/>
        <v>0</v>
      </c>
      <c r="J175" s="118">
        <v>0</v>
      </c>
      <c r="K175" s="118">
        <f t="shared" si="11"/>
        <v>0</v>
      </c>
    </row>
    <row r="176" spans="1:11">
      <c r="A176" s="1477" t="s">
        <v>1885</v>
      </c>
      <c r="B176" s="1478" t="s">
        <v>1884</v>
      </c>
      <c r="C176" s="1479"/>
      <c r="D176" s="1479"/>
      <c r="E176" s="1480">
        <f t="shared" si="14"/>
        <v>0</v>
      </c>
      <c r="J176" s="118">
        <v>0</v>
      </c>
      <c r="K176" s="118">
        <f t="shared" si="11"/>
        <v>0</v>
      </c>
    </row>
    <row r="177" spans="1:11">
      <c r="A177" s="1477" t="s">
        <v>1887</v>
      </c>
      <c r="B177" s="1478" t="s">
        <v>1886</v>
      </c>
      <c r="C177" s="1479"/>
      <c r="D177" s="1479"/>
      <c r="E177" s="1480">
        <f t="shared" si="14"/>
        <v>0</v>
      </c>
      <c r="J177" s="118">
        <v>0</v>
      </c>
      <c r="K177" s="118">
        <f t="shared" si="11"/>
        <v>0</v>
      </c>
    </row>
    <row r="178" spans="1:11" s="859" customFormat="1">
      <c r="A178" s="1477" t="s">
        <v>1889</v>
      </c>
      <c r="B178" s="1478" t="s">
        <v>1888</v>
      </c>
      <c r="C178" s="1479"/>
      <c r="D178" s="1479"/>
      <c r="E178" s="1480">
        <f t="shared" si="14"/>
        <v>0</v>
      </c>
      <c r="F178" s="864"/>
      <c r="G178" s="864"/>
      <c r="H178" s="864"/>
      <c r="I178" s="864"/>
      <c r="J178" s="118">
        <v>0</v>
      </c>
      <c r="K178" s="118">
        <f t="shared" si="11"/>
        <v>0</v>
      </c>
    </row>
    <row r="179" spans="1:11" ht="12.75" thickBot="1">
      <c r="A179" s="1470" t="s">
        <v>1891</v>
      </c>
      <c r="B179" s="1481" t="s">
        <v>1890</v>
      </c>
      <c r="C179" s="1482"/>
      <c r="D179" s="1482"/>
      <c r="E179" s="1483">
        <f t="shared" si="14"/>
        <v>0</v>
      </c>
      <c r="F179" s="859"/>
      <c r="G179" s="859"/>
      <c r="H179" s="859"/>
      <c r="I179" s="859"/>
      <c r="J179" s="119">
        <v>0</v>
      </c>
      <c r="K179" s="118">
        <f t="shared" si="11"/>
        <v>0</v>
      </c>
    </row>
    <row r="180" spans="1:11" s="859" customFormat="1" ht="12.75" thickBot="1">
      <c r="A180" s="1484" t="s">
        <v>1892</v>
      </c>
      <c r="B180" s="1485" t="s">
        <v>149</v>
      </c>
      <c r="C180" s="1486">
        <v>0</v>
      </c>
      <c r="D180" s="1486">
        <v>0</v>
      </c>
      <c r="E180" s="1487">
        <f>+C180+D180</f>
        <v>0</v>
      </c>
      <c r="F180" s="864"/>
      <c r="G180" s="118">
        <f>+'1.mell._Össz_Mérleg2020'!E142</f>
        <v>0</v>
      </c>
      <c r="H180" s="118">
        <f>+G180-E180</f>
        <v>0</v>
      </c>
      <c r="I180" s="118"/>
      <c r="J180" s="118">
        <v>0</v>
      </c>
      <c r="K180" s="118">
        <f t="shared" si="11"/>
        <v>0</v>
      </c>
    </row>
    <row r="181" spans="1:11" ht="12.75" thickBot="1">
      <c r="A181" s="1492" t="s">
        <v>1893</v>
      </c>
      <c r="B181" s="1493" t="s">
        <v>150</v>
      </c>
      <c r="C181" s="1494">
        <v>0</v>
      </c>
      <c r="D181" s="1494">
        <v>0</v>
      </c>
      <c r="E181" s="1495">
        <f>+C181+D181</f>
        <v>0</v>
      </c>
      <c r="F181" s="859"/>
      <c r="G181" s="118">
        <f>+'1.mell._Össz_Mérleg2020'!E143</f>
        <v>0</v>
      </c>
      <c r="H181" s="118">
        <f>+G181-E181</f>
        <v>0</v>
      </c>
      <c r="I181" s="118"/>
      <c r="J181" s="119">
        <v>0</v>
      </c>
      <c r="K181" s="118">
        <f t="shared" si="11"/>
        <v>0</v>
      </c>
    </row>
    <row r="182" spans="1:11" ht="12.75" thickBot="1">
      <c r="A182" s="1484" t="s">
        <v>1894</v>
      </c>
      <c r="B182" s="1485" t="s">
        <v>920</v>
      </c>
      <c r="C182" s="1486">
        <v>0</v>
      </c>
      <c r="D182" s="1486">
        <v>0</v>
      </c>
      <c r="E182" s="1487">
        <f>+C182+D182</f>
        <v>0</v>
      </c>
      <c r="G182" s="118">
        <f>+'1.mell._Össz_Mérleg2020'!E144</f>
        <v>0</v>
      </c>
      <c r="H182" s="118">
        <f>+G182-E182</f>
        <v>0</v>
      </c>
      <c r="I182" s="118"/>
      <c r="J182" s="118">
        <v>0</v>
      </c>
      <c r="K182" s="118">
        <f t="shared" si="11"/>
        <v>0</v>
      </c>
    </row>
    <row r="183" spans="1:11" ht="12.75" thickBot="1">
      <c r="A183" s="1484" t="s">
        <v>1895</v>
      </c>
      <c r="B183" s="1485" t="s">
        <v>2682</v>
      </c>
      <c r="C183" s="1486">
        <f>SUM(C184:C193)</f>
        <v>69651</v>
      </c>
      <c r="D183" s="1486">
        <f>SUM(D184:D193)</f>
        <v>0</v>
      </c>
      <c r="E183" s="1487">
        <f>SUM(E184:E193)</f>
        <v>69651</v>
      </c>
      <c r="G183" s="118">
        <f>+'1.mell._Össz_Mérleg2020'!E145</f>
        <v>69652</v>
      </c>
      <c r="H183" s="118">
        <f>+G183-E183</f>
        <v>1</v>
      </c>
      <c r="I183" s="118"/>
      <c r="J183" s="118">
        <v>69651400</v>
      </c>
      <c r="K183" s="118">
        <f t="shared" si="11"/>
        <v>0</v>
      </c>
    </row>
    <row r="184" spans="1:11">
      <c r="A184" s="1488" t="s">
        <v>1897</v>
      </c>
      <c r="B184" s="1489" t="s">
        <v>1896</v>
      </c>
      <c r="C184" s="1490"/>
      <c r="D184" s="1490"/>
      <c r="E184" s="1491">
        <f t="shared" ref="E184:E193" si="15">+C184+D184</f>
        <v>0</v>
      </c>
      <c r="G184" s="118"/>
      <c r="J184" s="118">
        <v>0</v>
      </c>
      <c r="K184" s="118">
        <f t="shared" si="11"/>
        <v>0</v>
      </c>
    </row>
    <row r="185" spans="1:11">
      <c r="A185" s="1477" t="s">
        <v>1899</v>
      </c>
      <c r="B185" s="1478" t="s">
        <v>1898</v>
      </c>
      <c r="C185" s="1479">
        <v>9000</v>
      </c>
      <c r="D185" s="1479"/>
      <c r="E185" s="1480">
        <f t="shared" si="15"/>
        <v>9000</v>
      </c>
      <c r="J185" s="118">
        <v>9000000</v>
      </c>
      <c r="K185" s="118">
        <f t="shared" si="11"/>
        <v>0</v>
      </c>
    </row>
    <row r="186" spans="1:11">
      <c r="A186" s="1477" t="s">
        <v>1901</v>
      </c>
      <c r="B186" s="1478" t="s">
        <v>1900</v>
      </c>
      <c r="C186" s="1479">
        <f>16816</f>
        <v>16816</v>
      </c>
      <c r="D186" s="1479"/>
      <c r="E186" s="1480">
        <f t="shared" si="15"/>
        <v>16816</v>
      </c>
      <c r="J186" s="118">
        <v>16816400</v>
      </c>
      <c r="K186" s="118">
        <f t="shared" si="11"/>
        <v>0</v>
      </c>
    </row>
    <row r="187" spans="1:11">
      <c r="A187" s="1477" t="s">
        <v>1903</v>
      </c>
      <c r="B187" s="1478" t="s">
        <v>1902</v>
      </c>
      <c r="C187" s="1479">
        <v>10335</v>
      </c>
      <c r="D187" s="1479"/>
      <c r="E187" s="1480">
        <f t="shared" si="15"/>
        <v>10335</v>
      </c>
      <c r="J187" s="118">
        <v>10335000</v>
      </c>
      <c r="K187" s="118">
        <f t="shared" si="11"/>
        <v>0</v>
      </c>
    </row>
    <row r="188" spans="1:11">
      <c r="A188" s="1477" t="s">
        <v>1905</v>
      </c>
      <c r="B188" s="1478" t="s">
        <v>1904</v>
      </c>
      <c r="C188" s="1479"/>
      <c r="D188" s="1479"/>
      <c r="E188" s="1480">
        <f t="shared" si="15"/>
        <v>0</v>
      </c>
      <c r="J188" s="118">
        <v>0</v>
      </c>
      <c r="K188" s="118">
        <f t="shared" si="11"/>
        <v>0</v>
      </c>
    </row>
    <row r="189" spans="1:11">
      <c r="A189" s="1477" t="s">
        <v>1907</v>
      </c>
      <c r="B189" s="1478" t="s">
        <v>1906</v>
      </c>
      <c r="C189" s="1479"/>
      <c r="D189" s="1479"/>
      <c r="E189" s="1480">
        <f t="shared" si="15"/>
        <v>0</v>
      </c>
      <c r="J189" s="118">
        <v>0</v>
      </c>
      <c r="K189" s="118">
        <f t="shared" si="11"/>
        <v>0</v>
      </c>
    </row>
    <row r="190" spans="1:11">
      <c r="A190" s="1477" t="s">
        <v>1909</v>
      </c>
      <c r="B190" s="1478" t="s">
        <v>1908</v>
      </c>
      <c r="C190" s="1479">
        <v>33500</v>
      </c>
      <c r="D190" s="1479"/>
      <c r="E190" s="1480">
        <f t="shared" si="15"/>
        <v>33500</v>
      </c>
      <c r="J190" s="118">
        <v>33500000</v>
      </c>
      <c r="K190" s="118">
        <f t="shared" si="11"/>
        <v>0</v>
      </c>
    </row>
    <row r="191" spans="1:11">
      <c r="A191" s="1477" t="s">
        <v>1911</v>
      </c>
      <c r="B191" s="1478" t="s">
        <v>1910</v>
      </c>
      <c r="C191" s="1479"/>
      <c r="D191" s="1479"/>
      <c r="E191" s="1480">
        <f t="shared" si="15"/>
        <v>0</v>
      </c>
      <c r="J191" s="118">
        <v>0</v>
      </c>
      <c r="K191" s="118">
        <f t="shared" si="11"/>
        <v>0</v>
      </c>
    </row>
    <row r="192" spans="1:11" s="859" customFormat="1">
      <c r="A192" s="1477" t="s">
        <v>1913</v>
      </c>
      <c r="B192" s="1478" t="s">
        <v>1912</v>
      </c>
      <c r="C192" s="1479"/>
      <c r="D192" s="1479"/>
      <c r="E192" s="1480">
        <f t="shared" si="15"/>
        <v>0</v>
      </c>
      <c r="F192" s="864"/>
      <c r="G192" s="864"/>
      <c r="H192" s="864"/>
      <c r="I192" s="864"/>
      <c r="J192" s="118">
        <v>0</v>
      </c>
      <c r="K192" s="118">
        <f t="shared" si="11"/>
        <v>0</v>
      </c>
    </row>
    <row r="193" spans="1:11" s="859" customFormat="1" ht="12.75" thickBot="1">
      <c r="A193" s="1470" t="s">
        <v>1915</v>
      </c>
      <c r="B193" s="1481" t="s">
        <v>1914</v>
      </c>
      <c r="C193" s="1482"/>
      <c r="D193" s="1482"/>
      <c r="E193" s="1483">
        <f t="shared" si="15"/>
        <v>0</v>
      </c>
      <c r="J193" s="119">
        <v>0</v>
      </c>
      <c r="K193" s="118">
        <f t="shared" si="11"/>
        <v>0</v>
      </c>
    </row>
    <row r="194" spans="1:11" s="859" customFormat="1" ht="12.75" thickBot="1">
      <c r="A194" s="1484" t="s">
        <v>1917</v>
      </c>
      <c r="B194" s="1485" t="s">
        <v>1916</v>
      </c>
      <c r="C194" s="1486">
        <v>0</v>
      </c>
      <c r="D194" s="1486">
        <v>0</v>
      </c>
      <c r="E194" s="1487">
        <f>+C194+D194</f>
        <v>0</v>
      </c>
      <c r="G194" s="118">
        <f>+'1.mell._Össz_Mérleg2020'!E146</f>
        <v>0</v>
      </c>
      <c r="H194" s="118">
        <f>+G194-E194</f>
        <v>0</v>
      </c>
      <c r="I194" s="118"/>
      <c r="J194" s="119">
        <v>0</v>
      </c>
      <c r="K194" s="118">
        <f t="shared" si="11"/>
        <v>0</v>
      </c>
    </row>
    <row r="195" spans="1:11" s="859" customFormat="1" ht="12.75" thickBot="1">
      <c r="A195" s="1484" t="s">
        <v>1918</v>
      </c>
      <c r="B195" s="1485" t="s">
        <v>2683</v>
      </c>
      <c r="C195" s="1486">
        <f>+C126+C131+C132+C133+C144+C155+C166+C168+C180+C181+C182+C183+C194</f>
        <v>97668</v>
      </c>
      <c r="D195" s="1486">
        <f>+D126+D131+D132+D133+D144+D155+D166+D168+D180+D181+D182+D183+D194</f>
        <v>0</v>
      </c>
      <c r="E195" s="1487">
        <f>+E126+E131+E132+E133+E144+E155+E166+E168+E180+E181+E182+E183+E194</f>
        <v>97668</v>
      </c>
      <c r="G195" s="118"/>
      <c r="J195" s="119">
        <v>97667472</v>
      </c>
      <c r="K195" s="118">
        <f t="shared" si="11"/>
        <v>-1</v>
      </c>
    </row>
    <row r="196" spans="1:11">
      <c r="A196" s="1488" t="s">
        <v>1919</v>
      </c>
      <c r="B196" s="1489" t="s">
        <v>151</v>
      </c>
      <c r="C196" s="1490">
        <v>1043</v>
      </c>
      <c r="D196" s="1490"/>
      <c r="E196" s="1491">
        <f t="shared" ref="E196:E203" si="16">+C196+D196</f>
        <v>1043</v>
      </c>
      <c r="F196" s="859"/>
      <c r="G196" s="118">
        <f>+'1.mell._Össz_Mérleg2020'!E152</f>
        <v>1043</v>
      </c>
      <c r="H196" s="118">
        <f>+G196-E196</f>
        <v>0</v>
      </c>
      <c r="I196" s="118"/>
      <c r="J196" s="119">
        <v>1042900</v>
      </c>
      <c r="K196" s="118">
        <f t="shared" si="11"/>
        <v>0</v>
      </c>
    </row>
    <row r="197" spans="1:11">
      <c r="A197" s="1477" t="s">
        <v>1920</v>
      </c>
      <c r="B197" s="1478" t="s">
        <v>2684</v>
      </c>
      <c r="C197" s="1479">
        <v>583319</v>
      </c>
      <c r="D197" s="1479"/>
      <c r="E197" s="1480">
        <f t="shared" si="16"/>
        <v>583319</v>
      </c>
      <c r="G197" s="118">
        <f>+'1.mell._Össz_Mérleg2020'!E153</f>
        <v>583319</v>
      </c>
      <c r="H197" s="118">
        <f>+G197-E197</f>
        <v>0</v>
      </c>
      <c r="I197" s="118"/>
      <c r="J197" s="118">
        <v>583318758</v>
      </c>
      <c r="K197" s="118">
        <f t="shared" si="11"/>
        <v>0</v>
      </c>
    </row>
    <row r="198" spans="1:11">
      <c r="A198" s="1477" t="s">
        <v>1922</v>
      </c>
      <c r="B198" s="1478" t="s">
        <v>1921</v>
      </c>
      <c r="C198" s="1479"/>
      <c r="D198" s="1479"/>
      <c r="E198" s="1480">
        <f t="shared" si="16"/>
        <v>0</v>
      </c>
      <c r="J198" s="118">
        <v>0</v>
      </c>
      <c r="K198" s="118">
        <f t="shared" si="11"/>
        <v>0</v>
      </c>
    </row>
    <row r="199" spans="1:11">
      <c r="A199" s="1477" t="s">
        <v>1923</v>
      </c>
      <c r="B199" s="1478" t="s">
        <v>153</v>
      </c>
      <c r="C199" s="1479">
        <v>1356</v>
      </c>
      <c r="D199" s="1479"/>
      <c r="E199" s="1480">
        <f t="shared" si="16"/>
        <v>1356</v>
      </c>
      <c r="G199" s="118">
        <f>+'1.mell._Össz_Mérleg2020'!E154</f>
        <v>1356</v>
      </c>
      <c r="H199" s="118">
        <f>+G199-E199</f>
        <v>0</v>
      </c>
      <c r="I199" s="118"/>
      <c r="J199" s="118">
        <v>1356358</v>
      </c>
      <c r="K199" s="118">
        <f t="shared" ref="K199:K262" si="17">+ROUND(J199/1000,0)-E199</f>
        <v>0</v>
      </c>
    </row>
    <row r="200" spans="1:11">
      <c r="A200" s="1477" t="s">
        <v>1924</v>
      </c>
      <c r="B200" s="1478" t="s">
        <v>154</v>
      </c>
      <c r="C200" s="1479">
        <v>70275</v>
      </c>
      <c r="D200" s="1479"/>
      <c r="E200" s="1480">
        <f t="shared" si="16"/>
        <v>70275</v>
      </c>
      <c r="G200" s="118">
        <f>+'1.mell._Össz_Mérleg2020'!E155</f>
        <v>70275</v>
      </c>
      <c r="H200" s="118">
        <f>+G200-E200</f>
        <v>0</v>
      </c>
      <c r="I200" s="118"/>
      <c r="J200" s="118">
        <v>70274885</v>
      </c>
      <c r="K200" s="118">
        <f t="shared" si="17"/>
        <v>0</v>
      </c>
    </row>
    <row r="201" spans="1:11">
      <c r="A201" s="1477" t="s">
        <v>1925</v>
      </c>
      <c r="B201" s="1478" t="s">
        <v>155</v>
      </c>
      <c r="C201" s="1479">
        <v>6000</v>
      </c>
      <c r="D201" s="1479"/>
      <c r="E201" s="1480">
        <f t="shared" si="16"/>
        <v>6000</v>
      </c>
      <c r="G201" s="118">
        <f>+'1.mell._Össz_Mérleg2020'!E156</f>
        <v>6000</v>
      </c>
      <c r="H201" s="118">
        <f>+G201-E201</f>
        <v>0</v>
      </c>
      <c r="I201" s="118"/>
      <c r="J201" s="118">
        <v>6000000</v>
      </c>
      <c r="K201" s="118">
        <f t="shared" si="17"/>
        <v>0</v>
      </c>
    </row>
    <row r="202" spans="1:11">
      <c r="A202" s="1477" t="s">
        <v>1926</v>
      </c>
      <c r="B202" s="1478" t="s">
        <v>156</v>
      </c>
      <c r="C202" s="1479"/>
      <c r="D202" s="1479"/>
      <c r="E202" s="1480">
        <f t="shared" si="16"/>
        <v>0</v>
      </c>
      <c r="G202" s="118">
        <f>+'1.mell._Össz_Mérleg2020'!E157</f>
        <v>0</v>
      </c>
      <c r="H202" s="118">
        <f>+G202-E202</f>
        <v>0</v>
      </c>
      <c r="I202" s="118"/>
      <c r="J202" s="118">
        <v>0</v>
      </c>
      <c r="K202" s="118">
        <f t="shared" si="17"/>
        <v>0</v>
      </c>
    </row>
    <row r="203" spans="1:11" ht="12.75" thickBot="1">
      <c r="A203" s="1470" t="s">
        <v>1927</v>
      </c>
      <c r="B203" s="1481" t="s">
        <v>157</v>
      </c>
      <c r="C203" s="1482">
        <v>42571</v>
      </c>
      <c r="D203" s="1482"/>
      <c r="E203" s="1483">
        <f t="shared" si="16"/>
        <v>42571</v>
      </c>
      <c r="G203" s="118">
        <f>+'1.mell._Össz_Mérleg2020'!E158</f>
        <v>42571</v>
      </c>
      <c r="H203" s="118">
        <f>+G203-E203</f>
        <v>0</v>
      </c>
      <c r="I203" s="118"/>
      <c r="J203" s="118">
        <v>42571056</v>
      </c>
      <c r="K203" s="118">
        <f t="shared" si="17"/>
        <v>0</v>
      </c>
    </row>
    <row r="204" spans="1:11" ht="12.75" thickBot="1">
      <c r="A204" s="1484" t="s">
        <v>1928</v>
      </c>
      <c r="B204" s="1485" t="s">
        <v>2685</v>
      </c>
      <c r="C204" s="1486">
        <f>+C196+C197+C199+C200+C201+C202+C203</f>
        <v>704564</v>
      </c>
      <c r="D204" s="1486">
        <f>+D196+D197+D199+D200+D201+D202+D203</f>
        <v>0</v>
      </c>
      <c r="E204" s="1487">
        <f>+E196+E197+E199+E200+E201+E202+E203</f>
        <v>704564</v>
      </c>
      <c r="G204" s="118"/>
      <c r="J204" s="118">
        <v>704563957</v>
      </c>
      <c r="K204" s="118">
        <f t="shared" si="17"/>
        <v>0</v>
      </c>
    </row>
    <row r="205" spans="1:11">
      <c r="A205" s="1488" t="s">
        <v>1929</v>
      </c>
      <c r="B205" s="1489" t="s">
        <v>158</v>
      </c>
      <c r="C205" s="1490">
        <v>424692</v>
      </c>
      <c r="D205" s="1490"/>
      <c r="E205" s="1491">
        <f>+C205+D205</f>
        <v>424692</v>
      </c>
      <c r="G205" s="118">
        <f>+'1.mell._Össz_Mérleg2020'!E161</f>
        <v>424692</v>
      </c>
      <c r="H205" s="118">
        <f>+G205-E205</f>
        <v>0</v>
      </c>
      <c r="I205" s="118"/>
      <c r="J205" s="118">
        <v>424691786</v>
      </c>
      <c r="K205" s="118">
        <f t="shared" si="17"/>
        <v>0</v>
      </c>
    </row>
    <row r="206" spans="1:11" s="859" customFormat="1">
      <c r="A206" s="1477" t="s">
        <v>1930</v>
      </c>
      <c r="B206" s="1478" t="s">
        <v>159</v>
      </c>
      <c r="C206" s="1479"/>
      <c r="D206" s="1479"/>
      <c r="E206" s="1480">
        <f>+C206+D206</f>
        <v>0</v>
      </c>
      <c r="F206" s="864"/>
      <c r="G206" s="118">
        <f>+'1.mell._Össz_Mérleg2020'!E162</f>
        <v>0</v>
      </c>
      <c r="H206" s="118">
        <f>+G206-E206</f>
        <v>0</v>
      </c>
      <c r="I206" s="118"/>
      <c r="J206" s="118">
        <v>0</v>
      </c>
      <c r="K206" s="118">
        <f t="shared" si="17"/>
        <v>0</v>
      </c>
    </row>
    <row r="207" spans="1:11" s="859" customFormat="1">
      <c r="A207" s="1477" t="s">
        <v>1931</v>
      </c>
      <c r="B207" s="1478" t="s">
        <v>160</v>
      </c>
      <c r="C207" s="1479"/>
      <c r="D207" s="1479"/>
      <c r="E207" s="1480">
        <f>+C207+D207</f>
        <v>0</v>
      </c>
      <c r="G207" s="118">
        <f>+'1.mell._Össz_Mérleg2020'!E163</f>
        <v>0</v>
      </c>
      <c r="H207" s="118">
        <f>+G207-E207</f>
        <v>0</v>
      </c>
      <c r="I207" s="118"/>
      <c r="J207" s="119">
        <v>0</v>
      </c>
      <c r="K207" s="118">
        <f t="shared" si="17"/>
        <v>0</v>
      </c>
    </row>
    <row r="208" spans="1:11" ht="12.75" thickBot="1">
      <c r="A208" s="1470" t="s">
        <v>1932</v>
      </c>
      <c r="B208" s="1481" t="s">
        <v>161</v>
      </c>
      <c r="C208" s="1482">
        <v>78199</v>
      </c>
      <c r="D208" s="1482"/>
      <c r="E208" s="1483">
        <f>+C208+D208</f>
        <v>78199</v>
      </c>
      <c r="F208" s="859"/>
      <c r="G208" s="118">
        <f>+'1.mell._Össz_Mérleg2020'!E164</f>
        <v>78199</v>
      </c>
      <c r="H208" s="118">
        <f>+G208-E208</f>
        <v>0</v>
      </c>
      <c r="I208" s="118"/>
      <c r="J208" s="119">
        <v>78198879</v>
      </c>
      <c r="K208" s="118">
        <f t="shared" si="17"/>
        <v>0</v>
      </c>
    </row>
    <row r="209" spans="1:11" ht="12.75" thickBot="1">
      <c r="A209" s="1484" t="s">
        <v>1933</v>
      </c>
      <c r="B209" s="1485" t="s">
        <v>2686</v>
      </c>
      <c r="C209" s="1486">
        <f>SUM(C205:C208)</f>
        <v>502891</v>
      </c>
      <c r="D209" s="1486">
        <f>SUM(D205:D208)</f>
        <v>0</v>
      </c>
      <c r="E209" s="1487">
        <f>SUM(E205:E208)</f>
        <v>502891</v>
      </c>
      <c r="G209" s="118"/>
      <c r="J209" s="118">
        <v>502890665</v>
      </c>
      <c r="K209" s="118">
        <f t="shared" si="17"/>
        <v>0</v>
      </c>
    </row>
    <row r="210" spans="1:11" ht="12.75" thickBot="1">
      <c r="A210" s="1484" t="s">
        <v>1934</v>
      </c>
      <c r="B210" s="1485" t="s">
        <v>162</v>
      </c>
      <c r="C210" s="1486">
        <v>0</v>
      </c>
      <c r="D210" s="1486">
        <v>0</v>
      </c>
      <c r="E210" s="1487">
        <f>+C210+D210</f>
        <v>0</v>
      </c>
      <c r="G210" s="118">
        <f>+'1.mell._Össz_Mérleg2020'!E166</f>
        <v>0</v>
      </c>
      <c r="H210" s="118">
        <f>+G210-E210</f>
        <v>0</v>
      </c>
      <c r="I210" s="118"/>
      <c r="J210" s="118">
        <v>0</v>
      </c>
      <c r="K210" s="118">
        <f t="shared" si="17"/>
        <v>0</v>
      </c>
    </row>
    <row r="211" spans="1:11" ht="12.75" thickBot="1">
      <c r="A211" s="1484" t="s">
        <v>1935</v>
      </c>
      <c r="B211" s="1485" t="s">
        <v>2687</v>
      </c>
      <c r="C211" s="1486">
        <f>SUM(C212:C221)</f>
        <v>0</v>
      </c>
      <c r="D211" s="1486">
        <f>SUM(D212:D221)</f>
        <v>0</v>
      </c>
      <c r="E211" s="1487">
        <f>SUM(E212:E221)</f>
        <v>0</v>
      </c>
      <c r="G211" s="118">
        <f>+'1.mell._Össz_Mérleg2020'!E167</f>
        <v>0</v>
      </c>
      <c r="H211" s="118">
        <f>+G211-E211</f>
        <v>0</v>
      </c>
      <c r="I211" s="118"/>
      <c r="J211" s="118">
        <v>0</v>
      </c>
      <c r="K211" s="118">
        <f t="shared" si="17"/>
        <v>0</v>
      </c>
    </row>
    <row r="212" spans="1:11">
      <c r="A212" s="1488" t="s">
        <v>1937</v>
      </c>
      <c r="B212" s="1489" t="s">
        <v>1936</v>
      </c>
      <c r="C212" s="1490"/>
      <c r="D212" s="1490"/>
      <c r="E212" s="1491">
        <f t="shared" ref="E212:E221" si="18">+C212+D212</f>
        <v>0</v>
      </c>
      <c r="J212" s="118">
        <v>0</v>
      </c>
      <c r="K212" s="118">
        <f t="shared" si="17"/>
        <v>0</v>
      </c>
    </row>
    <row r="213" spans="1:11">
      <c r="A213" s="1477" t="s">
        <v>1939</v>
      </c>
      <c r="B213" s="1478" t="s">
        <v>1938</v>
      </c>
      <c r="C213" s="1479"/>
      <c r="D213" s="1479"/>
      <c r="E213" s="1480">
        <f t="shared" si="18"/>
        <v>0</v>
      </c>
      <c r="J213" s="118">
        <v>0</v>
      </c>
      <c r="K213" s="118">
        <f t="shared" si="17"/>
        <v>0</v>
      </c>
    </row>
    <row r="214" spans="1:11">
      <c r="A214" s="1477" t="s">
        <v>1941</v>
      </c>
      <c r="B214" s="1478" t="s">
        <v>1940</v>
      </c>
      <c r="C214" s="1479"/>
      <c r="D214" s="1479"/>
      <c r="E214" s="1480">
        <f t="shared" si="18"/>
        <v>0</v>
      </c>
      <c r="J214" s="118">
        <v>0</v>
      </c>
      <c r="K214" s="118">
        <f t="shared" si="17"/>
        <v>0</v>
      </c>
    </row>
    <row r="215" spans="1:11">
      <c r="A215" s="1477" t="s">
        <v>1943</v>
      </c>
      <c r="B215" s="1478" t="s">
        <v>1942</v>
      </c>
      <c r="C215" s="1479"/>
      <c r="D215" s="1479"/>
      <c r="E215" s="1480">
        <f t="shared" si="18"/>
        <v>0</v>
      </c>
      <c r="J215" s="118">
        <v>0</v>
      </c>
      <c r="K215" s="118">
        <f t="shared" si="17"/>
        <v>0</v>
      </c>
    </row>
    <row r="216" spans="1:11" s="859" customFormat="1">
      <c r="A216" s="1477" t="s">
        <v>1945</v>
      </c>
      <c r="B216" s="1478" t="s">
        <v>1944</v>
      </c>
      <c r="C216" s="1479"/>
      <c r="D216" s="1479"/>
      <c r="E216" s="1480">
        <f t="shared" si="18"/>
        <v>0</v>
      </c>
      <c r="F216" s="864"/>
      <c r="G216" s="864"/>
      <c r="H216" s="864"/>
      <c r="I216" s="864"/>
      <c r="J216" s="118">
        <v>0</v>
      </c>
      <c r="K216" s="118">
        <f t="shared" si="17"/>
        <v>0</v>
      </c>
    </row>
    <row r="217" spans="1:11">
      <c r="A217" s="1477" t="s">
        <v>1947</v>
      </c>
      <c r="B217" s="1478" t="s">
        <v>1946</v>
      </c>
      <c r="C217" s="1479"/>
      <c r="D217" s="1479"/>
      <c r="E217" s="1480">
        <f t="shared" si="18"/>
        <v>0</v>
      </c>
      <c r="F217" s="859"/>
      <c r="G217" s="859"/>
      <c r="H217" s="859"/>
      <c r="I217" s="859"/>
      <c r="J217" s="119">
        <v>0</v>
      </c>
      <c r="K217" s="118">
        <f t="shared" si="17"/>
        <v>0</v>
      </c>
    </row>
    <row r="218" spans="1:11">
      <c r="A218" s="1477" t="s">
        <v>1949</v>
      </c>
      <c r="B218" s="1478" t="s">
        <v>1948</v>
      </c>
      <c r="C218" s="1479"/>
      <c r="D218" s="1479"/>
      <c r="E218" s="1480">
        <f t="shared" si="18"/>
        <v>0</v>
      </c>
      <c r="J218" s="118">
        <v>0</v>
      </c>
      <c r="K218" s="118">
        <f t="shared" si="17"/>
        <v>0</v>
      </c>
    </row>
    <row r="219" spans="1:11">
      <c r="A219" s="1477" t="s">
        <v>1951</v>
      </c>
      <c r="B219" s="1478" t="s">
        <v>1950</v>
      </c>
      <c r="C219" s="1479"/>
      <c r="D219" s="1479"/>
      <c r="E219" s="1480">
        <f t="shared" si="18"/>
        <v>0</v>
      </c>
      <c r="J219" s="118">
        <v>0</v>
      </c>
      <c r="K219" s="118">
        <f t="shared" si="17"/>
        <v>0</v>
      </c>
    </row>
    <row r="220" spans="1:11">
      <c r="A220" s="1477" t="s">
        <v>1953</v>
      </c>
      <c r="B220" s="1478" t="s">
        <v>1952</v>
      </c>
      <c r="C220" s="1479"/>
      <c r="D220" s="1479"/>
      <c r="E220" s="1480">
        <f t="shared" si="18"/>
        <v>0</v>
      </c>
      <c r="J220" s="118">
        <v>0</v>
      </c>
      <c r="K220" s="118">
        <f t="shared" si="17"/>
        <v>0</v>
      </c>
    </row>
    <row r="221" spans="1:11" s="859" customFormat="1" ht="12.75" thickBot="1">
      <c r="A221" s="1470" t="s">
        <v>1955</v>
      </c>
      <c r="B221" s="1481" t="s">
        <v>1954</v>
      </c>
      <c r="C221" s="1482"/>
      <c r="D221" s="1482"/>
      <c r="E221" s="1483">
        <f t="shared" si="18"/>
        <v>0</v>
      </c>
      <c r="F221" s="864"/>
      <c r="G221" s="864"/>
      <c r="H221" s="864"/>
      <c r="I221" s="864"/>
      <c r="J221" s="118">
        <v>0</v>
      </c>
      <c r="K221" s="118">
        <f t="shared" si="17"/>
        <v>0</v>
      </c>
    </row>
    <row r="222" spans="1:11" s="859" customFormat="1" ht="12.75" thickBot="1">
      <c r="A222" s="1484" t="s">
        <v>1956</v>
      </c>
      <c r="B222" s="1485" t="s">
        <v>2688</v>
      </c>
      <c r="C222" s="1486">
        <f>SUM(C223:C232)</f>
        <v>0</v>
      </c>
      <c r="D222" s="1486">
        <f>SUM(D223:D232)</f>
        <v>0</v>
      </c>
      <c r="E222" s="1487">
        <f>SUM(E223:E232)</f>
        <v>0</v>
      </c>
      <c r="G222" s="118">
        <f>+'1.mell._Össz_Mérleg2020'!E168</f>
        <v>0</v>
      </c>
      <c r="H222" s="118">
        <f>+G222-E222</f>
        <v>0</v>
      </c>
      <c r="I222" s="118"/>
      <c r="J222" s="119">
        <v>0</v>
      </c>
      <c r="K222" s="118">
        <f t="shared" si="17"/>
        <v>0</v>
      </c>
    </row>
    <row r="223" spans="1:11" s="859" customFormat="1">
      <c r="A223" s="1488" t="s">
        <v>1958</v>
      </c>
      <c r="B223" s="1489" t="s">
        <v>1957</v>
      </c>
      <c r="C223" s="1490"/>
      <c r="D223" s="1490"/>
      <c r="E223" s="1491">
        <f t="shared" ref="E223:E232" si="19">+C223+D223</f>
        <v>0</v>
      </c>
      <c r="J223" s="119">
        <v>0</v>
      </c>
      <c r="K223" s="118">
        <f t="shared" si="17"/>
        <v>0</v>
      </c>
    </row>
    <row r="224" spans="1:11">
      <c r="A224" s="1477" t="s">
        <v>1960</v>
      </c>
      <c r="B224" s="1478" t="s">
        <v>1959</v>
      </c>
      <c r="C224" s="1479"/>
      <c r="D224" s="1479"/>
      <c r="E224" s="1480">
        <f t="shared" si="19"/>
        <v>0</v>
      </c>
      <c r="F224" s="859"/>
      <c r="G224" s="859"/>
      <c r="H224" s="859"/>
      <c r="I224" s="859"/>
      <c r="J224" s="119">
        <v>0</v>
      </c>
      <c r="K224" s="118">
        <f t="shared" si="17"/>
        <v>0</v>
      </c>
    </row>
    <row r="225" spans="1:11">
      <c r="A225" s="1477" t="s">
        <v>1962</v>
      </c>
      <c r="B225" s="1478" t="s">
        <v>1961</v>
      </c>
      <c r="C225" s="1479"/>
      <c r="D225" s="1479"/>
      <c r="E225" s="1480">
        <f t="shared" si="19"/>
        <v>0</v>
      </c>
      <c r="J225" s="118">
        <v>0</v>
      </c>
      <c r="K225" s="118">
        <f t="shared" si="17"/>
        <v>0</v>
      </c>
    </row>
    <row r="226" spans="1:11">
      <c r="A226" s="1477" t="s">
        <v>1964</v>
      </c>
      <c r="B226" s="1478" t="s">
        <v>1963</v>
      </c>
      <c r="C226" s="1479"/>
      <c r="D226" s="1479"/>
      <c r="E226" s="1480">
        <f t="shared" si="19"/>
        <v>0</v>
      </c>
      <c r="J226" s="118">
        <v>0</v>
      </c>
      <c r="K226" s="118">
        <f t="shared" si="17"/>
        <v>0</v>
      </c>
    </row>
    <row r="227" spans="1:11">
      <c r="A227" s="1477" t="s">
        <v>1966</v>
      </c>
      <c r="B227" s="1478" t="s">
        <v>1965</v>
      </c>
      <c r="C227" s="1479"/>
      <c r="D227" s="1479"/>
      <c r="E227" s="1480">
        <f t="shared" si="19"/>
        <v>0</v>
      </c>
      <c r="J227" s="118">
        <v>0</v>
      </c>
      <c r="K227" s="118">
        <f t="shared" si="17"/>
        <v>0</v>
      </c>
    </row>
    <row r="228" spans="1:11">
      <c r="A228" s="1477" t="s">
        <v>1968</v>
      </c>
      <c r="B228" s="1478" t="s">
        <v>1967</v>
      </c>
      <c r="C228" s="1479"/>
      <c r="D228" s="1479"/>
      <c r="E228" s="1480">
        <f t="shared" si="19"/>
        <v>0</v>
      </c>
      <c r="J228" s="118">
        <v>0</v>
      </c>
      <c r="K228" s="118">
        <f t="shared" si="17"/>
        <v>0</v>
      </c>
    </row>
    <row r="229" spans="1:11">
      <c r="A229" s="1477" t="s">
        <v>1970</v>
      </c>
      <c r="B229" s="1478" t="s">
        <v>1969</v>
      </c>
      <c r="C229" s="1479"/>
      <c r="D229" s="1479"/>
      <c r="E229" s="1480">
        <f t="shared" si="19"/>
        <v>0</v>
      </c>
      <c r="J229" s="118">
        <v>0</v>
      </c>
      <c r="K229" s="118">
        <f t="shared" si="17"/>
        <v>0</v>
      </c>
    </row>
    <row r="230" spans="1:11">
      <c r="A230" s="1477" t="s">
        <v>1972</v>
      </c>
      <c r="B230" s="1478" t="s">
        <v>1971</v>
      </c>
      <c r="C230" s="1479"/>
      <c r="D230" s="1479"/>
      <c r="E230" s="1480">
        <f t="shared" si="19"/>
        <v>0</v>
      </c>
      <c r="J230" s="118">
        <v>0</v>
      </c>
      <c r="K230" s="118">
        <f t="shared" si="17"/>
        <v>0</v>
      </c>
    </row>
    <row r="231" spans="1:11">
      <c r="A231" s="1477" t="s">
        <v>1974</v>
      </c>
      <c r="B231" s="1478" t="s">
        <v>1973</v>
      </c>
      <c r="C231" s="1479"/>
      <c r="D231" s="1479"/>
      <c r="E231" s="1480">
        <f t="shared" si="19"/>
        <v>0</v>
      </c>
      <c r="J231" s="118">
        <v>0</v>
      </c>
      <c r="K231" s="118">
        <f t="shared" si="17"/>
        <v>0</v>
      </c>
    </row>
    <row r="232" spans="1:11" ht="12.75" thickBot="1">
      <c r="A232" s="1470" t="s">
        <v>1976</v>
      </c>
      <c r="B232" s="1481" t="s">
        <v>1975</v>
      </c>
      <c r="C232" s="1482"/>
      <c r="D232" s="1482"/>
      <c r="E232" s="1483">
        <f t="shared" si="19"/>
        <v>0</v>
      </c>
      <c r="J232" s="118">
        <v>0</v>
      </c>
      <c r="K232" s="118">
        <f t="shared" si="17"/>
        <v>0</v>
      </c>
    </row>
    <row r="233" spans="1:11" ht="12.75" thickBot="1">
      <c r="A233" s="1484" t="s">
        <v>1977</v>
      </c>
      <c r="B233" s="1485" t="s">
        <v>2689</v>
      </c>
      <c r="C233" s="1486">
        <f>SUM(C234:C243)</f>
        <v>0</v>
      </c>
      <c r="D233" s="1486">
        <f>SUM(D234:D243)</f>
        <v>0</v>
      </c>
      <c r="E233" s="1487">
        <f>SUM(E234:E243)</f>
        <v>0</v>
      </c>
      <c r="G233" s="118">
        <f>+'1.mell._Össz_Mérleg2020'!E169</f>
        <v>0</v>
      </c>
      <c r="H233" s="118">
        <f>+G233-E233</f>
        <v>0</v>
      </c>
      <c r="I233" s="118"/>
      <c r="J233" s="118">
        <v>0</v>
      </c>
      <c r="K233" s="118">
        <f t="shared" si="17"/>
        <v>0</v>
      </c>
    </row>
    <row r="234" spans="1:11" s="859" customFormat="1">
      <c r="A234" s="1488" t="s">
        <v>1979</v>
      </c>
      <c r="B234" s="1489" t="s">
        <v>1978</v>
      </c>
      <c r="C234" s="1490"/>
      <c r="D234" s="1490"/>
      <c r="E234" s="1491">
        <f t="shared" ref="E234:E243" si="20">+C234+D234</f>
        <v>0</v>
      </c>
      <c r="F234" s="864"/>
      <c r="G234" s="864"/>
      <c r="H234" s="864"/>
      <c r="I234" s="864"/>
      <c r="J234" s="118">
        <v>0</v>
      </c>
      <c r="K234" s="118">
        <f t="shared" si="17"/>
        <v>0</v>
      </c>
    </row>
    <row r="235" spans="1:11">
      <c r="A235" s="1477" t="s">
        <v>1981</v>
      </c>
      <c r="B235" s="1478" t="s">
        <v>1980</v>
      </c>
      <c r="C235" s="1479"/>
      <c r="D235" s="1479"/>
      <c r="E235" s="1480">
        <f t="shared" si="20"/>
        <v>0</v>
      </c>
      <c r="F235" s="859"/>
      <c r="G235" s="859"/>
      <c r="H235" s="859"/>
      <c r="I235" s="859"/>
      <c r="J235" s="119">
        <v>0</v>
      </c>
      <c r="K235" s="118">
        <f t="shared" si="17"/>
        <v>0</v>
      </c>
    </row>
    <row r="236" spans="1:11">
      <c r="A236" s="1477" t="s">
        <v>1983</v>
      </c>
      <c r="B236" s="1478" t="s">
        <v>1982</v>
      </c>
      <c r="C236" s="1479"/>
      <c r="D236" s="1479"/>
      <c r="E236" s="1480">
        <f t="shared" si="20"/>
        <v>0</v>
      </c>
      <c r="J236" s="118">
        <v>0</v>
      </c>
      <c r="K236" s="118">
        <f t="shared" si="17"/>
        <v>0</v>
      </c>
    </row>
    <row r="237" spans="1:11">
      <c r="A237" s="1477" t="s">
        <v>1985</v>
      </c>
      <c r="B237" s="1478" t="s">
        <v>1984</v>
      </c>
      <c r="C237" s="1479"/>
      <c r="D237" s="1479"/>
      <c r="E237" s="1480">
        <f t="shared" si="20"/>
        <v>0</v>
      </c>
      <c r="J237" s="118">
        <v>0</v>
      </c>
      <c r="K237" s="118">
        <f t="shared" si="17"/>
        <v>0</v>
      </c>
    </row>
    <row r="238" spans="1:11">
      <c r="A238" s="1477" t="s">
        <v>1987</v>
      </c>
      <c r="B238" s="1478" t="s">
        <v>1986</v>
      </c>
      <c r="C238" s="1479"/>
      <c r="D238" s="1479"/>
      <c r="E238" s="1480">
        <f t="shared" si="20"/>
        <v>0</v>
      </c>
      <c r="J238" s="118">
        <v>0</v>
      </c>
      <c r="K238" s="118">
        <f t="shared" si="17"/>
        <v>0</v>
      </c>
    </row>
    <row r="239" spans="1:11">
      <c r="A239" s="1477" t="s">
        <v>1989</v>
      </c>
      <c r="B239" s="1478" t="s">
        <v>1988</v>
      </c>
      <c r="C239" s="1479"/>
      <c r="D239" s="1479"/>
      <c r="E239" s="1480">
        <f t="shared" si="20"/>
        <v>0</v>
      </c>
      <c r="J239" s="118">
        <v>0</v>
      </c>
      <c r="K239" s="118">
        <f t="shared" si="17"/>
        <v>0</v>
      </c>
    </row>
    <row r="240" spans="1:11">
      <c r="A240" s="1477" t="s">
        <v>1991</v>
      </c>
      <c r="B240" s="1478" t="s">
        <v>1990</v>
      </c>
      <c r="C240" s="1479"/>
      <c r="D240" s="1479"/>
      <c r="E240" s="1480">
        <f t="shared" si="20"/>
        <v>0</v>
      </c>
      <c r="J240" s="118">
        <v>0</v>
      </c>
      <c r="K240" s="118">
        <f t="shared" si="17"/>
        <v>0</v>
      </c>
    </row>
    <row r="241" spans="1:11">
      <c r="A241" s="1477" t="s">
        <v>1993</v>
      </c>
      <c r="B241" s="1478" t="s">
        <v>1992</v>
      </c>
      <c r="C241" s="1479"/>
      <c r="D241" s="1479"/>
      <c r="E241" s="1480">
        <f t="shared" si="20"/>
        <v>0</v>
      </c>
      <c r="J241" s="118">
        <v>0</v>
      </c>
      <c r="K241" s="118">
        <f t="shared" si="17"/>
        <v>0</v>
      </c>
    </row>
    <row r="242" spans="1:11">
      <c r="A242" s="1477" t="s">
        <v>1995</v>
      </c>
      <c r="B242" s="1478" t="s">
        <v>1994</v>
      </c>
      <c r="C242" s="1479"/>
      <c r="D242" s="1479"/>
      <c r="E242" s="1480">
        <f t="shared" si="20"/>
        <v>0</v>
      </c>
      <c r="J242" s="118">
        <v>0</v>
      </c>
      <c r="K242" s="118">
        <f t="shared" si="17"/>
        <v>0</v>
      </c>
    </row>
    <row r="243" spans="1:11" ht="12.75" thickBot="1">
      <c r="A243" s="1470" t="s">
        <v>1997</v>
      </c>
      <c r="B243" s="1481" t="s">
        <v>1996</v>
      </c>
      <c r="C243" s="1482"/>
      <c r="D243" s="1482"/>
      <c r="E243" s="1483">
        <f t="shared" si="20"/>
        <v>0</v>
      </c>
      <c r="J243" s="118">
        <v>0</v>
      </c>
      <c r="K243" s="118">
        <f t="shared" si="17"/>
        <v>0</v>
      </c>
    </row>
    <row r="244" spans="1:11" ht="12.75" thickBot="1">
      <c r="A244" s="1484" t="s">
        <v>1998</v>
      </c>
      <c r="B244" s="1485" t="s">
        <v>2690</v>
      </c>
      <c r="C244" s="1486">
        <v>0</v>
      </c>
      <c r="D244" s="1486">
        <v>0</v>
      </c>
      <c r="E244" s="1487">
        <f>+C244+D244</f>
        <v>0</v>
      </c>
      <c r="G244" s="118">
        <f>+'1.mell._Össz_Mérleg2020'!E171</f>
        <v>0</v>
      </c>
      <c r="H244" s="118">
        <f>+G244-E244</f>
        <v>0</v>
      </c>
      <c r="I244" s="118"/>
      <c r="J244" s="118">
        <v>0</v>
      </c>
      <c r="K244" s="118">
        <f t="shared" si="17"/>
        <v>0</v>
      </c>
    </row>
    <row r="245" spans="1:11" s="859" customFormat="1" ht="12.75" thickBot="1">
      <c r="A245" s="1496" t="s">
        <v>2000</v>
      </c>
      <c r="B245" s="1498" t="s">
        <v>1999</v>
      </c>
      <c r="C245" s="1497"/>
      <c r="D245" s="1497"/>
      <c r="E245" s="1499">
        <f>+C245+D245</f>
        <v>0</v>
      </c>
      <c r="F245" s="864"/>
      <c r="G245" s="864"/>
      <c r="H245" s="864"/>
      <c r="I245" s="864"/>
      <c r="J245" s="118">
        <v>0</v>
      </c>
      <c r="K245" s="118">
        <f t="shared" si="17"/>
        <v>0</v>
      </c>
    </row>
    <row r="246" spans="1:11" ht="12.75" thickBot="1">
      <c r="A246" s="1484" t="s">
        <v>2001</v>
      </c>
      <c r="B246" s="1485" t="s">
        <v>2691</v>
      </c>
      <c r="C246" s="1486">
        <f>SUM(C247:C257)</f>
        <v>0</v>
      </c>
      <c r="D246" s="1486">
        <f>SUM(D247:D257)</f>
        <v>0</v>
      </c>
      <c r="E246" s="1487">
        <f>SUM(E247:E257)</f>
        <v>0</v>
      </c>
      <c r="F246" s="859"/>
      <c r="G246" s="118">
        <f>+'1.mell._Össz_Mérleg2020'!E172</f>
        <v>0</v>
      </c>
      <c r="H246" s="118">
        <f>+G246-E246</f>
        <v>0</v>
      </c>
      <c r="I246" s="118"/>
      <c r="J246" s="119">
        <v>0</v>
      </c>
      <c r="K246" s="118">
        <f t="shared" si="17"/>
        <v>0</v>
      </c>
    </row>
    <row r="247" spans="1:11">
      <c r="A247" s="1488" t="s">
        <v>2003</v>
      </c>
      <c r="B247" s="1489" t="s">
        <v>2002</v>
      </c>
      <c r="C247" s="1490"/>
      <c r="D247" s="1490"/>
      <c r="E247" s="1491">
        <f t="shared" ref="E247:E257" si="21">+C247+D247</f>
        <v>0</v>
      </c>
      <c r="J247" s="118">
        <v>0</v>
      </c>
      <c r="K247" s="118">
        <f t="shared" si="17"/>
        <v>0</v>
      </c>
    </row>
    <row r="248" spans="1:11">
      <c r="A248" s="1477" t="s">
        <v>2005</v>
      </c>
      <c r="B248" s="1478" t="s">
        <v>2004</v>
      </c>
      <c r="C248" s="1479"/>
      <c r="D248" s="1479"/>
      <c r="E248" s="1480">
        <f t="shared" si="21"/>
        <v>0</v>
      </c>
      <c r="J248" s="118">
        <v>0</v>
      </c>
      <c r="K248" s="118">
        <f t="shared" si="17"/>
        <v>0</v>
      </c>
    </row>
    <row r="249" spans="1:11">
      <c r="A249" s="1477" t="s">
        <v>2007</v>
      </c>
      <c r="B249" s="1478" t="s">
        <v>2006</v>
      </c>
      <c r="C249" s="1479"/>
      <c r="D249" s="1479"/>
      <c r="E249" s="1480">
        <f t="shared" si="21"/>
        <v>0</v>
      </c>
      <c r="J249" s="118">
        <v>0</v>
      </c>
      <c r="K249" s="118">
        <f t="shared" si="17"/>
        <v>0</v>
      </c>
    </row>
    <row r="250" spans="1:11">
      <c r="A250" s="1477" t="s">
        <v>2009</v>
      </c>
      <c r="B250" s="1478" t="s">
        <v>2008</v>
      </c>
      <c r="C250" s="1479"/>
      <c r="D250" s="1479"/>
      <c r="E250" s="1480">
        <f t="shared" si="21"/>
        <v>0</v>
      </c>
      <c r="J250" s="118">
        <v>0</v>
      </c>
      <c r="K250" s="118">
        <f t="shared" si="17"/>
        <v>0</v>
      </c>
    </row>
    <row r="251" spans="1:11">
      <c r="A251" s="1477" t="s">
        <v>2011</v>
      </c>
      <c r="B251" s="1478" t="s">
        <v>2010</v>
      </c>
      <c r="C251" s="1479"/>
      <c r="D251" s="1479"/>
      <c r="E251" s="1480">
        <f t="shared" si="21"/>
        <v>0</v>
      </c>
      <c r="J251" s="118">
        <v>0</v>
      </c>
      <c r="K251" s="118">
        <f t="shared" si="17"/>
        <v>0</v>
      </c>
    </row>
    <row r="252" spans="1:11">
      <c r="A252" s="1477" t="s">
        <v>2013</v>
      </c>
      <c r="B252" s="1478" t="s">
        <v>2012</v>
      </c>
      <c r="C252" s="1479"/>
      <c r="D252" s="1479"/>
      <c r="E252" s="1480">
        <f t="shared" si="21"/>
        <v>0</v>
      </c>
      <c r="J252" s="118">
        <v>0</v>
      </c>
      <c r="K252" s="118">
        <f t="shared" si="17"/>
        <v>0</v>
      </c>
    </row>
    <row r="253" spans="1:11">
      <c r="A253" s="1477" t="s">
        <v>2015</v>
      </c>
      <c r="B253" s="1478" t="s">
        <v>2014</v>
      </c>
      <c r="C253" s="1479"/>
      <c r="D253" s="1479"/>
      <c r="E253" s="1480">
        <f t="shared" si="21"/>
        <v>0</v>
      </c>
      <c r="J253" s="118">
        <v>0</v>
      </c>
      <c r="K253" s="118">
        <f t="shared" si="17"/>
        <v>0</v>
      </c>
    </row>
    <row r="254" spans="1:11">
      <c r="A254" s="1477" t="s">
        <v>2017</v>
      </c>
      <c r="B254" s="1478" t="s">
        <v>2016</v>
      </c>
      <c r="C254" s="1479"/>
      <c r="D254" s="1479"/>
      <c r="E254" s="1480">
        <f t="shared" si="21"/>
        <v>0</v>
      </c>
      <c r="J254" s="118">
        <v>0</v>
      </c>
      <c r="K254" s="118">
        <f t="shared" si="17"/>
        <v>0</v>
      </c>
    </row>
    <row r="255" spans="1:11">
      <c r="A255" s="1477" t="s">
        <v>2019</v>
      </c>
      <c r="B255" s="1478" t="s">
        <v>2018</v>
      </c>
      <c r="C255" s="1479"/>
      <c r="D255" s="1479"/>
      <c r="E255" s="1480">
        <f t="shared" si="21"/>
        <v>0</v>
      </c>
      <c r="J255" s="118">
        <v>0</v>
      </c>
      <c r="K255" s="118">
        <f t="shared" si="17"/>
        <v>0</v>
      </c>
    </row>
    <row r="256" spans="1:11" s="859" customFormat="1">
      <c r="A256" s="1477" t="s">
        <v>2021</v>
      </c>
      <c r="B256" s="1478" t="s">
        <v>2020</v>
      </c>
      <c r="C256" s="1479"/>
      <c r="D256" s="1479"/>
      <c r="E256" s="1480">
        <f t="shared" si="21"/>
        <v>0</v>
      </c>
      <c r="F256" s="864"/>
      <c r="G256" s="864"/>
      <c r="H256" s="864"/>
      <c r="I256" s="864"/>
      <c r="J256" s="118">
        <v>0</v>
      </c>
      <c r="K256" s="118">
        <f t="shared" si="17"/>
        <v>0</v>
      </c>
    </row>
    <row r="257" spans="1:11" ht="12.75" thickBot="1">
      <c r="A257" s="1470" t="s">
        <v>2023</v>
      </c>
      <c r="B257" s="1481" t="s">
        <v>2022</v>
      </c>
      <c r="C257" s="1482"/>
      <c r="D257" s="1482"/>
      <c r="E257" s="1483">
        <f t="shared" si="21"/>
        <v>0</v>
      </c>
      <c r="F257" s="859"/>
      <c r="G257" s="859"/>
      <c r="H257" s="859"/>
      <c r="I257" s="859"/>
      <c r="J257" s="119">
        <v>0</v>
      </c>
      <c r="K257" s="118">
        <f t="shared" si="17"/>
        <v>0</v>
      </c>
    </row>
    <row r="258" spans="1:11" s="859" customFormat="1" ht="12.75" thickBot="1">
      <c r="A258" s="1484" t="s">
        <v>2024</v>
      </c>
      <c r="B258" s="1485" t="s">
        <v>168</v>
      </c>
      <c r="C258" s="1486">
        <v>0</v>
      </c>
      <c r="D258" s="1486">
        <v>0</v>
      </c>
      <c r="E258" s="1487">
        <f>+C258+D258</f>
        <v>0</v>
      </c>
      <c r="F258" s="864"/>
      <c r="G258" s="118">
        <f>+'1.mell._Össz_Mérleg2020'!E173</f>
        <v>0</v>
      </c>
      <c r="H258" s="118">
        <f>+G258-E258</f>
        <v>0</v>
      </c>
      <c r="I258" s="118"/>
      <c r="J258" s="118">
        <v>0</v>
      </c>
      <c r="K258" s="118">
        <f t="shared" si="17"/>
        <v>0</v>
      </c>
    </row>
    <row r="259" spans="1:11" ht="12.75" thickBot="1">
      <c r="A259" s="1484" t="s">
        <v>2025</v>
      </c>
      <c r="B259" s="1485" t="s">
        <v>929</v>
      </c>
      <c r="C259" s="1486"/>
      <c r="D259" s="1486"/>
      <c r="E259" s="1487">
        <f>+C259+D259</f>
        <v>0</v>
      </c>
      <c r="F259" s="859"/>
      <c r="G259" s="118">
        <f>+'1.mell._Össz_Mérleg2020'!E174</f>
        <v>0</v>
      </c>
      <c r="H259" s="118">
        <f>+G259-E259</f>
        <v>0</v>
      </c>
      <c r="I259" s="118"/>
      <c r="J259" s="119">
        <v>0</v>
      </c>
      <c r="K259" s="118">
        <f t="shared" si="17"/>
        <v>0</v>
      </c>
    </row>
    <row r="260" spans="1:11" ht="12.75" thickBot="1">
      <c r="A260" s="1484" t="s">
        <v>2026</v>
      </c>
      <c r="B260" s="1485" t="s">
        <v>2692</v>
      </c>
      <c r="C260" s="1486">
        <f>SUM(C261:C270)</f>
        <v>0</v>
      </c>
      <c r="D260" s="1486">
        <f>SUM(D261:D270)</f>
        <v>0</v>
      </c>
      <c r="E260" s="1487">
        <f>SUM(E261:E270)</f>
        <v>0</v>
      </c>
      <c r="G260" s="118">
        <f>+'1.mell._Össz_Mérleg2020'!E175</f>
        <v>0</v>
      </c>
      <c r="H260" s="118">
        <f>+G260-E260</f>
        <v>0</v>
      </c>
      <c r="I260" s="118"/>
      <c r="J260" s="118">
        <v>0</v>
      </c>
      <c r="K260" s="118">
        <f t="shared" si="17"/>
        <v>0</v>
      </c>
    </row>
    <row r="261" spans="1:11">
      <c r="A261" s="1488" t="s">
        <v>2028</v>
      </c>
      <c r="B261" s="1489" t="s">
        <v>2027</v>
      </c>
      <c r="C261" s="1490"/>
      <c r="D261" s="1490"/>
      <c r="E261" s="1491">
        <f t="shared" ref="E261:E270" si="22">+C261+D261</f>
        <v>0</v>
      </c>
      <c r="J261" s="118">
        <v>0</v>
      </c>
      <c r="K261" s="118">
        <f t="shared" si="17"/>
        <v>0</v>
      </c>
    </row>
    <row r="262" spans="1:11">
      <c r="A262" s="1477" t="s">
        <v>2030</v>
      </c>
      <c r="B262" s="1478" t="s">
        <v>2029</v>
      </c>
      <c r="C262" s="1479"/>
      <c r="D262" s="1479"/>
      <c r="E262" s="1480">
        <f t="shared" si="22"/>
        <v>0</v>
      </c>
      <c r="J262" s="118">
        <v>0</v>
      </c>
      <c r="K262" s="118">
        <f t="shared" si="17"/>
        <v>0</v>
      </c>
    </row>
    <row r="263" spans="1:11">
      <c r="A263" s="1477" t="s">
        <v>2032</v>
      </c>
      <c r="B263" s="1478" t="s">
        <v>2031</v>
      </c>
      <c r="C263" s="1479"/>
      <c r="D263" s="1479"/>
      <c r="E263" s="1480">
        <f t="shared" si="22"/>
        <v>0</v>
      </c>
      <c r="J263" s="118">
        <v>0</v>
      </c>
      <c r="K263" s="118">
        <f t="shared" ref="K263:K272" si="23">+ROUND(J263/1000,0)-E263</f>
        <v>0</v>
      </c>
    </row>
    <row r="264" spans="1:11">
      <c r="A264" s="1477" t="s">
        <v>2034</v>
      </c>
      <c r="B264" s="1478" t="s">
        <v>2033</v>
      </c>
      <c r="C264" s="1479"/>
      <c r="D264" s="1479"/>
      <c r="E264" s="1480">
        <f t="shared" si="22"/>
        <v>0</v>
      </c>
      <c r="J264" s="118">
        <v>0</v>
      </c>
      <c r="K264" s="118">
        <f t="shared" si="23"/>
        <v>0</v>
      </c>
    </row>
    <row r="265" spans="1:11">
      <c r="A265" s="1477" t="s">
        <v>2036</v>
      </c>
      <c r="B265" s="1478" t="s">
        <v>2035</v>
      </c>
      <c r="C265" s="1479"/>
      <c r="D265" s="1479"/>
      <c r="E265" s="1480">
        <f t="shared" si="22"/>
        <v>0</v>
      </c>
      <c r="J265" s="118">
        <v>0</v>
      </c>
      <c r="K265" s="118">
        <f t="shared" si="23"/>
        <v>0</v>
      </c>
    </row>
    <row r="266" spans="1:11">
      <c r="A266" s="1477" t="s">
        <v>2038</v>
      </c>
      <c r="B266" s="1500" t="s">
        <v>2037</v>
      </c>
      <c r="C266" s="926"/>
      <c r="D266" s="926"/>
      <c r="E266" s="927">
        <f t="shared" si="22"/>
        <v>0</v>
      </c>
      <c r="J266" s="118">
        <v>0</v>
      </c>
      <c r="K266" s="118">
        <f t="shared" si="23"/>
        <v>0</v>
      </c>
    </row>
    <row r="267" spans="1:11">
      <c r="A267" s="1477" t="s">
        <v>2040</v>
      </c>
      <c r="B267" s="1500" t="s">
        <v>2039</v>
      </c>
      <c r="C267" s="926"/>
      <c r="D267" s="926"/>
      <c r="E267" s="927">
        <f t="shared" si="22"/>
        <v>0</v>
      </c>
      <c r="J267" s="118">
        <v>0</v>
      </c>
      <c r="K267" s="118">
        <f t="shared" si="23"/>
        <v>0</v>
      </c>
    </row>
    <row r="268" spans="1:11">
      <c r="A268" s="1477" t="s">
        <v>2042</v>
      </c>
      <c r="B268" s="1500" t="s">
        <v>2041</v>
      </c>
      <c r="C268" s="926"/>
      <c r="D268" s="926"/>
      <c r="E268" s="927">
        <f t="shared" si="22"/>
        <v>0</v>
      </c>
      <c r="J268" s="118">
        <v>0</v>
      </c>
      <c r="K268" s="118">
        <f t="shared" si="23"/>
        <v>0</v>
      </c>
    </row>
    <row r="269" spans="1:11">
      <c r="A269" s="1477" t="s">
        <v>2044</v>
      </c>
      <c r="B269" s="1500" t="s">
        <v>2043</v>
      </c>
      <c r="C269" s="926"/>
      <c r="D269" s="926"/>
      <c r="E269" s="927">
        <f t="shared" si="22"/>
        <v>0</v>
      </c>
      <c r="J269" s="118">
        <v>0</v>
      </c>
      <c r="K269" s="118">
        <f t="shared" si="23"/>
        <v>0</v>
      </c>
    </row>
    <row r="270" spans="1:11" s="859" customFormat="1" ht="12.75" thickBot="1">
      <c r="A270" s="1470" t="s">
        <v>2046</v>
      </c>
      <c r="B270" s="1501" t="s">
        <v>2045</v>
      </c>
      <c r="C270" s="929"/>
      <c r="D270" s="929"/>
      <c r="E270" s="930">
        <f t="shared" si="22"/>
        <v>0</v>
      </c>
      <c r="F270" s="864"/>
      <c r="G270" s="864"/>
      <c r="H270" s="864"/>
      <c r="I270" s="864"/>
      <c r="J270" s="118">
        <v>0</v>
      </c>
      <c r="K270" s="118">
        <f t="shared" si="23"/>
        <v>0</v>
      </c>
    </row>
    <row r="271" spans="1:11" ht="12.75" thickBot="1">
      <c r="A271" s="1484" t="s">
        <v>2047</v>
      </c>
      <c r="B271" s="1502" t="s">
        <v>2693</v>
      </c>
      <c r="C271" s="111">
        <f>+C210+C211+C222+C233+C244+C246+C258+C259+C260</f>
        <v>0</v>
      </c>
      <c r="D271" s="111">
        <f>+D210+D211+D222+D233+D244+D246+D258+D259+D260</f>
        <v>0</v>
      </c>
      <c r="E271" s="112">
        <f>+E210+E211+E222+E233+E244+E246+E258+E259+E260</f>
        <v>0</v>
      </c>
      <c r="F271" s="859"/>
      <c r="G271" s="859"/>
      <c r="H271" s="859"/>
      <c r="I271" s="859"/>
      <c r="J271" s="119">
        <v>0</v>
      </c>
      <c r="K271" s="118">
        <f t="shared" si="23"/>
        <v>0</v>
      </c>
    </row>
    <row r="272" spans="1:11" ht="12.75" thickBot="1">
      <c r="A272" s="1484" t="s">
        <v>2264</v>
      </c>
      <c r="B272" s="1502" t="s">
        <v>2694</v>
      </c>
      <c r="C272" s="111">
        <f>+C25+C26+C65+C125+C195+C204+C209+C271</f>
        <v>3081648</v>
      </c>
      <c r="D272" s="111">
        <f>+D25+D26+D65+D125+D195+D204+D209+D271</f>
        <v>0</v>
      </c>
      <c r="E272" s="112">
        <f>+E25+E26+E65+E125+E195+E204+E209+E271</f>
        <v>3081648</v>
      </c>
      <c r="G272" s="118">
        <f>+'1.mell._Össz_Mérleg2020'!E176</f>
        <v>3081648</v>
      </c>
      <c r="H272" s="118">
        <f>+G272-E272</f>
        <v>0</v>
      </c>
      <c r="I272" s="118"/>
      <c r="J272" s="118">
        <v>3081647618</v>
      </c>
      <c r="K272" s="118">
        <f t="shared" si="23"/>
        <v>0</v>
      </c>
    </row>
    <row r="274" spans="5:5">
      <c r="E274" s="118"/>
    </row>
    <row r="275" spans="5:5">
      <c r="E275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8" fitToHeight="3" orientation="portrait" r:id="rId1"/>
  <headerFooter alignWithMargins="0">
    <oddHeader>&amp;C15. melléklet - &amp;P. oldal</oddHeader>
  </headerFooter>
  <rowBreaks count="2" manualBreakCount="2">
    <brk id="104" max="16383" man="1"/>
    <brk id="21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F0"/>
  </sheetPr>
  <dimension ref="A1:M290"/>
  <sheetViews>
    <sheetView zoomScaleNormal="100" zoomScaleSheetLayoutView="85" workbookViewId="0">
      <pane ySplit="5" topLeftCell="A6" activePane="bottomLeft" state="frozen"/>
      <selection activeCell="F45" sqref="F45"/>
      <selection pane="bottomLeft" activeCell="A6" sqref="A6"/>
    </sheetView>
  </sheetViews>
  <sheetFormatPr defaultColWidth="19.140625" defaultRowHeight="12"/>
  <cols>
    <col min="1" max="1" width="8.140625" style="864" customWidth="1"/>
    <col min="2" max="2" width="82" style="864" customWidth="1"/>
    <col min="3" max="5" width="19.140625" style="864" customWidth="1"/>
    <col min="6" max="6" width="0" style="864" hidden="1" customWidth="1"/>
    <col min="7" max="9" width="9.140625" style="864" hidden="1" customWidth="1"/>
    <col min="10" max="10" width="10.85546875" style="864" hidden="1" customWidth="1"/>
    <col min="11" max="11" width="0" style="864" hidden="1" customWidth="1"/>
    <col min="12" max="252" width="9.140625" style="864" customWidth="1"/>
    <col min="253" max="253" width="8.140625" style="864" customWidth="1"/>
    <col min="254" max="254" width="82" style="864" customWidth="1"/>
    <col min="255" max="16384" width="19.140625" style="864"/>
  </cols>
  <sheetData>
    <row r="1" spans="1:13" ht="15.75">
      <c r="E1" s="188" t="s">
        <v>836</v>
      </c>
    </row>
    <row r="2" spans="1:13" s="1755" customFormat="1" ht="15.75">
      <c r="A2" s="1904" t="s">
        <v>2048</v>
      </c>
      <c r="B2" s="1905"/>
      <c r="C2" s="1905"/>
      <c r="D2" s="1905"/>
      <c r="E2" s="1905"/>
    </row>
    <row r="3" spans="1:13" ht="12.75" thickBot="1">
      <c r="A3" s="1503"/>
      <c r="E3" s="238" t="s">
        <v>457</v>
      </c>
    </row>
    <row r="4" spans="1:13" s="1468" customFormat="1" ht="24">
      <c r="A4" s="1465" t="s">
        <v>1561</v>
      </c>
      <c r="B4" s="1466" t="s">
        <v>7</v>
      </c>
      <c r="C4" s="1466" t="s">
        <v>1562</v>
      </c>
      <c r="D4" s="1466" t="s">
        <v>1563</v>
      </c>
      <c r="E4" s="1467" t="s">
        <v>1564</v>
      </c>
    </row>
    <row r="5" spans="1:13" ht="12.75" thickBot="1">
      <c r="A5" s="1504">
        <v>2</v>
      </c>
      <c r="B5" s="1505">
        <v>3</v>
      </c>
      <c r="C5" s="1505">
        <v>4</v>
      </c>
      <c r="D5" s="1505">
        <v>5</v>
      </c>
      <c r="E5" s="1506">
        <v>6</v>
      </c>
    </row>
    <row r="6" spans="1:13">
      <c r="A6" s="1488" t="s">
        <v>1565</v>
      </c>
      <c r="B6" s="1489" t="s">
        <v>93</v>
      </c>
      <c r="C6" s="1490">
        <v>249155</v>
      </c>
      <c r="D6" s="1490"/>
      <c r="E6" s="1491">
        <f t="shared" ref="E6:E13" si="0">+C6+D6</f>
        <v>249155</v>
      </c>
      <c r="G6" s="118">
        <f>+'1.mell._Össz_Mérleg2020'!E13</f>
        <v>249155</v>
      </c>
      <c r="H6" s="118">
        <f t="shared" ref="H6:H13" si="1">+G6-E6</f>
        <v>0</v>
      </c>
      <c r="J6" s="118">
        <v>249155343</v>
      </c>
      <c r="K6" s="118">
        <f>+ROUND(J6/1000,0)-E6</f>
        <v>0</v>
      </c>
    </row>
    <row r="7" spans="1:13">
      <c r="A7" s="1477" t="s">
        <v>1567</v>
      </c>
      <c r="B7" s="1478" t="s">
        <v>94</v>
      </c>
      <c r="C7" s="1479">
        <v>259126</v>
      </c>
      <c r="D7" s="1479"/>
      <c r="E7" s="1480">
        <f t="shared" si="0"/>
        <v>259126</v>
      </c>
      <c r="G7" s="118">
        <f>+'1.mell._Össz_Mérleg2020'!E14</f>
        <v>259126</v>
      </c>
      <c r="H7" s="118">
        <f t="shared" si="1"/>
        <v>0</v>
      </c>
      <c r="J7" s="118">
        <v>259125975</v>
      </c>
      <c r="K7" s="118">
        <f t="shared" ref="K7:K70" si="2">+ROUND(J7/1000,0)-E7</f>
        <v>0</v>
      </c>
    </row>
    <row r="8" spans="1:13">
      <c r="A8" s="1477" t="s">
        <v>1569</v>
      </c>
      <c r="B8" s="1478" t="s">
        <v>2695</v>
      </c>
      <c r="C8" s="1479">
        <v>256049</v>
      </c>
      <c r="D8" s="1479"/>
      <c r="E8" s="1480">
        <f t="shared" si="0"/>
        <v>256049</v>
      </c>
      <c r="H8" s="118"/>
      <c r="J8" s="118">
        <v>256049449</v>
      </c>
      <c r="K8" s="118">
        <f t="shared" si="2"/>
        <v>0</v>
      </c>
    </row>
    <row r="9" spans="1:13" ht="12.75" thickBot="1">
      <c r="A9" s="1470" t="s">
        <v>1571</v>
      </c>
      <c r="B9" s="1481" t="s">
        <v>2696</v>
      </c>
      <c r="C9" s="1482">
        <v>81671</v>
      </c>
      <c r="D9" s="1482"/>
      <c r="E9" s="1483">
        <f t="shared" si="0"/>
        <v>81671</v>
      </c>
      <c r="H9" s="118"/>
      <c r="J9" s="118">
        <v>81670860</v>
      </c>
      <c r="K9" s="118">
        <f t="shared" si="2"/>
        <v>0</v>
      </c>
    </row>
    <row r="10" spans="1:13" ht="24.75" thickBot="1">
      <c r="A10" s="1484" t="s">
        <v>1573</v>
      </c>
      <c r="B10" s="1485" t="s">
        <v>2697</v>
      </c>
      <c r="C10" s="1486">
        <f>+C8+C9</f>
        <v>337720</v>
      </c>
      <c r="D10" s="1486">
        <f>+D8+D9</f>
        <v>0</v>
      </c>
      <c r="E10" s="1487">
        <f>+E8+E9</f>
        <v>337720</v>
      </c>
      <c r="G10" s="118">
        <f>+'1.mell._Össz_Mérleg2020'!E15</f>
        <v>337720</v>
      </c>
      <c r="H10" s="118">
        <f t="shared" si="1"/>
        <v>0</v>
      </c>
      <c r="J10" s="118">
        <v>337720309</v>
      </c>
      <c r="K10" s="118">
        <f t="shared" si="2"/>
        <v>0</v>
      </c>
    </row>
    <row r="11" spans="1:13">
      <c r="A11" s="1488" t="s">
        <v>1575</v>
      </c>
      <c r="B11" s="1489" t="s">
        <v>96</v>
      </c>
      <c r="C11" s="1497">
        <v>26951</v>
      </c>
      <c r="D11" s="1497"/>
      <c r="E11" s="1499">
        <f t="shared" si="0"/>
        <v>26951</v>
      </c>
      <c r="G11" s="118">
        <f>+'1.mell._Össz_Mérleg2020'!E16</f>
        <v>26951</v>
      </c>
      <c r="H11" s="118">
        <f t="shared" si="1"/>
        <v>0</v>
      </c>
      <c r="J11" s="118">
        <v>26950751</v>
      </c>
      <c r="K11" s="118">
        <f t="shared" si="2"/>
        <v>0</v>
      </c>
    </row>
    <row r="12" spans="1:13">
      <c r="A12" s="1477" t="s">
        <v>1577</v>
      </c>
      <c r="B12" s="1478" t="s">
        <v>891</v>
      </c>
      <c r="C12" s="1482">
        <v>93958</v>
      </c>
      <c r="D12" s="1482"/>
      <c r="E12" s="1483">
        <f t="shared" si="0"/>
        <v>93958</v>
      </c>
      <c r="G12" s="118">
        <f>+'1.mell._Össz_Mérleg2020'!E17</f>
        <v>93958</v>
      </c>
      <c r="H12" s="118">
        <f t="shared" si="1"/>
        <v>0</v>
      </c>
      <c r="J12" s="118">
        <v>93957709</v>
      </c>
      <c r="K12" s="118">
        <f t="shared" si="2"/>
        <v>0</v>
      </c>
    </row>
    <row r="13" spans="1:13" s="859" customFormat="1" ht="12.75" thickBot="1">
      <c r="A13" s="1470" t="s">
        <v>1579</v>
      </c>
      <c r="B13" s="1481" t="s">
        <v>892</v>
      </c>
      <c r="C13" s="1482">
        <v>147</v>
      </c>
      <c r="D13" s="1482"/>
      <c r="E13" s="1483">
        <f t="shared" si="0"/>
        <v>147</v>
      </c>
      <c r="F13" s="864"/>
      <c r="G13" s="118">
        <f>+'1.mell._Össz_Mérleg2020'!E18</f>
        <v>147</v>
      </c>
      <c r="H13" s="118">
        <f t="shared" si="1"/>
        <v>0</v>
      </c>
      <c r="I13" s="864"/>
      <c r="J13" s="118">
        <v>147340</v>
      </c>
      <c r="K13" s="118">
        <f t="shared" si="2"/>
        <v>0</v>
      </c>
    </row>
    <row r="14" spans="1:13" s="859" customFormat="1" ht="12.75" thickBot="1">
      <c r="A14" s="1484" t="s">
        <v>1581</v>
      </c>
      <c r="B14" s="1485" t="s">
        <v>2698</v>
      </c>
      <c r="C14" s="1486">
        <f>+C6+C7+C10+C11+C12+C13</f>
        <v>967057</v>
      </c>
      <c r="D14" s="1486">
        <f>+D6+D7+D10+D11+D12+D13</f>
        <v>0</v>
      </c>
      <c r="E14" s="1487">
        <f>+E6+E7+E10+E11+E12+E13</f>
        <v>967057</v>
      </c>
      <c r="F14" s="864"/>
      <c r="G14" s="864"/>
      <c r="H14" s="864"/>
      <c r="I14" s="864"/>
      <c r="J14" s="118">
        <v>967057427</v>
      </c>
      <c r="K14" s="118">
        <f t="shared" si="2"/>
        <v>0</v>
      </c>
    </row>
    <row r="15" spans="1:13" s="859" customFormat="1" ht="12.75" thickBot="1">
      <c r="A15" s="1484" t="s">
        <v>1583</v>
      </c>
      <c r="B15" s="1485" t="s">
        <v>97</v>
      </c>
      <c r="C15" s="1486">
        <v>1176</v>
      </c>
      <c r="D15" s="1486"/>
      <c r="E15" s="1487">
        <f>+C15+D15</f>
        <v>1176</v>
      </c>
      <c r="G15" s="118">
        <f>+'1.mell._Össz_Mérleg2020'!E19</f>
        <v>1176</v>
      </c>
      <c r="H15" s="118">
        <f>+G15-E15</f>
        <v>0</v>
      </c>
      <c r="J15" s="119">
        <v>1175752</v>
      </c>
      <c r="K15" s="118">
        <f t="shared" si="2"/>
        <v>0</v>
      </c>
    </row>
    <row r="16" spans="1:13" ht="12.75" thickBot="1">
      <c r="A16" s="1492" t="s">
        <v>1585</v>
      </c>
      <c r="B16" s="1493" t="s">
        <v>98</v>
      </c>
      <c r="C16" s="1494"/>
      <c r="D16" s="1494"/>
      <c r="E16" s="1495">
        <f>+C16+D16</f>
        <v>0</v>
      </c>
      <c r="F16" s="859"/>
      <c r="G16" s="118">
        <f>+'1.mell._Össz_Mérleg2020'!E20</f>
        <v>0</v>
      </c>
      <c r="H16" s="118">
        <f>+G16-E16</f>
        <v>0</v>
      </c>
      <c r="I16" s="859"/>
      <c r="J16" s="119">
        <v>0</v>
      </c>
      <c r="K16" s="118">
        <f t="shared" si="2"/>
        <v>0</v>
      </c>
      <c r="L16" s="859"/>
      <c r="M16" s="859"/>
    </row>
    <row r="17" spans="1:13" ht="24.75" thickBot="1">
      <c r="A17" s="1484" t="s">
        <v>1587</v>
      </c>
      <c r="B17" s="1485" t="s">
        <v>2699</v>
      </c>
      <c r="C17" s="1486">
        <f>SUM(C18:C27)</f>
        <v>0</v>
      </c>
      <c r="D17" s="1486">
        <f>SUM(D18:D27)</f>
        <v>0</v>
      </c>
      <c r="E17" s="1487">
        <f>SUM(E18:E27)</f>
        <v>0</v>
      </c>
      <c r="F17" s="859"/>
      <c r="G17" s="118">
        <f>+'1.mell._Össz_Mérleg2020'!E21</f>
        <v>0</v>
      </c>
      <c r="H17" s="118">
        <f>+G17-E17</f>
        <v>0</v>
      </c>
      <c r="I17" s="859"/>
      <c r="J17" s="119">
        <v>0</v>
      </c>
      <c r="K17" s="118">
        <f t="shared" si="2"/>
        <v>0</v>
      </c>
      <c r="L17" s="859"/>
      <c r="M17" s="859"/>
    </row>
    <row r="18" spans="1:13">
      <c r="A18" s="1488" t="s">
        <v>1589</v>
      </c>
      <c r="B18" s="1489" t="s">
        <v>2049</v>
      </c>
      <c r="C18" s="1490"/>
      <c r="D18" s="1490"/>
      <c r="E18" s="1491">
        <f t="shared" ref="E18:E27" si="3">+C18+D18</f>
        <v>0</v>
      </c>
      <c r="J18" s="118">
        <v>0</v>
      </c>
      <c r="K18" s="118">
        <f t="shared" si="2"/>
        <v>0</v>
      </c>
    </row>
    <row r="19" spans="1:13">
      <c r="A19" s="1477" t="s">
        <v>1591</v>
      </c>
      <c r="B19" s="1478" t="s">
        <v>2050</v>
      </c>
      <c r="C19" s="1479"/>
      <c r="D19" s="1479"/>
      <c r="E19" s="1480">
        <f t="shared" si="3"/>
        <v>0</v>
      </c>
      <c r="J19" s="118">
        <v>0</v>
      </c>
      <c r="K19" s="118">
        <f t="shared" si="2"/>
        <v>0</v>
      </c>
    </row>
    <row r="20" spans="1:13">
      <c r="A20" s="1477" t="s">
        <v>1593</v>
      </c>
      <c r="B20" s="1478" t="s">
        <v>2051</v>
      </c>
      <c r="C20" s="1479"/>
      <c r="D20" s="1479"/>
      <c r="E20" s="1480">
        <f t="shared" si="3"/>
        <v>0</v>
      </c>
      <c r="J20" s="118">
        <v>0</v>
      </c>
      <c r="K20" s="118">
        <f t="shared" si="2"/>
        <v>0</v>
      </c>
    </row>
    <row r="21" spans="1:13">
      <c r="A21" s="1477" t="s">
        <v>1595</v>
      </c>
      <c r="B21" s="1478" t="s">
        <v>2052</v>
      </c>
      <c r="C21" s="1479"/>
      <c r="D21" s="1479"/>
      <c r="E21" s="1480">
        <f t="shared" si="3"/>
        <v>0</v>
      </c>
      <c r="J21" s="118">
        <v>0</v>
      </c>
      <c r="K21" s="118">
        <f t="shared" si="2"/>
        <v>0</v>
      </c>
    </row>
    <row r="22" spans="1:13">
      <c r="A22" s="1477" t="s">
        <v>1597</v>
      </c>
      <c r="B22" s="1478" t="s">
        <v>2053</v>
      </c>
      <c r="C22" s="1479"/>
      <c r="D22" s="1479"/>
      <c r="E22" s="1480">
        <f t="shared" si="3"/>
        <v>0</v>
      </c>
      <c r="J22" s="118">
        <v>0</v>
      </c>
      <c r="K22" s="118">
        <f t="shared" si="2"/>
        <v>0</v>
      </c>
    </row>
    <row r="23" spans="1:13">
      <c r="A23" s="1477" t="s">
        <v>1599</v>
      </c>
      <c r="B23" s="1478" t="s">
        <v>2054</v>
      </c>
      <c r="C23" s="1479"/>
      <c r="D23" s="1479"/>
      <c r="E23" s="1480">
        <f t="shared" si="3"/>
        <v>0</v>
      </c>
      <c r="J23" s="118">
        <v>0</v>
      </c>
      <c r="K23" s="118">
        <f t="shared" si="2"/>
        <v>0</v>
      </c>
    </row>
    <row r="24" spans="1:13">
      <c r="A24" s="1477" t="s">
        <v>1601</v>
      </c>
      <c r="B24" s="1478" t="s">
        <v>2055</v>
      </c>
      <c r="C24" s="1479"/>
      <c r="D24" s="1479"/>
      <c r="E24" s="1480">
        <f t="shared" si="3"/>
        <v>0</v>
      </c>
      <c r="J24" s="118">
        <v>0</v>
      </c>
      <c r="K24" s="118">
        <f t="shared" si="2"/>
        <v>0</v>
      </c>
    </row>
    <row r="25" spans="1:13">
      <c r="A25" s="1477" t="s">
        <v>1603</v>
      </c>
      <c r="B25" s="1478" t="s">
        <v>2056</v>
      </c>
      <c r="C25" s="1479"/>
      <c r="D25" s="1479"/>
      <c r="E25" s="1480">
        <f t="shared" si="3"/>
        <v>0</v>
      </c>
      <c r="J25" s="118">
        <v>0</v>
      </c>
      <c r="K25" s="118">
        <f t="shared" si="2"/>
        <v>0</v>
      </c>
    </row>
    <row r="26" spans="1:13" s="859" customFormat="1">
      <c r="A26" s="1477" t="s">
        <v>1605</v>
      </c>
      <c r="B26" s="1478" t="s">
        <v>2057</v>
      </c>
      <c r="C26" s="1479"/>
      <c r="D26" s="1479"/>
      <c r="E26" s="1480">
        <f t="shared" si="3"/>
        <v>0</v>
      </c>
      <c r="F26" s="864"/>
      <c r="G26" s="864"/>
      <c r="H26" s="864"/>
      <c r="I26" s="864"/>
      <c r="J26" s="118">
        <v>0</v>
      </c>
      <c r="K26" s="118">
        <f t="shared" si="2"/>
        <v>0</v>
      </c>
      <c r="L26" s="864"/>
      <c r="M26" s="864"/>
    </row>
    <row r="27" spans="1:13" ht="12.75" thickBot="1">
      <c r="A27" s="1470" t="s">
        <v>1606</v>
      </c>
      <c r="B27" s="1481" t="s">
        <v>2058</v>
      </c>
      <c r="C27" s="1482"/>
      <c r="D27" s="1482"/>
      <c r="E27" s="1483">
        <f t="shared" si="3"/>
        <v>0</v>
      </c>
      <c r="J27" s="118">
        <v>0</v>
      </c>
      <c r="K27" s="118">
        <f t="shared" si="2"/>
        <v>0</v>
      </c>
    </row>
    <row r="28" spans="1:13" ht="24.75" thickBot="1">
      <c r="A28" s="1484" t="s">
        <v>1608</v>
      </c>
      <c r="B28" s="1485" t="s">
        <v>2700</v>
      </c>
      <c r="C28" s="1486">
        <f>SUM(C29:C38)</f>
        <v>0</v>
      </c>
      <c r="D28" s="1486">
        <f>SUM(D29:D38)</f>
        <v>0</v>
      </c>
      <c r="E28" s="1487">
        <f>SUM(E29:E38)</f>
        <v>0</v>
      </c>
      <c r="F28" s="859"/>
      <c r="G28" s="118">
        <f>+'1.mell._Össz_Mérleg2020'!E22</f>
        <v>0</v>
      </c>
      <c r="H28" s="118">
        <f>+G28-E28</f>
        <v>0</v>
      </c>
      <c r="I28" s="859"/>
      <c r="J28" s="119">
        <v>0</v>
      </c>
      <c r="K28" s="118">
        <f t="shared" si="2"/>
        <v>0</v>
      </c>
      <c r="L28" s="859"/>
      <c r="M28" s="859"/>
    </row>
    <row r="29" spans="1:13">
      <c r="A29" s="1488" t="s">
        <v>1610</v>
      </c>
      <c r="B29" s="1489" t="s">
        <v>2059</v>
      </c>
      <c r="C29" s="1490"/>
      <c r="D29" s="1490"/>
      <c r="E29" s="1491">
        <f t="shared" ref="E29:E38" si="4">+C29+D29</f>
        <v>0</v>
      </c>
      <c r="J29" s="118">
        <v>0</v>
      </c>
      <c r="K29" s="118">
        <f t="shared" si="2"/>
        <v>0</v>
      </c>
    </row>
    <row r="30" spans="1:13">
      <c r="A30" s="1477" t="s">
        <v>1612</v>
      </c>
      <c r="B30" s="1478" t="s">
        <v>2060</v>
      </c>
      <c r="C30" s="1479"/>
      <c r="D30" s="1479"/>
      <c r="E30" s="1480">
        <f t="shared" si="4"/>
        <v>0</v>
      </c>
      <c r="J30" s="118">
        <v>0</v>
      </c>
      <c r="K30" s="118">
        <f t="shared" si="2"/>
        <v>0</v>
      </c>
    </row>
    <row r="31" spans="1:13">
      <c r="A31" s="1477" t="s">
        <v>1614</v>
      </c>
      <c r="B31" s="1478" t="s">
        <v>2061</v>
      </c>
      <c r="C31" s="1479"/>
      <c r="D31" s="1479"/>
      <c r="E31" s="1480">
        <f t="shared" si="4"/>
        <v>0</v>
      </c>
      <c r="J31" s="118">
        <v>0</v>
      </c>
      <c r="K31" s="118">
        <f t="shared" si="2"/>
        <v>0</v>
      </c>
    </row>
    <row r="32" spans="1:13">
      <c r="A32" s="1477" t="s">
        <v>1616</v>
      </c>
      <c r="B32" s="1478" t="s">
        <v>2062</v>
      </c>
      <c r="C32" s="1479"/>
      <c r="D32" s="1479"/>
      <c r="E32" s="1480">
        <f t="shared" si="4"/>
        <v>0</v>
      </c>
      <c r="J32" s="118">
        <v>0</v>
      </c>
      <c r="K32" s="118">
        <f t="shared" si="2"/>
        <v>0</v>
      </c>
    </row>
    <row r="33" spans="1:13">
      <c r="A33" s="1477" t="s">
        <v>1618</v>
      </c>
      <c r="B33" s="1478" t="s">
        <v>2063</v>
      </c>
      <c r="C33" s="1479"/>
      <c r="D33" s="1479"/>
      <c r="E33" s="1480">
        <f t="shared" si="4"/>
        <v>0</v>
      </c>
      <c r="J33" s="118">
        <v>0</v>
      </c>
      <c r="K33" s="118">
        <f t="shared" si="2"/>
        <v>0</v>
      </c>
    </row>
    <row r="34" spans="1:13">
      <c r="A34" s="1477" t="s">
        <v>1620</v>
      </c>
      <c r="B34" s="1478" t="s">
        <v>2064</v>
      </c>
      <c r="C34" s="1479"/>
      <c r="D34" s="1479"/>
      <c r="E34" s="1480">
        <f t="shared" si="4"/>
        <v>0</v>
      </c>
      <c r="J34" s="118">
        <v>0</v>
      </c>
      <c r="K34" s="118">
        <f t="shared" si="2"/>
        <v>0</v>
      </c>
    </row>
    <row r="35" spans="1:13">
      <c r="A35" s="1477" t="s">
        <v>1622</v>
      </c>
      <c r="B35" s="1478" t="s">
        <v>2065</v>
      </c>
      <c r="C35" s="1479"/>
      <c r="D35" s="1479"/>
      <c r="E35" s="1480">
        <f t="shared" si="4"/>
        <v>0</v>
      </c>
      <c r="J35" s="118">
        <v>0</v>
      </c>
      <c r="K35" s="118">
        <f t="shared" si="2"/>
        <v>0</v>
      </c>
    </row>
    <row r="36" spans="1:13">
      <c r="A36" s="1477" t="s">
        <v>1624</v>
      </c>
      <c r="B36" s="1478" t="s">
        <v>2066</v>
      </c>
      <c r="C36" s="1479"/>
      <c r="D36" s="1479"/>
      <c r="E36" s="1480">
        <f t="shared" si="4"/>
        <v>0</v>
      </c>
      <c r="J36" s="118">
        <v>0</v>
      </c>
      <c r="K36" s="118">
        <f t="shared" si="2"/>
        <v>0</v>
      </c>
    </row>
    <row r="37" spans="1:13" s="859" customFormat="1">
      <c r="A37" s="1477" t="s">
        <v>1626</v>
      </c>
      <c r="B37" s="1478" t="s">
        <v>2067</v>
      </c>
      <c r="C37" s="1479"/>
      <c r="D37" s="1479"/>
      <c r="E37" s="1480">
        <f t="shared" si="4"/>
        <v>0</v>
      </c>
      <c r="F37" s="864"/>
      <c r="G37" s="864"/>
      <c r="H37" s="864"/>
      <c r="I37" s="864"/>
      <c r="J37" s="118">
        <v>0</v>
      </c>
      <c r="K37" s="118">
        <f t="shared" si="2"/>
        <v>0</v>
      </c>
      <c r="L37" s="864"/>
      <c r="M37" s="864"/>
    </row>
    <row r="38" spans="1:13" ht="12.75" thickBot="1">
      <c r="A38" s="1470" t="s">
        <v>1628</v>
      </c>
      <c r="B38" s="864" t="s">
        <v>2068</v>
      </c>
      <c r="C38" s="1482"/>
      <c r="D38" s="1482"/>
      <c r="E38" s="1483">
        <f t="shared" si="4"/>
        <v>0</v>
      </c>
      <c r="J38" s="118">
        <v>0</v>
      </c>
      <c r="K38" s="118">
        <f t="shared" si="2"/>
        <v>0</v>
      </c>
    </row>
    <row r="39" spans="1:13" ht="12.75" thickBot="1">
      <c r="A39" s="1484" t="s">
        <v>1630</v>
      </c>
      <c r="B39" s="1485" t="s">
        <v>2701</v>
      </c>
      <c r="C39" s="1486">
        <f>SUM(C40:C49)</f>
        <v>379457</v>
      </c>
      <c r="D39" s="1486">
        <f>SUM(D40:D49)</f>
        <v>0</v>
      </c>
      <c r="E39" s="1487">
        <f>SUM(E40:E49)</f>
        <v>379457</v>
      </c>
      <c r="F39" s="859"/>
      <c r="G39" s="118">
        <f>+'1.mell._Össz_Mérleg2020'!E23</f>
        <v>379457</v>
      </c>
      <c r="H39" s="118">
        <f>+G39-E39</f>
        <v>0</v>
      </c>
      <c r="I39" s="859"/>
      <c r="J39" s="119">
        <v>379457018</v>
      </c>
      <c r="K39" s="118">
        <f t="shared" si="2"/>
        <v>0</v>
      </c>
      <c r="L39" s="859"/>
      <c r="M39" s="859"/>
    </row>
    <row r="40" spans="1:13">
      <c r="A40" s="1488" t="s">
        <v>1632</v>
      </c>
      <c r="B40" s="1489" t="s">
        <v>2069</v>
      </c>
      <c r="C40" s="1490">
        <v>125</v>
      </c>
      <c r="D40" s="1490"/>
      <c r="E40" s="1491">
        <f t="shared" ref="E40:E49" si="5">+C40+D40</f>
        <v>125</v>
      </c>
      <c r="J40" s="118">
        <v>125000</v>
      </c>
      <c r="K40" s="118">
        <f t="shared" si="2"/>
        <v>0</v>
      </c>
    </row>
    <row r="41" spans="1:13">
      <c r="A41" s="1477" t="s">
        <v>1634</v>
      </c>
      <c r="B41" s="1478" t="s">
        <v>2070</v>
      </c>
      <c r="C41" s="1479"/>
      <c r="D41" s="1479"/>
      <c r="E41" s="1480">
        <f t="shared" si="5"/>
        <v>0</v>
      </c>
      <c r="J41" s="118">
        <v>0</v>
      </c>
      <c r="K41" s="118">
        <f t="shared" si="2"/>
        <v>0</v>
      </c>
    </row>
    <row r="42" spans="1:13">
      <c r="A42" s="1477" t="s">
        <v>1636</v>
      </c>
      <c r="B42" s="1478" t="s">
        <v>2071</v>
      </c>
      <c r="C42" s="1479">
        <v>246702</v>
      </c>
      <c r="D42" s="1479"/>
      <c r="E42" s="1480">
        <f t="shared" si="5"/>
        <v>246702</v>
      </c>
      <c r="J42" s="118">
        <v>246702286</v>
      </c>
      <c r="K42" s="118">
        <f t="shared" si="2"/>
        <v>0</v>
      </c>
    </row>
    <row r="43" spans="1:13">
      <c r="A43" s="1477" t="s">
        <v>1638</v>
      </c>
      <c r="B43" s="1478" t="s">
        <v>2072</v>
      </c>
      <c r="C43" s="1479">
        <v>12696</v>
      </c>
      <c r="D43" s="1479"/>
      <c r="E43" s="1480">
        <f t="shared" si="5"/>
        <v>12696</v>
      </c>
      <c r="J43" s="118">
        <v>12695515</v>
      </c>
      <c r="K43" s="118">
        <f t="shared" si="2"/>
        <v>0</v>
      </c>
    </row>
    <row r="44" spans="1:13">
      <c r="A44" s="1477" t="s">
        <v>1640</v>
      </c>
      <c r="B44" s="1478" t="s">
        <v>2073</v>
      </c>
      <c r="C44" s="1479"/>
      <c r="D44" s="1479"/>
      <c r="E44" s="1480">
        <f t="shared" si="5"/>
        <v>0</v>
      </c>
      <c r="J44" s="118">
        <v>0</v>
      </c>
      <c r="K44" s="118">
        <f t="shared" si="2"/>
        <v>0</v>
      </c>
    </row>
    <row r="45" spans="1:13">
      <c r="A45" s="1477" t="s">
        <v>1642</v>
      </c>
      <c r="B45" s="1478" t="s">
        <v>2074</v>
      </c>
      <c r="C45" s="1479">
        <v>119934</v>
      </c>
      <c r="D45" s="1479"/>
      <c r="E45" s="1480">
        <f t="shared" si="5"/>
        <v>119934</v>
      </c>
      <c r="J45" s="118">
        <v>119934217</v>
      </c>
      <c r="K45" s="118">
        <f t="shared" si="2"/>
        <v>0</v>
      </c>
    </row>
    <row r="46" spans="1:13">
      <c r="A46" s="1477" t="s">
        <v>1644</v>
      </c>
      <c r="B46" s="1478" t="s">
        <v>2075</v>
      </c>
      <c r="C46" s="1479"/>
      <c r="D46" s="1479"/>
      <c r="E46" s="1480">
        <f t="shared" si="5"/>
        <v>0</v>
      </c>
      <c r="J46" s="118">
        <v>0</v>
      </c>
      <c r="K46" s="118">
        <f t="shared" si="2"/>
        <v>0</v>
      </c>
    </row>
    <row r="47" spans="1:13">
      <c r="A47" s="1477" t="s">
        <v>1646</v>
      </c>
      <c r="B47" s="1478" t="s">
        <v>2076</v>
      </c>
      <c r="C47" s="1479"/>
      <c r="D47" s="1479"/>
      <c r="E47" s="1480">
        <f t="shared" si="5"/>
        <v>0</v>
      </c>
      <c r="J47" s="118">
        <v>0</v>
      </c>
      <c r="K47" s="118">
        <f t="shared" si="2"/>
        <v>0</v>
      </c>
    </row>
    <row r="48" spans="1:13">
      <c r="A48" s="1477" t="s">
        <v>1648</v>
      </c>
      <c r="B48" s="1478" t="s">
        <v>2077</v>
      </c>
      <c r="C48" s="1479"/>
      <c r="D48" s="1479"/>
      <c r="E48" s="1480">
        <f t="shared" si="5"/>
        <v>0</v>
      </c>
      <c r="J48" s="118">
        <v>0</v>
      </c>
      <c r="K48" s="118">
        <f t="shared" si="2"/>
        <v>0</v>
      </c>
    </row>
    <row r="49" spans="1:13" ht="12.75" thickBot="1">
      <c r="A49" s="1470" t="s">
        <v>1650</v>
      </c>
      <c r="B49" s="1481" t="s">
        <v>2078</v>
      </c>
      <c r="C49" s="1482"/>
      <c r="D49" s="1482"/>
      <c r="E49" s="1483">
        <f t="shared" si="5"/>
        <v>0</v>
      </c>
      <c r="J49" s="118">
        <v>0</v>
      </c>
      <c r="K49" s="118">
        <f t="shared" si="2"/>
        <v>0</v>
      </c>
    </row>
    <row r="50" spans="1:13" ht="12.75" thickBot="1">
      <c r="A50" s="1484" t="s">
        <v>1652</v>
      </c>
      <c r="B50" s="1485" t="s">
        <v>2702</v>
      </c>
      <c r="C50" s="1486">
        <f>+C14+C15+C16+C17+C28+C39</f>
        <v>1347690</v>
      </c>
      <c r="D50" s="1486">
        <f>+D14+D15+D16+D17+D28+D39</f>
        <v>0</v>
      </c>
      <c r="E50" s="1487">
        <f>+E14+E15+E16+E17+E28+E39</f>
        <v>1347690</v>
      </c>
      <c r="J50" s="118">
        <v>1347690197</v>
      </c>
      <c r="K50" s="118">
        <f t="shared" si="2"/>
        <v>0</v>
      </c>
    </row>
    <row r="51" spans="1:13" ht="12.75" thickBot="1">
      <c r="A51" s="1507" t="s">
        <v>1654</v>
      </c>
      <c r="B51" s="1508" t="s">
        <v>115</v>
      </c>
      <c r="C51" s="1509">
        <v>39307</v>
      </c>
      <c r="D51" s="1509"/>
      <c r="E51" s="1510">
        <f>+C51+D51</f>
        <v>39307</v>
      </c>
      <c r="G51" s="118">
        <f>+'1.mell._Össz_Mérleg2020'!E52</f>
        <v>39307</v>
      </c>
      <c r="H51" s="118">
        <f>+G51-E51</f>
        <v>0</v>
      </c>
      <c r="J51" s="118">
        <v>39307000</v>
      </c>
      <c r="K51" s="118">
        <f t="shared" si="2"/>
        <v>0</v>
      </c>
    </row>
    <row r="52" spans="1:13" ht="24.75" thickBot="1">
      <c r="A52" s="1484" t="s">
        <v>1656</v>
      </c>
      <c r="B52" s="1485" t="s">
        <v>116</v>
      </c>
      <c r="C52" s="1486"/>
      <c r="D52" s="1486"/>
      <c r="E52" s="1487">
        <f>+C52+D52</f>
        <v>0</v>
      </c>
      <c r="G52" s="118">
        <f>+'1.mell._Össz_Mérleg2020'!E53</f>
        <v>0</v>
      </c>
      <c r="H52" s="118">
        <f>+G52-E52</f>
        <v>0</v>
      </c>
      <c r="J52" s="118">
        <v>0</v>
      </c>
      <c r="K52" s="118">
        <f t="shared" si="2"/>
        <v>0</v>
      </c>
    </row>
    <row r="53" spans="1:13" ht="24.75" thickBot="1">
      <c r="A53" s="1511" t="s">
        <v>1658</v>
      </c>
      <c r="B53" s="1512" t="s">
        <v>2703</v>
      </c>
      <c r="C53" s="1513">
        <f>SUM(C54:C63)</f>
        <v>0</v>
      </c>
      <c r="D53" s="1513">
        <f>SUM(D54:D63)</f>
        <v>0</v>
      </c>
      <c r="E53" s="1514">
        <f>SUM(E54:E63)</f>
        <v>0</v>
      </c>
      <c r="G53" s="118">
        <f>+'1.mell._Össz_Mérleg2020'!E54</f>
        <v>0</v>
      </c>
      <c r="H53" s="118">
        <f>+G53-E53</f>
        <v>0</v>
      </c>
      <c r="J53" s="118">
        <v>0</v>
      </c>
      <c r="K53" s="118">
        <f t="shared" si="2"/>
        <v>0</v>
      </c>
    </row>
    <row r="54" spans="1:13">
      <c r="A54" s="1488" t="s">
        <v>1660</v>
      </c>
      <c r="B54" s="1489" t="s">
        <v>2079</v>
      </c>
      <c r="C54" s="1490"/>
      <c r="D54" s="1490"/>
      <c r="E54" s="1491">
        <f t="shared" ref="E54:E63" si="6">+C54+D54</f>
        <v>0</v>
      </c>
      <c r="J54" s="118">
        <v>0</v>
      </c>
      <c r="K54" s="118">
        <f t="shared" si="2"/>
        <v>0</v>
      </c>
    </row>
    <row r="55" spans="1:13">
      <c r="A55" s="1477" t="s">
        <v>1662</v>
      </c>
      <c r="B55" s="1478" t="s">
        <v>2080</v>
      </c>
      <c r="C55" s="1479"/>
      <c r="D55" s="1479"/>
      <c r="E55" s="1480">
        <f t="shared" si="6"/>
        <v>0</v>
      </c>
      <c r="G55" s="118"/>
      <c r="J55" s="118">
        <v>0</v>
      </c>
      <c r="K55" s="118">
        <f t="shared" si="2"/>
        <v>0</v>
      </c>
    </row>
    <row r="56" spans="1:13">
      <c r="A56" s="1477" t="s">
        <v>1664</v>
      </c>
      <c r="B56" s="1478" t="s">
        <v>2081</v>
      </c>
      <c r="C56" s="1479"/>
      <c r="D56" s="1479"/>
      <c r="E56" s="1480">
        <f t="shared" si="6"/>
        <v>0</v>
      </c>
      <c r="J56" s="118">
        <v>0</v>
      </c>
      <c r="K56" s="118">
        <f t="shared" si="2"/>
        <v>0</v>
      </c>
    </row>
    <row r="57" spans="1:13">
      <c r="A57" s="1477" t="s">
        <v>1666</v>
      </c>
      <c r="B57" s="1478" t="s">
        <v>2082</v>
      </c>
      <c r="C57" s="1479"/>
      <c r="D57" s="1479"/>
      <c r="E57" s="1480">
        <f t="shared" si="6"/>
        <v>0</v>
      </c>
      <c r="J57" s="118">
        <v>0</v>
      </c>
      <c r="K57" s="118">
        <f t="shared" si="2"/>
        <v>0</v>
      </c>
    </row>
    <row r="58" spans="1:13">
      <c r="A58" s="1477" t="s">
        <v>1668</v>
      </c>
      <c r="B58" s="1478" t="s">
        <v>2083</v>
      </c>
      <c r="C58" s="1479"/>
      <c r="D58" s="1479"/>
      <c r="E58" s="1480">
        <f t="shared" si="6"/>
        <v>0</v>
      </c>
      <c r="J58" s="118">
        <v>0</v>
      </c>
      <c r="K58" s="118">
        <f t="shared" si="2"/>
        <v>0</v>
      </c>
    </row>
    <row r="59" spans="1:13">
      <c r="A59" s="1477" t="s">
        <v>1670</v>
      </c>
      <c r="B59" s="1478" t="s">
        <v>2084</v>
      </c>
      <c r="C59" s="1479"/>
      <c r="D59" s="1479"/>
      <c r="E59" s="1480">
        <f t="shared" si="6"/>
        <v>0</v>
      </c>
      <c r="J59" s="118">
        <v>0</v>
      </c>
      <c r="K59" s="118">
        <f t="shared" si="2"/>
        <v>0</v>
      </c>
    </row>
    <row r="60" spans="1:13">
      <c r="A60" s="1477" t="s">
        <v>1672</v>
      </c>
      <c r="B60" s="1478" t="s">
        <v>2085</v>
      </c>
      <c r="C60" s="1479"/>
      <c r="D60" s="1479"/>
      <c r="E60" s="1480">
        <f t="shared" si="6"/>
        <v>0</v>
      </c>
      <c r="J60" s="118">
        <v>0</v>
      </c>
      <c r="K60" s="118">
        <f t="shared" si="2"/>
        <v>0</v>
      </c>
    </row>
    <row r="61" spans="1:13">
      <c r="A61" s="1477" t="s">
        <v>1674</v>
      </c>
      <c r="B61" s="1478" t="s">
        <v>2086</v>
      </c>
      <c r="C61" s="1479"/>
      <c r="D61" s="1479"/>
      <c r="E61" s="1480">
        <f t="shared" si="6"/>
        <v>0</v>
      </c>
      <c r="J61" s="118">
        <v>0</v>
      </c>
      <c r="K61" s="118">
        <f t="shared" si="2"/>
        <v>0</v>
      </c>
    </row>
    <row r="62" spans="1:13" s="859" customFormat="1">
      <c r="A62" s="1477" t="s">
        <v>1676</v>
      </c>
      <c r="B62" s="1478" t="s">
        <v>2087</v>
      </c>
      <c r="C62" s="1479"/>
      <c r="D62" s="1479"/>
      <c r="E62" s="1480">
        <f t="shared" si="6"/>
        <v>0</v>
      </c>
      <c r="F62" s="864"/>
      <c r="G62" s="864"/>
      <c r="H62" s="864"/>
      <c r="I62" s="864"/>
      <c r="J62" s="118">
        <v>0</v>
      </c>
      <c r="K62" s="118">
        <f t="shared" si="2"/>
        <v>0</v>
      </c>
      <c r="L62" s="864"/>
      <c r="M62" s="864"/>
    </row>
    <row r="63" spans="1:13" ht="12.75" thickBot="1">
      <c r="A63" s="1470" t="s">
        <v>1678</v>
      </c>
      <c r="B63" s="1481" t="s">
        <v>2088</v>
      </c>
      <c r="C63" s="1482"/>
      <c r="D63" s="1482"/>
      <c r="E63" s="1483">
        <f t="shared" si="6"/>
        <v>0</v>
      </c>
      <c r="J63" s="118">
        <v>0</v>
      </c>
      <c r="K63" s="118">
        <f t="shared" si="2"/>
        <v>0</v>
      </c>
    </row>
    <row r="64" spans="1:13" ht="24.75" thickBot="1">
      <c r="A64" s="1484" t="s">
        <v>1680</v>
      </c>
      <c r="B64" s="1485" t="s">
        <v>2704</v>
      </c>
      <c r="C64" s="1486">
        <f>SUM(C65:C74)</f>
        <v>0</v>
      </c>
      <c r="D64" s="1486">
        <f>SUM(D65:D74)</f>
        <v>0</v>
      </c>
      <c r="E64" s="1487">
        <f>SUM(E65:E74)</f>
        <v>0</v>
      </c>
      <c r="F64" s="859"/>
      <c r="G64" s="118">
        <f>+'1.mell._Össz_Mérleg2020'!E55</f>
        <v>0</v>
      </c>
      <c r="H64" s="118">
        <f>+G64-E64</f>
        <v>0</v>
      </c>
      <c r="I64" s="859"/>
      <c r="J64" s="119">
        <v>0</v>
      </c>
      <c r="K64" s="118">
        <f t="shared" si="2"/>
        <v>0</v>
      </c>
      <c r="L64" s="859"/>
      <c r="M64" s="859"/>
    </row>
    <row r="65" spans="1:11">
      <c r="A65" s="1488" t="s">
        <v>1682</v>
      </c>
      <c r="B65" s="1489" t="s">
        <v>2089</v>
      </c>
      <c r="C65" s="1490"/>
      <c r="D65" s="1490"/>
      <c r="E65" s="1491">
        <f t="shared" ref="E65:E73" si="7">+C65+D65</f>
        <v>0</v>
      </c>
      <c r="J65" s="118">
        <v>0</v>
      </c>
      <c r="K65" s="118">
        <f t="shared" si="2"/>
        <v>0</v>
      </c>
    </row>
    <row r="66" spans="1:11">
      <c r="A66" s="1477" t="s">
        <v>1684</v>
      </c>
      <c r="B66" s="1478" t="s">
        <v>2090</v>
      </c>
      <c r="C66" s="1479"/>
      <c r="D66" s="1479"/>
      <c r="E66" s="1480">
        <f t="shared" si="7"/>
        <v>0</v>
      </c>
      <c r="J66" s="118">
        <v>0</v>
      </c>
      <c r="K66" s="118">
        <f t="shared" si="2"/>
        <v>0</v>
      </c>
    </row>
    <row r="67" spans="1:11">
      <c r="A67" s="1477" t="s">
        <v>1685</v>
      </c>
      <c r="B67" s="1478" t="s">
        <v>2091</v>
      </c>
      <c r="C67" s="1479"/>
      <c r="D67" s="1479"/>
      <c r="E67" s="1480">
        <f t="shared" si="7"/>
        <v>0</v>
      </c>
      <c r="J67" s="118">
        <v>0</v>
      </c>
      <c r="K67" s="118">
        <f t="shared" si="2"/>
        <v>0</v>
      </c>
    </row>
    <row r="68" spans="1:11">
      <c r="A68" s="1477" t="s">
        <v>1687</v>
      </c>
      <c r="B68" s="1478" t="s">
        <v>2092</v>
      </c>
      <c r="C68" s="1479"/>
      <c r="D68" s="1479"/>
      <c r="E68" s="1480">
        <f t="shared" si="7"/>
        <v>0</v>
      </c>
      <c r="J68" s="118">
        <v>0</v>
      </c>
      <c r="K68" s="118">
        <f t="shared" si="2"/>
        <v>0</v>
      </c>
    </row>
    <row r="69" spans="1:11">
      <c r="A69" s="1477" t="s">
        <v>1689</v>
      </c>
      <c r="B69" s="1478" t="s">
        <v>2093</v>
      </c>
      <c r="C69" s="1479"/>
      <c r="D69" s="1479"/>
      <c r="E69" s="1480">
        <f t="shared" si="7"/>
        <v>0</v>
      </c>
      <c r="J69" s="118">
        <v>0</v>
      </c>
      <c r="K69" s="118">
        <f t="shared" si="2"/>
        <v>0</v>
      </c>
    </row>
    <row r="70" spans="1:11">
      <c r="A70" s="1477" t="s">
        <v>1691</v>
      </c>
      <c r="B70" s="1478" t="s">
        <v>2094</v>
      </c>
      <c r="C70" s="1479"/>
      <c r="D70" s="1479"/>
      <c r="E70" s="1480">
        <f t="shared" si="7"/>
        <v>0</v>
      </c>
      <c r="J70" s="118">
        <v>0</v>
      </c>
      <c r="K70" s="118">
        <f t="shared" si="2"/>
        <v>0</v>
      </c>
    </row>
    <row r="71" spans="1:11">
      <c r="A71" s="1477" t="s">
        <v>1693</v>
      </c>
      <c r="B71" s="1478" t="s">
        <v>2095</v>
      </c>
      <c r="C71" s="1479"/>
      <c r="D71" s="1479"/>
      <c r="E71" s="1480">
        <f t="shared" si="7"/>
        <v>0</v>
      </c>
      <c r="J71" s="118">
        <v>0</v>
      </c>
      <c r="K71" s="118">
        <f t="shared" ref="K71:K134" si="8">+ROUND(J71/1000,0)-E71</f>
        <v>0</v>
      </c>
    </row>
    <row r="72" spans="1:11">
      <c r="A72" s="1477" t="s">
        <v>1695</v>
      </c>
      <c r="B72" s="1478" t="s">
        <v>2096</v>
      </c>
      <c r="C72" s="1479"/>
      <c r="D72" s="1479"/>
      <c r="E72" s="1480">
        <f t="shared" si="7"/>
        <v>0</v>
      </c>
      <c r="J72" s="118">
        <v>0</v>
      </c>
      <c r="K72" s="118">
        <f t="shared" si="8"/>
        <v>0</v>
      </c>
    </row>
    <row r="73" spans="1:11">
      <c r="A73" s="1477" t="s">
        <v>1697</v>
      </c>
      <c r="B73" s="1478" t="s">
        <v>2097</v>
      </c>
      <c r="C73" s="1479"/>
      <c r="D73" s="1479"/>
      <c r="E73" s="1480">
        <f t="shared" si="7"/>
        <v>0</v>
      </c>
      <c r="J73" s="118">
        <v>0</v>
      </c>
      <c r="K73" s="118">
        <f t="shared" si="8"/>
        <v>0</v>
      </c>
    </row>
    <row r="74" spans="1:11" ht="12.75" thickBot="1">
      <c r="A74" s="1470" t="s">
        <v>1699</v>
      </c>
      <c r="B74" s="1481" t="s">
        <v>2098</v>
      </c>
      <c r="C74" s="1482"/>
      <c r="D74" s="1482"/>
      <c r="E74" s="1483">
        <f>+C74+D74</f>
        <v>0</v>
      </c>
      <c r="J74" s="118">
        <v>0</v>
      </c>
      <c r="K74" s="118">
        <f t="shared" si="8"/>
        <v>0</v>
      </c>
    </row>
    <row r="75" spans="1:11" ht="12.75" thickBot="1">
      <c r="A75" s="1484" t="s">
        <v>1701</v>
      </c>
      <c r="B75" s="1485" t="s">
        <v>2705</v>
      </c>
      <c r="C75" s="1486">
        <f>SUM(C76:C85)</f>
        <v>179744</v>
      </c>
      <c r="D75" s="1486">
        <f>SUM(D76:D85)</f>
        <v>0</v>
      </c>
      <c r="E75" s="1487">
        <f>SUM(E76:E85)</f>
        <v>179744</v>
      </c>
      <c r="G75" s="118">
        <f>+'1.mell._Össz_Mérleg2020'!E56</f>
        <v>179744</v>
      </c>
      <c r="H75" s="118">
        <f>+G75-E75</f>
        <v>0</v>
      </c>
      <c r="J75" s="118">
        <v>179744124</v>
      </c>
      <c r="K75" s="118">
        <f t="shared" si="8"/>
        <v>0</v>
      </c>
    </row>
    <row r="76" spans="1:11">
      <c r="A76" s="1488" t="s">
        <v>1703</v>
      </c>
      <c r="B76" s="1489" t="s">
        <v>2099</v>
      </c>
      <c r="C76" s="1490"/>
      <c r="D76" s="1490"/>
      <c r="E76" s="1491">
        <f t="shared" ref="E76:E85" si="9">+C76+D76</f>
        <v>0</v>
      </c>
      <c r="J76" s="118">
        <v>0</v>
      </c>
      <c r="K76" s="118">
        <f t="shared" si="8"/>
        <v>0</v>
      </c>
    </row>
    <row r="77" spans="1:11">
      <c r="A77" s="1477" t="s">
        <v>1705</v>
      </c>
      <c r="B77" s="1478" t="s">
        <v>2100</v>
      </c>
      <c r="C77" s="1479"/>
      <c r="D77" s="1479"/>
      <c r="E77" s="1480">
        <f t="shared" si="9"/>
        <v>0</v>
      </c>
      <c r="J77" s="118">
        <v>0</v>
      </c>
      <c r="K77" s="118">
        <f t="shared" si="8"/>
        <v>0</v>
      </c>
    </row>
    <row r="78" spans="1:11">
      <c r="A78" s="1477" t="s">
        <v>1707</v>
      </c>
      <c r="B78" s="1478" t="s">
        <v>2101</v>
      </c>
      <c r="C78" s="1479">
        <v>169689</v>
      </c>
      <c r="D78" s="1479"/>
      <c r="E78" s="1480">
        <f t="shared" si="9"/>
        <v>169689</v>
      </c>
      <c r="J78" s="118">
        <v>169688786</v>
      </c>
      <c r="K78" s="118">
        <f t="shared" si="8"/>
        <v>0</v>
      </c>
    </row>
    <row r="79" spans="1:11">
      <c r="A79" s="1477" t="s">
        <v>1708</v>
      </c>
      <c r="B79" s="1478" t="s">
        <v>2102</v>
      </c>
      <c r="C79" s="1479"/>
      <c r="D79" s="1479"/>
      <c r="E79" s="1480">
        <f t="shared" si="9"/>
        <v>0</v>
      </c>
      <c r="J79" s="118">
        <v>0</v>
      </c>
      <c r="K79" s="118">
        <f t="shared" si="8"/>
        <v>0</v>
      </c>
    </row>
    <row r="80" spans="1:11">
      <c r="A80" s="1477" t="s">
        <v>1709</v>
      </c>
      <c r="B80" s="1478" t="s">
        <v>2103</v>
      </c>
      <c r="C80" s="1479"/>
      <c r="D80" s="1479"/>
      <c r="E80" s="1480">
        <f t="shared" si="9"/>
        <v>0</v>
      </c>
      <c r="J80" s="118">
        <v>0</v>
      </c>
      <c r="K80" s="118">
        <f t="shared" si="8"/>
        <v>0</v>
      </c>
    </row>
    <row r="81" spans="1:13">
      <c r="A81" s="1477" t="s">
        <v>1711</v>
      </c>
      <c r="B81" s="1478" t="s">
        <v>2104</v>
      </c>
      <c r="C81" s="1479">
        <v>10055</v>
      </c>
      <c r="D81" s="1479"/>
      <c r="E81" s="1480">
        <f t="shared" si="9"/>
        <v>10055</v>
      </c>
      <c r="J81" s="118">
        <v>10055338</v>
      </c>
      <c r="K81" s="118">
        <f t="shared" si="8"/>
        <v>0</v>
      </c>
    </row>
    <row r="82" spans="1:13">
      <c r="A82" s="1477" t="s">
        <v>1713</v>
      </c>
      <c r="B82" s="1478" t="s">
        <v>2105</v>
      </c>
      <c r="C82" s="1479"/>
      <c r="D82" s="1479"/>
      <c r="E82" s="1480">
        <f t="shared" si="9"/>
        <v>0</v>
      </c>
      <c r="J82" s="118">
        <v>0</v>
      </c>
      <c r="K82" s="118">
        <f t="shared" si="8"/>
        <v>0</v>
      </c>
    </row>
    <row r="83" spans="1:13">
      <c r="A83" s="1477" t="s">
        <v>1715</v>
      </c>
      <c r="B83" s="1478" t="s">
        <v>2106</v>
      </c>
      <c r="C83" s="1479"/>
      <c r="D83" s="1479"/>
      <c r="E83" s="1480">
        <f t="shared" si="9"/>
        <v>0</v>
      </c>
      <c r="J83" s="118">
        <v>0</v>
      </c>
      <c r="K83" s="118">
        <f t="shared" si="8"/>
        <v>0</v>
      </c>
    </row>
    <row r="84" spans="1:13">
      <c r="A84" s="1477" t="s">
        <v>1717</v>
      </c>
      <c r="B84" s="1478" t="s">
        <v>2107</v>
      </c>
      <c r="C84" s="1479"/>
      <c r="D84" s="1479"/>
      <c r="E84" s="1480">
        <f t="shared" si="9"/>
        <v>0</v>
      </c>
      <c r="J84" s="118">
        <v>0</v>
      </c>
      <c r="K84" s="118">
        <f t="shared" si="8"/>
        <v>0</v>
      </c>
    </row>
    <row r="85" spans="1:13" s="859" customFormat="1" ht="12.75" thickBot="1">
      <c r="A85" s="1470" t="s">
        <v>1719</v>
      </c>
      <c r="B85" s="1481" t="s">
        <v>2108</v>
      </c>
      <c r="C85" s="1482"/>
      <c r="D85" s="1482"/>
      <c r="E85" s="1483">
        <f t="shared" si="9"/>
        <v>0</v>
      </c>
      <c r="F85" s="864"/>
      <c r="G85" s="864"/>
      <c r="H85" s="864"/>
      <c r="I85" s="864"/>
      <c r="J85" s="118">
        <v>0</v>
      </c>
      <c r="K85" s="118">
        <f t="shared" si="8"/>
        <v>0</v>
      </c>
      <c r="L85" s="864"/>
      <c r="M85" s="864"/>
    </row>
    <row r="86" spans="1:13" ht="12.75" thickBot="1">
      <c r="A86" s="1484" t="s">
        <v>1721</v>
      </c>
      <c r="B86" s="1485" t="s">
        <v>2706</v>
      </c>
      <c r="C86" s="1486">
        <f>+C51+C52+C53+C64+C75</f>
        <v>219051</v>
      </c>
      <c r="D86" s="1486">
        <f>+D51+D52+D53+D64+D75</f>
        <v>0</v>
      </c>
      <c r="E86" s="1487">
        <f>+E51+E52+E53+E64+E75</f>
        <v>219051</v>
      </c>
      <c r="J86" s="118">
        <v>219051124</v>
      </c>
      <c r="K86" s="118">
        <f t="shared" si="8"/>
        <v>0</v>
      </c>
    </row>
    <row r="87" spans="1:13" ht="12.75" thickBot="1">
      <c r="A87" s="1484" t="s">
        <v>1723</v>
      </c>
      <c r="B87" s="1485" t="s">
        <v>2707</v>
      </c>
      <c r="C87" s="1486">
        <f>SUM(C88:C89)</f>
        <v>291</v>
      </c>
      <c r="D87" s="1486">
        <f>SUM(D88:D89)</f>
        <v>0</v>
      </c>
      <c r="E87" s="1487">
        <f>SUM(E88:E89)</f>
        <v>291</v>
      </c>
      <c r="F87" s="859"/>
      <c r="G87" s="859"/>
      <c r="H87" s="859"/>
      <c r="I87" s="859"/>
      <c r="J87" s="119">
        <v>291027</v>
      </c>
      <c r="K87" s="118">
        <f t="shared" si="8"/>
        <v>0</v>
      </c>
      <c r="L87" s="859"/>
      <c r="M87" s="859"/>
    </row>
    <row r="88" spans="1:13" s="859" customFormat="1">
      <c r="A88" s="1488" t="s">
        <v>1725</v>
      </c>
      <c r="B88" s="1489" t="s">
        <v>2109</v>
      </c>
      <c r="C88" s="1490"/>
      <c r="D88" s="1490"/>
      <c r="E88" s="1491">
        <f>+C88+D88</f>
        <v>0</v>
      </c>
      <c r="F88" s="864"/>
      <c r="G88" s="864"/>
      <c r="H88" s="864"/>
      <c r="I88" s="864"/>
      <c r="J88" s="118">
        <v>0</v>
      </c>
      <c r="K88" s="118">
        <f t="shared" si="8"/>
        <v>0</v>
      </c>
      <c r="L88" s="864"/>
      <c r="M88" s="864"/>
    </row>
    <row r="89" spans="1:13" ht="12.75" thickBot="1">
      <c r="A89" s="1470" t="s">
        <v>1726</v>
      </c>
      <c r="B89" s="1481" t="s">
        <v>2110</v>
      </c>
      <c r="C89" s="1482">
        <v>291</v>
      </c>
      <c r="D89" s="1482"/>
      <c r="E89" s="1483">
        <f>+C89+D89</f>
        <v>291</v>
      </c>
      <c r="J89" s="118">
        <v>291027</v>
      </c>
      <c r="K89" s="118">
        <f t="shared" si="8"/>
        <v>0</v>
      </c>
    </row>
    <row r="90" spans="1:13" ht="12.75" thickBot="1">
      <c r="A90" s="1484" t="s">
        <v>1727</v>
      </c>
      <c r="B90" s="1485" t="s">
        <v>2708</v>
      </c>
      <c r="C90" s="1486">
        <f>SUM(C91:C97)</f>
        <v>0</v>
      </c>
      <c r="D90" s="1486">
        <f>SUM(D91:D97)</f>
        <v>0</v>
      </c>
      <c r="E90" s="1487">
        <f>SUM(E91:E97)</f>
        <v>0</v>
      </c>
      <c r="F90" s="859"/>
      <c r="G90" s="859"/>
      <c r="H90" s="859"/>
      <c r="I90" s="859"/>
      <c r="J90" s="119">
        <v>0</v>
      </c>
      <c r="K90" s="118">
        <f t="shared" si="8"/>
        <v>0</v>
      </c>
      <c r="L90" s="859"/>
      <c r="M90" s="859"/>
    </row>
    <row r="91" spans="1:13">
      <c r="A91" s="1488" t="s">
        <v>1729</v>
      </c>
      <c r="B91" s="1489" t="s">
        <v>2111</v>
      </c>
      <c r="C91" s="1490"/>
      <c r="D91" s="1490"/>
      <c r="E91" s="1491">
        <f t="shared" ref="E91:E97" si="10">+C91+D91</f>
        <v>0</v>
      </c>
      <c r="J91" s="118">
        <v>0</v>
      </c>
      <c r="K91" s="118">
        <f t="shared" si="8"/>
        <v>0</v>
      </c>
    </row>
    <row r="92" spans="1:13">
      <c r="A92" s="1477" t="s">
        <v>1731</v>
      </c>
      <c r="B92" s="1478" t="s">
        <v>2112</v>
      </c>
      <c r="C92" s="1479"/>
      <c r="D92" s="1479"/>
      <c r="E92" s="1480">
        <f t="shared" si="10"/>
        <v>0</v>
      </c>
      <c r="J92" s="118">
        <v>0</v>
      </c>
      <c r="K92" s="118">
        <f t="shared" si="8"/>
        <v>0</v>
      </c>
    </row>
    <row r="93" spans="1:13">
      <c r="A93" s="1477" t="s">
        <v>1733</v>
      </c>
      <c r="B93" s="1478" t="s">
        <v>2114</v>
      </c>
      <c r="C93" s="1479"/>
      <c r="D93" s="1479"/>
      <c r="E93" s="1480">
        <f t="shared" si="10"/>
        <v>0</v>
      </c>
      <c r="J93" s="118">
        <v>0</v>
      </c>
      <c r="K93" s="118">
        <f t="shared" si="8"/>
        <v>0</v>
      </c>
    </row>
    <row r="94" spans="1:13">
      <c r="A94" s="1477" t="s">
        <v>1735</v>
      </c>
      <c r="B94" s="1478" t="s">
        <v>2113</v>
      </c>
      <c r="C94" s="1479"/>
      <c r="D94" s="1479"/>
      <c r="E94" s="1480">
        <f t="shared" si="10"/>
        <v>0</v>
      </c>
      <c r="J94" s="118">
        <v>0</v>
      </c>
      <c r="K94" s="118">
        <f t="shared" si="8"/>
        <v>0</v>
      </c>
    </row>
    <row r="95" spans="1:13">
      <c r="A95" s="1477" t="s">
        <v>1737</v>
      </c>
      <c r="B95" s="1478" t="s">
        <v>2115</v>
      </c>
      <c r="C95" s="1479"/>
      <c r="D95" s="1479"/>
      <c r="E95" s="1480">
        <f t="shared" si="10"/>
        <v>0</v>
      </c>
      <c r="J95" s="118">
        <v>0</v>
      </c>
      <c r="K95" s="118">
        <f t="shared" si="8"/>
        <v>0</v>
      </c>
    </row>
    <row r="96" spans="1:13">
      <c r="A96" s="1477" t="s">
        <v>1739</v>
      </c>
      <c r="B96" s="1478" t="s">
        <v>2116</v>
      </c>
      <c r="C96" s="1479"/>
      <c r="D96" s="1479"/>
      <c r="E96" s="1480">
        <f t="shared" si="10"/>
        <v>0</v>
      </c>
      <c r="J96" s="118">
        <v>0</v>
      </c>
      <c r="K96" s="118">
        <f t="shared" si="8"/>
        <v>0</v>
      </c>
    </row>
    <row r="97" spans="1:13" ht="12.75" thickBot="1">
      <c r="A97" s="1470" t="s">
        <v>1741</v>
      </c>
      <c r="B97" s="1481" t="s">
        <v>2117</v>
      </c>
      <c r="C97" s="1482"/>
      <c r="D97" s="1482"/>
      <c r="E97" s="1483">
        <f t="shared" si="10"/>
        <v>0</v>
      </c>
      <c r="J97" s="118">
        <v>0</v>
      </c>
      <c r="K97" s="118">
        <f t="shared" si="8"/>
        <v>0</v>
      </c>
    </row>
    <row r="98" spans="1:13" s="859" customFormat="1" ht="12.75" thickBot="1">
      <c r="A98" s="1484" t="s">
        <v>1743</v>
      </c>
      <c r="B98" s="1485" t="s">
        <v>2709</v>
      </c>
      <c r="C98" s="1486">
        <f>+C87+C90</f>
        <v>291</v>
      </c>
      <c r="D98" s="1486">
        <f>+D87+D90</f>
        <v>0</v>
      </c>
      <c r="E98" s="1487">
        <f>+E87+E90</f>
        <v>291</v>
      </c>
      <c r="F98" s="864"/>
      <c r="G98" s="118">
        <f>+'1.mell._Össz_Mérleg2020'!E26</f>
        <v>291</v>
      </c>
      <c r="H98" s="118">
        <f>+G98-E98</f>
        <v>0</v>
      </c>
      <c r="I98" s="864"/>
      <c r="J98" s="118">
        <v>291027</v>
      </c>
      <c r="K98" s="118">
        <f t="shared" si="8"/>
        <v>0</v>
      </c>
      <c r="L98" s="864"/>
      <c r="M98" s="864"/>
    </row>
    <row r="99" spans="1:13" ht="12.75" thickBot="1">
      <c r="A99" s="1484" t="s">
        <v>1744</v>
      </c>
      <c r="B99" s="1485" t="s">
        <v>2710</v>
      </c>
      <c r="C99" s="1486">
        <f>SUM(C100:C108)</f>
        <v>0</v>
      </c>
      <c r="D99" s="1486">
        <f>SUM(D100:D108)</f>
        <v>0</v>
      </c>
      <c r="E99" s="1487">
        <f>SUM(E100:E108)</f>
        <v>0</v>
      </c>
      <c r="F99" s="859"/>
      <c r="G99" s="118">
        <f>+'1.mell._Össz_Mérleg2020'!E27</f>
        <v>0</v>
      </c>
      <c r="H99" s="118">
        <f>+G99-E99</f>
        <v>0</v>
      </c>
      <c r="I99" s="859"/>
      <c r="J99" s="119">
        <v>0</v>
      </c>
      <c r="K99" s="118">
        <f t="shared" si="8"/>
        <v>0</v>
      </c>
    </row>
    <row r="100" spans="1:13">
      <c r="A100" s="1488" t="s">
        <v>1746</v>
      </c>
      <c r="B100" s="1489" t="s">
        <v>2118</v>
      </c>
      <c r="C100" s="1490"/>
      <c r="D100" s="1490"/>
      <c r="E100" s="1491">
        <f t="shared" ref="E100:E108" si="11">+C100+D100</f>
        <v>0</v>
      </c>
      <c r="J100" s="118">
        <v>0</v>
      </c>
      <c r="K100" s="118">
        <f t="shared" si="8"/>
        <v>0</v>
      </c>
      <c r="L100" s="859"/>
      <c r="M100" s="859"/>
    </row>
    <row r="101" spans="1:13">
      <c r="A101" s="1477" t="s">
        <v>1748</v>
      </c>
      <c r="B101" s="1478" t="s">
        <v>2119</v>
      </c>
      <c r="C101" s="1479"/>
      <c r="D101" s="1479"/>
      <c r="E101" s="1480">
        <f t="shared" si="11"/>
        <v>0</v>
      </c>
      <c r="J101" s="118">
        <v>0</v>
      </c>
      <c r="K101" s="118">
        <f t="shared" si="8"/>
        <v>0</v>
      </c>
    </row>
    <row r="102" spans="1:13">
      <c r="A102" s="1477" t="s">
        <v>1749</v>
      </c>
      <c r="B102" s="1478" t="s">
        <v>2120</v>
      </c>
      <c r="C102" s="1479"/>
      <c r="D102" s="1479"/>
      <c r="E102" s="1480">
        <f t="shared" si="11"/>
        <v>0</v>
      </c>
      <c r="J102" s="118">
        <v>0</v>
      </c>
      <c r="K102" s="118">
        <f t="shared" si="8"/>
        <v>0</v>
      </c>
    </row>
    <row r="103" spans="1:13">
      <c r="A103" s="1477" t="s">
        <v>1751</v>
      </c>
      <c r="B103" s="1478" t="s">
        <v>2121</v>
      </c>
      <c r="C103" s="1479"/>
      <c r="D103" s="1479"/>
      <c r="E103" s="1480">
        <f t="shared" si="11"/>
        <v>0</v>
      </c>
      <c r="J103" s="118">
        <v>0</v>
      </c>
      <c r="K103" s="118">
        <f t="shared" si="8"/>
        <v>0</v>
      </c>
    </row>
    <row r="104" spans="1:13">
      <c r="A104" s="1477" t="s">
        <v>1753</v>
      </c>
      <c r="B104" s="1478" t="s">
        <v>2122</v>
      </c>
      <c r="C104" s="1479"/>
      <c r="D104" s="1479"/>
      <c r="E104" s="1480">
        <f t="shared" si="11"/>
        <v>0</v>
      </c>
      <c r="J104" s="118">
        <v>0</v>
      </c>
      <c r="K104" s="118">
        <f t="shared" si="8"/>
        <v>0</v>
      </c>
    </row>
    <row r="105" spans="1:13">
      <c r="A105" s="1477" t="s">
        <v>1754</v>
      </c>
      <c r="B105" s="1478" t="s">
        <v>2123</v>
      </c>
      <c r="C105" s="1479"/>
      <c r="D105" s="1479"/>
      <c r="E105" s="1480">
        <f t="shared" si="11"/>
        <v>0</v>
      </c>
      <c r="J105" s="118">
        <v>0</v>
      </c>
      <c r="K105" s="118">
        <f t="shared" si="8"/>
        <v>0</v>
      </c>
    </row>
    <row r="106" spans="1:13">
      <c r="A106" s="1477" t="s">
        <v>1756</v>
      </c>
      <c r="B106" s="1478" t="s">
        <v>2124</v>
      </c>
      <c r="C106" s="1479"/>
      <c r="D106" s="1479"/>
      <c r="E106" s="1480">
        <f t="shared" si="11"/>
        <v>0</v>
      </c>
      <c r="J106" s="118">
        <v>0</v>
      </c>
      <c r="K106" s="118">
        <f t="shared" si="8"/>
        <v>0</v>
      </c>
    </row>
    <row r="107" spans="1:13">
      <c r="A107" s="1477" t="s">
        <v>1758</v>
      </c>
      <c r="B107" s="1478" t="s">
        <v>2125</v>
      </c>
      <c r="C107" s="1479"/>
      <c r="D107" s="1479"/>
      <c r="E107" s="1480">
        <f t="shared" si="11"/>
        <v>0</v>
      </c>
      <c r="J107" s="118">
        <v>0</v>
      </c>
      <c r="K107" s="118">
        <f t="shared" si="8"/>
        <v>0</v>
      </c>
    </row>
    <row r="108" spans="1:13" s="859" customFormat="1" ht="12.75" thickBot="1">
      <c r="A108" s="1470" t="s">
        <v>1760</v>
      </c>
      <c r="B108" s="1481" t="s">
        <v>2126</v>
      </c>
      <c r="C108" s="1482"/>
      <c r="D108" s="1482"/>
      <c r="E108" s="1483">
        <f t="shared" si="11"/>
        <v>0</v>
      </c>
      <c r="F108" s="864"/>
      <c r="G108" s="864"/>
      <c r="H108" s="864"/>
      <c r="I108" s="864"/>
      <c r="J108" s="118">
        <v>0</v>
      </c>
      <c r="K108" s="118">
        <f t="shared" si="8"/>
        <v>0</v>
      </c>
      <c r="L108" s="864"/>
      <c r="M108" s="864"/>
    </row>
    <row r="109" spans="1:13" ht="12.75" thickBot="1">
      <c r="A109" s="1484" t="s">
        <v>1762</v>
      </c>
      <c r="B109" s="1485" t="s">
        <v>2711</v>
      </c>
      <c r="C109" s="1486">
        <f>SUM(C110:C113)</f>
        <v>0</v>
      </c>
      <c r="D109" s="1486">
        <v>0</v>
      </c>
      <c r="E109" s="1487">
        <v>0</v>
      </c>
      <c r="F109" s="859"/>
      <c r="G109" s="118">
        <f>+'1.mell._Össz_Mérleg2020'!E28</f>
        <v>0</v>
      </c>
      <c r="H109" s="118">
        <f>+G109-E109</f>
        <v>0</v>
      </c>
      <c r="I109" s="859"/>
      <c r="J109" s="119">
        <v>0</v>
      </c>
      <c r="K109" s="118">
        <f t="shared" si="8"/>
        <v>0</v>
      </c>
    </row>
    <row r="110" spans="1:13">
      <c r="A110" s="1488" t="s">
        <v>1764</v>
      </c>
      <c r="B110" s="1489" t="s">
        <v>2127</v>
      </c>
      <c r="C110" s="1490"/>
      <c r="D110" s="1490"/>
      <c r="E110" s="1491">
        <f>+C110+D110</f>
        <v>0</v>
      </c>
      <c r="J110" s="118">
        <v>0</v>
      </c>
      <c r="K110" s="118">
        <f t="shared" si="8"/>
        <v>0</v>
      </c>
      <c r="L110" s="859"/>
      <c r="M110" s="859"/>
    </row>
    <row r="111" spans="1:13">
      <c r="A111" s="1477" t="s">
        <v>1766</v>
      </c>
      <c r="B111" s="1478" t="s">
        <v>2128</v>
      </c>
      <c r="C111" s="1479"/>
      <c r="D111" s="1479"/>
      <c r="E111" s="1480">
        <f>+C111+D111</f>
        <v>0</v>
      </c>
      <c r="J111" s="118">
        <v>0</v>
      </c>
      <c r="K111" s="118">
        <f t="shared" si="8"/>
        <v>0</v>
      </c>
    </row>
    <row r="112" spans="1:13">
      <c r="A112" s="1477" t="s">
        <v>1768</v>
      </c>
      <c r="B112" s="1478" t="s">
        <v>2129</v>
      </c>
      <c r="C112" s="1479"/>
      <c r="D112" s="1479"/>
      <c r="E112" s="1480">
        <f>+C112+D112</f>
        <v>0</v>
      </c>
      <c r="J112" s="118">
        <v>0</v>
      </c>
      <c r="K112" s="118">
        <f t="shared" si="8"/>
        <v>0</v>
      </c>
    </row>
    <row r="113" spans="1:13" s="859" customFormat="1" ht="12.75" thickBot="1">
      <c r="A113" s="1470" t="s">
        <v>1769</v>
      </c>
      <c r="B113" s="1481" t="s">
        <v>2130</v>
      </c>
      <c r="C113" s="1482"/>
      <c r="D113" s="1482"/>
      <c r="E113" s="1483">
        <f>+C113+D113</f>
        <v>0</v>
      </c>
      <c r="F113" s="864"/>
      <c r="G113" s="864"/>
      <c r="H113" s="864"/>
      <c r="I113" s="864"/>
      <c r="J113" s="118">
        <v>0</v>
      </c>
      <c r="K113" s="118">
        <f t="shared" si="8"/>
        <v>0</v>
      </c>
      <c r="L113" s="864"/>
      <c r="M113" s="864"/>
    </row>
    <row r="114" spans="1:13" ht="12.75" thickBot="1">
      <c r="A114" s="1484" t="s">
        <v>1771</v>
      </c>
      <c r="B114" s="1485" t="s">
        <v>2712</v>
      </c>
      <c r="C114" s="1486">
        <f>SUM(C115:C120)</f>
        <v>72401</v>
      </c>
      <c r="D114" s="1486">
        <f>SUM(D115:D120)</f>
        <v>0</v>
      </c>
      <c r="E114" s="1487">
        <f>SUM(E115:E120)</f>
        <v>72401</v>
      </c>
      <c r="F114" s="859"/>
      <c r="G114" s="118">
        <f>+'1.mell._Össz_Mérleg2020'!E29</f>
        <v>72402</v>
      </c>
      <c r="H114" s="118">
        <f>+G114-E114</f>
        <v>1</v>
      </c>
      <c r="I114" s="859"/>
      <c r="J114" s="119">
        <v>72401370</v>
      </c>
      <c r="K114" s="118">
        <f t="shared" si="8"/>
        <v>0</v>
      </c>
    </row>
    <row r="115" spans="1:13">
      <c r="A115" s="1488" t="s">
        <v>1773</v>
      </c>
      <c r="B115" s="1489" t="s">
        <v>2131</v>
      </c>
      <c r="C115" s="1490">
        <v>31884</v>
      </c>
      <c r="D115" s="1490"/>
      <c r="E115" s="1491">
        <f t="shared" ref="E115:E120" si="12">+C115+D115</f>
        <v>31884</v>
      </c>
      <c r="J115" s="118">
        <v>31884127</v>
      </c>
      <c r="K115" s="118">
        <f t="shared" si="8"/>
        <v>0</v>
      </c>
      <c r="L115" s="859"/>
      <c r="M115" s="859"/>
    </row>
    <row r="116" spans="1:13">
      <c r="A116" s="1477" t="s">
        <v>1775</v>
      </c>
      <c r="B116" s="1478" t="s">
        <v>2132</v>
      </c>
      <c r="C116" s="1479">
        <v>28565</v>
      </c>
      <c r="D116" s="1479"/>
      <c r="E116" s="1480">
        <f t="shared" si="12"/>
        <v>28565</v>
      </c>
      <c r="J116" s="118">
        <v>28564643</v>
      </c>
      <c r="K116" s="118">
        <f t="shared" si="8"/>
        <v>0</v>
      </c>
    </row>
    <row r="117" spans="1:13">
      <c r="A117" s="1477" t="s">
        <v>1776</v>
      </c>
      <c r="B117" s="1478" t="s">
        <v>2133</v>
      </c>
      <c r="C117" s="1479">
        <v>11952</v>
      </c>
      <c r="D117" s="1479"/>
      <c r="E117" s="1480">
        <f t="shared" si="12"/>
        <v>11952</v>
      </c>
      <c r="J117" s="118">
        <v>11952600</v>
      </c>
      <c r="K117" s="118">
        <f t="shared" si="8"/>
        <v>1</v>
      </c>
    </row>
    <row r="118" spans="1:13">
      <c r="A118" s="1477" t="s">
        <v>1778</v>
      </c>
      <c r="B118" s="1478" t="s">
        <v>2134</v>
      </c>
      <c r="C118" s="1479"/>
      <c r="D118" s="1479"/>
      <c r="E118" s="1480">
        <f t="shared" si="12"/>
        <v>0</v>
      </c>
      <c r="J118" s="118">
        <v>0</v>
      </c>
      <c r="K118" s="118">
        <f t="shared" si="8"/>
        <v>0</v>
      </c>
    </row>
    <row r="119" spans="1:13">
      <c r="A119" s="1477" t="s">
        <v>1780</v>
      </c>
      <c r="B119" s="1478" t="s">
        <v>2135</v>
      </c>
      <c r="C119" s="1479"/>
      <c r="D119" s="1479"/>
      <c r="E119" s="1480">
        <f t="shared" si="12"/>
        <v>0</v>
      </c>
      <c r="J119" s="118">
        <v>0</v>
      </c>
      <c r="K119" s="118">
        <f t="shared" si="8"/>
        <v>0</v>
      </c>
    </row>
    <row r="120" spans="1:13" ht="12.75" thickBot="1">
      <c r="A120" s="1470" t="s">
        <v>1782</v>
      </c>
      <c r="B120" s="1481" t="s">
        <v>2136</v>
      </c>
      <c r="C120" s="1482"/>
      <c r="D120" s="1482"/>
      <c r="E120" s="1483">
        <f t="shared" si="12"/>
        <v>0</v>
      </c>
      <c r="J120" s="118">
        <v>0</v>
      </c>
      <c r="K120" s="118">
        <f t="shared" si="8"/>
        <v>0</v>
      </c>
    </row>
    <row r="121" spans="1:13" s="859" customFormat="1" ht="12.75" thickBot="1">
      <c r="A121" s="1484" t="s">
        <v>1784</v>
      </c>
      <c r="B121" s="1485" t="s">
        <v>2713</v>
      </c>
      <c r="C121" s="1486">
        <f>SUM(C122:C141)</f>
        <v>293843</v>
      </c>
      <c r="D121" s="1486">
        <f>SUM(D122:D141)</f>
        <v>0</v>
      </c>
      <c r="E121" s="1487">
        <f>SUM(E122:E141)</f>
        <v>293843</v>
      </c>
      <c r="F121" s="864"/>
      <c r="G121" s="864"/>
      <c r="H121" s="864"/>
      <c r="I121" s="864"/>
      <c r="J121" s="118">
        <v>293842518</v>
      </c>
      <c r="K121" s="118">
        <f t="shared" si="8"/>
        <v>0</v>
      </c>
      <c r="L121" s="864"/>
      <c r="M121" s="864"/>
    </row>
    <row r="122" spans="1:13">
      <c r="A122" s="1488" t="s">
        <v>1786</v>
      </c>
      <c r="B122" s="1489" t="s">
        <v>2137</v>
      </c>
      <c r="C122" s="1490"/>
      <c r="D122" s="1490"/>
      <c r="E122" s="1491">
        <f t="shared" ref="E122:E141" si="13">+C122+D122</f>
        <v>0</v>
      </c>
      <c r="F122" s="859"/>
      <c r="G122" s="859"/>
      <c r="H122" s="859"/>
      <c r="I122" s="859"/>
      <c r="J122" s="119">
        <v>0</v>
      </c>
      <c r="K122" s="118">
        <f t="shared" si="8"/>
        <v>0</v>
      </c>
    </row>
    <row r="123" spans="1:13">
      <c r="A123" s="1477" t="s">
        <v>1788</v>
      </c>
      <c r="B123" s="1478" t="s">
        <v>2138</v>
      </c>
      <c r="C123" s="1479"/>
      <c r="D123" s="1479"/>
      <c r="E123" s="1480">
        <f t="shared" si="13"/>
        <v>0</v>
      </c>
      <c r="J123" s="118">
        <v>0</v>
      </c>
      <c r="K123" s="118">
        <f t="shared" si="8"/>
        <v>0</v>
      </c>
      <c r="L123" s="859"/>
      <c r="M123" s="859"/>
    </row>
    <row r="124" spans="1:13">
      <c r="A124" s="1477" t="s">
        <v>1790</v>
      </c>
      <c r="B124" s="1478" t="s">
        <v>2139</v>
      </c>
      <c r="C124" s="1479"/>
      <c r="D124" s="1479"/>
      <c r="E124" s="1480">
        <f t="shared" si="13"/>
        <v>0</v>
      </c>
      <c r="J124" s="118">
        <v>0</v>
      </c>
      <c r="K124" s="118">
        <f t="shared" si="8"/>
        <v>0</v>
      </c>
    </row>
    <row r="125" spans="1:13">
      <c r="A125" s="1477" t="s">
        <v>1791</v>
      </c>
      <c r="B125" s="1478" t="s">
        <v>2140</v>
      </c>
      <c r="C125" s="1479"/>
      <c r="D125" s="1479"/>
      <c r="E125" s="1480">
        <f t="shared" si="13"/>
        <v>0</v>
      </c>
      <c r="J125" s="118">
        <v>0</v>
      </c>
      <c r="K125" s="118">
        <f t="shared" si="8"/>
        <v>0</v>
      </c>
    </row>
    <row r="126" spans="1:13">
      <c r="A126" s="1477" t="s">
        <v>1792</v>
      </c>
      <c r="B126" s="1478" t="s">
        <v>2141</v>
      </c>
      <c r="C126" s="1479"/>
      <c r="D126" s="1479"/>
      <c r="E126" s="1480">
        <f t="shared" si="13"/>
        <v>0</v>
      </c>
      <c r="J126" s="118">
        <v>0</v>
      </c>
      <c r="K126" s="118">
        <f t="shared" si="8"/>
        <v>0</v>
      </c>
    </row>
    <row r="127" spans="1:13">
      <c r="A127" s="1477" t="s">
        <v>1794</v>
      </c>
      <c r="B127" s="1478" t="s">
        <v>2142</v>
      </c>
      <c r="C127" s="1479"/>
      <c r="D127" s="1479"/>
      <c r="E127" s="1480">
        <f t="shared" si="13"/>
        <v>0</v>
      </c>
      <c r="J127" s="118">
        <v>0</v>
      </c>
      <c r="K127" s="118">
        <f t="shared" si="8"/>
        <v>0</v>
      </c>
    </row>
    <row r="128" spans="1:13">
      <c r="A128" s="1477" t="s">
        <v>1796</v>
      </c>
      <c r="B128" s="1478" t="s">
        <v>2143</v>
      </c>
      <c r="C128" s="1479">
        <v>293843</v>
      </c>
      <c r="D128" s="1479"/>
      <c r="E128" s="1480">
        <f t="shared" si="13"/>
        <v>293843</v>
      </c>
      <c r="J128" s="118">
        <v>293842518</v>
      </c>
      <c r="K128" s="118">
        <f t="shared" si="8"/>
        <v>0</v>
      </c>
    </row>
    <row r="129" spans="1:13">
      <c r="A129" s="1477" t="s">
        <v>1798</v>
      </c>
      <c r="B129" s="1478" t="s">
        <v>2144</v>
      </c>
      <c r="C129" s="1479"/>
      <c r="D129" s="1479"/>
      <c r="E129" s="1480">
        <f t="shared" si="13"/>
        <v>0</v>
      </c>
      <c r="J129" s="118">
        <v>0</v>
      </c>
      <c r="K129" s="118">
        <f t="shared" si="8"/>
        <v>0</v>
      </c>
    </row>
    <row r="130" spans="1:13">
      <c r="A130" s="1477" t="s">
        <v>1800</v>
      </c>
      <c r="B130" s="1478" t="s">
        <v>2145</v>
      </c>
      <c r="C130" s="1479"/>
      <c r="D130" s="1479"/>
      <c r="E130" s="1480">
        <f t="shared" si="13"/>
        <v>0</v>
      </c>
      <c r="J130" s="118">
        <v>0</v>
      </c>
      <c r="K130" s="118">
        <f t="shared" si="8"/>
        <v>0</v>
      </c>
    </row>
    <row r="131" spans="1:13">
      <c r="A131" s="1477" t="s">
        <v>1801</v>
      </c>
      <c r="B131" s="1478" t="s">
        <v>2146</v>
      </c>
      <c r="C131" s="1479"/>
      <c r="D131" s="1479"/>
      <c r="E131" s="1480">
        <f t="shared" si="13"/>
        <v>0</v>
      </c>
      <c r="J131" s="118">
        <v>0</v>
      </c>
      <c r="K131" s="118">
        <f t="shared" si="8"/>
        <v>0</v>
      </c>
    </row>
    <row r="132" spans="1:13">
      <c r="A132" s="1477" t="s">
        <v>1802</v>
      </c>
      <c r="B132" s="1478" t="s">
        <v>2147</v>
      </c>
      <c r="C132" s="1479"/>
      <c r="D132" s="1479"/>
      <c r="E132" s="1480">
        <f t="shared" si="13"/>
        <v>0</v>
      </c>
      <c r="J132" s="118">
        <v>0</v>
      </c>
      <c r="K132" s="118">
        <f t="shared" si="8"/>
        <v>0</v>
      </c>
    </row>
    <row r="133" spans="1:13">
      <c r="A133" s="1477" t="s">
        <v>1803</v>
      </c>
      <c r="B133" s="1478" t="s">
        <v>2148</v>
      </c>
      <c r="C133" s="1479"/>
      <c r="D133" s="1479"/>
      <c r="E133" s="1480">
        <f t="shared" si="13"/>
        <v>0</v>
      </c>
      <c r="J133" s="118">
        <v>0</v>
      </c>
      <c r="K133" s="118">
        <f t="shared" si="8"/>
        <v>0</v>
      </c>
    </row>
    <row r="134" spans="1:13" ht="24">
      <c r="A134" s="1477" t="s">
        <v>1805</v>
      </c>
      <c r="B134" s="1478" t="s">
        <v>2149</v>
      </c>
      <c r="C134" s="1479"/>
      <c r="D134" s="1479"/>
      <c r="E134" s="1480">
        <f t="shared" si="13"/>
        <v>0</v>
      </c>
      <c r="J134" s="118">
        <v>0</v>
      </c>
      <c r="K134" s="118">
        <f t="shared" si="8"/>
        <v>0</v>
      </c>
    </row>
    <row r="135" spans="1:13" ht="24">
      <c r="A135" s="1477" t="s">
        <v>1807</v>
      </c>
      <c r="B135" s="1478" t="s">
        <v>2714</v>
      </c>
      <c r="C135" s="1479"/>
      <c r="D135" s="1479"/>
      <c r="E135" s="1480">
        <f t="shared" si="13"/>
        <v>0</v>
      </c>
      <c r="J135" s="118">
        <v>0</v>
      </c>
      <c r="K135" s="118">
        <f t="shared" ref="K135:K198" si="14">+ROUND(J135/1000,0)-E135</f>
        <v>0</v>
      </c>
    </row>
    <row r="136" spans="1:13">
      <c r="A136" s="1477" t="s">
        <v>1809</v>
      </c>
      <c r="B136" s="1478" t="s">
        <v>2150</v>
      </c>
      <c r="C136" s="1479"/>
      <c r="D136" s="1479"/>
      <c r="E136" s="1480">
        <f t="shared" si="13"/>
        <v>0</v>
      </c>
      <c r="J136" s="118">
        <v>0</v>
      </c>
      <c r="K136" s="118">
        <f t="shared" si="14"/>
        <v>0</v>
      </c>
    </row>
    <row r="137" spans="1:13">
      <c r="A137" s="1477" t="s">
        <v>1811</v>
      </c>
      <c r="B137" s="1478" t="s">
        <v>2151</v>
      </c>
      <c r="C137" s="1479"/>
      <c r="D137" s="1479"/>
      <c r="E137" s="1480">
        <f t="shared" si="13"/>
        <v>0</v>
      </c>
      <c r="J137" s="118">
        <v>0</v>
      </c>
      <c r="K137" s="118">
        <f t="shared" si="14"/>
        <v>0</v>
      </c>
    </row>
    <row r="138" spans="1:13">
      <c r="A138" s="1477" t="s">
        <v>1813</v>
      </c>
      <c r="B138" s="1478" t="s">
        <v>2152</v>
      </c>
      <c r="C138" s="1479"/>
      <c r="D138" s="1479"/>
      <c r="E138" s="1480">
        <f t="shared" si="13"/>
        <v>0</v>
      </c>
      <c r="J138" s="118">
        <v>0</v>
      </c>
      <c r="K138" s="118">
        <f t="shared" si="14"/>
        <v>0</v>
      </c>
    </row>
    <row r="139" spans="1:13">
      <c r="A139" s="1477" t="s">
        <v>1815</v>
      </c>
      <c r="B139" s="1478" t="s">
        <v>2153</v>
      </c>
      <c r="C139" s="1479"/>
      <c r="D139" s="1479"/>
      <c r="E139" s="1480">
        <f t="shared" si="13"/>
        <v>0</v>
      </c>
      <c r="J139" s="118">
        <v>0</v>
      </c>
      <c r="K139" s="118">
        <f t="shared" si="14"/>
        <v>0</v>
      </c>
    </row>
    <row r="140" spans="1:13">
      <c r="A140" s="1477" t="s">
        <v>1817</v>
      </c>
      <c r="B140" s="1478" t="s">
        <v>2154</v>
      </c>
      <c r="C140" s="1479"/>
      <c r="D140" s="1479"/>
      <c r="E140" s="1480">
        <f t="shared" si="13"/>
        <v>0</v>
      </c>
      <c r="J140" s="118">
        <v>0</v>
      </c>
      <c r="K140" s="118">
        <f t="shared" si="14"/>
        <v>0</v>
      </c>
    </row>
    <row r="141" spans="1:13" ht="24.75" thickBot="1">
      <c r="A141" s="1470" t="s">
        <v>1819</v>
      </c>
      <c r="B141" s="1481" t="s">
        <v>2155</v>
      </c>
      <c r="C141" s="1479"/>
      <c r="D141" s="1479"/>
      <c r="E141" s="1480">
        <f t="shared" si="13"/>
        <v>0</v>
      </c>
      <c r="J141" s="118">
        <v>0</v>
      </c>
      <c r="K141" s="118">
        <f t="shared" si="14"/>
        <v>0</v>
      </c>
    </row>
    <row r="142" spans="1:13" ht="12.75" thickBot="1">
      <c r="A142" s="1484" t="s">
        <v>1821</v>
      </c>
      <c r="B142" s="1485" t="s">
        <v>2156</v>
      </c>
      <c r="C142" s="1486">
        <f>SUM(C143:C145)</f>
        <v>0</v>
      </c>
      <c r="D142" s="1486">
        <f>SUM(D143:D145)</f>
        <v>0</v>
      </c>
      <c r="E142" s="1487">
        <f>SUM(E143:E145)</f>
        <v>0</v>
      </c>
      <c r="J142" s="118">
        <v>0</v>
      </c>
      <c r="K142" s="118">
        <f t="shared" si="14"/>
        <v>0</v>
      </c>
    </row>
    <row r="143" spans="1:13" s="859" customFormat="1">
      <c r="A143" s="1488" t="s">
        <v>1823</v>
      </c>
      <c r="B143" s="1489" t="s">
        <v>2157</v>
      </c>
      <c r="C143" s="1490"/>
      <c r="D143" s="1490"/>
      <c r="E143" s="1491">
        <f>+C143+D143</f>
        <v>0</v>
      </c>
      <c r="J143" s="119">
        <v>0</v>
      </c>
      <c r="K143" s="118">
        <f t="shared" si="14"/>
        <v>0</v>
      </c>
      <c r="L143" s="864"/>
      <c r="M143" s="864"/>
    </row>
    <row r="144" spans="1:13">
      <c r="A144" s="1477" t="s">
        <v>1824</v>
      </c>
      <c r="B144" s="1478" t="s">
        <v>2158</v>
      </c>
      <c r="C144" s="1479"/>
      <c r="D144" s="1479"/>
      <c r="E144" s="1480">
        <f>+C144+D144</f>
        <v>0</v>
      </c>
      <c r="J144" s="118">
        <v>0</v>
      </c>
      <c r="K144" s="118">
        <f t="shared" si="14"/>
        <v>0</v>
      </c>
    </row>
    <row r="145" spans="1:13" ht="12.75" thickBot="1">
      <c r="A145" s="1470" t="s">
        <v>1826</v>
      </c>
      <c r="B145" s="1481" t="s">
        <v>2159</v>
      </c>
      <c r="C145" s="1482"/>
      <c r="D145" s="1482"/>
      <c r="E145" s="1483">
        <f>+C145+D145</f>
        <v>0</v>
      </c>
      <c r="J145" s="118">
        <v>0</v>
      </c>
      <c r="K145" s="118">
        <f t="shared" si="14"/>
        <v>0</v>
      </c>
      <c r="L145" s="859"/>
      <c r="M145" s="859"/>
    </row>
    <row r="146" spans="1:13" ht="12.75" thickBot="1">
      <c r="A146" s="1484" t="s">
        <v>1828</v>
      </c>
      <c r="B146" s="1485" t="s">
        <v>2160</v>
      </c>
      <c r="C146" s="1486">
        <v>0</v>
      </c>
      <c r="D146" s="1486">
        <v>0</v>
      </c>
      <c r="E146" s="1487">
        <f>+C146+D146</f>
        <v>0</v>
      </c>
      <c r="J146" s="118">
        <v>0</v>
      </c>
      <c r="K146" s="118">
        <f t="shared" si="14"/>
        <v>0</v>
      </c>
    </row>
    <row r="147" spans="1:13" s="859" customFormat="1" ht="12.75" thickBot="1">
      <c r="A147" s="1484" t="s">
        <v>1830</v>
      </c>
      <c r="B147" s="1485" t="s">
        <v>2161</v>
      </c>
      <c r="C147" s="1486">
        <f>SUM(C148:C151)</f>
        <v>330</v>
      </c>
      <c r="D147" s="1486">
        <f>SUM(D148:D151)</f>
        <v>0</v>
      </c>
      <c r="E147" s="1487">
        <f>SUM(E148:E151)</f>
        <v>330</v>
      </c>
      <c r="J147" s="119">
        <v>329588</v>
      </c>
      <c r="K147" s="118">
        <f t="shared" si="14"/>
        <v>0</v>
      </c>
      <c r="L147" s="864"/>
      <c r="M147" s="864"/>
    </row>
    <row r="148" spans="1:13" s="859" customFormat="1">
      <c r="A148" s="1488" t="s">
        <v>1832</v>
      </c>
      <c r="B148" s="1489" t="s">
        <v>2162</v>
      </c>
      <c r="C148" s="1490"/>
      <c r="D148" s="1490"/>
      <c r="E148" s="1491">
        <f>+C148+D148</f>
        <v>0</v>
      </c>
      <c r="J148" s="119">
        <v>0</v>
      </c>
      <c r="K148" s="118">
        <f t="shared" si="14"/>
        <v>0</v>
      </c>
      <c r="L148" s="864"/>
      <c r="M148" s="864"/>
    </row>
    <row r="149" spans="1:13">
      <c r="A149" s="1477" t="s">
        <v>1834</v>
      </c>
      <c r="B149" s="1478" t="s">
        <v>2163</v>
      </c>
      <c r="C149" s="1479">
        <v>330</v>
      </c>
      <c r="D149" s="1479"/>
      <c r="E149" s="1480">
        <f>+C149+D149</f>
        <v>330</v>
      </c>
      <c r="J149" s="118">
        <v>329588</v>
      </c>
      <c r="K149" s="118">
        <f t="shared" si="14"/>
        <v>0</v>
      </c>
      <c r="L149" s="859"/>
      <c r="M149" s="859"/>
    </row>
    <row r="150" spans="1:13">
      <c r="A150" s="1477" t="s">
        <v>1836</v>
      </c>
      <c r="B150" s="1478" t="s">
        <v>2164</v>
      </c>
      <c r="C150" s="1479"/>
      <c r="D150" s="1479"/>
      <c r="E150" s="1480">
        <f>+C150+D150</f>
        <v>0</v>
      </c>
      <c r="J150" s="118">
        <v>0</v>
      </c>
      <c r="K150" s="118">
        <f t="shared" si="14"/>
        <v>0</v>
      </c>
      <c r="L150" s="859"/>
      <c r="M150" s="859"/>
    </row>
    <row r="151" spans="1:13" ht="12.75" thickBot="1">
      <c r="A151" s="1470" t="s">
        <v>1838</v>
      </c>
      <c r="B151" s="1481" t="s">
        <v>2165</v>
      </c>
      <c r="C151" s="1482"/>
      <c r="D151" s="1482"/>
      <c r="E151" s="1483">
        <f>+C151+D151</f>
        <v>0</v>
      </c>
      <c r="J151" s="118">
        <v>0</v>
      </c>
      <c r="K151" s="118">
        <f t="shared" si="14"/>
        <v>0</v>
      </c>
    </row>
    <row r="152" spans="1:13" ht="12.75" thickBot="1">
      <c r="A152" s="1484" t="s">
        <v>1840</v>
      </c>
      <c r="B152" s="1485" t="s">
        <v>2166</v>
      </c>
      <c r="C152" s="1486">
        <f>SUM(C153:C168)</f>
        <v>18</v>
      </c>
      <c r="D152" s="1486">
        <f>SUM(D153:D168)</f>
        <v>0</v>
      </c>
      <c r="E152" s="1487">
        <f>SUM(E153:E168)</f>
        <v>18</v>
      </c>
      <c r="J152" s="118">
        <v>18400</v>
      </c>
      <c r="K152" s="118">
        <f t="shared" si="14"/>
        <v>0</v>
      </c>
    </row>
    <row r="153" spans="1:13">
      <c r="A153" s="1477" t="s">
        <v>1842</v>
      </c>
      <c r="B153" s="1478" t="s">
        <v>2167</v>
      </c>
      <c r="C153" s="1479"/>
      <c r="D153" s="1479"/>
      <c r="E153" s="1480">
        <f t="shared" ref="E153:E168" si="15">+C153+D153</f>
        <v>0</v>
      </c>
      <c r="J153" s="118">
        <v>0</v>
      </c>
      <c r="K153" s="118">
        <f t="shared" si="14"/>
        <v>0</v>
      </c>
    </row>
    <row r="154" spans="1:13">
      <c r="A154" s="1477" t="s">
        <v>1844</v>
      </c>
      <c r="B154" s="1478" t="s">
        <v>2168</v>
      </c>
      <c r="C154" s="1479"/>
      <c r="D154" s="1479"/>
      <c r="E154" s="1480">
        <f t="shared" si="15"/>
        <v>0</v>
      </c>
      <c r="J154" s="118">
        <v>0</v>
      </c>
      <c r="K154" s="118">
        <f t="shared" si="14"/>
        <v>0</v>
      </c>
    </row>
    <row r="155" spans="1:13">
      <c r="A155" s="1477" t="s">
        <v>1845</v>
      </c>
      <c r="B155" s="1478" t="s">
        <v>2169</v>
      </c>
      <c r="C155" s="1479"/>
      <c r="D155" s="1479"/>
      <c r="E155" s="1480">
        <f t="shared" si="15"/>
        <v>0</v>
      </c>
      <c r="J155" s="118">
        <v>0</v>
      </c>
      <c r="K155" s="118">
        <f t="shared" si="14"/>
        <v>0</v>
      </c>
    </row>
    <row r="156" spans="1:13">
      <c r="A156" s="1477" t="s">
        <v>1847</v>
      </c>
      <c r="B156" s="1478" t="s">
        <v>2170</v>
      </c>
      <c r="C156" s="1479"/>
      <c r="D156" s="1479"/>
      <c r="E156" s="1480">
        <f t="shared" si="15"/>
        <v>0</v>
      </c>
      <c r="J156" s="118">
        <v>0</v>
      </c>
      <c r="K156" s="118">
        <f t="shared" si="14"/>
        <v>0</v>
      </c>
    </row>
    <row r="157" spans="1:13">
      <c r="A157" s="1477" t="s">
        <v>1849</v>
      </c>
      <c r="B157" s="1478" t="s">
        <v>2171</v>
      </c>
      <c r="C157" s="1479"/>
      <c r="D157" s="1479"/>
      <c r="E157" s="1480">
        <f t="shared" si="15"/>
        <v>0</v>
      </c>
      <c r="J157" s="118">
        <v>0</v>
      </c>
      <c r="K157" s="118">
        <f t="shared" si="14"/>
        <v>0</v>
      </c>
    </row>
    <row r="158" spans="1:13">
      <c r="A158" s="1477" t="s">
        <v>1851</v>
      </c>
      <c r="B158" s="1478" t="s">
        <v>2172</v>
      </c>
      <c r="C158" s="1479"/>
      <c r="D158" s="1479"/>
      <c r="E158" s="1480">
        <f t="shared" si="15"/>
        <v>0</v>
      </c>
      <c r="J158" s="118">
        <v>0</v>
      </c>
      <c r="K158" s="118">
        <f t="shared" si="14"/>
        <v>0</v>
      </c>
    </row>
    <row r="159" spans="1:13">
      <c r="A159" s="1477" t="s">
        <v>1853</v>
      </c>
      <c r="B159" s="1478" t="s">
        <v>2173</v>
      </c>
      <c r="C159" s="1479">
        <v>18</v>
      </c>
      <c r="D159" s="1479"/>
      <c r="E159" s="1480">
        <f t="shared" si="15"/>
        <v>18</v>
      </c>
      <c r="J159" s="118">
        <v>18400</v>
      </c>
      <c r="K159" s="118">
        <f t="shared" si="14"/>
        <v>0</v>
      </c>
    </row>
    <row r="160" spans="1:13">
      <c r="A160" s="1477" t="s">
        <v>1855</v>
      </c>
      <c r="B160" s="1478" t="s">
        <v>2174</v>
      </c>
      <c r="C160" s="1479"/>
      <c r="D160" s="1479"/>
      <c r="E160" s="1480">
        <f t="shared" si="15"/>
        <v>0</v>
      </c>
      <c r="J160" s="118">
        <v>0</v>
      </c>
      <c r="K160" s="118">
        <f t="shared" si="14"/>
        <v>0</v>
      </c>
    </row>
    <row r="161" spans="1:13">
      <c r="A161" s="1477" t="s">
        <v>1857</v>
      </c>
      <c r="B161" s="1478" t="s">
        <v>2175</v>
      </c>
      <c r="C161" s="1479"/>
      <c r="D161" s="1479"/>
      <c r="E161" s="1480">
        <f t="shared" si="15"/>
        <v>0</v>
      </c>
      <c r="J161" s="118">
        <v>0</v>
      </c>
      <c r="K161" s="118">
        <f t="shared" si="14"/>
        <v>0</v>
      </c>
    </row>
    <row r="162" spans="1:13">
      <c r="A162" s="1477" t="s">
        <v>1859</v>
      </c>
      <c r="B162" s="1478" t="s">
        <v>2176</v>
      </c>
      <c r="C162" s="1479"/>
      <c r="D162" s="1479"/>
      <c r="E162" s="1480">
        <f t="shared" si="15"/>
        <v>0</v>
      </c>
      <c r="J162" s="118">
        <v>0</v>
      </c>
      <c r="K162" s="118">
        <f t="shared" si="14"/>
        <v>0</v>
      </c>
    </row>
    <row r="163" spans="1:13">
      <c r="A163" s="1477" t="s">
        <v>1861</v>
      </c>
      <c r="B163" s="1478" t="s">
        <v>2177</v>
      </c>
      <c r="C163" s="1479"/>
      <c r="D163" s="1479"/>
      <c r="E163" s="1480">
        <f t="shared" si="15"/>
        <v>0</v>
      </c>
      <c r="J163" s="118">
        <v>0</v>
      </c>
      <c r="K163" s="118">
        <f t="shared" si="14"/>
        <v>0</v>
      </c>
    </row>
    <row r="164" spans="1:13">
      <c r="A164" s="1477" t="s">
        <v>1863</v>
      </c>
      <c r="B164" s="1478" t="s">
        <v>2178</v>
      </c>
      <c r="C164" s="1479"/>
      <c r="D164" s="1479"/>
      <c r="E164" s="1480">
        <f t="shared" si="15"/>
        <v>0</v>
      </c>
      <c r="J164" s="118">
        <v>0</v>
      </c>
      <c r="K164" s="118">
        <f t="shared" si="14"/>
        <v>0</v>
      </c>
    </row>
    <row r="165" spans="1:13">
      <c r="A165" s="1477" t="s">
        <v>1865</v>
      </c>
      <c r="B165" s="1478" t="s">
        <v>2179</v>
      </c>
      <c r="C165" s="1479"/>
      <c r="D165" s="1479"/>
      <c r="E165" s="1480">
        <f t="shared" si="15"/>
        <v>0</v>
      </c>
      <c r="J165" s="118">
        <v>0</v>
      </c>
      <c r="K165" s="118">
        <f t="shared" si="14"/>
        <v>0</v>
      </c>
    </row>
    <row r="166" spans="1:13">
      <c r="A166" s="1477" t="s">
        <v>1866</v>
      </c>
      <c r="B166" s="1478" t="s">
        <v>2180</v>
      </c>
      <c r="C166" s="1479"/>
      <c r="D166" s="1479"/>
      <c r="E166" s="1480">
        <f t="shared" si="15"/>
        <v>0</v>
      </c>
      <c r="J166" s="118">
        <v>0</v>
      </c>
      <c r="K166" s="118">
        <f t="shared" si="14"/>
        <v>0</v>
      </c>
    </row>
    <row r="167" spans="1:13" ht="24">
      <c r="A167" s="1477" t="s">
        <v>1868</v>
      </c>
      <c r="B167" s="1478" t="s">
        <v>2181</v>
      </c>
      <c r="C167" s="1479"/>
      <c r="D167" s="1479"/>
      <c r="E167" s="1480">
        <f t="shared" si="15"/>
        <v>0</v>
      </c>
      <c r="J167" s="118">
        <v>0</v>
      </c>
      <c r="K167" s="118">
        <f t="shared" si="14"/>
        <v>0</v>
      </c>
    </row>
    <row r="168" spans="1:13" ht="12.75" thickBot="1">
      <c r="A168" s="1470" t="s">
        <v>1869</v>
      </c>
      <c r="B168" s="1481" t="s">
        <v>2182</v>
      </c>
      <c r="C168" s="1482"/>
      <c r="D168" s="1482"/>
      <c r="E168" s="1483">
        <f t="shared" si="15"/>
        <v>0</v>
      </c>
      <c r="J168" s="118">
        <v>0</v>
      </c>
      <c r="K168" s="118">
        <f t="shared" si="14"/>
        <v>0</v>
      </c>
    </row>
    <row r="169" spans="1:13" ht="12.75" thickBot="1">
      <c r="A169" s="1484" t="s">
        <v>1871</v>
      </c>
      <c r="B169" s="1485" t="s">
        <v>2715</v>
      </c>
      <c r="C169" s="1486">
        <f>+C121+C142+C146+C147+C152</f>
        <v>294191</v>
      </c>
      <c r="D169" s="1486">
        <f>+D121+D142+D146+D147+D152</f>
        <v>0</v>
      </c>
      <c r="E169" s="1487">
        <f>+E121+E142+E146+E147+E152</f>
        <v>294191</v>
      </c>
      <c r="G169" s="118">
        <f>+'1.mell._Össz_Mérleg2020'!E30</f>
        <v>294191</v>
      </c>
      <c r="H169" s="118">
        <f>+G169-E169</f>
        <v>0</v>
      </c>
      <c r="J169" s="118">
        <v>294190506</v>
      </c>
      <c r="K169" s="118">
        <f t="shared" si="14"/>
        <v>0</v>
      </c>
    </row>
    <row r="170" spans="1:13" s="859" customFormat="1" ht="12.75" thickBot="1">
      <c r="A170" s="1484" t="s">
        <v>1873</v>
      </c>
      <c r="B170" s="1485" t="s">
        <v>2183</v>
      </c>
      <c r="C170" s="1486">
        <v>3256</v>
      </c>
      <c r="D170" s="1486"/>
      <c r="E170" s="1487">
        <f>+C170+D170</f>
        <v>3256</v>
      </c>
      <c r="G170" s="118">
        <f>+'1.mell._Össz_Mérleg2020'!E31</f>
        <v>3256</v>
      </c>
      <c r="H170" s="118">
        <f>+G170-E170</f>
        <v>0</v>
      </c>
      <c r="J170" s="119">
        <v>3256143</v>
      </c>
      <c r="K170" s="118">
        <f t="shared" si="14"/>
        <v>0</v>
      </c>
      <c r="L170" s="864"/>
      <c r="M170" s="864"/>
    </row>
    <row r="171" spans="1:13" s="859" customFormat="1">
      <c r="A171" s="1488" t="s">
        <v>1875</v>
      </c>
      <c r="B171" s="1489" t="s">
        <v>2716</v>
      </c>
      <c r="C171" s="1490"/>
      <c r="D171" s="1490"/>
      <c r="E171" s="1491">
        <f t="shared" ref="E171:E188" si="16">+C171+D171</f>
        <v>0</v>
      </c>
      <c r="H171" s="864"/>
      <c r="J171" s="119">
        <v>0</v>
      </c>
      <c r="K171" s="118">
        <f t="shared" si="14"/>
        <v>0</v>
      </c>
      <c r="L171" s="864"/>
      <c r="M171" s="864"/>
    </row>
    <row r="172" spans="1:13">
      <c r="A172" s="1477" t="s">
        <v>1877</v>
      </c>
      <c r="B172" s="1478" t="s">
        <v>2184</v>
      </c>
      <c r="C172" s="1479"/>
      <c r="D172" s="1479"/>
      <c r="E172" s="1480">
        <f t="shared" si="16"/>
        <v>0</v>
      </c>
      <c r="J172" s="118">
        <v>0</v>
      </c>
      <c r="K172" s="118">
        <f t="shared" si="14"/>
        <v>0</v>
      </c>
      <c r="L172" s="859"/>
      <c r="M172" s="859"/>
    </row>
    <row r="173" spans="1:13">
      <c r="A173" s="1477" t="s">
        <v>1879</v>
      </c>
      <c r="B173" s="1478" t="s">
        <v>2185</v>
      </c>
      <c r="C173" s="1479">
        <v>88</v>
      </c>
      <c r="D173" s="1479"/>
      <c r="E173" s="1480">
        <f t="shared" si="16"/>
        <v>88</v>
      </c>
      <c r="J173" s="118">
        <v>88138</v>
      </c>
      <c r="K173" s="118">
        <f t="shared" si="14"/>
        <v>0</v>
      </c>
      <c r="L173" s="859"/>
      <c r="M173" s="859"/>
    </row>
    <row r="174" spans="1:13">
      <c r="A174" s="1477" t="s">
        <v>1881</v>
      </c>
      <c r="B174" s="1478" t="s">
        <v>2186</v>
      </c>
      <c r="C174" s="1479"/>
      <c r="D174" s="1479"/>
      <c r="E174" s="1480">
        <f t="shared" si="16"/>
        <v>0</v>
      </c>
      <c r="J174" s="118">
        <v>0</v>
      </c>
      <c r="K174" s="118">
        <f t="shared" si="14"/>
        <v>0</v>
      </c>
    </row>
    <row r="175" spans="1:13">
      <c r="A175" s="1477" t="s">
        <v>1883</v>
      </c>
      <c r="B175" s="1478" t="s">
        <v>2187</v>
      </c>
      <c r="C175" s="1479"/>
      <c r="D175" s="1479"/>
      <c r="E175" s="1480">
        <f t="shared" si="16"/>
        <v>0</v>
      </c>
      <c r="J175" s="118">
        <v>0</v>
      </c>
      <c r="K175" s="118">
        <f t="shared" si="14"/>
        <v>0</v>
      </c>
    </row>
    <row r="176" spans="1:13" ht="24">
      <c r="A176" s="1477" t="s">
        <v>1885</v>
      </c>
      <c r="B176" s="1478" t="s">
        <v>2188</v>
      </c>
      <c r="C176" s="1479"/>
      <c r="D176" s="1479"/>
      <c r="E176" s="1480">
        <f t="shared" si="16"/>
        <v>0</v>
      </c>
      <c r="J176" s="118">
        <v>0</v>
      </c>
      <c r="K176" s="118">
        <f t="shared" si="14"/>
        <v>0</v>
      </c>
    </row>
    <row r="177" spans="1:13">
      <c r="A177" s="1477" t="s">
        <v>1887</v>
      </c>
      <c r="B177" s="1478" t="s">
        <v>2189</v>
      </c>
      <c r="C177" s="1479"/>
      <c r="D177" s="1479"/>
      <c r="E177" s="1480">
        <f t="shared" si="16"/>
        <v>0</v>
      </c>
      <c r="J177" s="118">
        <v>0</v>
      </c>
      <c r="K177" s="118">
        <f t="shared" si="14"/>
        <v>0</v>
      </c>
    </row>
    <row r="178" spans="1:13">
      <c r="A178" s="1477" t="s">
        <v>1889</v>
      </c>
      <c r="B178" s="1478" t="s">
        <v>2190</v>
      </c>
      <c r="C178" s="1479"/>
      <c r="D178" s="1479"/>
      <c r="E178" s="1480">
        <f t="shared" si="16"/>
        <v>0</v>
      </c>
      <c r="J178" s="118">
        <v>0</v>
      </c>
      <c r="K178" s="118">
        <f t="shared" si="14"/>
        <v>0</v>
      </c>
    </row>
    <row r="179" spans="1:13">
      <c r="A179" s="1477" t="s">
        <v>1891</v>
      </c>
      <c r="B179" s="1478" t="s">
        <v>2191</v>
      </c>
      <c r="C179" s="1479"/>
      <c r="D179" s="1479"/>
      <c r="E179" s="1480">
        <f t="shared" si="16"/>
        <v>0</v>
      </c>
      <c r="J179" s="118">
        <v>0</v>
      </c>
      <c r="K179" s="118">
        <f t="shared" si="14"/>
        <v>0</v>
      </c>
    </row>
    <row r="180" spans="1:13">
      <c r="A180" s="1477" t="s">
        <v>1892</v>
      </c>
      <c r="B180" s="1478" t="s">
        <v>2192</v>
      </c>
      <c r="C180" s="1479"/>
      <c r="D180" s="1479"/>
      <c r="E180" s="1480">
        <f t="shared" si="16"/>
        <v>0</v>
      </c>
      <c r="J180" s="118">
        <v>0</v>
      </c>
      <c r="K180" s="118">
        <f t="shared" si="14"/>
        <v>0</v>
      </c>
    </row>
    <row r="181" spans="1:13" ht="24">
      <c r="A181" s="1488" t="s">
        <v>1893</v>
      </c>
      <c r="B181" s="1489" t="s">
        <v>2193</v>
      </c>
      <c r="C181" s="1490"/>
      <c r="D181" s="1490"/>
      <c r="E181" s="1491">
        <f t="shared" si="16"/>
        <v>0</v>
      </c>
      <c r="G181" s="118"/>
      <c r="J181" s="118">
        <v>0</v>
      </c>
      <c r="K181" s="118">
        <f t="shared" si="14"/>
        <v>0</v>
      </c>
    </row>
    <row r="182" spans="1:13">
      <c r="A182" s="1477" t="s">
        <v>1894</v>
      </c>
      <c r="B182" s="1478" t="s">
        <v>2194</v>
      </c>
      <c r="C182" s="1479">
        <v>878</v>
      </c>
      <c r="D182" s="1479"/>
      <c r="E182" s="1480">
        <f t="shared" si="16"/>
        <v>878</v>
      </c>
      <c r="J182" s="118">
        <v>878568</v>
      </c>
      <c r="K182" s="118">
        <f t="shared" si="14"/>
        <v>1</v>
      </c>
    </row>
    <row r="183" spans="1:13">
      <c r="A183" s="1477" t="s">
        <v>1895</v>
      </c>
      <c r="B183" s="1478" t="s">
        <v>2195</v>
      </c>
      <c r="C183" s="1479"/>
      <c r="D183" s="1479"/>
      <c r="E183" s="1480">
        <f t="shared" si="16"/>
        <v>0</v>
      </c>
      <c r="J183" s="118">
        <v>0</v>
      </c>
      <c r="K183" s="118">
        <f t="shared" si="14"/>
        <v>0</v>
      </c>
    </row>
    <row r="184" spans="1:13">
      <c r="A184" s="1477" t="s">
        <v>1897</v>
      </c>
      <c r="B184" s="1478" t="s">
        <v>2196</v>
      </c>
      <c r="C184" s="1479"/>
      <c r="D184" s="1479"/>
      <c r="E184" s="1480">
        <f t="shared" si="16"/>
        <v>0</v>
      </c>
      <c r="J184" s="118">
        <v>0</v>
      </c>
      <c r="K184" s="118">
        <f t="shared" si="14"/>
        <v>0</v>
      </c>
    </row>
    <row r="185" spans="1:13">
      <c r="A185" s="1477" t="s">
        <v>1899</v>
      </c>
      <c r="B185" s="1478" t="s">
        <v>2197</v>
      </c>
      <c r="C185" s="1479"/>
      <c r="D185" s="1479"/>
      <c r="E185" s="1480">
        <f t="shared" si="16"/>
        <v>0</v>
      </c>
      <c r="J185" s="118">
        <v>0</v>
      </c>
      <c r="K185" s="118">
        <f t="shared" si="14"/>
        <v>0</v>
      </c>
    </row>
    <row r="186" spans="1:13">
      <c r="A186" s="1477" t="s">
        <v>1901</v>
      </c>
      <c r="B186" s="1478" t="s">
        <v>2198</v>
      </c>
      <c r="C186" s="1479">
        <v>721</v>
      </c>
      <c r="D186" s="1479"/>
      <c r="E186" s="1480">
        <f t="shared" si="16"/>
        <v>721</v>
      </c>
      <c r="J186" s="118">
        <v>720638</v>
      </c>
      <c r="K186" s="118">
        <f t="shared" si="14"/>
        <v>0</v>
      </c>
    </row>
    <row r="187" spans="1:13" s="859" customFormat="1">
      <c r="A187" s="1470" t="s">
        <v>1903</v>
      </c>
      <c r="B187" s="1481" t="s">
        <v>2199</v>
      </c>
      <c r="C187" s="1482"/>
      <c r="D187" s="1482"/>
      <c r="E187" s="1483">
        <f t="shared" si="16"/>
        <v>0</v>
      </c>
      <c r="H187" s="864"/>
      <c r="J187" s="119">
        <v>0</v>
      </c>
      <c r="K187" s="118">
        <f t="shared" si="14"/>
        <v>0</v>
      </c>
      <c r="L187" s="864"/>
      <c r="M187" s="864"/>
    </row>
    <row r="188" spans="1:13" s="859" customFormat="1" ht="12.75" thickBot="1">
      <c r="A188" s="1470" t="s">
        <v>1905</v>
      </c>
      <c r="B188" s="1481" t="s">
        <v>2200</v>
      </c>
      <c r="C188" s="1482"/>
      <c r="D188" s="1482"/>
      <c r="E188" s="1483">
        <f t="shared" si="16"/>
        <v>0</v>
      </c>
      <c r="H188" s="864"/>
      <c r="J188" s="119">
        <v>0</v>
      </c>
      <c r="K188" s="118">
        <f t="shared" si="14"/>
        <v>0</v>
      </c>
      <c r="L188" s="864"/>
      <c r="M188" s="864"/>
    </row>
    <row r="189" spans="1:13" s="859" customFormat="1" ht="12.75" thickBot="1">
      <c r="A189" s="1484" t="s">
        <v>1907</v>
      </c>
      <c r="B189" s="1485" t="s">
        <v>2717</v>
      </c>
      <c r="C189" s="1486">
        <f>+C98+C99+C109+C114+C169+C170</f>
        <v>370139</v>
      </c>
      <c r="D189" s="1486">
        <f>+D98+D99+D109+D114+D169+D170</f>
        <v>0</v>
      </c>
      <c r="E189" s="1487">
        <f>+E98+E99+E109+E114+E169+E170</f>
        <v>370139</v>
      </c>
      <c r="G189" s="118"/>
      <c r="J189" s="119">
        <v>370139046</v>
      </c>
      <c r="K189" s="118">
        <f t="shared" si="14"/>
        <v>0</v>
      </c>
    </row>
    <row r="190" spans="1:13" ht="12.75" thickBot="1">
      <c r="A190" s="1484" t="s">
        <v>1909</v>
      </c>
      <c r="B190" s="1485" t="s">
        <v>1539</v>
      </c>
      <c r="C190" s="1486">
        <v>8305</v>
      </c>
      <c r="D190" s="1486"/>
      <c r="E190" s="1487">
        <f t="shared" ref="E190:E202" si="17">+C190+D190</f>
        <v>8305</v>
      </c>
      <c r="G190" s="118">
        <f>+'1.mell._Össz_Mérleg2020'!E33</f>
        <v>8305</v>
      </c>
      <c r="H190" s="118">
        <f>+G190-E190</f>
        <v>0</v>
      </c>
      <c r="J190" s="118">
        <v>8305378</v>
      </c>
      <c r="K190" s="118">
        <f t="shared" si="14"/>
        <v>0</v>
      </c>
      <c r="L190" s="859"/>
      <c r="M190" s="859"/>
    </row>
    <row r="191" spans="1:13" ht="12.75" thickBot="1">
      <c r="A191" s="1484" t="s">
        <v>1911</v>
      </c>
      <c r="B191" s="1485" t="s">
        <v>2201</v>
      </c>
      <c r="C191" s="1486">
        <v>68837</v>
      </c>
      <c r="D191" s="1486"/>
      <c r="E191" s="1487">
        <f t="shared" si="17"/>
        <v>68837</v>
      </c>
      <c r="G191" s="118">
        <f>+'1.mell._Össz_Mérleg2020'!E34</f>
        <v>68837</v>
      </c>
      <c r="H191" s="118">
        <f>+G191-E191</f>
        <v>0</v>
      </c>
      <c r="J191" s="118">
        <v>68836693</v>
      </c>
      <c r="K191" s="118">
        <f t="shared" si="14"/>
        <v>0</v>
      </c>
      <c r="L191" s="859"/>
      <c r="M191" s="859"/>
    </row>
    <row r="192" spans="1:13">
      <c r="A192" s="1488" t="s">
        <v>1913</v>
      </c>
      <c r="B192" s="1489" t="s">
        <v>2718</v>
      </c>
      <c r="C192" s="1490">
        <v>22226</v>
      </c>
      <c r="D192" s="1490"/>
      <c r="E192" s="1491">
        <f t="shared" si="17"/>
        <v>22226</v>
      </c>
      <c r="J192" s="118">
        <v>22226011</v>
      </c>
      <c r="K192" s="118">
        <f t="shared" si="14"/>
        <v>0</v>
      </c>
    </row>
    <row r="193" spans="1:13" s="859" customFormat="1" ht="12.75" thickBot="1">
      <c r="A193" s="1470" t="s">
        <v>1915</v>
      </c>
      <c r="B193" s="1481" t="s">
        <v>2202</v>
      </c>
      <c r="C193" s="1482"/>
      <c r="D193" s="1482"/>
      <c r="E193" s="1483">
        <f t="shared" si="17"/>
        <v>0</v>
      </c>
      <c r="H193" s="864"/>
      <c r="J193" s="119">
        <v>0</v>
      </c>
      <c r="K193" s="118">
        <f t="shared" si="14"/>
        <v>0</v>
      </c>
      <c r="L193" s="864"/>
      <c r="M193" s="864"/>
    </row>
    <row r="194" spans="1:13" ht="12.75" thickBot="1">
      <c r="A194" s="1484" t="s">
        <v>1917</v>
      </c>
      <c r="B194" s="1485" t="s">
        <v>2203</v>
      </c>
      <c r="C194" s="1486">
        <v>16477</v>
      </c>
      <c r="D194" s="1486"/>
      <c r="E194" s="1487">
        <f t="shared" si="17"/>
        <v>16477</v>
      </c>
      <c r="G194" s="118">
        <f>+'1.mell._Össz_Mérleg2020'!E35</f>
        <v>16477</v>
      </c>
      <c r="H194" s="118">
        <f>+G194-E194</f>
        <v>0</v>
      </c>
      <c r="J194" s="118">
        <v>16477110</v>
      </c>
      <c r="K194" s="118">
        <f t="shared" si="14"/>
        <v>0</v>
      </c>
    </row>
    <row r="195" spans="1:13" ht="12.75" thickBot="1">
      <c r="A195" s="1496" t="s">
        <v>1918</v>
      </c>
      <c r="B195" s="1498" t="s">
        <v>2204</v>
      </c>
      <c r="C195" s="1497">
        <v>2907</v>
      </c>
      <c r="D195" s="1497"/>
      <c r="E195" s="1499">
        <f t="shared" si="17"/>
        <v>2907</v>
      </c>
      <c r="J195" s="118">
        <v>2906928</v>
      </c>
      <c r="K195" s="118">
        <f t="shared" si="14"/>
        <v>0</v>
      </c>
      <c r="L195" s="859"/>
      <c r="M195" s="859"/>
    </row>
    <row r="196" spans="1:13" ht="12.75" thickBot="1">
      <c r="A196" s="1484" t="s">
        <v>1919</v>
      </c>
      <c r="B196" s="1485" t="s">
        <v>2205</v>
      </c>
      <c r="C196" s="1486"/>
      <c r="D196" s="1486"/>
      <c r="E196" s="1487">
        <f t="shared" si="17"/>
        <v>0</v>
      </c>
      <c r="G196" s="118">
        <f>+'1.mell._Össz_Mérleg2020'!E36</f>
        <v>0</v>
      </c>
      <c r="H196" s="118">
        <f>+G196-E196</f>
        <v>0</v>
      </c>
      <c r="J196" s="118">
        <v>0</v>
      </c>
      <c r="K196" s="118">
        <f t="shared" si="14"/>
        <v>0</v>
      </c>
    </row>
    <row r="197" spans="1:13">
      <c r="A197" s="1488" t="s">
        <v>1920</v>
      </c>
      <c r="B197" s="1489" t="s">
        <v>2206</v>
      </c>
      <c r="C197" s="1490"/>
      <c r="D197" s="1490"/>
      <c r="E197" s="1491">
        <f t="shared" si="17"/>
        <v>0</v>
      </c>
      <c r="J197" s="118">
        <v>0</v>
      </c>
      <c r="K197" s="118">
        <f t="shared" si="14"/>
        <v>0</v>
      </c>
    </row>
    <row r="198" spans="1:13">
      <c r="A198" s="1477" t="s">
        <v>1922</v>
      </c>
      <c r="B198" s="1478" t="s">
        <v>2207</v>
      </c>
      <c r="C198" s="1479"/>
      <c r="D198" s="1479"/>
      <c r="E198" s="1480">
        <f t="shared" si="17"/>
        <v>0</v>
      </c>
      <c r="J198" s="118">
        <v>0</v>
      </c>
      <c r="K198" s="118">
        <f t="shared" si="14"/>
        <v>0</v>
      </c>
    </row>
    <row r="199" spans="1:13">
      <c r="A199" s="1477" t="s">
        <v>1923</v>
      </c>
      <c r="B199" s="1478" t="s">
        <v>2208</v>
      </c>
      <c r="C199" s="1479"/>
      <c r="D199" s="1479"/>
      <c r="E199" s="1480">
        <f t="shared" si="17"/>
        <v>0</v>
      </c>
      <c r="J199" s="118">
        <v>0</v>
      </c>
      <c r="K199" s="118">
        <f t="shared" ref="K199:K262" si="18">+ROUND(J199/1000,0)-E199</f>
        <v>0</v>
      </c>
    </row>
    <row r="200" spans="1:13">
      <c r="A200" s="1477" t="s">
        <v>1924</v>
      </c>
      <c r="B200" s="1478" t="s">
        <v>2209</v>
      </c>
      <c r="C200" s="1479"/>
      <c r="D200" s="1479"/>
      <c r="E200" s="1480">
        <f t="shared" si="17"/>
        <v>0</v>
      </c>
      <c r="J200" s="118">
        <v>0</v>
      </c>
      <c r="K200" s="118">
        <f t="shared" si="18"/>
        <v>0</v>
      </c>
    </row>
    <row r="201" spans="1:13">
      <c r="A201" s="1477" t="s">
        <v>1925</v>
      </c>
      <c r="B201" s="1478" t="s">
        <v>2719</v>
      </c>
      <c r="C201" s="1479"/>
      <c r="D201" s="1479"/>
      <c r="E201" s="1480">
        <f t="shared" si="17"/>
        <v>0</v>
      </c>
      <c r="J201" s="118">
        <v>0</v>
      </c>
      <c r="K201" s="118">
        <f t="shared" si="18"/>
        <v>0</v>
      </c>
    </row>
    <row r="202" spans="1:13" s="859" customFormat="1" ht="12.75" thickBot="1">
      <c r="A202" s="1470" t="s">
        <v>1926</v>
      </c>
      <c r="B202" s="1481" t="s">
        <v>2210</v>
      </c>
      <c r="C202" s="1482"/>
      <c r="D202" s="1482"/>
      <c r="E202" s="1483">
        <f t="shared" si="17"/>
        <v>0</v>
      </c>
      <c r="H202" s="864"/>
      <c r="J202" s="119">
        <v>0</v>
      </c>
      <c r="K202" s="118">
        <f t="shared" si="18"/>
        <v>0</v>
      </c>
      <c r="L202" s="864"/>
      <c r="M202" s="864"/>
    </row>
    <row r="203" spans="1:13" s="859" customFormat="1" ht="12.75" thickBot="1">
      <c r="A203" s="1484" t="s">
        <v>1927</v>
      </c>
      <c r="B203" s="1485" t="s">
        <v>110</v>
      </c>
      <c r="C203" s="1486">
        <v>5953</v>
      </c>
      <c r="D203" s="1486"/>
      <c r="E203" s="1487">
        <f>+C203+D203</f>
        <v>5953</v>
      </c>
      <c r="G203" s="118">
        <f>+'1.mell._Össz_Mérleg2020'!E37</f>
        <v>5953</v>
      </c>
      <c r="H203" s="118">
        <f>+G203-E203</f>
        <v>0</v>
      </c>
      <c r="J203" s="119">
        <v>5952958</v>
      </c>
      <c r="K203" s="118">
        <f t="shared" si="18"/>
        <v>0</v>
      </c>
      <c r="L203" s="864"/>
      <c r="M203" s="864"/>
    </row>
    <row r="204" spans="1:13" s="859" customFormat="1" ht="12.75" thickBot="1">
      <c r="A204" s="1492" t="s">
        <v>1928</v>
      </c>
      <c r="B204" s="1493" t="s">
        <v>111</v>
      </c>
      <c r="C204" s="1494">
        <f>24540+1</f>
        <v>24541</v>
      </c>
      <c r="D204" s="1494"/>
      <c r="E204" s="1495">
        <f>+C204+D204</f>
        <v>24541</v>
      </c>
      <c r="G204" s="118">
        <f>+'1.mell._Össz_Mérleg2020'!E38</f>
        <v>24540</v>
      </c>
      <c r="H204" s="118">
        <f>+G204-E204</f>
        <v>-1</v>
      </c>
      <c r="J204" s="119">
        <v>24540377</v>
      </c>
      <c r="K204" s="118">
        <f t="shared" si="18"/>
        <v>-1</v>
      </c>
    </row>
    <row r="205" spans="1:13" s="859" customFormat="1" ht="12.75" thickBot="1">
      <c r="A205" s="1484" t="s">
        <v>1929</v>
      </c>
      <c r="B205" s="1485" t="s">
        <v>112</v>
      </c>
      <c r="C205" s="1486">
        <v>2369</v>
      </c>
      <c r="D205" s="1486"/>
      <c r="E205" s="1487">
        <f>+C205+D205</f>
        <v>2369</v>
      </c>
      <c r="G205" s="118">
        <f>+'1.mell._Össz_Mérleg2020'!E39</f>
        <v>2369</v>
      </c>
      <c r="H205" s="118">
        <f>+G205-E205</f>
        <v>0</v>
      </c>
      <c r="J205" s="119">
        <v>2369000</v>
      </c>
      <c r="K205" s="118">
        <f t="shared" si="18"/>
        <v>0</v>
      </c>
    </row>
    <row r="206" spans="1:13" ht="12.75" thickBot="1">
      <c r="A206" s="1484" t="s">
        <v>1930</v>
      </c>
      <c r="B206" s="1485" t="s">
        <v>2211</v>
      </c>
      <c r="C206" s="1486"/>
      <c r="D206" s="1486"/>
      <c r="E206" s="1487">
        <f>+C206+D206</f>
        <v>0</v>
      </c>
      <c r="H206" s="859"/>
      <c r="J206" s="118">
        <v>0</v>
      </c>
      <c r="K206" s="118">
        <f t="shared" si="18"/>
        <v>0</v>
      </c>
      <c r="L206" s="859"/>
      <c r="M206" s="859"/>
    </row>
    <row r="207" spans="1:13">
      <c r="A207" s="1488" t="s">
        <v>1931</v>
      </c>
      <c r="B207" s="1489" t="s">
        <v>2212</v>
      </c>
      <c r="C207" s="1490"/>
      <c r="D207" s="1490"/>
      <c r="E207" s="1491">
        <f t="shared" ref="E207:E276" si="19">+C207+D207</f>
        <v>0</v>
      </c>
      <c r="H207" s="859"/>
      <c r="J207" s="118">
        <v>0</v>
      </c>
      <c r="K207" s="118">
        <f t="shared" si="18"/>
        <v>0</v>
      </c>
      <c r="L207" s="859"/>
      <c r="M207" s="859"/>
    </row>
    <row r="208" spans="1:13" ht="12.75" thickBot="1">
      <c r="A208" s="1496" t="s">
        <v>1932</v>
      </c>
      <c r="B208" s="1498" t="s">
        <v>2213</v>
      </c>
      <c r="C208" s="1497"/>
      <c r="D208" s="1497"/>
      <c r="E208" s="1491">
        <f t="shared" si="19"/>
        <v>0</v>
      </c>
      <c r="J208" s="118">
        <v>0</v>
      </c>
      <c r="K208" s="118">
        <f t="shared" si="18"/>
        <v>0</v>
      </c>
    </row>
    <row r="209" spans="1:13" s="859" customFormat="1" ht="12.75" thickBot="1">
      <c r="A209" s="1484" t="s">
        <v>1933</v>
      </c>
      <c r="B209" s="1485" t="s">
        <v>2214</v>
      </c>
      <c r="C209" s="1486"/>
      <c r="D209" s="1486"/>
      <c r="E209" s="1487">
        <f t="shared" si="19"/>
        <v>0</v>
      </c>
      <c r="H209" s="864"/>
      <c r="J209" s="119">
        <v>359</v>
      </c>
      <c r="K209" s="118">
        <f t="shared" si="18"/>
        <v>0</v>
      </c>
      <c r="L209" s="864"/>
      <c r="M209" s="864"/>
    </row>
    <row r="210" spans="1:13">
      <c r="A210" s="1488" t="s">
        <v>1934</v>
      </c>
      <c r="B210" s="1489" t="s">
        <v>2215</v>
      </c>
      <c r="C210" s="1490"/>
      <c r="D210" s="1490"/>
      <c r="E210" s="1491">
        <f t="shared" si="19"/>
        <v>0</v>
      </c>
      <c r="J210" s="118">
        <v>0</v>
      </c>
      <c r="K210" s="118">
        <f t="shared" si="18"/>
        <v>0</v>
      </c>
    </row>
    <row r="211" spans="1:13" ht="12.75" thickBot="1">
      <c r="A211" s="1470" t="s">
        <v>1935</v>
      </c>
      <c r="B211" s="1481" t="s">
        <v>2216</v>
      </c>
      <c r="C211" s="1482"/>
      <c r="D211" s="1482"/>
      <c r="E211" s="1483">
        <f t="shared" si="19"/>
        <v>0</v>
      </c>
      <c r="H211" s="859"/>
      <c r="J211" s="118">
        <v>0</v>
      </c>
      <c r="K211" s="118">
        <f t="shared" si="18"/>
        <v>0</v>
      </c>
      <c r="L211" s="859"/>
      <c r="M211" s="859"/>
    </row>
    <row r="212" spans="1:13" ht="12.75" thickBot="1">
      <c r="A212" s="1484" t="s">
        <v>1937</v>
      </c>
      <c r="B212" s="1485" t="s">
        <v>2217</v>
      </c>
      <c r="C212" s="1486">
        <f>+C206+C209</f>
        <v>0</v>
      </c>
      <c r="D212" s="1486">
        <f>+D206+D209</f>
        <v>0</v>
      </c>
      <c r="E212" s="1487">
        <f>+E206+E209</f>
        <v>0</v>
      </c>
      <c r="G212" s="118">
        <f>+'1.mell._Össz_Mérleg2020'!E40</f>
        <v>0</v>
      </c>
      <c r="H212" s="118">
        <f>+G212-E212</f>
        <v>0</v>
      </c>
      <c r="J212" s="118">
        <v>359</v>
      </c>
      <c r="K212" s="118">
        <f t="shared" si="18"/>
        <v>0</v>
      </c>
    </row>
    <row r="213" spans="1:13" ht="12.75" thickBot="1">
      <c r="A213" s="1496" t="s">
        <v>1939</v>
      </c>
      <c r="B213" s="1498" t="s">
        <v>2218</v>
      </c>
      <c r="C213" s="1497"/>
      <c r="D213" s="1497"/>
      <c r="E213" s="1499">
        <f t="shared" si="19"/>
        <v>0</v>
      </c>
      <c r="J213" s="118">
        <v>0</v>
      </c>
      <c r="K213" s="118">
        <f t="shared" si="18"/>
        <v>0</v>
      </c>
    </row>
    <row r="214" spans="1:13" s="859" customFormat="1" ht="12.75" thickBot="1">
      <c r="A214" s="1484" t="s">
        <v>1941</v>
      </c>
      <c r="B214" s="1485" t="s">
        <v>2720</v>
      </c>
      <c r="C214" s="1486">
        <v>7</v>
      </c>
      <c r="D214" s="1486"/>
      <c r="E214" s="1487">
        <f t="shared" si="19"/>
        <v>7</v>
      </c>
      <c r="H214" s="864"/>
      <c r="J214" s="119">
        <v>6601</v>
      </c>
      <c r="K214" s="118">
        <f t="shared" si="18"/>
        <v>0</v>
      </c>
      <c r="L214" s="864"/>
      <c r="M214" s="864"/>
    </row>
    <row r="215" spans="1:13" s="859" customFormat="1">
      <c r="A215" s="1488" t="s">
        <v>1943</v>
      </c>
      <c r="B215" s="1489" t="s">
        <v>2219</v>
      </c>
      <c r="C215" s="1490"/>
      <c r="D215" s="1490"/>
      <c r="E215" s="1480">
        <f t="shared" si="19"/>
        <v>0</v>
      </c>
      <c r="H215" s="864"/>
      <c r="J215" s="119">
        <v>0</v>
      </c>
      <c r="K215" s="118">
        <f t="shared" si="18"/>
        <v>0</v>
      </c>
      <c r="L215" s="864"/>
      <c r="M215" s="864"/>
    </row>
    <row r="216" spans="1:13">
      <c r="A216" s="1477" t="s">
        <v>1945</v>
      </c>
      <c r="B216" s="1478" t="s">
        <v>2220</v>
      </c>
      <c r="C216" s="1479"/>
      <c r="D216" s="1479"/>
      <c r="E216" s="1480">
        <f t="shared" si="19"/>
        <v>0</v>
      </c>
      <c r="J216" s="118">
        <v>0</v>
      </c>
      <c r="K216" s="118">
        <f t="shared" si="18"/>
        <v>0</v>
      </c>
      <c r="L216" s="859"/>
      <c r="M216" s="859"/>
    </row>
    <row r="217" spans="1:13">
      <c r="A217" s="1477" t="s">
        <v>1947</v>
      </c>
      <c r="B217" s="1478" t="s">
        <v>2221</v>
      </c>
      <c r="C217" s="1479"/>
      <c r="D217" s="1479"/>
      <c r="E217" s="1480">
        <f t="shared" si="19"/>
        <v>0</v>
      </c>
      <c r="J217" s="118">
        <v>0</v>
      </c>
      <c r="K217" s="118">
        <f t="shared" si="18"/>
        <v>0</v>
      </c>
      <c r="L217" s="859"/>
      <c r="M217" s="859"/>
    </row>
    <row r="218" spans="1:13" s="859" customFormat="1">
      <c r="A218" s="1477" t="s">
        <v>1949</v>
      </c>
      <c r="B218" s="1478" t="s">
        <v>2222</v>
      </c>
      <c r="C218" s="1479"/>
      <c r="D218" s="1479"/>
      <c r="E218" s="1480">
        <f t="shared" si="19"/>
        <v>0</v>
      </c>
      <c r="H218" s="864"/>
      <c r="J218" s="119">
        <v>0</v>
      </c>
      <c r="K218" s="118">
        <f t="shared" si="18"/>
        <v>0</v>
      </c>
      <c r="L218" s="864"/>
      <c r="M218" s="864"/>
    </row>
    <row r="219" spans="1:13" ht="12.75" thickBot="1">
      <c r="A219" s="1470" t="s">
        <v>1951</v>
      </c>
      <c r="B219" s="1481" t="s">
        <v>2223</v>
      </c>
      <c r="C219" s="1482"/>
      <c r="D219" s="1482"/>
      <c r="E219" s="1483">
        <f t="shared" si="19"/>
        <v>0</v>
      </c>
      <c r="J219" s="118">
        <v>38</v>
      </c>
      <c r="K219" s="118">
        <f t="shared" si="18"/>
        <v>0</v>
      </c>
    </row>
    <row r="220" spans="1:13" ht="12.75" thickBot="1">
      <c r="A220" s="1484" t="s">
        <v>1953</v>
      </c>
      <c r="B220" s="1485" t="s">
        <v>2224</v>
      </c>
      <c r="C220" s="1486">
        <f>+C213+C214</f>
        <v>7</v>
      </c>
      <c r="D220" s="1486">
        <f>+D213+D214</f>
        <v>0</v>
      </c>
      <c r="E220" s="1487">
        <f>+E213+E214</f>
        <v>7</v>
      </c>
      <c r="G220" s="118">
        <f>+'1.mell._Össz_Mérleg2020'!E41</f>
        <v>7</v>
      </c>
      <c r="H220" s="118">
        <f>+G220-E220</f>
        <v>0</v>
      </c>
      <c r="J220" s="118">
        <v>6601</v>
      </c>
      <c r="K220" s="118">
        <f t="shared" si="18"/>
        <v>0</v>
      </c>
      <c r="L220" s="859"/>
      <c r="M220" s="859"/>
    </row>
    <row r="221" spans="1:13" ht="12.75" thickBot="1">
      <c r="A221" s="1484" t="s">
        <v>1955</v>
      </c>
      <c r="B221" s="1485" t="s">
        <v>894</v>
      </c>
      <c r="C221" s="1486">
        <v>1022</v>
      </c>
      <c r="D221" s="1486"/>
      <c r="E221" s="1487">
        <f t="shared" si="19"/>
        <v>1022</v>
      </c>
      <c r="G221" s="118">
        <f>+'1.mell._Össz_Mérleg2020'!E42</f>
        <v>1022</v>
      </c>
      <c r="H221" s="118">
        <f>+G221-E221</f>
        <v>0</v>
      </c>
      <c r="J221" s="118">
        <v>1022239</v>
      </c>
      <c r="K221" s="118">
        <f t="shared" si="18"/>
        <v>0</v>
      </c>
    </row>
    <row r="222" spans="1:13" ht="12.75" thickBot="1">
      <c r="A222" s="1484" t="s">
        <v>1956</v>
      </c>
      <c r="B222" s="1485" t="s">
        <v>2225</v>
      </c>
      <c r="C222" s="1486">
        <v>26356</v>
      </c>
      <c r="D222" s="1486"/>
      <c r="E222" s="1487">
        <f t="shared" si="19"/>
        <v>26356</v>
      </c>
      <c r="G222" s="118">
        <f>+'1.mell._Össz_Mérleg2020'!E43</f>
        <v>26356</v>
      </c>
      <c r="H222" s="118">
        <f>+G222-E222</f>
        <v>0</v>
      </c>
      <c r="J222" s="118">
        <v>26355486</v>
      </c>
      <c r="K222" s="118">
        <f t="shared" si="18"/>
        <v>-1</v>
      </c>
    </row>
    <row r="223" spans="1:13" ht="36">
      <c r="A223" s="1488" t="s">
        <v>1958</v>
      </c>
      <c r="B223" s="1489" t="s">
        <v>2226</v>
      </c>
      <c r="C223" s="1490">
        <v>13667</v>
      </c>
      <c r="D223" s="1490"/>
      <c r="E223" s="1491">
        <f t="shared" si="19"/>
        <v>13667</v>
      </c>
      <c r="H223" s="859"/>
      <c r="J223" s="118">
        <v>13666793</v>
      </c>
      <c r="K223" s="118">
        <f t="shared" si="18"/>
        <v>0</v>
      </c>
    </row>
    <row r="224" spans="1:13" ht="12.75" thickBot="1">
      <c r="A224" s="1470" t="s">
        <v>1960</v>
      </c>
      <c r="B224" s="1481" t="s">
        <v>2227</v>
      </c>
      <c r="C224" s="1482">
        <v>6422</v>
      </c>
      <c r="D224" s="1482"/>
      <c r="E224" s="1483">
        <f t="shared" si="19"/>
        <v>6422</v>
      </c>
      <c r="J224" s="118">
        <v>6422131</v>
      </c>
      <c r="K224" s="118">
        <f t="shared" si="18"/>
        <v>0</v>
      </c>
    </row>
    <row r="225" spans="1:13" ht="12.75" thickBot="1">
      <c r="A225" s="1484" t="s">
        <v>1962</v>
      </c>
      <c r="B225" s="1485" t="s">
        <v>2228</v>
      </c>
      <c r="C225" s="1486">
        <f>+C190+C191+C194+C196+C203+C204+C205+C220+C212+C221+C222</f>
        <v>153867</v>
      </c>
      <c r="D225" s="1486">
        <f>+D190+D191+D194+D196+D203+D204+D205+D220+D212+D221+D222</f>
        <v>0</v>
      </c>
      <c r="E225" s="1487">
        <f>+E190+E191+E194+E196+E203+E204+E205+E220+E212+E221+E222</f>
        <v>153867</v>
      </c>
      <c r="J225" s="118">
        <v>153866201</v>
      </c>
      <c r="K225" s="118">
        <f t="shared" si="18"/>
        <v>-1</v>
      </c>
    </row>
    <row r="226" spans="1:13">
      <c r="A226" s="1488" t="s">
        <v>1964</v>
      </c>
      <c r="B226" s="1489" t="s">
        <v>2229</v>
      </c>
      <c r="C226" s="1490"/>
      <c r="D226" s="1490"/>
      <c r="E226" s="1491">
        <f t="shared" si="19"/>
        <v>0</v>
      </c>
      <c r="G226" s="118">
        <f>+'1.mell._Össz_Mérleg2020'!E59</f>
        <v>0</v>
      </c>
      <c r="H226" s="118">
        <f>+G226-E226</f>
        <v>0</v>
      </c>
      <c r="J226" s="118">
        <v>0</v>
      </c>
      <c r="K226" s="118">
        <f t="shared" si="18"/>
        <v>0</v>
      </c>
    </row>
    <row r="227" spans="1:13" s="859" customFormat="1">
      <c r="A227" s="1477" t="s">
        <v>1966</v>
      </c>
      <c r="B227" s="1478" t="s">
        <v>2230</v>
      </c>
      <c r="C227" s="1479"/>
      <c r="D227" s="1479"/>
      <c r="E227" s="1480">
        <f t="shared" si="19"/>
        <v>0</v>
      </c>
      <c r="J227" s="119">
        <v>0</v>
      </c>
      <c r="K227" s="118">
        <f t="shared" si="18"/>
        <v>0</v>
      </c>
      <c r="L227" s="864"/>
      <c r="M227" s="864"/>
    </row>
    <row r="228" spans="1:13">
      <c r="A228" s="1477" t="s">
        <v>1968</v>
      </c>
      <c r="B228" s="1478" t="s">
        <v>2231</v>
      </c>
      <c r="C228" s="1479">
        <v>41909</v>
      </c>
      <c r="D228" s="1479"/>
      <c r="E228" s="1480">
        <f t="shared" si="19"/>
        <v>41909</v>
      </c>
      <c r="G228" s="118">
        <f>+'1.mell._Össz_Mérleg2020'!E60</f>
        <v>41909</v>
      </c>
      <c r="H228" s="118">
        <f>+G228-E228</f>
        <v>0</v>
      </c>
      <c r="J228" s="118">
        <v>41909000</v>
      </c>
      <c r="K228" s="118">
        <f t="shared" si="18"/>
        <v>0</v>
      </c>
    </row>
    <row r="229" spans="1:13">
      <c r="A229" s="1488" t="s">
        <v>1970</v>
      </c>
      <c r="B229" s="1489" t="s">
        <v>2232</v>
      </c>
      <c r="C229" s="1490"/>
      <c r="D229" s="1490"/>
      <c r="E229" s="1491">
        <f t="shared" si="19"/>
        <v>0</v>
      </c>
      <c r="J229" s="118">
        <v>0</v>
      </c>
      <c r="K229" s="118">
        <f t="shared" si="18"/>
        <v>0</v>
      </c>
      <c r="L229" s="859"/>
      <c r="M229" s="859"/>
    </row>
    <row r="230" spans="1:13">
      <c r="A230" s="1477" t="s">
        <v>1972</v>
      </c>
      <c r="B230" s="1478" t="s">
        <v>122</v>
      </c>
      <c r="C230" s="1479">
        <v>15</v>
      </c>
      <c r="D230" s="1479"/>
      <c r="E230" s="1480">
        <f t="shared" si="19"/>
        <v>15</v>
      </c>
      <c r="G230" s="118">
        <f>+'1.mell._Össz_Mérleg2020'!E61</f>
        <v>15</v>
      </c>
      <c r="H230" s="118">
        <f>+G230-E230</f>
        <v>0</v>
      </c>
      <c r="J230" s="118">
        <v>15000</v>
      </c>
      <c r="K230" s="118">
        <f t="shared" si="18"/>
        <v>0</v>
      </c>
    </row>
    <row r="231" spans="1:13" s="859" customFormat="1">
      <c r="A231" s="1477" t="s">
        <v>1974</v>
      </c>
      <c r="B231" s="1478" t="s">
        <v>2233</v>
      </c>
      <c r="C231" s="1479"/>
      <c r="D231" s="1479"/>
      <c r="E231" s="1480">
        <f t="shared" si="19"/>
        <v>0</v>
      </c>
      <c r="G231" s="118">
        <f>+'1.mell._Össz_Mérleg2020'!E62</f>
        <v>0</v>
      </c>
      <c r="H231" s="118">
        <f>+G231-E231</f>
        <v>0</v>
      </c>
      <c r="J231" s="119">
        <v>0</v>
      </c>
      <c r="K231" s="118">
        <f t="shared" si="18"/>
        <v>0</v>
      </c>
      <c r="L231" s="864"/>
      <c r="M231" s="864"/>
    </row>
    <row r="232" spans="1:13">
      <c r="A232" s="1477" t="s">
        <v>1976</v>
      </c>
      <c r="B232" s="1478" t="s">
        <v>2234</v>
      </c>
      <c r="C232" s="1479"/>
      <c r="D232" s="1479"/>
      <c r="E232" s="1480">
        <f t="shared" si="19"/>
        <v>0</v>
      </c>
      <c r="H232" s="859"/>
      <c r="J232" s="118">
        <v>0</v>
      </c>
      <c r="K232" s="118">
        <f t="shared" si="18"/>
        <v>0</v>
      </c>
    </row>
    <row r="233" spans="1:13" ht="12.75" thickBot="1">
      <c r="A233" s="1470" t="s">
        <v>1977</v>
      </c>
      <c r="B233" s="1481" t="s">
        <v>124</v>
      </c>
      <c r="C233" s="1482"/>
      <c r="D233" s="1482"/>
      <c r="E233" s="1483">
        <f t="shared" si="19"/>
        <v>0</v>
      </c>
      <c r="G233" s="118">
        <f>+'1.mell._Össz_Mérleg2020'!E63</f>
        <v>0</v>
      </c>
      <c r="H233" s="118">
        <f>+G233-E233</f>
        <v>0</v>
      </c>
      <c r="J233" s="118">
        <v>0</v>
      </c>
      <c r="K233" s="118">
        <f t="shared" si="18"/>
        <v>0</v>
      </c>
      <c r="L233" s="859"/>
      <c r="M233" s="859"/>
    </row>
    <row r="234" spans="1:13" ht="12.75" thickBot="1">
      <c r="A234" s="1484" t="s">
        <v>1979</v>
      </c>
      <c r="B234" s="1485" t="s">
        <v>2235</v>
      </c>
      <c r="C234" s="1486">
        <f>+C226+C228+C230+C231+C233</f>
        <v>41924</v>
      </c>
      <c r="D234" s="1486">
        <f>+D226+D228+D230+D231+D233</f>
        <v>0</v>
      </c>
      <c r="E234" s="1487">
        <f>+E226+E228+E230+E231+E233</f>
        <v>41924</v>
      </c>
      <c r="J234" s="118">
        <v>41924000</v>
      </c>
      <c r="K234" s="118">
        <f t="shared" si="18"/>
        <v>0</v>
      </c>
    </row>
    <row r="235" spans="1:13" ht="12.75" thickBot="1">
      <c r="A235" s="1507" t="s">
        <v>1981</v>
      </c>
      <c r="B235" s="1508" t="s">
        <v>114</v>
      </c>
      <c r="C235" s="1509"/>
      <c r="D235" s="1509"/>
      <c r="E235" s="1510">
        <f t="shared" si="19"/>
        <v>0</v>
      </c>
      <c r="G235" s="118">
        <f>+'1.mell._Össz_Mérleg2020'!E45</f>
        <v>0</v>
      </c>
      <c r="H235" s="118">
        <f>+G235-E235</f>
        <v>0</v>
      </c>
      <c r="J235" s="118">
        <v>0</v>
      </c>
      <c r="K235" s="118">
        <f t="shared" si="18"/>
        <v>0</v>
      </c>
    </row>
    <row r="236" spans="1:13" ht="12.75" thickBot="1">
      <c r="A236" s="1484" t="s">
        <v>1983</v>
      </c>
      <c r="B236" s="1485" t="s">
        <v>896</v>
      </c>
      <c r="C236" s="1486"/>
      <c r="D236" s="1486"/>
      <c r="E236" s="1487">
        <f t="shared" si="19"/>
        <v>0</v>
      </c>
      <c r="G236" s="118">
        <f>+'1.mell._Össz_Mérleg2020'!E46</f>
        <v>0</v>
      </c>
      <c r="H236" s="118">
        <f>+G236-E236</f>
        <v>0</v>
      </c>
      <c r="J236" s="118">
        <v>0</v>
      </c>
      <c r="K236" s="118">
        <f t="shared" si="18"/>
        <v>0</v>
      </c>
    </row>
    <row r="237" spans="1:13" ht="24.75" thickBot="1">
      <c r="A237" s="1511" t="s">
        <v>1985</v>
      </c>
      <c r="B237" s="1512" t="s">
        <v>897</v>
      </c>
      <c r="C237" s="1513"/>
      <c r="D237" s="1513"/>
      <c r="E237" s="1514">
        <f t="shared" si="19"/>
        <v>0</v>
      </c>
      <c r="G237" s="118">
        <f>+'1.mell._Össz_Mérleg2020'!E47</f>
        <v>0</v>
      </c>
      <c r="H237" s="118">
        <f>+G237-E237</f>
        <v>0</v>
      </c>
      <c r="J237" s="118">
        <v>0</v>
      </c>
      <c r="K237" s="118">
        <f t="shared" si="18"/>
        <v>0</v>
      </c>
    </row>
    <row r="238" spans="1:13" ht="24.75" thickBot="1">
      <c r="A238" s="1484" t="s">
        <v>1987</v>
      </c>
      <c r="B238" s="1485" t="s">
        <v>2236</v>
      </c>
      <c r="C238" s="1486">
        <f>SUM(C239:C247)</f>
        <v>3035</v>
      </c>
      <c r="D238" s="1486">
        <f>SUM(D239:D247)</f>
        <v>0</v>
      </c>
      <c r="E238" s="1487">
        <f>SUM(E239:E247)</f>
        <v>3035</v>
      </c>
      <c r="G238" s="118">
        <f>+'1.mell._Össz_Mérleg2020'!E48</f>
        <v>3035</v>
      </c>
      <c r="H238" s="118">
        <f>+G238-E238</f>
        <v>0</v>
      </c>
      <c r="J238" s="118">
        <v>3035000</v>
      </c>
      <c r="K238" s="118">
        <f t="shared" si="18"/>
        <v>0</v>
      </c>
    </row>
    <row r="239" spans="1:13">
      <c r="A239" s="1488" t="s">
        <v>1989</v>
      </c>
      <c r="B239" s="1489" t="s">
        <v>2237</v>
      </c>
      <c r="C239" s="1490"/>
      <c r="D239" s="1490"/>
      <c r="E239" s="1491">
        <f t="shared" si="19"/>
        <v>0</v>
      </c>
      <c r="J239" s="118">
        <v>0</v>
      </c>
      <c r="K239" s="118">
        <f t="shared" si="18"/>
        <v>0</v>
      </c>
    </row>
    <row r="240" spans="1:13">
      <c r="A240" s="1477" t="s">
        <v>1991</v>
      </c>
      <c r="B240" s="1478" t="s">
        <v>2238</v>
      </c>
      <c r="C240" s="1479">
        <v>3000</v>
      </c>
      <c r="D240" s="1479"/>
      <c r="E240" s="1480">
        <f t="shared" si="19"/>
        <v>3000</v>
      </c>
      <c r="J240" s="118">
        <v>3000000</v>
      </c>
      <c r="K240" s="118">
        <f t="shared" si="18"/>
        <v>0</v>
      </c>
    </row>
    <row r="241" spans="1:13" s="859" customFormat="1">
      <c r="A241" s="1477" t="s">
        <v>1993</v>
      </c>
      <c r="B241" s="1478" t="s">
        <v>2239</v>
      </c>
      <c r="C241" s="1479"/>
      <c r="D241" s="1479"/>
      <c r="E241" s="1480">
        <f t="shared" si="19"/>
        <v>0</v>
      </c>
      <c r="H241" s="864"/>
      <c r="J241" s="119">
        <v>0</v>
      </c>
      <c r="K241" s="118">
        <f t="shared" si="18"/>
        <v>0</v>
      </c>
      <c r="L241" s="864"/>
      <c r="M241" s="864"/>
    </row>
    <row r="242" spans="1:13">
      <c r="A242" s="1477" t="s">
        <v>1995</v>
      </c>
      <c r="B242" s="1478" t="s">
        <v>2240</v>
      </c>
      <c r="C242" s="1479">
        <v>35</v>
      </c>
      <c r="D242" s="1479"/>
      <c r="E242" s="1480">
        <f t="shared" si="19"/>
        <v>35</v>
      </c>
      <c r="J242" s="118">
        <v>35000</v>
      </c>
      <c r="K242" s="118">
        <f t="shared" si="18"/>
        <v>0</v>
      </c>
    </row>
    <row r="243" spans="1:13">
      <c r="A243" s="1477" t="s">
        <v>1997</v>
      </c>
      <c r="B243" s="1478" t="s">
        <v>2241</v>
      </c>
      <c r="C243" s="1479"/>
      <c r="D243" s="1479"/>
      <c r="E243" s="1480">
        <f t="shared" si="19"/>
        <v>0</v>
      </c>
      <c r="J243" s="118">
        <v>0</v>
      </c>
      <c r="K243" s="118">
        <f t="shared" si="18"/>
        <v>0</v>
      </c>
      <c r="L243" s="859"/>
      <c r="M243" s="859"/>
    </row>
    <row r="244" spans="1:13">
      <c r="A244" s="1477" t="s">
        <v>1998</v>
      </c>
      <c r="B244" s="1478" t="s">
        <v>2242</v>
      </c>
      <c r="C244" s="1479"/>
      <c r="D244" s="1479"/>
      <c r="E244" s="1480">
        <f t="shared" si="19"/>
        <v>0</v>
      </c>
      <c r="J244" s="118">
        <v>0</v>
      </c>
      <c r="K244" s="118">
        <f t="shared" si="18"/>
        <v>0</v>
      </c>
    </row>
    <row r="245" spans="1:13">
      <c r="A245" s="1477" t="s">
        <v>2000</v>
      </c>
      <c r="B245" s="1478" t="s">
        <v>2721</v>
      </c>
      <c r="C245" s="1479"/>
      <c r="D245" s="1479"/>
      <c r="E245" s="1480">
        <f t="shared" si="19"/>
        <v>0</v>
      </c>
      <c r="H245" s="859"/>
      <c r="J245" s="118">
        <v>0</v>
      </c>
      <c r="K245" s="118">
        <f t="shared" si="18"/>
        <v>0</v>
      </c>
    </row>
    <row r="246" spans="1:13">
      <c r="A246" s="1477" t="s">
        <v>2001</v>
      </c>
      <c r="B246" s="1478" t="s">
        <v>2243</v>
      </c>
      <c r="C246" s="1479"/>
      <c r="D246" s="1479"/>
      <c r="E246" s="1480">
        <f t="shared" si="19"/>
        <v>0</v>
      </c>
      <c r="J246" s="118">
        <v>0</v>
      </c>
      <c r="K246" s="118">
        <f t="shared" si="18"/>
        <v>0</v>
      </c>
    </row>
    <row r="247" spans="1:13" ht="12.75" thickBot="1">
      <c r="A247" s="1470" t="s">
        <v>2003</v>
      </c>
      <c r="B247" s="1481" t="s">
        <v>2244</v>
      </c>
      <c r="C247" s="1482"/>
      <c r="D247" s="1482"/>
      <c r="E247" s="1483">
        <f t="shared" si="19"/>
        <v>0</v>
      </c>
      <c r="J247" s="118">
        <v>0</v>
      </c>
      <c r="K247" s="118">
        <f t="shared" si="18"/>
        <v>0</v>
      </c>
    </row>
    <row r="248" spans="1:13" ht="12.75" thickBot="1">
      <c r="A248" s="1484" t="s">
        <v>2005</v>
      </c>
      <c r="B248" s="1485" t="s">
        <v>2245</v>
      </c>
      <c r="C248" s="1486">
        <f>SUM(C249:C259)</f>
        <v>1710</v>
      </c>
      <c r="D248" s="1486">
        <f>SUM(D249:D259)</f>
        <v>0</v>
      </c>
      <c r="E248" s="1487">
        <f>SUM(E249:E259)</f>
        <v>1710</v>
      </c>
      <c r="G248" s="118">
        <f>+'1.mell._Össz_Mérleg2020'!E49</f>
        <v>1710</v>
      </c>
      <c r="H248" s="118">
        <f>+G248-E248</f>
        <v>0</v>
      </c>
      <c r="J248" s="118">
        <v>1710023</v>
      </c>
      <c r="K248" s="118">
        <f t="shared" si="18"/>
        <v>0</v>
      </c>
    </row>
    <row r="249" spans="1:13">
      <c r="A249" s="1488" t="s">
        <v>2007</v>
      </c>
      <c r="B249" s="1489" t="s">
        <v>2246</v>
      </c>
      <c r="C249" s="1490"/>
      <c r="D249" s="1490"/>
      <c r="E249" s="1491">
        <f t="shared" si="19"/>
        <v>0</v>
      </c>
      <c r="H249" s="859"/>
      <c r="J249" s="118">
        <v>0</v>
      </c>
      <c r="K249" s="118">
        <f t="shared" si="18"/>
        <v>0</v>
      </c>
    </row>
    <row r="250" spans="1:13">
      <c r="A250" s="1477" t="s">
        <v>2009</v>
      </c>
      <c r="B250" s="1478" t="s">
        <v>2247</v>
      </c>
      <c r="C250" s="1479"/>
      <c r="D250" s="1479"/>
      <c r="E250" s="1480">
        <f t="shared" si="19"/>
        <v>0</v>
      </c>
      <c r="J250" s="118">
        <v>0</v>
      </c>
      <c r="K250" s="118">
        <f t="shared" si="18"/>
        <v>0</v>
      </c>
    </row>
    <row r="251" spans="1:13">
      <c r="A251" s="1477" t="s">
        <v>2011</v>
      </c>
      <c r="B251" s="1478" t="s">
        <v>2248</v>
      </c>
      <c r="C251" s="1479">
        <v>450</v>
      </c>
      <c r="D251" s="1479"/>
      <c r="E251" s="1480">
        <f t="shared" si="19"/>
        <v>450</v>
      </c>
      <c r="J251" s="118">
        <v>450000</v>
      </c>
      <c r="K251" s="118">
        <f t="shared" si="18"/>
        <v>0</v>
      </c>
    </row>
    <row r="252" spans="1:13">
      <c r="A252" s="1477" t="s">
        <v>2013</v>
      </c>
      <c r="B252" s="1478" t="s">
        <v>2249</v>
      </c>
      <c r="C252" s="1479">
        <v>720</v>
      </c>
      <c r="D252" s="1479"/>
      <c r="E252" s="1480">
        <f t="shared" si="19"/>
        <v>720</v>
      </c>
      <c r="J252" s="118">
        <v>720023</v>
      </c>
      <c r="K252" s="118">
        <f t="shared" si="18"/>
        <v>0</v>
      </c>
    </row>
    <row r="253" spans="1:13" s="859" customFormat="1">
      <c r="A253" s="1477" t="s">
        <v>2015</v>
      </c>
      <c r="B253" s="1478" t="s">
        <v>2250</v>
      </c>
      <c r="C253" s="1479"/>
      <c r="D253" s="1479"/>
      <c r="E253" s="1480">
        <f t="shared" si="19"/>
        <v>0</v>
      </c>
      <c r="H253" s="864"/>
      <c r="J253" s="119">
        <v>0</v>
      </c>
      <c r="K253" s="118">
        <f t="shared" si="18"/>
        <v>0</v>
      </c>
      <c r="L253" s="864"/>
      <c r="M253" s="864"/>
    </row>
    <row r="254" spans="1:13">
      <c r="A254" s="1477" t="s">
        <v>2017</v>
      </c>
      <c r="B254" s="1478" t="s">
        <v>2251</v>
      </c>
      <c r="C254" s="1479"/>
      <c r="D254" s="1479"/>
      <c r="E254" s="1480">
        <f t="shared" si="19"/>
        <v>0</v>
      </c>
      <c r="J254" s="118">
        <v>0</v>
      </c>
      <c r="K254" s="118">
        <f t="shared" si="18"/>
        <v>0</v>
      </c>
    </row>
    <row r="255" spans="1:13">
      <c r="A255" s="1488" t="s">
        <v>2019</v>
      </c>
      <c r="B255" s="1489" t="s">
        <v>2722</v>
      </c>
      <c r="C255" s="1490"/>
      <c r="D255" s="1490"/>
      <c r="E255" s="1491">
        <f t="shared" si="19"/>
        <v>0</v>
      </c>
      <c r="J255" s="118">
        <v>0</v>
      </c>
      <c r="K255" s="118">
        <f t="shared" si="18"/>
        <v>0</v>
      </c>
      <c r="L255" s="859"/>
      <c r="M255" s="859"/>
    </row>
    <row r="256" spans="1:13">
      <c r="A256" s="1477" t="s">
        <v>2021</v>
      </c>
      <c r="B256" s="1478" t="s">
        <v>2252</v>
      </c>
      <c r="C256" s="1479">
        <v>540</v>
      </c>
      <c r="D256" s="1479"/>
      <c r="E256" s="1480">
        <f t="shared" si="19"/>
        <v>540</v>
      </c>
      <c r="J256" s="118">
        <v>540000</v>
      </c>
      <c r="K256" s="118">
        <f t="shared" si="18"/>
        <v>0</v>
      </c>
    </row>
    <row r="257" spans="1:13">
      <c r="A257" s="1477" t="s">
        <v>2023</v>
      </c>
      <c r="B257" s="1478" t="s">
        <v>2253</v>
      </c>
      <c r="C257" s="1479"/>
      <c r="D257" s="1479"/>
      <c r="E257" s="1480">
        <f t="shared" si="19"/>
        <v>0</v>
      </c>
      <c r="J257" s="118">
        <v>0</v>
      </c>
      <c r="K257" s="118">
        <f t="shared" si="18"/>
        <v>0</v>
      </c>
    </row>
    <row r="258" spans="1:13">
      <c r="A258" s="1477" t="s">
        <v>2024</v>
      </c>
      <c r="B258" s="1478" t="s">
        <v>2254</v>
      </c>
      <c r="C258" s="1479"/>
      <c r="D258" s="1479"/>
      <c r="E258" s="1480">
        <f t="shared" si="19"/>
        <v>0</v>
      </c>
      <c r="J258" s="118">
        <v>0</v>
      </c>
      <c r="K258" s="118">
        <f t="shared" si="18"/>
        <v>0</v>
      </c>
    </row>
    <row r="259" spans="1:13" ht="12.75" thickBot="1">
      <c r="A259" s="1470" t="s">
        <v>2025</v>
      </c>
      <c r="B259" s="1481" t="s">
        <v>2255</v>
      </c>
      <c r="C259" s="1482"/>
      <c r="D259" s="1482"/>
      <c r="E259" s="1483">
        <f t="shared" si="19"/>
        <v>0</v>
      </c>
      <c r="H259" s="859"/>
      <c r="J259" s="118">
        <v>0</v>
      </c>
      <c r="K259" s="118">
        <f t="shared" si="18"/>
        <v>0</v>
      </c>
    </row>
    <row r="260" spans="1:13" ht="12.75" thickBot="1">
      <c r="A260" s="1484" t="s">
        <v>2026</v>
      </c>
      <c r="B260" s="1485" t="s">
        <v>2256</v>
      </c>
      <c r="C260" s="1486">
        <f>+C235+C236+C237+C238+C248</f>
        <v>4745</v>
      </c>
      <c r="D260" s="1486">
        <f>+D235+D236+D237+D238+D248</f>
        <v>0</v>
      </c>
      <c r="E260" s="1487">
        <f>+E235+E236+E237+E238+E248</f>
        <v>4745</v>
      </c>
      <c r="J260" s="118">
        <v>4745023</v>
      </c>
      <c r="K260" s="118">
        <f t="shared" si="18"/>
        <v>0</v>
      </c>
    </row>
    <row r="261" spans="1:13" ht="24.75" thickBot="1">
      <c r="A261" s="1484" t="s">
        <v>2028</v>
      </c>
      <c r="B261" s="1485" t="s">
        <v>125</v>
      </c>
      <c r="C261" s="1486"/>
      <c r="D261" s="1486"/>
      <c r="E261" s="1487">
        <f t="shared" si="19"/>
        <v>0</v>
      </c>
      <c r="G261" s="118">
        <f>+'1.mell._Össz_Mérleg2020'!E65</f>
        <v>0</v>
      </c>
      <c r="H261" s="118">
        <f>+G261-E261</f>
        <v>0</v>
      </c>
      <c r="J261" s="118">
        <v>0</v>
      </c>
      <c r="K261" s="118">
        <f t="shared" si="18"/>
        <v>0</v>
      </c>
    </row>
    <row r="262" spans="1:13" ht="12.75" thickBot="1">
      <c r="A262" s="1492" t="s">
        <v>2030</v>
      </c>
      <c r="B262" s="1493" t="s">
        <v>904</v>
      </c>
      <c r="C262" s="1494"/>
      <c r="D262" s="1494"/>
      <c r="E262" s="1495">
        <f t="shared" si="19"/>
        <v>0</v>
      </c>
      <c r="G262" s="118">
        <f>+'1.mell._Össz_Mérleg2020'!E66</f>
        <v>0</v>
      </c>
      <c r="H262" s="118">
        <f>+G262-E262</f>
        <v>0</v>
      </c>
      <c r="J262" s="118">
        <v>0</v>
      </c>
      <c r="K262" s="118">
        <f t="shared" si="18"/>
        <v>0</v>
      </c>
    </row>
    <row r="263" spans="1:13" ht="24.75" thickBot="1">
      <c r="A263" s="1484" t="s">
        <v>2032</v>
      </c>
      <c r="B263" s="1485" t="s">
        <v>905</v>
      </c>
      <c r="C263" s="1486"/>
      <c r="D263" s="1486"/>
      <c r="E263" s="1487">
        <f t="shared" si="19"/>
        <v>0</v>
      </c>
      <c r="G263" s="118">
        <f>+'1.mell._Össz_Mérleg2020'!E67</f>
        <v>0</v>
      </c>
      <c r="H263" s="118">
        <f>+G263-E263</f>
        <v>0</v>
      </c>
      <c r="J263" s="118">
        <v>0</v>
      </c>
      <c r="K263" s="118">
        <f t="shared" ref="K263:K287" si="20">+ROUND(J263/1000,0)-E263</f>
        <v>0</v>
      </c>
    </row>
    <row r="264" spans="1:13" ht="24.75" thickBot="1">
      <c r="A264" s="1511" t="s">
        <v>2034</v>
      </c>
      <c r="B264" s="1512" t="s">
        <v>2257</v>
      </c>
      <c r="C264" s="1513">
        <f>SUM(C265:C273)</f>
        <v>664</v>
      </c>
      <c r="D264" s="1513">
        <f>SUM(D265:D273)</f>
        <v>0</v>
      </c>
      <c r="E264" s="1514">
        <f>SUM(E265:E273)</f>
        <v>664</v>
      </c>
      <c r="G264" s="118">
        <f>+'1.mell._Össz_Mérleg2020'!E68</f>
        <v>664</v>
      </c>
      <c r="H264" s="118">
        <f>+G264-E264</f>
        <v>0</v>
      </c>
      <c r="J264" s="118">
        <v>663915</v>
      </c>
      <c r="K264" s="118">
        <f t="shared" si="20"/>
        <v>0</v>
      </c>
    </row>
    <row r="265" spans="1:13">
      <c r="A265" s="1488" t="s">
        <v>2036</v>
      </c>
      <c r="B265" s="1489" t="s">
        <v>2258</v>
      </c>
      <c r="C265" s="1490"/>
      <c r="D265" s="1490"/>
      <c r="E265" s="1491">
        <f t="shared" si="19"/>
        <v>0</v>
      </c>
      <c r="J265" s="118">
        <v>0</v>
      </c>
      <c r="K265" s="118">
        <f t="shared" si="20"/>
        <v>0</v>
      </c>
    </row>
    <row r="266" spans="1:13">
      <c r="A266" s="1477" t="s">
        <v>2038</v>
      </c>
      <c r="B266" s="1478" t="s">
        <v>2259</v>
      </c>
      <c r="C266" s="1479"/>
      <c r="D266" s="1479"/>
      <c r="E266" s="1480">
        <f t="shared" si="19"/>
        <v>0</v>
      </c>
      <c r="J266" s="118">
        <v>0</v>
      </c>
      <c r="K266" s="118">
        <f t="shared" si="20"/>
        <v>0</v>
      </c>
    </row>
    <row r="267" spans="1:13" s="859" customFormat="1">
      <c r="A267" s="1477" t="s">
        <v>2040</v>
      </c>
      <c r="B267" s="1478" t="s">
        <v>2260</v>
      </c>
      <c r="C267" s="1479"/>
      <c r="D267" s="1479"/>
      <c r="E267" s="1480">
        <f t="shared" si="19"/>
        <v>0</v>
      </c>
      <c r="H267" s="864"/>
      <c r="J267" s="119">
        <v>0</v>
      </c>
      <c r="K267" s="118">
        <f t="shared" si="20"/>
        <v>0</v>
      </c>
      <c r="L267" s="864"/>
      <c r="M267" s="864"/>
    </row>
    <row r="268" spans="1:13">
      <c r="A268" s="1477" t="s">
        <v>2042</v>
      </c>
      <c r="B268" s="1478" t="s">
        <v>2261</v>
      </c>
      <c r="C268" s="1479">
        <v>664</v>
      </c>
      <c r="D268" s="1479"/>
      <c r="E268" s="1480">
        <f t="shared" si="19"/>
        <v>664</v>
      </c>
      <c r="J268" s="118">
        <v>663915</v>
      </c>
      <c r="K268" s="118">
        <f t="shared" si="20"/>
        <v>0</v>
      </c>
    </row>
    <row r="269" spans="1:13">
      <c r="A269" s="1477" t="s">
        <v>2044</v>
      </c>
      <c r="B269" s="1478" t="s">
        <v>2262</v>
      </c>
      <c r="C269" s="1479"/>
      <c r="D269" s="1479"/>
      <c r="E269" s="1480">
        <f t="shared" si="19"/>
        <v>0</v>
      </c>
      <c r="J269" s="118">
        <v>0</v>
      </c>
      <c r="K269" s="118">
        <f t="shared" si="20"/>
        <v>0</v>
      </c>
      <c r="L269" s="859"/>
      <c r="M269" s="859"/>
    </row>
    <row r="270" spans="1:13">
      <c r="A270" s="1477" t="s">
        <v>2046</v>
      </c>
      <c r="B270" s="1478" t="s">
        <v>2263</v>
      </c>
      <c r="C270" s="1479"/>
      <c r="D270" s="1479"/>
      <c r="E270" s="1480">
        <f t="shared" si="19"/>
        <v>0</v>
      </c>
      <c r="J270" s="118">
        <v>0</v>
      </c>
      <c r="K270" s="118">
        <f t="shared" si="20"/>
        <v>0</v>
      </c>
    </row>
    <row r="271" spans="1:13">
      <c r="A271" s="1477" t="s">
        <v>2047</v>
      </c>
      <c r="B271" s="1478" t="s">
        <v>2723</v>
      </c>
      <c r="C271" s="1479"/>
      <c r="D271" s="1479"/>
      <c r="E271" s="1480">
        <f t="shared" si="19"/>
        <v>0</v>
      </c>
      <c r="H271" s="859"/>
      <c r="J271" s="118">
        <v>0</v>
      </c>
      <c r="K271" s="118">
        <f t="shared" si="20"/>
        <v>0</v>
      </c>
    </row>
    <row r="272" spans="1:13">
      <c r="A272" s="1477" t="s">
        <v>2264</v>
      </c>
      <c r="B272" s="1478" t="s">
        <v>2265</v>
      </c>
      <c r="C272" s="1479"/>
      <c r="D272" s="1479"/>
      <c r="E272" s="1480">
        <f t="shared" si="19"/>
        <v>0</v>
      </c>
      <c r="J272" s="118">
        <v>0</v>
      </c>
      <c r="K272" s="118">
        <f t="shared" si="20"/>
        <v>0</v>
      </c>
    </row>
    <row r="273" spans="1:13" ht="12.75" thickBot="1">
      <c r="A273" s="1470" t="s">
        <v>2266</v>
      </c>
      <c r="B273" s="1481" t="s">
        <v>2267</v>
      </c>
      <c r="C273" s="1482"/>
      <c r="D273" s="1482"/>
      <c r="E273" s="1483">
        <f t="shared" si="19"/>
        <v>0</v>
      </c>
      <c r="J273" s="118">
        <v>0</v>
      </c>
      <c r="K273" s="118">
        <f t="shared" si="20"/>
        <v>0</v>
      </c>
    </row>
    <row r="274" spans="1:13" ht="12.75" thickBot="1">
      <c r="A274" s="1484" t="s">
        <v>2268</v>
      </c>
      <c r="B274" s="1485" t="s">
        <v>2269</v>
      </c>
      <c r="C274" s="1486">
        <f>SUM(C275:C285)</f>
        <v>0</v>
      </c>
      <c r="D274" s="1486">
        <f>SUM(D275:D285)</f>
        <v>0</v>
      </c>
      <c r="E274" s="1487">
        <f>SUM(E275:E285)</f>
        <v>0</v>
      </c>
      <c r="G274" s="118">
        <f>+'1.mell._Össz_Mérleg2020'!E69</f>
        <v>0</v>
      </c>
      <c r="H274" s="118">
        <f>+G274-E274</f>
        <v>0</v>
      </c>
      <c r="J274" s="118">
        <v>0</v>
      </c>
      <c r="K274" s="118">
        <f t="shared" si="20"/>
        <v>0</v>
      </c>
    </row>
    <row r="275" spans="1:13">
      <c r="A275" s="1488" t="s">
        <v>2270</v>
      </c>
      <c r="B275" s="1489" t="s">
        <v>2271</v>
      </c>
      <c r="C275" s="1490"/>
      <c r="D275" s="1490"/>
      <c r="E275" s="1491">
        <f t="shared" si="19"/>
        <v>0</v>
      </c>
      <c r="J275" s="118">
        <v>0</v>
      </c>
      <c r="K275" s="118">
        <f t="shared" si="20"/>
        <v>0</v>
      </c>
    </row>
    <row r="276" spans="1:13">
      <c r="A276" s="1477" t="s">
        <v>2272</v>
      </c>
      <c r="B276" s="1478" t="s">
        <v>2273</v>
      </c>
      <c r="C276" s="1479"/>
      <c r="D276" s="1479"/>
      <c r="E276" s="1480">
        <f t="shared" si="19"/>
        <v>0</v>
      </c>
      <c r="J276" s="118">
        <v>0</v>
      </c>
      <c r="K276" s="118">
        <f t="shared" si="20"/>
        <v>0</v>
      </c>
    </row>
    <row r="277" spans="1:13">
      <c r="A277" s="1477" t="s">
        <v>2274</v>
      </c>
      <c r="B277" s="1478" t="s">
        <v>2275</v>
      </c>
      <c r="C277" s="1479"/>
      <c r="D277" s="1479"/>
      <c r="E277" s="1480">
        <f t="shared" ref="E277:E285" si="21">+C277+D277</f>
        <v>0</v>
      </c>
      <c r="J277" s="118">
        <v>0</v>
      </c>
      <c r="K277" s="118">
        <f t="shared" si="20"/>
        <v>0</v>
      </c>
    </row>
    <row r="278" spans="1:13">
      <c r="A278" s="1477" t="s">
        <v>2276</v>
      </c>
      <c r="B278" s="1478" t="s">
        <v>2277</v>
      </c>
      <c r="C278" s="1479"/>
      <c r="D278" s="1479"/>
      <c r="E278" s="1480">
        <f t="shared" si="21"/>
        <v>0</v>
      </c>
      <c r="J278" s="118">
        <v>0</v>
      </c>
      <c r="K278" s="118">
        <f t="shared" si="20"/>
        <v>0</v>
      </c>
    </row>
    <row r="279" spans="1:13" s="859" customFormat="1">
      <c r="A279" s="1477" t="s">
        <v>2278</v>
      </c>
      <c r="B279" s="1478" t="s">
        <v>2279</v>
      </c>
      <c r="C279" s="1479"/>
      <c r="D279" s="1479"/>
      <c r="E279" s="1480">
        <f t="shared" si="21"/>
        <v>0</v>
      </c>
      <c r="H279" s="864"/>
      <c r="J279" s="119">
        <v>0</v>
      </c>
      <c r="K279" s="118">
        <f t="shared" si="20"/>
        <v>0</v>
      </c>
      <c r="L279" s="864"/>
      <c r="M279" s="864"/>
    </row>
    <row r="280" spans="1:13" s="859" customFormat="1">
      <c r="A280" s="1477" t="s">
        <v>2280</v>
      </c>
      <c r="B280" s="1478" t="s">
        <v>2281</v>
      </c>
      <c r="C280" s="1479"/>
      <c r="D280" s="1479"/>
      <c r="E280" s="1480">
        <f t="shared" si="21"/>
        <v>0</v>
      </c>
      <c r="H280" s="864"/>
      <c r="J280" s="119">
        <v>0</v>
      </c>
      <c r="K280" s="118">
        <f t="shared" si="20"/>
        <v>0</v>
      </c>
      <c r="L280" s="864"/>
      <c r="M280" s="864"/>
    </row>
    <row r="281" spans="1:13">
      <c r="A281" s="1477" t="s">
        <v>2282</v>
      </c>
      <c r="B281" s="1478" t="s">
        <v>2724</v>
      </c>
      <c r="C281" s="1479"/>
      <c r="D281" s="1479"/>
      <c r="E281" s="1480">
        <f t="shared" si="21"/>
        <v>0</v>
      </c>
      <c r="J281" s="118">
        <v>0</v>
      </c>
      <c r="K281" s="118">
        <f t="shared" si="20"/>
        <v>0</v>
      </c>
      <c r="L281" s="859"/>
      <c r="M281" s="859"/>
    </row>
    <row r="282" spans="1:13">
      <c r="A282" s="1477" t="s">
        <v>2283</v>
      </c>
      <c r="B282" s="1478" t="s">
        <v>2284</v>
      </c>
      <c r="C282" s="1479"/>
      <c r="D282" s="1479"/>
      <c r="E282" s="1480">
        <f t="shared" si="21"/>
        <v>0</v>
      </c>
      <c r="J282" s="118">
        <v>0</v>
      </c>
      <c r="K282" s="118">
        <f t="shared" si="20"/>
        <v>0</v>
      </c>
      <c r="L282" s="859"/>
      <c r="M282" s="859"/>
    </row>
    <row r="283" spans="1:13">
      <c r="A283" s="1477" t="s">
        <v>2285</v>
      </c>
      <c r="B283" s="1478" t="s">
        <v>2286</v>
      </c>
      <c r="C283" s="1479"/>
      <c r="D283" s="1479"/>
      <c r="E283" s="1480">
        <f t="shared" si="21"/>
        <v>0</v>
      </c>
      <c r="J283" s="118">
        <v>0</v>
      </c>
      <c r="K283" s="118">
        <f t="shared" si="20"/>
        <v>0</v>
      </c>
    </row>
    <row r="284" spans="1:13">
      <c r="A284" s="1477" t="s">
        <v>2287</v>
      </c>
      <c r="B284" s="1478" t="s">
        <v>2288</v>
      </c>
      <c r="C284" s="1479"/>
      <c r="D284" s="1479"/>
      <c r="E284" s="1480">
        <f t="shared" si="21"/>
        <v>0</v>
      </c>
      <c r="J284" s="118">
        <v>0</v>
      </c>
      <c r="K284" s="118">
        <f t="shared" si="20"/>
        <v>0</v>
      </c>
    </row>
    <row r="285" spans="1:13" ht="12.75" thickBot="1">
      <c r="A285" s="1470" t="s">
        <v>2289</v>
      </c>
      <c r="B285" s="1481" t="s">
        <v>2290</v>
      </c>
      <c r="C285" s="1482"/>
      <c r="D285" s="1482"/>
      <c r="E285" s="1483">
        <f t="shared" si="21"/>
        <v>0</v>
      </c>
      <c r="H285" s="859"/>
      <c r="J285" s="118">
        <v>0</v>
      </c>
      <c r="K285" s="118">
        <f t="shared" si="20"/>
        <v>0</v>
      </c>
    </row>
    <row r="286" spans="1:13" ht="12.75" thickBot="1">
      <c r="A286" s="1484" t="s">
        <v>2291</v>
      </c>
      <c r="B286" s="1485" t="s">
        <v>2292</v>
      </c>
      <c r="C286" s="1486">
        <f>+C261+C262+C263+C264+C274</f>
        <v>664</v>
      </c>
      <c r="D286" s="1486">
        <f>+D261+D262+D263+D264+D274</f>
        <v>0</v>
      </c>
      <c r="E286" s="1487">
        <f>+E261+E262+E263+E264+E274</f>
        <v>664</v>
      </c>
      <c r="J286" s="118">
        <v>663915</v>
      </c>
      <c r="K286" s="118">
        <f t="shared" si="20"/>
        <v>0</v>
      </c>
    </row>
    <row r="287" spans="1:13" ht="12.75" thickBot="1">
      <c r="A287" s="1484" t="s">
        <v>2293</v>
      </c>
      <c r="B287" s="1485" t="s">
        <v>2725</v>
      </c>
      <c r="C287" s="1486">
        <f>+C50+C86+C189+C225+C234+C260+C286</f>
        <v>2138080</v>
      </c>
      <c r="D287" s="1486">
        <f>+D50+D86+D189+D225+D234+D260+D286</f>
        <v>0</v>
      </c>
      <c r="E287" s="1487">
        <f>+E50+E86+E189+E225+E234+E260+E286</f>
        <v>2138080</v>
      </c>
      <c r="G287" s="118">
        <f>+'1.mell._Össz_Mérleg2020'!E70</f>
        <v>2138080</v>
      </c>
      <c r="H287" s="118">
        <f>+G287-E287</f>
        <v>0</v>
      </c>
      <c r="J287" s="118">
        <v>2138079506</v>
      </c>
      <c r="K287" s="118">
        <f t="shared" si="20"/>
        <v>0</v>
      </c>
    </row>
    <row r="288" spans="1:13">
      <c r="A288" s="1515"/>
      <c r="B288" s="1516"/>
      <c r="C288" s="1517"/>
      <c r="D288" s="1517"/>
      <c r="E288" s="1517"/>
    </row>
    <row r="289" spans="5:10">
      <c r="E289" s="118"/>
      <c r="J289" s="118">
        <f>+J287+'18.mell 2020K04'!J37</f>
        <v>5589055708</v>
      </c>
    </row>
    <row r="290" spans="5:10">
      <c r="E290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0" fitToHeight="3" orientation="portrait" r:id="rId1"/>
  <headerFooter alignWithMargins="0">
    <oddHeader>&amp;C16. melléklet - &amp;P. oldal</oddHeader>
  </headerFooter>
  <rowBreaks count="2" manualBreakCount="2">
    <brk id="97" max="4" man="1"/>
    <brk id="189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48"/>
  <sheetViews>
    <sheetView zoomScaleNormal="100" workbookViewId="0">
      <pane ySplit="5" topLeftCell="A6" activePane="bottomLeft" state="frozen"/>
      <selection activeCell="F45" sqref="F45"/>
      <selection pane="bottomLeft" activeCell="A6" sqref="A6"/>
    </sheetView>
  </sheetViews>
  <sheetFormatPr defaultRowHeight="12"/>
  <cols>
    <col min="1" max="1" width="8.140625" style="864" customWidth="1"/>
    <col min="2" max="2" width="82" style="864" customWidth="1"/>
    <col min="3" max="5" width="19.140625" style="864" customWidth="1"/>
    <col min="6" max="6" width="9.140625" style="864"/>
    <col min="7" max="9" width="9.140625" style="864" hidden="1" customWidth="1"/>
    <col min="10" max="10" width="10.140625" style="864" hidden="1" customWidth="1"/>
    <col min="11" max="12" width="0" style="864" hidden="1" customWidth="1"/>
    <col min="13" max="16384" width="9.140625" style="864"/>
  </cols>
  <sheetData>
    <row r="1" spans="1:11" ht="15.75">
      <c r="E1" s="188" t="s">
        <v>2294</v>
      </c>
    </row>
    <row r="2" spans="1:11" s="1755" customFormat="1" ht="15.75">
      <c r="A2" s="1904" t="s">
        <v>2295</v>
      </c>
      <c r="B2" s="1905"/>
      <c r="C2" s="1905"/>
      <c r="D2" s="1905"/>
      <c r="E2" s="1905"/>
      <c r="G2" s="856"/>
    </row>
    <row r="3" spans="1:11" ht="12.75" thickBot="1">
      <c r="A3" s="1503"/>
      <c r="E3" s="238" t="s">
        <v>457</v>
      </c>
    </row>
    <row r="4" spans="1:11" s="1468" customFormat="1" ht="24">
      <c r="A4" s="1465" t="s">
        <v>1561</v>
      </c>
      <c r="B4" s="1466" t="s">
        <v>7</v>
      </c>
      <c r="C4" s="1466" t="s">
        <v>1562</v>
      </c>
      <c r="D4" s="1466" t="s">
        <v>1563</v>
      </c>
      <c r="E4" s="1467" t="s">
        <v>1564</v>
      </c>
      <c r="G4" s="1518"/>
    </row>
    <row r="5" spans="1:11" ht="12.75" thickBot="1">
      <c r="A5" s="1504">
        <v>2</v>
      </c>
      <c r="B5" s="1505">
        <v>3</v>
      </c>
      <c r="C5" s="1505">
        <v>4</v>
      </c>
      <c r="D5" s="1505">
        <v>5</v>
      </c>
      <c r="E5" s="1506">
        <v>6</v>
      </c>
    </row>
    <row r="6" spans="1:11">
      <c r="A6" s="1488" t="s">
        <v>1565</v>
      </c>
      <c r="B6" s="1489" t="s">
        <v>2296</v>
      </c>
      <c r="C6" s="1490"/>
      <c r="D6" s="1490"/>
      <c r="E6" s="1491">
        <f>+C6+D6</f>
        <v>0</v>
      </c>
      <c r="J6" s="118">
        <v>0</v>
      </c>
      <c r="K6" s="118">
        <f t="shared" ref="K6:K45" si="0">+ROUND(J6/1000,0)-E6</f>
        <v>0</v>
      </c>
    </row>
    <row r="7" spans="1:11">
      <c r="A7" s="1477" t="s">
        <v>1567</v>
      </c>
      <c r="B7" s="1478" t="s">
        <v>2297</v>
      </c>
      <c r="C7" s="1479"/>
      <c r="D7" s="1479"/>
      <c r="E7" s="1480">
        <f>+C7+D7</f>
        <v>0</v>
      </c>
      <c r="J7" s="118">
        <v>0</v>
      </c>
      <c r="K7" s="118">
        <f t="shared" si="0"/>
        <v>0</v>
      </c>
    </row>
    <row r="8" spans="1:11">
      <c r="A8" s="1477" t="s">
        <v>1569</v>
      </c>
      <c r="B8" s="1478" t="s">
        <v>2298</v>
      </c>
      <c r="C8" s="1479">
        <f>77940-1</f>
        <v>77939</v>
      </c>
      <c r="D8" s="1479"/>
      <c r="E8" s="1480">
        <f>+C8+D8</f>
        <v>77939</v>
      </c>
      <c r="J8" s="118">
        <v>77939557</v>
      </c>
      <c r="K8" s="118">
        <f t="shared" si="0"/>
        <v>1</v>
      </c>
    </row>
    <row r="9" spans="1:11">
      <c r="A9" s="1477" t="s">
        <v>1571</v>
      </c>
      <c r="B9" s="1478" t="s">
        <v>2299</v>
      </c>
      <c r="C9" s="1479"/>
      <c r="D9" s="1479"/>
      <c r="E9" s="1480">
        <f>+C9+D9</f>
        <v>0</v>
      </c>
      <c r="J9" s="118">
        <v>0</v>
      </c>
      <c r="K9" s="118">
        <f t="shared" si="0"/>
        <v>0</v>
      </c>
    </row>
    <row r="10" spans="1:11" ht="12.75" thickBot="1">
      <c r="A10" s="1470" t="s">
        <v>1573</v>
      </c>
      <c r="B10" s="1481" t="s">
        <v>2300</v>
      </c>
      <c r="C10" s="1482"/>
      <c r="D10" s="1482"/>
      <c r="E10" s="1483">
        <f>+C10+D10</f>
        <v>0</v>
      </c>
      <c r="J10" s="118">
        <v>0</v>
      </c>
      <c r="K10" s="118">
        <f t="shared" si="0"/>
        <v>0</v>
      </c>
    </row>
    <row r="11" spans="1:11" s="859" customFormat="1" ht="12.75" thickBot="1">
      <c r="A11" s="1484" t="s">
        <v>1575</v>
      </c>
      <c r="B11" s="1485" t="s">
        <v>2301</v>
      </c>
      <c r="C11" s="1486">
        <f>+C6+C8+C10</f>
        <v>77939</v>
      </c>
      <c r="D11" s="1486">
        <f>+D6+D8+D10</f>
        <v>0</v>
      </c>
      <c r="E11" s="1487">
        <f>+E6+E8+E10</f>
        <v>77939</v>
      </c>
      <c r="G11" s="118">
        <f>+'1.mell._Össz_Mérleg2020'!E180+'1.mell._Össz_Mérleg2020'!E195</f>
        <v>77939</v>
      </c>
      <c r="H11" s="118">
        <f>+G11-E11</f>
        <v>0</v>
      </c>
      <c r="J11" s="119">
        <v>77939557</v>
      </c>
      <c r="K11" s="118">
        <f t="shared" si="0"/>
        <v>1</v>
      </c>
    </row>
    <row r="12" spans="1:11">
      <c r="A12" s="1496" t="s">
        <v>1577</v>
      </c>
      <c r="B12" s="1498" t="s">
        <v>2302</v>
      </c>
      <c r="C12" s="1497"/>
      <c r="D12" s="1497"/>
      <c r="E12" s="1499">
        <f t="shared" ref="E12:E23" si="1">+C12+D12</f>
        <v>0</v>
      </c>
      <c r="J12" s="118">
        <v>0</v>
      </c>
      <c r="K12" s="118">
        <f t="shared" si="0"/>
        <v>0</v>
      </c>
    </row>
    <row r="13" spans="1:11">
      <c r="A13" s="1477" t="s">
        <v>1579</v>
      </c>
      <c r="B13" s="1478" t="s">
        <v>2303</v>
      </c>
      <c r="C13" s="1479"/>
      <c r="D13" s="1479"/>
      <c r="E13" s="1480">
        <f t="shared" si="1"/>
        <v>0</v>
      </c>
      <c r="J13" s="118">
        <v>0</v>
      </c>
      <c r="K13" s="118">
        <f t="shared" si="0"/>
        <v>0</v>
      </c>
    </row>
    <row r="14" spans="1:11">
      <c r="A14" s="1488" t="s">
        <v>1581</v>
      </c>
      <c r="B14" s="1489" t="s">
        <v>2304</v>
      </c>
      <c r="C14" s="1490"/>
      <c r="D14" s="1490"/>
      <c r="E14" s="1491">
        <f t="shared" si="1"/>
        <v>0</v>
      </c>
      <c r="J14" s="118">
        <v>0</v>
      </c>
      <c r="K14" s="118">
        <f t="shared" si="0"/>
        <v>0</v>
      </c>
    </row>
    <row r="15" spans="1:11">
      <c r="A15" s="1477" t="s">
        <v>1583</v>
      </c>
      <c r="B15" s="1478" t="s">
        <v>2305</v>
      </c>
      <c r="C15" s="1479"/>
      <c r="D15" s="1479"/>
      <c r="E15" s="1480">
        <f t="shared" si="1"/>
        <v>0</v>
      </c>
      <c r="J15" s="118">
        <v>0</v>
      </c>
      <c r="K15" s="118">
        <f t="shared" si="0"/>
        <v>0</v>
      </c>
    </row>
    <row r="16" spans="1:11">
      <c r="A16" s="1477" t="s">
        <v>1585</v>
      </c>
      <c r="B16" s="1478" t="s">
        <v>2306</v>
      </c>
      <c r="C16" s="1479"/>
      <c r="D16" s="1479"/>
      <c r="E16" s="1480">
        <f t="shared" si="1"/>
        <v>0</v>
      </c>
      <c r="J16" s="118">
        <v>0</v>
      </c>
      <c r="K16" s="118">
        <f t="shared" si="0"/>
        <v>0</v>
      </c>
    </row>
    <row r="17" spans="1:11">
      <c r="A17" s="1477" t="s">
        <v>1587</v>
      </c>
      <c r="B17" s="1478" t="s">
        <v>2307</v>
      </c>
      <c r="C17" s="1479"/>
      <c r="D17" s="1479"/>
      <c r="E17" s="1480">
        <f t="shared" si="1"/>
        <v>0</v>
      </c>
      <c r="J17" s="118">
        <v>0</v>
      </c>
      <c r="K17" s="118">
        <f t="shared" si="0"/>
        <v>0</v>
      </c>
    </row>
    <row r="18" spans="1:11">
      <c r="A18" s="1477" t="s">
        <v>1589</v>
      </c>
      <c r="B18" s="1478" t="s">
        <v>2308</v>
      </c>
      <c r="C18" s="1479"/>
      <c r="D18" s="1479"/>
      <c r="E18" s="1480">
        <f t="shared" si="1"/>
        <v>0</v>
      </c>
      <c r="J18" s="118">
        <v>0</v>
      </c>
      <c r="K18" s="118">
        <f t="shared" si="0"/>
        <v>0</v>
      </c>
    </row>
    <row r="19" spans="1:11">
      <c r="A19" s="1477" t="s">
        <v>1591</v>
      </c>
      <c r="B19" s="1478" t="s">
        <v>2309</v>
      </c>
      <c r="C19" s="1479"/>
      <c r="D19" s="1479"/>
      <c r="E19" s="1480">
        <f t="shared" si="1"/>
        <v>0</v>
      </c>
      <c r="J19" s="118">
        <v>0</v>
      </c>
      <c r="K19" s="118">
        <f t="shared" si="0"/>
        <v>0</v>
      </c>
    </row>
    <row r="20" spans="1:11">
      <c r="A20" s="1477" t="s">
        <v>1593</v>
      </c>
      <c r="B20" s="1478" t="s">
        <v>2310</v>
      </c>
      <c r="C20" s="1479"/>
      <c r="D20" s="1479"/>
      <c r="E20" s="1480">
        <f t="shared" si="1"/>
        <v>0</v>
      </c>
      <c r="J20" s="118">
        <v>0</v>
      </c>
      <c r="K20" s="118">
        <f t="shared" si="0"/>
        <v>0</v>
      </c>
    </row>
    <row r="21" spans="1:11">
      <c r="A21" s="1477" t="s">
        <v>1595</v>
      </c>
      <c r="B21" s="1478" t="s">
        <v>2311</v>
      </c>
      <c r="C21" s="1479"/>
      <c r="D21" s="1479"/>
      <c r="E21" s="1480">
        <f t="shared" si="1"/>
        <v>0</v>
      </c>
      <c r="J21" s="118">
        <v>0</v>
      </c>
      <c r="K21" s="118">
        <f t="shared" si="0"/>
        <v>0</v>
      </c>
    </row>
    <row r="22" spans="1:11">
      <c r="A22" s="1477" t="s">
        <v>1597</v>
      </c>
      <c r="B22" s="1478" t="s">
        <v>2312</v>
      </c>
      <c r="C22" s="1479"/>
      <c r="D22" s="1479"/>
      <c r="E22" s="1480">
        <f t="shared" si="1"/>
        <v>0</v>
      </c>
      <c r="J22" s="118">
        <v>0</v>
      </c>
      <c r="K22" s="118">
        <f t="shared" si="0"/>
        <v>0</v>
      </c>
    </row>
    <row r="23" spans="1:11" ht="12.75" thickBot="1">
      <c r="A23" s="1470" t="s">
        <v>1599</v>
      </c>
      <c r="B23" s="1481" t="s">
        <v>2313</v>
      </c>
      <c r="C23" s="1482"/>
      <c r="D23" s="1482"/>
      <c r="E23" s="1483">
        <f t="shared" si="1"/>
        <v>0</v>
      </c>
      <c r="J23" s="118">
        <v>0</v>
      </c>
      <c r="K23" s="118">
        <f t="shared" si="0"/>
        <v>0</v>
      </c>
    </row>
    <row r="24" spans="1:11" ht="12.75" thickBot="1">
      <c r="A24" s="1484" t="s">
        <v>1601</v>
      </c>
      <c r="B24" s="1485" t="s">
        <v>2314</v>
      </c>
      <c r="C24" s="1486">
        <f>+C12+C15+C16+C17+C21+C22</f>
        <v>0</v>
      </c>
      <c r="D24" s="1486">
        <f>+D12+D15+D16+D17+D21+D22</f>
        <v>0</v>
      </c>
      <c r="E24" s="1487">
        <f>+E12+E15+E16+E17+E21+E22</f>
        <v>0</v>
      </c>
      <c r="G24" s="118">
        <f>+'1.mell._Össz_Mérleg2020'!E181+'1.mell._Össz_Mérleg2020'!E196</f>
        <v>0</v>
      </c>
      <c r="H24" s="118">
        <f t="shared" ref="H24:H30" si="2">+G24-E24</f>
        <v>0</v>
      </c>
      <c r="J24" s="118">
        <v>0</v>
      </c>
      <c r="K24" s="118">
        <f t="shared" si="0"/>
        <v>0</v>
      </c>
    </row>
    <row r="25" spans="1:11">
      <c r="A25" s="1488" t="s">
        <v>1603</v>
      </c>
      <c r="B25" s="1489" t="s">
        <v>171</v>
      </c>
      <c r="C25" s="1490"/>
      <c r="D25" s="1490"/>
      <c r="E25" s="1491">
        <f t="shared" ref="E25:E32" si="3">+C25+D25</f>
        <v>0</v>
      </c>
      <c r="G25" s="118">
        <f>+'1.mell._Össz_Mérleg2020'!E182+'1.mell._Össz_Mérleg2020'!E197</f>
        <v>0</v>
      </c>
      <c r="H25" s="118">
        <f t="shared" si="2"/>
        <v>0</v>
      </c>
      <c r="J25" s="118">
        <v>0</v>
      </c>
      <c r="K25" s="118">
        <f t="shared" si="0"/>
        <v>0</v>
      </c>
    </row>
    <row r="26" spans="1:11">
      <c r="A26" s="1477" t="s">
        <v>1605</v>
      </c>
      <c r="B26" s="1478" t="s">
        <v>172</v>
      </c>
      <c r="C26" s="1479">
        <v>31187</v>
      </c>
      <c r="D26" s="1479"/>
      <c r="E26" s="1480">
        <f t="shared" si="3"/>
        <v>31187</v>
      </c>
      <c r="G26" s="118">
        <f>+'1.mell._Össz_Mérleg2020'!E183+'1.mell._Össz_Mérleg2020'!E198</f>
        <v>31187</v>
      </c>
      <c r="H26" s="118">
        <f t="shared" si="2"/>
        <v>0</v>
      </c>
      <c r="J26" s="118">
        <v>31186476</v>
      </c>
      <c r="K26" s="118">
        <f t="shared" si="0"/>
        <v>-1</v>
      </c>
    </row>
    <row r="27" spans="1:11">
      <c r="A27" s="1477" t="s">
        <v>1606</v>
      </c>
      <c r="B27" s="1478" t="s">
        <v>173</v>
      </c>
      <c r="C27" s="1479">
        <f>932988+1</f>
        <v>932989</v>
      </c>
      <c r="D27" s="1479">
        <v>-932989</v>
      </c>
      <c r="E27" s="1480">
        <f t="shared" si="3"/>
        <v>0</v>
      </c>
      <c r="G27" s="118">
        <f>+'1.1.mell._ÖNK_Mérleg2020'!E184+'1.1.mell._ÖNK_Mérleg2020'!E199</f>
        <v>932989</v>
      </c>
      <c r="H27" s="118"/>
      <c r="I27" s="118">
        <f>+G27-C27</f>
        <v>0</v>
      </c>
      <c r="J27" s="118">
        <v>0</v>
      </c>
      <c r="K27" s="118">
        <f t="shared" si="0"/>
        <v>0</v>
      </c>
    </row>
    <row r="28" spans="1:11">
      <c r="A28" s="1477" t="s">
        <v>1608</v>
      </c>
      <c r="B28" s="1478" t="s">
        <v>2315</v>
      </c>
      <c r="C28" s="1479"/>
      <c r="D28" s="1479"/>
      <c r="E28" s="1480">
        <f t="shared" si="3"/>
        <v>0</v>
      </c>
      <c r="G28" s="118">
        <f>+'1.mell._Össz_Mérleg2020'!E185+'1.mell._Össz_Mérleg2020'!E200</f>
        <v>0</v>
      </c>
      <c r="H28" s="118">
        <f t="shared" si="2"/>
        <v>0</v>
      </c>
      <c r="J28" s="118">
        <v>0</v>
      </c>
      <c r="K28" s="118">
        <f t="shared" si="0"/>
        <v>0</v>
      </c>
    </row>
    <row r="29" spans="1:11">
      <c r="A29" s="1477" t="s">
        <v>1610</v>
      </c>
      <c r="B29" s="1478" t="s">
        <v>174</v>
      </c>
      <c r="C29" s="1479"/>
      <c r="D29" s="1479"/>
      <c r="E29" s="1480">
        <f t="shared" si="3"/>
        <v>0</v>
      </c>
      <c r="G29" s="118">
        <f>+'1.mell._Össz_Mérleg2020'!E186+'1.mell._Össz_Mérleg2020'!E201</f>
        <v>0</v>
      </c>
      <c r="H29" s="118">
        <f t="shared" si="2"/>
        <v>0</v>
      </c>
      <c r="J29" s="118">
        <v>0</v>
      </c>
      <c r="K29" s="118">
        <f t="shared" si="0"/>
        <v>0</v>
      </c>
    </row>
    <row r="30" spans="1:11">
      <c r="A30" s="1477" t="s">
        <v>1612</v>
      </c>
      <c r="B30" s="1478" t="s">
        <v>175</v>
      </c>
      <c r="C30" s="1479"/>
      <c r="D30" s="1479"/>
      <c r="E30" s="1480">
        <f t="shared" si="3"/>
        <v>0</v>
      </c>
      <c r="G30" s="118">
        <f>+'1.mell._Össz_Mérleg2020'!E187+'1.mell._Össz_Mérleg2020'!E202</f>
        <v>0</v>
      </c>
      <c r="H30" s="118">
        <f t="shared" si="2"/>
        <v>0</v>
      </c>
      <c r="J30" s="118">
        <v>0</v>
      </c>
      <c r="K30" s="118">
        <f t="shared" si="0"/>
        <v>0</v>
      </c>
    </row>
    <row r="31" spans="1:11">
      <c r="A31" s="1477" t="s">
        <v>1614</v>
      </c>
      <c r="B31" s="1478" t="s">
        <v>2316</v>
      </c>
      <c r="C31" s="1479"/>
      <c r="D31" s="1479"/>
      <c r="E31" s="1480">
        <f t="shared" si="3"/>
        <v>0</v>
      </c>
      <c r="J31" s="118">
        <v>0</v>
      </c>
      <c r="K31" s="118">
        <f t="shared" si="0"/>
        <v>0</v>
      </c>
    </row>
    <row r="32" spans="1:11" ht="12.75" thickBot="1">
      <c r="A32" s="1496" t="s">
        <v>1616</v>
      </c>
      <c r="B32" s="1498" t="s">
        <v>2317</v>
      </c>
      <c r="C32" s="1497"/>
      <c r="D32" s="1497"/>
      <c r="E32" s="1499">
        <f t="shared" si="3"/>
        <v>0</v>
      </c>
      <c r="J32" s="118">
        <v>0</v>
      </c>
      <c r="K32" s="118">
        <f t="shared" si="0"/>
        <v>0</v>
      </c>
    </row>
    <row r="33" spans="1:11" s="859" customFormat="1" ht="12.75" thickBot="1">
      <c r="A33" s="1484" t="s">
        <v>1618</v>
      </c>
      <c r="B33" s="1485" t="s">
        <v>2318</v>
      </c>
      <c r="C33" s="1486">
        <f>+C31+C32</f>
        <v>0</v>
      </c>
      <c r="D33" s="1486">
        <f>+D31+D32</f>
        <v>0</v>
      </c>
      <c r="E33" s="1487">
        <f>+E31+E32</f>
        <v>0</v>
      </c>
      <c r="G33" s="118">
        <f>+'1.mell._Össz_Mérleg2020'!E188+'1.mell._Össz_Mérleg2020'!E203</f>
        <v>0</v>
      </c>
      <c r="H33" s="118">
        <f>+G33-E33</f>
        <v>0</v>
      </c>
      <c r="J33" s="119">
        <v>0</v>
      </c>
      <c r="K33" s="118">
        <f t="shared" si="0"/>
        <v>0</v>
      </c>
    </row>
    <row r="34" spans="1:11" ht="12.75" thickBot="1">
      <c r="A34" s="1484" t="s">
        <v>1620</v>
      </c>
      <c r="B34" s="1485" t="s">
        <v>2319</v>
      </c>
      <c r="C34" s="1486">
        <f>+C11+C24+C25+C26+C27+C28+C29+C30+C33</f>
        <v>1042115</v>
      </c>
      <c r="D34" s="1486">
        <f>+D11+D24+D25+D26+D27+D28+D29+D30+D33</f>
        <v>-932989</v>
      </c>
      <c r="E34" s="1487">
        <f>+E11+E24+E25+E26+E27+E28+E29+E30+E33</f>
        <v>109126</v>
      </c>
      <c r="J34" s="118">
        <v>109126033</v>
      </c>
      <c r="K34" s="118">
        <f t="shared" si="0"/>
        <v>0</v>
      </c>
    </row>
    <row r="35" spans="1:11">
      <c r="A35" s="1488" t="s">
        <v>1622</v>
      </c>
      <c r="B35" s="1489" t="s">
        <v>2320</v>
      </c>
      <c r="C35" s="1490"/>
      <c r="D35" s="1490"/>
      <c r="E35" s="1491">
        <f t="shared" ref="E35:E41" si="4">+C35+D35</f>
        <v>0</v>
      </c>
      <c r="J35" s="118">
        <v>0</v>
      </c>
      <c r="K35" s="118">
        <f t="shared" si="0"/>
        <v>0</v>
      </c>
    </row>
    <row r="36" spans="1:11">
      <c r="A36" s="1477" t="s">
        <v>1624</v>
      </c>
      <c r="B36" s="1478" t="s">
        <v>2321</v>
      </c>
      <c r="C36" s="1479"/>
      <c r="D36" s="1479"/>
      <c r="E36" s="1480">
        <f t="shared" si="4"/>
        <v>0</v>
      </c>
      <c r="J36" s="118">
        <v>0</v>
      </c>
      <c r="K36" s="118">
        <f t="shared" si="0"/>
        <v>0</v>
      </c>
    </row>
    <row r="37" spans="1:11">
      <c r="A37" s="1477" t="s">
        <v>1626</v>
      </c>
      <c r="B37" s="1478" t="s">
        <v>2322</v>
      </c>
      <c r="C37" s="1479"/>
      <c r="D37" s="1479"/>
      <c r="E37" s="1480">
        <f t="shared" si="4"/>
        <v>0</v>
      </c>
      <c r="J37" s="118">
        <v>0</v>
      </c>
      <c r="K37" s="118">
        <f t="shared" si="0"/>
        <v>0</v>
      </c>
    </row>
    <row r="38" spans="1:11">
      <c r="A38" s="1477" t="s">
        <v>1628</v>
      </c>
      <c r="B38" s="1478" t="s">
        <v>2323</v>
      </c>
      <c r="C38" s="1479"/>
      <c r="D38" s="1479"/>
      <c r="E38" s="1480">
        <f t="shared" si="4"/>
        <v>0</v>
      </c>
      <c r="J38" s="118">
        <v>0</v>
      </c>
      <c r="K38" s="118">
        <f t="shared" si="0"/>
        <v>0</v>
      </c>
    </row>
    <row r="39" spans="1:11">
      <c r="A39" s="1477" t="s">
        <v>1630</v>
      </c>
      <c r="B39" s="1478" t="s">
        <v>2324</v>
      </c>
      <c r="C39" s="1479"/>
      <c r="D39" s="1479"/>
      <c r="E39" s="1480">
        <f t="shared" si="4"/>
        <v>0</v>
      </c>
      <c r="J39" s="118">
        <v>0</v>
      </c>
      <c r="K39" s="118">
        <f t="shared" si="0"/>
        <v>0</v>
      </c>
    </row>
    <row r="40" spans="1:11">
      <c r="A40" s="1470" t="s">
        <v>1632</v>
      </c>
      <c r="B40" s="1481" t="s">
        <v>2325</v>
      </c>
      <c r="C40" s="1482"/>
      <c r="D40" s="1482"/>
      <c r="E40" s="1483">
        <f t="shared" si="4"/>
        <v>0</v>
      </c>
      <c r="J40" s="118">
        <v>0</v>
      </c>
      <c r="K40" s="118">
        <f t="shared" si="0"/>
        <v>0</v>
      </c>
    </row>
    <row r="41" spans="1:11" ht="12.75" thickBot="1">
      <c r="A41" s="1470" t="s">
        <v>1634</v>
      </c>
      <c r="B41" s="1481" t="s">
        <v>2326</v>
      </c>
      <c r="C41" s="1482"/>
      <c r="D41" s="1482"/>
      <c r="E41" s="1483">
        <f t="shared" si="4"/>
        <v>0</v>
      </c>
      <c r="J41" s="118">
        <v>0</v>
      </c>
      <c r="K41" s="118">
        <f t="shared" si="0"/>
        <v>0</v>
      </c>
    </row>
    <row r="42" spans="1:11" ht="12.75" thickBot="1">
      <c r="A42" s="1484" t="s">
        <v>1636</v>
      </c>
      <c r="B42" s="1485" t="s">
        <v>2327</v>
      </c>
      <c r="C42" s="1486">
        <f>+C35+C36+C37+C39+C40</f>
        <v>0</v>
      </c>
      <c r="D42" s="1486">
        <f>+D35+D36+D37+D39+D40</f>
        <v>0</v>
      </c>
      <c r="E42" s="1487">
        <f>+E35+E36+E37+E39+E40</f>
        <v>0</v>
      </c>
      <c r="G42" s="118">
        <f>+'1.mell._Össz_Mérleg2020'!E189+'1.mell._Össz_Mérleg2020'!E204</f>
        <v>0</v>
      </c>
      <c r="H42" s="118">
        <f>+G42-E42</f>
        <v>0</v>
      </c>
      <c r="J42" s="118">
        <v>0</v>
      </c>
      <c r="K42" s="118">
        <f t="shared" si="0"/>
        <v>0</v>
      </c>
    </row>
    <row r="43" spans="1:11" ht="12.75" thickBot="1">
      <c r="A43" s="1507" t="s">
        <v>1638</v>
      </c>
      <c r="B43" s="1508" t="s">
        <v>177</v>
      </c>
      <c r="C43" s="1509">
        <v>0</v>
      </c>
      <c r="D43" s="1509">
        <v>0</v>
      </c>
      <c r="E43" s="1510">
        <f>+C43+D43</f>
        <v>0</v>
      </c>
      <c r="G43" s="118">
        <f>+'1.mell._Össz_Mérleg2020'!E190+'1.mell._Össz_Mérleg2020'!E205</f>
        <v>0</v>
      </c>
      <c r="H43" s="118">
        <f>+G43-E43</f>
        <v>0</v>
      </c>
      <c r="J43" s="118">
        <v>0</v>
      </c>
      <c r="K43" s="118">
        <f t="shared" si="0"/>
        <v>0</v>
      </c>
    </row>
    <row r="44" spans="1:11" ht="12.75" thickBot="1">
      <c r="A44" s="1484" t="s">
        <v>1640</v>
      </c>
      <c r="B44" s="1485" t="s">
        <v>934</v>
      </c>
      <c r="C44" s="1486">
        <v>0</v>
      </c>
      <c r="D44" s="1486">
        <v>0</v>
      </c>
      <c r="E44" s="1487">
        <f>+C44+D44</f>
        <v>0</v>
      </c>
      <c r="G44" s="118">
        <f>+'1.mell._Össz_Mérleg2020'!E191+'1.mell._Össz_Mérleg2020'!E206</f>
        <v>0</v>
      </c>
      <c r="H44" s="118">
        <f>+G44-E44</f>
        <v>0</v>
      </c>
      <c r="J44" s="118">
        <v>0</v>
      </c>
      <c r="K44" s="118">
        <f t="shared" si="0"/>
        <v>0</v>
      </c>
    </row>
    <row r="45" spans="1:11" ht="12.75" thickBot="1">
      <c r="A45" s="1511" t="s">
        <v>1642</v>
      </c>
      <c r="B45" s="1512" t="s">
        <v>2328</v>
      </c>
      <c r="C45" s="1513">
        <f>+C34+C42+C43+C44</f>
        <v>1042115</v>
      </c>
      <c r="D45" s="1513">
        <f>+D34+D42+D43+D44</f>
        <v>-932989</v>
      </c>
      <c r="E45" s="1514">
        <f>+E34+E42+E43+E44</f>
        <v>109126</v>
      </c>
      <c r="G45" s="118">
        <f>+'1.mell._Össz_Mérleg2020'!E207</f>
        <v>109126</v>
      </c>
      <c r="H45" s="118">
        <f>+G45-E45</f>
        <v>0</v>
      </c>
      <c r="J45" s="118">
        <v>109126033</v>
      </c>
      <c r="K45" s="118">
        <f t="shared" si="0"/>
        <v>0</v>
      </c>
    </row>
    <row r="46" spans="1:11">
      <c r="K46" s="118"/>
    </row>
    <row r="47" spans="1:11">
      <c r="E47" s="118"/>
      <c r="K47" s="118"/>
    </row>
    <row r="48" spans="1:11">
      <c r="E48" s="118"/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pane ySplit="5" topLeftCell="A6" activePane="bottomLeft" state="frozen"/>
      <selection activeCell="F45" sqref="F45"/>
      <selection pane="bottomLeft" activeCell="A6" sqref="A6"/>
    </sheetView>
  </sheetViews>
  <sheetFormatPr defaultRowHeight="12"/>
  <cols>
    <col min="1" max="1" width="8.140625" style="864" customWidth="1"/>
    <col min="2" max="2" width="82" style="864" customWidth="1"/>
    <col min="3" max="5" width="19.140625" style="864" customWidth="1"/>
    <col min="6" max="6" width="9.140625" style="864"/>
    <col min="7" max="9" width="9.140625" style="864" hidden="1" customWidth="1"/>
    <col min="10" max="10" width="10.85546875" style="864" hidden="1" customWidth="1"/>
    <col min="11" max="11" width="0" style="864" hidden="1" customWidth="1"/>
    <col min="12" max="16384" width="9.140625" style="864"/>
  </cols>
  <sheetData>
    <row r="1" spans="1:11" ht="15.75">
      <c r="E1" s="188" t="s">
        <v>2329</v>
      </c>
    </row>
    <row r="2" spans="1:11" s="1755" customFormat="1" ht="15.75">
      <c r="A2" s="1904" t="s">
        <v>2330</v>
      </c>
      <c r="B2" s="1905"/>
      <c r="C2" s="1905"/>
      <c r="D2" s="1905"/>
      <c r="E2" s="1905"/>
    </row>
    <row r="3" spans="1:11" ht="12.75" thickBot="1">
      <c r="A3" s="1503"/>
      <c r="E3" s="238" t="s">
        <v>457</v>
      </c>
    </row>
    <row r="4" spans="1:11" s="1468" customFormat="1" ht="24">
      <c r="A4" s="1465" t="s">
        <v>1561</v>
      </c>
      <c r="B4" s="1466" t="s">
        <v>7</v>
      </c>
      <c r="C4" s="1466" t="s">
        <v>1562</v>
      </c>
      <c r="D4" s="1466" t="s">
        <v>1563</v>
      </c>
      <c r="E4" s="1467" t="s">
        <v>1564</v>
      </c>
    </row>
    <row r="5" spans="1:11" ht="12.75" thickBot="1">
      <c r="A5" s="1504">
        <v>2</v>
      </c>
      <c r="B5" s="1505">
        <v>3</v>
      </c>
      <c r="C5" s="1505">
        <v>4</v>
      </c>
      <c r="D5" s="1505">
        <v>5</v>
      </c>
      <c r="E5" s="1506">
        <v>6</v>
      </c>
    </row>
    <row r="6" spans="1:11">
      <c r="A6" s="1488" t="s">
        <v>1565</v>
      </c>
      <c r="B6" s="1489" t="s">
        <v>2331</v>
      </c>
      <c r="C6" s="1490">
        <v>9322</v>
      </c>
      <c r="D6" s="1490"/>
      <c r="E6" s="1491">
        <f>+C6+D6</f>
        <v>9322</v>
      </c>
      <c r="J6" s="118">
        <v>9321914</v>
      </c>
      <c r="K6" s="118">
        <f t="shared" ref="K6:K37" si="0">+ROUND(J6/1000,0)-E6</f>
        <v>0</v>
      </c>
    </row>
    <row r="7" spans="1:11">
      <c r="A7" s="1477" t="s">
        <v>1567</v>
      </c>
      <c r="B7" s="1478" t="s">
        <v>2332</v>
      </c>
      <c r="C7" s="1479">
        <f>77940-1</f>
        <v>77939</v>
      </c>
      <c r="D7" s="1479"/>
      <c r="E7" s="1480">
        <f>+C7+D7</f>
        <v>77939</v>
      </c>
      <c r="H7" s="118">
        <f>+C7-'17.mell 2020K03'!C8</f>
        <v>0</v>
      </c>
      <c r="J7" s="118">
        <v>77939557</v>
      </c>
      <c r="K7" s="118">
        <f t="shared" si="0"/>
        <v>1</v>
      </c>
    </row>
    <row r="8" spans="1:11" ht="12.75" thickBot="1">
      <c r="A8" s="1470" t="s">
        <v>1569</v>
      </c>
      <c r="B8" s="1481" t="s">
        <v>2333</v>
      </c>
      <c r="C8" s="1482"/>
      <c r="D8" s="1482"/>
      <c r="E8" s="1483">
        <f>+C8+D8</f>
        <v>0</v>
      </c>
      <c r="J8" s="118">
        <v>0</v>
      </c>
      <c r="K8" s="118">
        <f t="shared" si="0"/>
        <v>0</v>
      </c>
    </row>
    <row r="9" spans="1:11" s="859" customFormat="1" ht="12.75" thickBot="1">
      <c r="A9" s="1484" t="s">
        <v>1571</v>
      </c>
      <c r="B9" s="1485" t="s">
        <v>2334</v>
      </c>
      <c r="C9" s="1486">
        <f>+C6+C7+C8</f>
        <v>87261</v>
      </c>
      <c r="D9" s="1486">
        <f>+D6+D7+D8</f>
        <v>0</v>
      </c>
      <c r="E9" s="1487">
        <f>+E6+E7+E8</f>
        <v>87261</v>
      </c>
      <c r="G9" s="118">
        <f>+'1.mell._Össz_Mérleg2020'!E89+'1.mell._Össz_Mérleg2020'!E74</f>
        <v>87261</v>
      </c>
      <c r="H9" s="118">
        <f>+G9-E9</f>
        <v>0</v>
      </c>
      <c r="J9" s="119">
        <v>87261471</v>
      </c>
      <c r="K9" s="118">
        <f t="shared" si="0"/>
        <v>0</v>
      </c>
    </row>
    <row r="10" spans="1:11">
      <c r="A10" s="1496" t="s">
        <v>1573</v>
      </c>
      <c r="B10" s="1498" t="s">
        <v>2335</v>
      </c>
      <c r="C10" s="1497"/>
      <c r="D10" s="1497"/>
      <c r="E10" s="1499">
        <f t="shared" ref="E10:E15" si="1">+C10+D10</f>
        <v>0</v>
      </c>
      <c r="J10" s="118">
        <v>0</v>
      </c>
      <c r="K10" s="118">
        <f t="shared" si="0"/>
        <v>0</v>
      </c>
    </row>
    <row r="11" spans="1:11">
      <c r="A11" s="1477" t="s">
        <v>1575</v>
      </c>
      <c r="B11" s="1478" t="s">
        <v>2336</v>
      </c>
      <c r="C11" s="1479"/>
      <c r="D11" s="1479"/>
      <c r="E11" s="1480">
        <f t="shared" si="1"/>
        <v>0</v>
      </c>
      <c r="J11" s="118">
        <v>0</v>
      </c>
      <c r="K11" s="118">
        <f t="shared" si="0"/>
        <v>0</v>
      </c>
    </row>
    <row r="12" spans="1:11">
      <c r="A12" s="1488" t="s">
        <v>1577</v>
      </c>
      <c r="B12" s="1489" t="s">
        <v>2337</v>
      </c>
      <c r="C12" s="1490"/>
      <c r="D12" s="1490"/>
      <c r="E12" s="1491">
        <f t="shared" si="1"/>
        <v>0</v>
      </c>
      <c r="J12" s="118">
        <v>0</v>
      </c>
      <c r="K12" s="118">
        <f t="shared" si="0"/>
        <v>0</v>
      </c>
    </row>
    <row r="13" spans="1:11">
      <c r="A13" s="1477" t="s">
        <v>1579</v>
      </c>
      <c r="B13" s="1478" t="s">
        <v>2338</v>
      </c>
      <c r="C13" s="1479"/>
      <c r="D13" s="1479"/>
      <c r="E13" s="1480">
        <f t="shared" si="1"/>
        <v>0</v>
      </c>
      <c r="J13" s="118">
        <v>0</v>
      </c>
      <c r="K13" s="118">
        <f t="shared" si="0"/>
        <v>0</v>
      </c>
    </row>
    <row r="14" spans="1:11">
      <c r="A14" s="1477" t="s">
        <v>1581</v>
      </c>
      <c r="B14" s="1478" t="s">
        <v>2339</v>
      </c>
      <c r="C14" s="1479"/>
      <c r="D14" s="1479"/>
      <c r="E14" s="1480">
        <f t="shared" si="1"/>
        <v>0</v>
      </c>
      <c r="J14" s="118">
        <v>0</v>
      </c>
      <c r="K14" s="118">
        <f t="shared" si="0"/>
        <v>0</v>
      </c>
    </row>
    <row r="15" spans="1:11" ht="12.75" thickBot="1">
      <c r="A15" s="1470" t="s">
        <v>1583</v>
      </c>
      <c r="B15" s="1481" t="s">
        <v>2340</v>
      </c>
      <c r="C15" s="1482"/>
      <c r="D15" s="1482"/>
      <c r="E15" s="1483">
        <f t="shared" si="1"/>
        <v>0</v>
      </c>
      <c r="J15" s="118">
        <v>0</v>
      </c>
      <c r="K15" s="118">
        <f t="shared" si="0"/>
        <v>0</v>
      </c>
    </row>
    <row r="16" spans="1:11" s="859" customFormat="1" ht="12.75" thickBot="1">
      <c r="A16" s="1484" t="s">
        <v>1585</v>
      </c>
      <c r="B16" s="1485" t="s">
        <v>2341</v>
      </c>
      <c r="C16" s="1486">
        <f>+C10+C13+C14+C15</f>
        <v>0</v>
      </c>
      <c r="D16" s="1486">
        <f>+D10+D13+D14+D15</f>
        <v>0</v>
      </c>
      <c r="E16" s="1487">
        <f>+E10+E13+E14+E15</f>
        <v>0</v>
      </c>
      <c r="G16" s="118">
        <f>+'1.mell._Össz_Mérleg2020'!E90+'1.mell._Össz_Mérleg2020'!E75</f>
        <v>0</v>
      </c>
      <c r="H16" s="118">
        <f>+G16-E16</f>
        <v>0</v>
      </c>
      <c r="J16" s="119">
        <v>0</v>
      </c>
      <c r="K16" s="118">
        <f t="shared" si="0"/>
        <v>0</v>
      </c>
    </row>
    <row r="17" spans="1:11">
      <c r="A17" s="1496" t="s">
        <v>1587</v>
      </c>
      <c r="B17" s="1498" t="s">
        <v>2342</v>
      </c>
      <c r="C17" s="1497">
        <v>3326679</v>
      </c>
      <c r="D17" s="1497"/>
      <c r="E17" s="1499">
        <f>+C17+D17</f>
        <v>3326679</v>
      </c>
      <c r="J17" s="118">
        <v>3326678669</v>
      </c>
      <c r="K17" s="118">
        <f t="shared" si="0"/>
        <v>0</v>
      </c>
    </row>
    <row r="18" spans="1:11" ht="12.75" thickBot="1">
      <c r="A18" s="1470" t="s">
        <v>1589</v>
      </c>
      <c r="B18" s="1481" t="s">
        <v>2343</v>
      </c>
      <c r="C18" s="1482"/>
      <c r="D18" s="1482"/>
      <c r="E18" s="1483">
        <f>+C18+D18</f>
        <v>0</v>
      </c>
      <c r="J18" s="118">
        <v>0</v>
      </c>
      <c r="K18" s="118">
        <f t="shared" si="0"/>
        <v>0</v>
      </c>
    </row>
    <row r="19" spans="1:11" ht="12.75" thickBot="1">
      <c r="A19" s="1484" t="s">
        <v>1591</v>
      </c>
      <c r="B19" s="1485" t="s">
        <v>2344</v>
      </c>
      <c r="C19" s="1486">
        <f>+C17+C18</f>
        <v>3326679</v>
      </c>
      <c r="D19" s="1486">
        <f>+D17+D18</f>
        <v>0</v>
      </c>
      <c r="E19" s="1487">
        <f>+E17+E18</f>
        <v>3326679</v>
      </c>
      <c r="G19" s="118">
        <f>+'1.mell._Össz_Mérleg2020'!E91+'1.mell._Össz_Mérleg2020'!E76</f>
        <v>3326679</v>
      </c>
      <c r="H19" s="118">
        <f>+G19-E19</f>
        <v>0</v>
      </c>
      <c r="J19" s="118">
        <v>3326678669</v>
      </c>
      <c r="K19" s="118">
        <f t="shared" si="0"/>
        <v>0</v>
      </c>
    </row>
    <row r="20" spans="1:11">
      <c r="A20" s="1496" t="s">
        <v>1593</v>
      </c>
      <c r="B20" s="1498" t="s">
        <v>248</v>
      </c>
      <c r="C20" s="1497">
        <v>37036</v>
      </c>
      <c r="D20" s="1497"/>
      <c r="E20" s="1499">
        <f t="shared" ref="E20:E26" si="2">+C20+D20</f>
        <v>37036</v>
      </c>
      <c r="G20" s="118">
        <f>+'1.mell._Össz_Mérleg2020'!E92+'1.mell._Össz_Mérleg2020'!E77</f>
        <v>37036</v>
      </c>
      <c r="H20" s="118">
        <f>+G20-E20</f>
        <v>0</v>
      </c>
      <c r="J20" s="118">
        <v>37036062</v>
      </c>
      <c r="K20" s="118">
        <f t="shared" si="0"/>
        <v>0</v>
      </c>
    </row>
    <row r="21" spans="1:11">
      <c r="A21" s="1477" t="s">
        <v>1595</v>
      </c>
      <c r="B21" s="1478" t="s">
        <v>249</v>
      </c>
      <c r="C21" s="1479"/>
      <c r="D21" s="1479"/>
      <c r="E21" s="1480">
        <f t="shared" si="2"/>
        <v>0</v>
      </c>
      <c r="G21" s="118">
        <f>+'1.mell._Össz_Mérleg2020'!E93+'1.mell._Össz_Mérleg2020'!E78</f>
        <v>0</v>
      </c>
      <c r="J21" s="118">
        <v>0</v>
      </c>
      <c r="K21" s="118">
        <f t="shared" si="0"/>
        <v>0</v>
      </c>
    </row>
    <row r="22" spans="1:11">
      <c r="A22" s="1488" t="s">
        <v>1597</v>
      </c>
      <c r="B22" s="1489" t="s">
        <v>250</v>
      </c>
      <c r="C22" s="1479">
        <f>932988+1</f>
        <v>932989</v>
      </c>
      <c r="D22" s="1490">
        <v>-932989</v>
      </c>
      <c r="E22" s="1491">
        <f t="shared" si="2"/>
        <v>0</v>
      </c>
      <c r="G22" s="118">
        <f>+'1.1.mell._ÖNK_Mérleg2020'!E184+'1.1.mell._ÖNK_Mérleg2020'!E199</f>
        <v>932989</v>
      </c>
      <c r="H22" s="118"/>
      <c r="I22" s="118">
        <f>+G22-C22</f>
        <v>0</v>
      </c>
      <c r="J22" s="118">
        <v>0</v>
      </c>
      <c r="K22" s="118">
        <f t="shared" si="0"/>
        <v>0</v>
      </c>
    </row>
    <row r="23" spans="1:11">
      <c r="A23" s="1477" t="s">
        <v>1599</v>
      </c>
      <c r="B23" s="1478" t="s">
        <v>2345</v>
      </c>
      <c r="C23" s="1479"/>
      <c r="D23" s="1479"/>
      <c r="E23" s="1480">
        <f t="shared" si="2"/>
        <v>0</v>
      </c>
      <c r="G23" s="118">
        <f>+'1.mell._Össz_Mérleg2020'!E95+'1.mell._Össz_Mérleg2020'!E80</f>
        <v>0</v>
      </c>
      <c r="I23" s="118">
        <f>+C22-'17.mell 2020K03'!C27</f>
        <v>0</v>
      </c>
      <c r="J23" s="118">
        <v>0</v>
      </c>
      <c r="K23" s="118">
        <f t="shared" si="0"/>
        <v>0</v>
      </c>
    </row>
    <row r="24" spans="1:11">
      <c r="A24" s="1477" t="s">
        <v>1601</v>
      </c>
      <c r="B24" s="1478" t="s">
        <v>244</v>
      </c>
      <c r="C24" s="1479"/>
      <c r="D24" s="1479"/>
      <c r="E24" s="1480">
        <f t="shared" si="2"/>
        <v>0</v>
      </c>
      <c r="G24" s="118">
        <f>+'1.mell._Össz_Mérleg2020'!E96+'1.mell._Össz_Mérleg2020'!E81</f>
        <v>0</v>
      </c>
      <c r="H24" s="118">
        <f>+G24-E24</f>
        <v>0</v>
      </c>
      <c r="J24" s="118">
        <v>0</v>
      </c>
      <c r="K24" s="118">
        <f t="shared" si="0"/>
        <v>0</v>
      </c>
    </row>
    <row r="25" spans="1:11">
      <c r="A25" s="1477" t="s">
        <v>1603</v>
      </c>
      <c r="B25" s="1478" t="s">
        <v>2346</v>
      </c>
      <c r="C25" s="1479"/>
      <c r="D25" s="1479"/>
      <c r="E25" s="1480">
        <f t="shared" si="2"/>
        <v>0</v>
      </c>
      <c r="J25" s="118">
        <v>0</v>
      </c>
      <c r="K25" s="118">
        <f t="shared" si="0"/>
        <v>0</v>
      </c>
    </row>
    <row r="26" spans="1:11" ht="12.75" thickBot="1">
      <c r="A26" s="1470" t="s">
        <v>1605</v>
      </c>
      <c r="B26" s="1481" t="s">
        <v>2347</v>
      </c>
      <c r="C26" s="1482"/>
      <c r="D26" s="1482"/>
      <c r="E26" s="1483">
        <f t="shared" si="2"/>
        <v>0</v>
      </c>
      <c r="J26" s="118">
        <v>0</v>
      </c>
      <c r="K26" s="118">
        <f t="shared" si="0"/>
        <v>0</v>
      </c>
    </row>
    <row r="27" spans="1:11" s="859" customFormat="1" ht="12.75" thickBot="1">
      <c r="A27" s="1484" t="s">
        <v>1606</v>
      </c>
      <c r="B27" s="1485" t="s">
        <v>2348</v>
      </c>
      <c r="C27" s="1486">
        <f>+C25+C26</f>
        <v>0</v>
      </c>
      <c r="D27" s="1486">
        <f>+D25+D26</f>
        <v>0</v>
      </c>
      <c r="E27" s="1487">
        <f>+E25+E26</f>
        <v>0</v>
      </c>
      <c r="G27" s="118">
        <f>+'1.mell._Össz_Mérleg2020'!E97+'1.mell._Össz_Mérleg2020'!E82</f>
        <v>0</v>
      </c>
      <c r="H27" s="118">
        <f>+G27-E27</f>
        <v>0</v>
      </c>
      <c r="J27" s="119">
        <v>0</v>
      </c>
      <c r="K27" s="118">
        <f t="shared" si="0"/>
        <v>0</v>
      </c>
    </row>
    <row r="28" spans="1:11" ht="12.75" thickBot="1">
      <c r="A28" s="1484" t="s">
        <v>1608</v>
      </c>
      <c r="B28" s="1485" t="s">
        <v>2349</v>
      </c>
      <c r="C28" s="1486">
        <f>+C9+C16+C19+C20+C21+C22+C23+C24+C27</f>
        <v>4383965</v>
      </c>
      <c r="D28" s="1486">
        <f>+D9+D16+D19+D20+D21+D22+D23+D24+D27</f>
        <v>-932989</v>
      </c>
      <c r="E28" s="1487">
        <f>+E9+E16+E19+E20+E21+E22+E23+E24+E27</f>
        <v>3450976</v>
      </c>
      <c r="G28" s="118"/>
      <c r="J28" s="118">
        <v>3450976202</v>
      </c>
      <c r="K28" s="118">
        <f t="shared" si="0"/>
        <v>0</v>
      </c>
    </row>
    <row r="29" spans="1:11">
      <c r="A29" s="1488" t="s">
        <v>1610</v>
      </c>
      <c r="B29" s="1489" t="s">
        <v>2350</v>
      </c>
      <c r="C29" s="1490"/>
      <c r="D29" s="1490"/>
      <c r="E29" s="1491">
        <f>+C29+D29</f>
        <v>0</v>
      </c>
      <c r="J29" s="118">
        <v>0</v>
      </c>
      <c r="K29" s="118">
        <f t="shared" si="0"/>
        <v>0</v>
      </c>
    </row>
    <row r="30" spans="1:11">
      <c r="A30" s="1477" t="s">
        <v>1612</v>
      </c>
      <c r="B30" s="1478" t="s">
        <v>2351</v>
      </c>
      <c r="C30" s="1479"/>
      <c r="D30" s="1479"/>
      <c r="E30" s="1480">
        <f>+C30+D30</f>
        <v>0</v>
      </c>
      <c r="J30" s="118">
        <v>0</v>
      </c>
      <c r="K30" s="118">
        <f t="shared" si="0"/>
        <v>0</v>
      </c>
    </row>
    <row r="31" spans="1:11">
      <c r="A31" s="1477" t="s">
        <v>1614</v>
      </c>
      <c r="B31" s="1478" t="s">
        <v>2352</v>
      </c>
      <c r="C31" s="1479"/>
      <c r="D31" s="1479"/>
      <c r="E31" s="1480">
        <f>+C31+D31</f>
        <v>0</v>
      </c>
      <c r="J31" s="118">
        <v>0</v>
      </c>
      <c r="K31" s="118">
        <f t="shared" si="0"/>
        <v>0</v>
      </c>
    </row>
    <row r="32" spans="1:11">
      <c r="A32" s="1477" t="s">
        <v>1616</v>
      </c>
      <c r="B32" s="1478" t="s">
        <v>2353</v>
      </c>
      <c r="C32" s="1479"/>
      <c r="D32" s="1479"/>
      <c r="E32" s="1480">
        <f>+C32+D32</f>
        <v>0</v>
      </c>
      <c r="J32" s="118">
        <v>0</v>
      </c>
      <c r="K32" s="118">
        <f t="shared" si="0"/>
        <v>0</v>
      </c>
    </row>
    <row r="33" spans="1:11" ht="12.75" thickBot="1">
      <c r="A33" s="1470" t="s">
        <v>1618</v>
      </c>
      <c r="B33" s="1481" t="s">
        <v>2354</v>
      </c>
      <c r="C33" s="1482"/>
      <c r="D33" s="1482"/>
      <c r="E33" s="1483">
        <f>+C33+D33</f>
        <v>0</v>
      </c>
      <c r="J33" s="118">
        <v>0</v>
      </c>
      <c r="K33" s="118">
        <f t="shared" si="0"/>
        <v>0</v>
      </c>
    </row>
    <row r="34" spans="1:11" s="859" customFormat="1" ht="12.75" thickBot="1">
      <c r="A34" s="1484" t="s">
        <v>1620</v>
      </c>
      <c r="B34" s="1485" t="s">
        <v>2355</v>
      </c>
      <c r="C34" s="1486">
        <f>+C29+C30+C31+C32+C33</f>
        <v>0</v>
      </c>
      <c r="D34" s="1486">
        <f>+D29+D30+D31+D32+D33</f>
        <v>0</v>
      </c>
      <c r="E34" s="1487">
        <f>+E29+E30+E31+E32+E33</f>
        <v>0</v>
      </c>
      <c r="G34" s="118">
        <f>+'1.mell._Össz_Mérleg2020'!E83+'1.mell._Össz_Mérleg2020'!E98</f>
        <v>0</v>
      </c>
      <c r="H34" s="118">
        <f>+G34-E34</f>
        <v>0</v>
      </c>
      <c r="J34" s="119">
        <v>0</v>
      </c>
      <c r="K34" s="118">
        <f t="shared" si="0"/>
        <v>0</v>
      </c>
    </row>
    <row r="35" spans="1:11">
      <c r="A35" s="1496" t="s">
        <v>1622</v>
      </c>
      <c r="B35" s="1498" t="s">
        <v>243</v>
      </c>
      <c r="C35" s="1497"/>
      <c r="D35" s="1497"/>
      <c r="E35" s="1499">
        <f>+C35+D35</f>
        <v>0</v>
      </c>
      <c r="G35" s="118">
        <f>+'1.mell._Össz_Mérleg2020'!E84+'1.mell._Össz_Mérleg2020'!E99</f>
        <v>0</v>
      </c>
      <c r="H35" s="118">
        <f>+G35-E35</f>
        <v>0</v>
      </c>
      <c r="J35" s="118">
        <v>0</v>
      </c>
      <c r="K35" s="118">
        <f t="shared" si="0"/>
        <v>0</v>
      </c>
    </row>
    <row r="36" spans="1:11" ht="12.75" thickBot="1">
      <c r="A36" s="1470" t="s">
        <v>1624</v>
      </c>
      <c r="B36" s="1481" t="s">
        <v>911</v>
      </c>
      <c r="C36" s="1482"/>
      <c r="D36" s="1482"/>
      <c r="E36" s="1483">
        <f>+C36+D36</f>
        <v>0</v>
      </c>
      <c r="G36" s="118">
        <f>+'1.mell._Össz_Mérleg2020'!E85+'1.mell._Össz_Mérleg2020'!E100</f>
        <v>0</v>
      </c>
      <c r="H36" s="118">
        <f>+G36-E36</f>
        <v>0</v>
      </c>
      <c r="J36" s="118">
        <v>0</v>
      </c>
      <c r="K36" s="118">
        <f t="shared" si="0"/>
        <v>0</v>
      </c>
    </row>
    <row r="37" spans="1:11" ht="12.75" thickBot="1">
      <c r="A37" s="1484" t="s">
        <v>1626</v>
      </c>
      <c r="B37" s="1485" t="s">
        <v>2356</v>
      </c>
      <c r="C37" s="1486">
        <f>+C28+C34+C35+C36</f>
        <v>4383965</v>
      </c>
      <c r="D37" s="1486">
        <f>+D28+D34+D35+D36</f>
        <v>-932989</v>
      </c>
      <c r="E37" s="1487">
        <f>+E28+E34+E35+E36</f>
        <v>3450976</v>
      </c>
      <c r="G37" s="118">
        <f>+'1.mell._Össz_Mérleg2020'!E101</f>
        <v>3450976</v>
      </c>
      <c r="H37" s="118">
        <f>+G37-E37</f>
        <v>0</v>
      </c>
      <c r="J37" s="118">
        <v>3450976202</v>
      </c>
      <c r="K37" s="118">
        <f t="shared" si="0"/>
        <v>0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36"/>
  <sheetViews>
    <sheetView zoomScaleNormal="100" workbookViewId="0">
      <pane ySplit="5" topLeftCell="A6" activePane="bottomLeft" state="frozen"/>
      <selection activeCell="F45" sqref="F45"/>
      <selection pane="bottomLeft" activeCell="A6" sqref="A6"/>
    </sheetView>
  </sheetViews>
  <sheetFormatPr defaultRowHeight="12"/>
  <cols>
    <col min="1" max="1" width="8.140625" style="864" customWidth="1"/>
    <col min="2" max="2" width="82" style="864" customWidth="1"/>
    <col min="3" max="5" width="19.140625" style="864" customWidth="1"/>
    <col min="6" max="6" width="9.140625" style="864"/>
    <col min="7" max="8" width="9.140625" style="864" hidden="1" customWidth="1"/>
    <col min="9" max="9" width="0" style="864" hidden="1" customWidth="1"/>
    <col min="10" max="10" width="11.7109375" style="118" hidden="1" customWidth="1"/>
    <col min="11" max="16384" width="9.140625" style="864"/>
  </cols>
  <sheetData>
    <row r="1" spans="1:10" ht="15.75">
      <c r="E1" s="188" t="s">
        <v>2357</v>
      </c>
    </row>
    <row r="2" spans="1:10" ht="15.75">
      <c r="A2" s="1904" t="s">
        <v>2358</v>
      </c>
      <c r="B2" s="1905"/>
      <c r="C2" s="1905"/>
      <c r="D2" s="1905"/>
      <c r="E2" s="1905"/>
    </row>
    <row r="3" spans="1:10" ht="12.75" thickBot="1">
      <c r="A3" s="1503"/>
      <c r="E3" s="238" t="s">
        <v>457</v>
      </c>
    </row>
    <row r="4" spans="1:10" s="1468" customFormat="1" ht="24">
      <c r="A4" s="1465" t="s">
        <v>1561</v>
      </c>
      <c r="B4" s="1466" t="s">
        <v>7</v>
      </c>
      <c r="C4" s="1466" t="s">
        <v>1562</v>
      </c>
      <c r="D4" s="1466" t="s">
        <v>1563</v>
      </c>
      <c r="E4" s="1467" t="s">
        <v>1564</v>
      </c>
      <c r="J4" s="1469"/>
    </row>
    <row r="5" spans="1:10" ht="12.75" thickBot="1">
      <c r="A5" s="1504">
        <v>1</v>
      </c>
      <c r="B5" s="1505">
        <v>2</v>
      </c>
      <c r="C5" s="1505">
        <v>3</v>
      </c>
      <c r="D5" s="1505">
        <v>4</v>
      </c>
      <c r="E5" s="1506">
        <v>5</v>
      </c>
    </row>
    <row r="6" spans="1:10">
      <c r="A6" s="1488" t="s">
        <v>1565</v>
      </c>
      <c r="B6" s="1489" t="s">
        <v>2359</v>
      </c>
      <c r="C6" s="1490">
        <v>368</v>
      </c>
      <c r="D6" s="1490"/>
      <c r="E6" s="1491">
        <f>+C6+D6</f>
        <v>368</v>
      </c>
      <c r="J6" s="118">
        <v>368422</v>
      </c>
    </row>
    <row r="7" spans="1:10">
      <c r="A7" s="1477" t="s">
        <v>1567</v>
      </c>
      <c r="B7" s="1478" t="s">
        <v>2360</v>
      </c>
      <c r="C7" s="1479">
        <v>8329630</v>
      </c>
      <c r="D7" s="1479"/>
      <c r="E7" s="1480">
        <f>+C7+D7</f>
        <v>8329630</v>
      </c>
      <c r="J7" s="118">
        <v>8329630480</v>
      </c>
    </row>
    <row r="8" spans="1:10">
      <c r="A8" s="1477" t="s">
        <v>1569</v>
      </c>
      <c r="B8" s="1478" t="s">
        <v>2361</v>
      </c>
      <c r="C8" s="1479">
        <v>74918</v>
      </c>
      <c r="D8" s="1479"/>
      <c r="E8" s="1480">
        <f>+C8+D8</f>
        <v>74918</v>
      </c>
      <c r="J8" s="118">
        <v>74918000</v>
      </c>
    </row>
    <row r="9" spans="1:10" ht="12.75" thickBot="1">
      <c r="A9" s="1470" t="s">
        <v>1571</v>
      </c>
      <c r="B9" s="1481" t="s">
        <v>2362</v>
      </c>
      <c r="C9" s="1482">
        <v>969588</v>
      </c>
      <c r="D9" s="1482"/>
      <c r="E9" s="1483">
        <f>+C9+D9</f>
        <v>969588</v>
      </c>
      <c r="J9" s="118">
        <v>969587591</v>
      </c>
    </row>
    <row r="10" spans="1:10" ht="12.75" thickBot="1">
      <c r="A10" s="1484" t="s">
        <v>1573</v>
      </c>
      <c r="B10" s="1485" t="s">
        <v>2363</v>
      </c>
      <c r="C10" s="1486">
        <f>SUM(C6:C9)</f>
        <v>9374504</v>
      </c>
      <c r="D10" s="1486">
        <f>SUM(D6:D9)</f>
        <v>0</v>
      </c>
      <c r="E10" s="1487">
        <f>SUM(E6:E9)</f>
        <v>9374504</v>
      </c>
      <c r="J10" s="118">
        <v>9374504493</v>
      </c>
    </row>
    <row r="11" spans="1:10">
      <c r="A11" s="1488" t="s">
        <v>1575</v>
      </c>
      <c r="B11" s="1489" t="s">
        <v>2364</v>
      </c>
      <c r="C11" s="1490">
        <v>1006</v>
      </c>
      <c r="D11" s="1490"/>
      <c r="E11" s="1491">
        <f>+C11+D11</f>
        <v>1006</v>
      </c>
      <c r="J11" s="118">
        <v>1005900</v>
      </c>
    </row>
    <row r="12" spans="1:10" ht="12.75" thickBot="1">
      <c r="A12" s="1470" t="s">
        <v>1577</v>
      </c>
      <c r="B12" s="1481" t="s">
        <v>2365</v>
      </c>
      <c r="C12" s="1482"/>
      <c r="D12" s="1482"/>
      <c r="E12" s="1483">
        <f>+C12+D12</f>
        <v>0</v>
      </c>
      <c r="J12" s="118">
        <v>0</v>
      </c>
    </row>
    <row r="13" spans="1:10" ht="12.75" thickBot="1">
      <c r="A13" s="1484" t="s">
        <v>1579</v>
      </c>
      <c r="B13" s="1485" t="s">
        <v>2366</v>
      </c>
      <c r="C13" s="1486">
        <f>SUM(C11:C12)</f>
        <v>1006</v>
      </c>
      <c r="D13" s="1486">
        <f>SUM(D11:D12)</f>
        <v>0</v>
      </c>
      <c r="E13" s="1487">
        <f>SUM(E11:E12)</f>
        <v>1006</v>
      </c>
      <c r="J13" s="118">
        <v>1005900</v>
      </c>
    </row>
    <row r="14" spans="1:10">
      <c r="A14" s="1488" t="s">
        <v>1581</v>
      </c>
      <c r="B14" s="1489" t="s">
        <v>2367</v>
      </c>
      <c r="C14" s="1490"/>
      <c r="D14" s="1490"/>
      <c r="E14" s="1491">
        <f>+C14+D14</f>
        <v>0</v>
      </c>
      <c r="J14" s="118">
        <v>0</v>
      </c>
    </row>
    <row r="15" spans="1:10">
      <c r="A15" s="1477" t="s">
        <v>1583</v>
      </c>
      <c r="B15" s="1478" t="s">
        <v>2368</v>
      </c>
      <c r="C15" s="1479">
        <v>1547</v>
      </c>
      <c r="D15" s="1479"/>
      <c r="E15" s="1480">
        <f>+C15+D15</f>
        <v>1547</v>
      </c>
      <c r="J15" s="118">
        <v>1546615</v>
      </c>
    </row>
    <row r="16" spans="1:10" ht="12.75" thickBot="1">
      <c r="A16" s="1470" t="s">
        <v>1585</v>
      </c>
      <c r="B16" s="1481" t="s">
        <v>2369</v>
      </c>
      <c r="C16" s="1482">
        <v>2422624</v>
      </c>
      <c r="D16" s="1482"/>
      <c r="E16" s="1483">
        <f>+C16+D16</f>
        <v>2422624</v>
      </c>
      <c r="J16" s="118">
        <v>2422624159</v>
      </c>
    </row>
    <row r="17" spans="1:10" ht="12.75" thickBot="1">
      <c r="A17" s="1484" t="s">
        <v>1587</v>
      </c>
      <c r="B17" s="1485" t="s">
        <v>2370</v>
      </c>
      <c r="C17" s="1486">
        <f>SUM(C14:C16)</f>
        <v>2424171</v>
      </c>
      <c r="D17" s="1486">
        <f>SUM(D14:D16)</f>
        <v>0</v>
      </c>
      <c r="E17" s="1487">
        <f>SUM(E14:E16)</f>
        <v>2424171</v>
      </c>
      <c r="J17" s="118">
        <v>2424170774</v>
      </c>
    </row>
    <row r="18" spans="1:10">
      <c r="A18" s="1488" t="s">
        <v>1589</v>
      </c>
      <c r="B18" s="1489" t="s">
        <v>2371</v>
      </c>
      <c r="C18" s="1490">
        <v>204858</v>
      </c>
      <c r="D18" s="1490"/>
      <c r="E18" s="1491">
        <f>+C18+D18</f>
        <v>204858</v>
      </c>
      <c r="J18" s="118">
        <v>204858098</v>
      </c>
    </row>
    <row r="19" spans="1:10">
      <c r="A19" s="1477" t="s">
        <v>1591</v>
      </c>
      <c r="B19" s="1478" t="s">
        <v>2372</v>
      </c>
      <c r="C19" s="1479">
        <v>142</v>
      </c>
      <c r="D19" s="1479"/>
      <c r="E19" s="1480">
        <f>+C19+D19</f>
        <v>142</v>
      </c>
      <c r="J19" s="118">
        <v>142200</v>
      </c>
    </row>
    <row r="20" spans="1:10" ht="12.75" thickBot="1">
      <c r="A20" s="1470" t="s">
        <v>1593</v>
      </c>
      <c r="B20" s="1481" t="s">
        <v>2373</v>
      </c>
      <c r="C20" s="1482">
        <v>88890</v>
      </c>
      <c r="D20" s="1482"/>
      <c r="E20" s="1483">
        <f>+C20+D20</f>
        <v>88890</v>
      </c>
      <c r="J20" s="118">
        <v>88889851</v>
      </c>
    </row>
    <row r="21" spans="1:10" ht="12.75" thickBot="1">
      <c r="A21" s="1484" t="s">
        <v>1595</v>
      </c>
      <c r="B21" s="1485" t="s">
        <v>2374</v>
      </c>
      <c r="C21" s="1486">
        <f>SUM(C18:C20)</f>
        <v>293890</v>
      </c>
      <c r="D21" s="1486">
        <f>SUM(D18:D20)</f>
        <v>0</v>
      </c>
      <c r="E21" s="1487">
        <f>SUM(E18:E20)</f>
        <v>293890</v>
      </c>
      <c r="J21" s="118">
        <v>293890149</v>
      </c>
    </row>
    <row r="22" spans="1:10" ht="12.75" thickBot="1">
      <c r="A22" s="1492" t="s">
        <v>1597</v>
      </c>
      <c r="B22" s="1493" t="s">
        <v>2375</v>
      </c>
      <c r="C22" s="1494">
        <v>39007</v>
      </c>
      <c r="D22" s="1494"/>
      <c r="E22" s="1495">
        <f>+C22+D22</f>
        <v>39007</v>
      </c>
      <c r="J22" s="118">
        <v>39006630</v>
      </c>
    </row>
    <row r="23" spans="1:10" ht="12.75" thickBot="1">
      <c r="A23" s="1484" t="s">
        <v>1599</v>
      </c>
      <c r="B23" s="1485" t="s">
        <v>2376</v>
      </c>
      <c r="C23" s="1486">
        <v>43</v>
      </c>
      <c r="D23" s="1486"/>
      <c r="E23" s="1487">
        <f>+C23+D23</f>
        <v>43</v>
      </c>
      <c r="J23" s="118">
        <v>42953</v>
      </c>
    </row>
    <row r="24" spans="1:10" ht="12.75" thickBot="1">
      <c r="A24" s="1484" t="s">
        <v>1601</v>
      </c>
      <c r="B24" s="1485" t="s">
        <v>2377</v>
      </c>
      <c r="C24" s="1486">
        <f>+C10+C13+C17+C21+C22+C23</f>
        <v>12132621</v>
      </c>
      <c r="D24" s="1486">
        <f>+D10+D13+D17+D21+D22+D23</f>
        <v>0</v>
      </c>
      <c r="E24" s="1487">
        <f>+E10+E13+E17+E21+E22+E23</f>
        <v>12132621</v>
      </c>
      <c r="J24" s="118">
        <v>12132620899</v>
      </c>
    </row>
    <row r="25" spans="1:10">
      <c r="A25" s="1488" t="s">
        <v>1603</v>
      </c>
      <c r="B25" s="1489" t="s">
        <v>2378</v>
      </c>
      <c r="C25" s="1490">
        <v>6598169</v>
      </c>
      <c r="D25" s="1490"/>
      <c r="E25" s="1491">
        <f>+C25+D25</f>
        <v>6598169</v>
      </c>
      <c r="J25" s="118">
        <v>6598169090</v>
      </c>
    </row>
    <row r="26" spans="1:10">
      <c r="A26" s="1477" t="s">
        <v>1605</v>
      </c>
      <c r="B26" s="1478" t="s">
        <v>2379</v>
      </c>
      <c r="C26" s="1479">
        <v>-1448132</v>
      </c>
      <c r="D26" s="1479"/>
      <c r="E26" s="1480">
        <f>+C26+D26</f>
        <v>-1448132</v>
      </c>
      <c r="J26" s="118">
        <v>-1448132197</v>
      </c>
    </row>
    <row r="27" spans="1:10">
      <c r="A27" s="1477" t="s">
        <v>1606</v>
      </c>
      <c r="B27" s="1478" t="s">
        <v>2380</v>
      </c>
      <c r="C27" s="1479"/>
      <c r="D27" s="1479"/>
      <c r="E27" s="1480">
        <f>+C27+D27</f>
        <v>0</v>
      </c>
      <c r="J27" s="118">
        <v>0</v>
      </c>
    </row>
    <row r="28" spans="1:10" ht="12.75" thickBot="1">
      <c r="A28" s="1470" t="s">
        <v>1608</v>
      </c>
      <c r="B28" s="1481" t="s">
        <v>2381</v>
      </c>
      <c r="C28" s="1482">
        <v>-320907</v>
      </c>
      <c r="D28" s="1482"/>
      <c r="E28" s="1483">
        <f>+C28+D28</f>
        <v>-320907</v>
      </c>
      <c r="G28" s="118">
        <f>+'20.mell 2020K13'!E49</f>
        <v>-320907</v>
      </c>
      <c r="H28" s="118">
        <f>+E28-G28</f>
        <v>0</v>
      </c>
      <c r="J28" s="118">
        <v>-320906696</v>
      </c>
    </row>
    <row r="29" spans="1:10" ht="12.75" thickBot="1">
      <c r="A29" s="1484" t="s">
        <v>1610</v>
      </c>
      <c r="B29" s="1485" t="s">
        <v>2382</v>
      </c>
      <c r="C29" s="1486">
        <f>SUM(C25:C28)</f>
        <v>4829130</v>
      </c>
      <c r="D29" s="1486">
        <f>SUM(D25:D28)</f>
        <v>0</v>
      </c>
      <c r="E29" s="1487">
        <f>SUM(E25:E28)</f>
        <v>4829130</v>
      </c>
      <c r="J29" s="118">
        <v>4829130197</v>
      </c>
    </row>
    <row r="30" spans="1:10">
      <c r="A30" s="1488" t="s">
        <v>1612</v>
      </c>
      <c r="B30" s="1489" t="s">
        <v>2383</v>
      </c>
      <c r="C30" s="1490">
        <v>159787</v>
      </c>
      <c r="D30" s="1490"/>
      <c r="E30" s="1491">
        <f>+C30+D30</f>
        <v>159787</v>
      </c>
      <c r="J30" s="118">
        <v>159787118</v>
      </c>
    </row>
    <row r="31" spans="1:10">
      <c r="A31" s="1477" t="s">
        <v>1614</v>
      </c>
      <c r="B31" s="1478" t="s">
        <v>2384</v>
      </c>
      <c r="C31" s="1479">
        <f>51871+1</f>
        <v>51872</v>
      </c>
      <c r="D31" s="1479"/>
      <c r="E31" s="1480">
        <f>+C31+D31</f>
        <v>51872</v>
      </c>
      <c r="J31" s="118">
        <v>51871403</v>
      </c>
    </row>
    <row r="32" spans="1:10" ht="12.75" thickBot="1">
      <c r="A32" s="1470" t="s">
        <v>1616</v>
      </c>
      <c r="B32" s="1481" t="s">
        <v>2385</v>
      </c>
      <c r="C32" s="1482">
        <v>93428</v>
      </c>
      <c r="D32" s="1482"/>
      <c r="E32" s="1483">
        <f>+C32+D32</f>
        <v>93428</v>
      </c>
      <c r="J32" s="118">
        <v>93428296</v>
      </c>
    </row>
    <row r="33" spans="1:10" ht="12.75" thickBot="1">
      <c r="A33" s="1484" t="s">
        <v>1618</v>
      </c>
      <c r="B33" s="1485" t="s">
        <v>2386</v>
      </c>
      <c r="C33" s="1486">
        <f>SUM(C30:C32)</f>
        <v>305087</v>
      </c>
      <c r="D33" s="1486">
        <f>SUM(D30:D32)</f>
        <v>0</v>
      </c>
      <c r="E33" s="1487">
        <f>SUM(E30:E32)</f>
        <v>305087</v>
      </c>
      <c r="J33" s="118">
        <v>305086817</v>
      </c>
    </row>
    <row r="34" spans="1:10" ht="12.75" thickBot="1">
      <c r="A34" s="1484" t="s">
        <v>1620</v>
      </c>
      <c r="B34" s="1485" t="s">
        <v>2387</v>
      </c>
      <c r="C34" s="1486">
        <v>0</v>
      </c>
      <c r="D34" s="1486">
        <v>0</v>
      </c>
      <c r="E34" s="1487">
        <f>+C34+D34</f>
        <v>0</v>
      </c>
      <c r="J34" s="118">
        <v>0</v>
      </c>
    </row>
    <row r="35" spans="1:10" ht="12.75" thickBot="1">
      <c r="A35" s="1492" t="s">
        <v>1622</v>
      </c>
      <c r="B35" s="1493" t="s">
        <v>2388</v>
      </c>
      <c r="C35" s="1494">
        <v>6998404</v>
      </c>
      <c r="D35" s="1494"/>
      <c r="E35" s="1495">
        <f>+C35+D35</f>
        <v>6998404</v>
      </c>
      <c r="J35" s="118">
        <v>6998403885</v>
      </c>
    </row>
    <row r="36" spans="1:10" ht="12.75" thickBot="1">
      <c r="A36" s="1484" t="s">
        <v>1624</v>
      </c>
      <c r="B36" s="1485" t="s">
        <v>2389</v>
      </c>
      <c r="C36" s="1486">
        <f>+C29+C33+C34+C35</f>
        <v>12132621</v>
      </c>
      <c r="D36" s="1486">
        <f>+D29+D33+D34+D35</f>
        <v>0</v>
      </c>
      <c r="E36" s="1487">
        <f>+E29+E33+E34+E35</f>
        <v>12132621</v>
      </c>
      <c r="H36" s="118">
        <f>+E36-E24</f>
        <v>0</v>
      </c>
      <c r="J36" s="118">
        <v>12132620899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49"/>
  <sheetViews>
    <sheetView zoomScaleNormal="100" workbookViewId="0">
      <pane ySplit="5" topLeftCell="A6" activePane="bottomLeft" state="frozen"/>
      <selection activeCell="F45" sqref="F45"/>
      <selection pane="bottomLeft" activeCell="A6" sqref="A6"/>
    </sheetView>
  </sheetViews>
  <sheetFormatPr defaultRowHeight="12"/>
  <cols>
    <col min="1" max="1" width="8.140625" style="864" customWidth="1"/>
    <col min="2" max="2" width="82" style="864" customWidth="1"/>
    <col min="3" max="5" width="19.140625" style="864" customWidth="1"/>
    <col min="6" max="6" width="9.140625" style="864"/>
    <col min="7" max="7" width="0" style="864" hidden="1" customWidth="1"/>
    <col min="8" max="8" width="10.85546875" style="118" hidden="1" customWidth="1"/>
    <col min="9" max="9" width="10.140625" style="118" hidden="1" customWidth="1"/>
    <col min="10" max="10" width="10.85546875" style="118" hidden="1" customWidth="1"/>
    <col min="11" max="16384" width="9.140625" style="864"/>
  </cols>
  <sheetData>
    <row r="1" spans="1:10" ht="15.75">
      <c r="E1" s="188" t="s">
        <v>2390</v>
      </c>
    </row>
    <row r="2" spans="1:10" s="859" customFormat="1" ht="15.75">
      <c r="A2" s="1904" t="s">
        <v>2391</v>
      </c>
      <c r="B2" s="1906"/>
      <c r="C2" s="1906"/>
      <c r="D2" s="1906"/>
      <c r="E2" s="1906"/>
      <c r="H2" s="119"/>
      <c r="I2" s="119"/>
      <c r="J2" s="119"/>
    </row>
    <row r="3" spans="1:10" ht="12" customHeight="1" thickBot="1">
      <c r="A3" s="1503"/>
      <c r="B3" s="1519"/>
      <c r="C3" s="1519"/>
      <c r="D3" s="1519"/>
      <c r="E3" s="238" t="s">
        <v>457</v>
      </c>
    </row>
    <row r="4" spans="1:10" s="859" customFormat="1" ht="24">
      <c r="A4" s="1465" t="s">
        <v>1561</v>
      </c>
      <c r="B4" s="1466" t="s">
        <v>7</v>
      </c>
      <c r="C4" s="1466" t="s">
        <v>1562</v>
      </c>
      <c r="D4" s="1466" t="s">
        <v>1563</v>
      </c>
      <c r="E4" s="1467" t="s">
        <v>1564</v>
      </c>
      <c r="H4" s="119"/>
      <c r="I4" s="119"/>
      <c r="J4" s="119"/>
    </row>
    <row r="5" spans="1:10" ht="12.75" thickBot="1">
      <c r="A5" s="1504">
        <v>1</v>
      </c>
      <c r="B5" s="1505">
        <v>2</v>
      </c>
      <c r="C5" s="1505">
        <v>3</v>
      </c>
      <c r="D5" s="1505">
        <v>4</v>
      </c>
      <c r="E5" s="1506">
        <v>5</v>
      </c>
    </row>
    <row r="6" spans="1:10">
      <c r="A6" s="1473" t="s">
        <v>1565</v>
      </c>
      <c r="B6" s="1474" t="s">
        <v>2392</v>
      </c>
      <c r="C6" s="1475">
        <v>392800</v>
      </c>
      <c r="D6" s="1475"/>
      <c r="E6" s="1476">
        <f>+C6+D6</f>
        <v>392800</v>
      </c>
      <c r="J6" s="118">
        <v>392799985</v>
      </c>
    </row>
    <row r="7" spans="1:10">
      <c r="A7" s="1477" t="s">
        <v>1567</v>
      </c>
      <c r="B7" s="1478" t="s">
        <v>2393</v>
      </c>
      <c r="C7" s="1479">
        <v>87455</v>
      </c>
      <c r="D7" s="1479"/>
      <c r="E7" s="1480">
        <f>+C7+D7</f>
        <v>87455</v>
      </c>
      <c r="J7" s="118">
        <v>87455286</v>
      </c>
    </row>
    <row r="8" spans="1:10" ht="12.75" thickBot="1">
      <c r="A8" s="1470" t="s">
        <v>1569</v>
      </c>
      <c r="B8" s="1481" t="s">
        <v>2394</v>
      </c>
      <c r="C8" s="1482"/>
      <c r="D8" s="1482"/>
      <c r="E8" s="1483">
        <f>+C8+D8</f>
        <v>0</v>
      </c>
      <c r="J8" s="118">
        <v>0</v>
      </c>
    </row>
    <row r="9" spans="1:10" ht="12.75" thickBot="1">
      <c r="A9" s="1484" t="s">
        <v>1571</v>
      </c>
      <c r="B9" s="1485" t="s">
        <v>2395</v>
      </c>
      <c r="C9" s="1486">
        <f>SUM(C6:C8)</f>
        <v>480255</v>
      </c>
      <c r="D9" s="1486">
        <f>SUM(D6:D8)</f>
        <v>0</v>
      </c>
      <c r="E9" s="1487">
        <f>SUM(E6:E8)</f>
        <v>480255</v>
      </c>
      <c r="J9" s="118">
        <v>480255271</v>
      </c>
    </row>
    <row r="10" spans="1:10">
      <c r="A10" s="1488" t="s">
        <v>1573</v>
      </c>
      <c r="B10" s="1489" t="s">
        <v>2396</v>
      </c>
      <c r="C10" s="1490">
        <v>-1577</v>
      </c>
      <c r="D10" s="1490"/>
      <c r="E10" s="1491">
        <f>+C10+D10</f>
        <v>-1577</v>
      </c>
      <c r="J10" s="118">
        <v>-1576588</v>
      </c>
    </row>
    <row r="11" spans="1:10" ht="12.75" thickBot="1">
      <c r="A11" s="1470" t="s">
        <v>1575</v>
      </c>
      <c r="B11" s="1481" t="s">
        <v>2397</v>
      </c>
      <c r="C11" s="1482"/>
      <c r="D11" s="1482"/>
      <c r="E11" s="1483">
        <f>+C11+D11</f>
        <v>0</v>
      </c>
      <c r="J11" s="118">
        <v>0</v>
      </c>
    </row>
    <row r="12" spans="1:10" ht="12.75" thickBot="1">
      <c r="A12" s="1484" t="s">
        <v>1577</v>
      </c>
      <c r="B12" s="1485" t="s">
        <v>2398</v>
      </c>
      <c r="C12" s="1486">
        <f>SUM(C10:C11)</f>
        <v>-1577</v>
      </c>
      <c r="D12" s="1486">
        <f>SUM(D10:D11)</f>
        <v>0</v>
      </c>
      <c r="E12" s="1487">
        <f>SUM(E10:E11)</f>
        <v>-1577</v>
      </c>
      <c r="J12" s="118">
        <v>-1576588</v>
      </c>
    </row>
    <row r="13" spans="1:10">
      <c r="A13" s="1488" t="s">
        <v>1579</v>
      </c>
      <c r="B13" s="1489" t="s">
        <v>2399</v>
      </c>
      <c r="C13" s="1490">
        <v>1900046</v>
      </c>
      <c r="D13" s="1490">
        <v>-932989</v>
      </c>
      <c r="E13" s="1491">
        <f>+C13+D13</f>
        <v>967057</v>
      </c>
      <c r="H13" s="118">
        <v>1900046007</v>
      </c>
      <c r="I13" s="118">
        <v>-932988580</v>
      </c>
      <c r="J13" s="118">
        <v>967057427</v>
      </c>
    </row>
    <row r="14" spans="1:10">
      <c r="A14" s="1477" t="s">
        <v>1581</v>
      </c>
      <c r="B14" s="1478" t="s">
        <v>2400</v>
      </c>
      <c r="C14" s="1479">
        <v>360558</v>
      </c>
      <c r="D14" s="1479"/>
      <c r="E14" s="1480">
        <f>+C14+D14</f>
        <v>360558</v>
      </c>
      <c r="J14" s="118">
        <v>360558050</v>
      </c>
    </row>
    <row r="15" spans="1:10">
      <c r="A15" s="1477" t="s">
        <v>1583</v>
      </c>
      <c r="B15" s="1478" t="s">
        <v>2401</v>
      </c>
      <c r="C15" s="1479">
        <v>184786</v>
      </c>
      <c r="D15" s="1479"/>
      <c r="E15" s="1480">
        <f>+C15+D15</f>
        <v>184786</v>
      </c>
      <c r="J15" s="118">
        <v>184785703</v>
      </c>
    </row>
    <row r="16" spans="1:10" ht="12.75" thickBot="1">
      <c r="A16" s="1470" t="s">
        <v>1585</v>
      </c>
      <c r="B16" s="1481" t="s">
        <v>2402</v>
      </c>
      <c r="C16" s="1482">
        <v>124033</v>
      </c>
      <c r="D16" s="1482"/>
      <c r="E16" s="1483">
        <f>+C16+D16</f>
        <v>124033</v>
      </c>
      <c r="J16" s="118">
        <v>124032952</v>
      </c>
    </row>
    <row r="17" spans="1:10" ht="12.75" thickBot="1">
      <c r="A17" s="1484" t="s">
        <v>1587</v>
      </c>
      <c r="B17" s="1485" t="s">
        <v>2403</v>
      </c>
      <c r="C17" s="1486">
        <f>SUM(C13:C16)</f>
        <v>2569423</v>
      </c>
      <c r="D17" s="1486">
        <f>SUM(D13:D16)</f>
        <v>-932989</v>
      </c>
      <c r="E17" s="1487">
        <f>SUM(E13:E16)</f>
        <v>1636434</v>
      </c>
      <c r="J17" s="118">
        <v>1636434132</v>
      </c>
    </row>
    <row r="18" spans="1:10">
      <c r="A18" s="1488" t="s">
        <v>1589</v>
      </c>
      <c r="B18" s="1489" t="s">
        <v>2404</v>
      </c>
      <c r="C18" s="1490">
        <f>89814+1</f>
        <v>89815</v>
      </c>
      <c r="D18" s="1490"/>
      <c r="E18" s="1491">
        <f>+C18+D18</f>
        <v>89815</v>
      </c>
      <c r="J18" s="118">
        <v>89814494</v>
      </c>
    </row>
    <row r="19" spans="1:10">
      <c r="A19" s="1477" t="s">
        <v>1591</v>
      </c>
      <c r="B19" s="1478" t="s">
        <v>2405</v>
      </c>
      <c r="C19" s="1479">
        <v>354964</v>
      </c>
      <c r="D19" s="1479"/>
      <c r="E19" s="1480">
        <f>+C19+D19</f>
        <v>354964</v>
      </c>
      <c r="J19" s="118">
        <v>354964456</v>
      </c>
    </row>
    <row r="20" spans="1:10">
      <c r="A20" s="1477" t="s">
        <v>1593</v>
      </c>
      <c r="B20" s="1478" t="s">
        <v>2406</v>
      </c>
      <c r="C20" s="1479"/>
      <c r="D20" s="1479"/>
      <c r="E20" s="1480">
        <f>+C20+D20</f>
        <v>0</v>
      </c>
      <c r="J20" s="118">
        <v>0</v>
      </c>
    </row>
    <row r="21" spans="1:10" ht="12.75" thickBot="1">
      <c r="A21" s="1470" t="s">
        <v>1595</v>
      </c>
      <c r="B21" s="1481" t="s">
        <v>2407</v>
      </c>
      <c r="C21" s="1482">
        <v>15361</v>
      </c>
      <c r="D21" s="1482"/>
      <c r="E21" s="1483">
        <f>+C21+D21</f>
        <v>15361</v>
      </c>
      <c r="J21" s="118">
        <v>15361131</v>
      </c>
    </row>
    <row r="22" spans="1:10" ht="12.75" thickBot="1">
      <c r="A22" s="1484" t="s">
        <v>1597</v>
      </c>
      <c r="B22" s="1485" t="s">
        <v>2408</v>
      </c>
      <c r="C22" s="1486">
        <f>SUM(C18:C21)</f>
        <v>460140</v>
      </c>
      <c r="D22" s="1486">
        <f>SUM(D18:D21)</f>
        <v>0</v>
      </c>
      <c r="E22" s="1487">
        <f>SUM(E18:E21)</f>
        <v>460140</v>
      </c>
      <c r="J22" s="118">
        <v>460140081</v>
      </c>
    </row>
    <row r="23" spans="1:10">
      <c r="A23" s="1488" t="s">
        <v>1599</v>
      </c>
      <c r="B23" s="1489" t="s">
        <v>2409</v>
      </c>
      <c r="C23" s="1490">
        <v>780880</v>
      </c>
      <c r="D23" s="1490"/>
      <c r="E23" s="1491">
        <f>+C23+D23</f>
        <v>780880</v>
      </c>
      <c r="J23" s="118">
        <v>780879763</v>
      </c>
    </row>
    <row r="24" spans="1:10">
      <c r="A24" s="1477" t="s">
        <v>1601</v>
      </c>
      <c r="B24" s="1478" t="s">
        <v>2410</v>
      </c>
      <c r="C24" s="1479">
        <v>157178</v>
      </c>
      <c r="D24" s="1479"/>
      <c r="E24" s="1480">
        <f>+C24+D24</f>
        <v>157178</v>
      </c>
      <c r="J24" s="118">
        <v>157178621</v>
      </c>
    </row>
    <row r="25" spans="1:10" ht="12.75" thickBot="1">
      <c r="A25" s="1470" t="s">
        <v>1603</v>
      </c>
      <c r="B25" s="1481" t="s">
        <v>2411</v>
      </c>
      <c r="C25" s="1482">
        <v>151064</v>
      </c>
      <c r="D25" s="1482"/>
      <c r="E25" s="1483">
        <f>+C25+D25</f>
        <v>151064</v>
      </c>
      <c r="J25" s="118">
        <v>151063872</v>
      </c>
    </row>
    <row r="26" spans="1:10" ht="12.75" thickBot="1">
      <c r="A26" s="1484" t="s">
        <v>1605</v>
      </c>
      <c r="B26" s="1485" t="s">
        <v>2412</v>
      </c>
      <c r="C26" s="1486">
        <f>SUM(C23:C25)</f>
        <v>1089122</v>
      </c>
      <c r="D26" s="1486">
        <f>SUM(D23:D25)</f>
        <v>0</v>
      </c>
      <c r="E26" s="1487">
        <f>SUM(E23:E25)</f>
        <v>1089122</v>
      </c>
      <c r="J26" s="118">
        <v>1089122256</v>
      </c>
    </row>
    <row r="27" spans="1:10" ht="12.75" thickBot="1">
      <c r="A27" s="1484" t="s">
        <v>1606</v>
      </c>
      <c r="B27" s="1485" t="s">
        <v>2413</v>
      </c>
      <c r="C27" s="1486">
        <v>292781</v>
      </c>
      <c r="D27" s="1486"/>
      <c r="E27" s="1487">
        <f>+C27+D27</f>
        <v>292781</v>
      </c>
      <c r="J27" s="118">
        <v>292781362</v>
      </c>
    </row>
    <row r="28" spans="1:10" ht="12.75" thickBot="1">
      <c r="A28" s="1492" t="s">
        <v>1608</v>
      </c>
      <c r="B28" s="1493" t="s">
        <v>2414</v>
      </c>
      <c r="C28" s="1494">
        <v>1527430</v>
      </c>
      <c r="D28" s="1494">
        <v>-932989</v>
      </c>
      <c r="E28" s="1495">
        <f>+C28+D28</f>
        <v>594441</v>
      </c>
      <c r="H28" s="118">
        <v>1527429797</v>
      </c>
      <c r="I28" s="118">
        <v>-932988580</v>
      </c>
      <c r="J28" s="118">
        <v>594441217</v>
      </c>
    </row>
    <row r="29" spans="1:10" ht="12.75" thickBot="1">
      <c r="A29" s="1484" t="s">
        <v>1610</v>
      </c>
      <c r="B29" s="1485" t="s">
        <v>2415</v>
      </c>
      <c r="C29" s="1486">
        <f>+C9+C12+C17-C22-C26-C27-C28</f>
        <v>-321372</v>
      </c>
      <c r="D29" s="1486">
        <f>+D9+D12+D17-D22-D26-D27-D28</f>
        <v>0</v>
      </c>
      <c r="E29" s="1487">
        <f>+E9+E12+E17-E22-E26-E27-E28</f>
        <v>-321372</v>
      </c>
      <c r="J29" s="118">
        <v>-321372101</v>
      </c>
    </row>
    <row r="30" spans="1:10">
      <c r="A30" s="1488" t="s">
        <v>1612</v>
      </c>
      <c r="B30" s="1489" t="s">
        <v>2416</v>
      </c>
      <c r="C30" s="1490"/>
      <c r="D30" s="1490"/>
      <c r="E30" s="1491">
        <f t="shared" ref="E30:E36" si="0">+C30+D30</f>
        <v>0</v>
      </c>
      <c r="J30" s="118">
        <v>0</v>
      </c>
    </row>
    <row r="31" spans="1:10">
      <c r="A31" s="1477" t="s">
        <v>1614</v>
      </c>
      <c r="B31" s="1478" t="s">
        <v>2417</v>
      </c>
      <c r="C31" s="1479"/>
      <c r="D31" s="1479"/>
      <c r="E31" s="1480">
        <f t="shared" si="0"/>
        <v>0</v>
      </c>
      <c r="J31" s="118">
        <v>0</v>
      </c>
    </row>
    <row r="32" spans="1:10">
      <c r="A32" s="1477" t="s">
        <v>1616</v>
      </c>
      <c r="B32" s="1478" t="s">
        <v>2418</v>
      </c>
      <c r="C32" s="1479"/>
      <c r="D32" s="1479"/>
      <c r="E32" s="1480">
        <f t="shared" si="0"/>
        <v>0</v>
      </c>
      <c r="J32" s="118">
        <v>0</v>
      </c>
    </row>
    <row r="33" spans="1:10">
      <c r="A33" s="1477" t="s">
        <v>1618</v>
      </c>
      <c r="B33" s="1478" t="s">
        <v>2419</v>
      </c>
      <c r="C33" s="1479"/>
      <c r="D33" s="1479"/>
      <c r="E33" s="1480">
        <f t="shared" si="0"/>
        <v>0</v>
      </c>
      <c r="J33" s="118">
        <v>271</v>
      </c>
    </row>
    <row r="34" spans="1:10">
      <c r="A34" s="1477" t="s">
        <v>1620</v>
      </c>
      <c r="B34" s="1478" t="s">
        <v>2420</v>
      </c>
      <c r="C34" s="1479">
        <v>7</v>
      </c>
      <c r="D34" s="1479"/>
      <c r="E34" s="1480">
        <f t="shared" si="0"/>
        <v>7</v>
      </c>
      <c r="J34" s="118">
        <v>6601</v>
      </c>
    </row>
    <row r="35" spans="1:10" ht="24">
      <c r="A35" s="1477" t="s">
        <v>1622</v>
      </c>
      <c r="B35" s="1478" t="s">
        <v>2421</v>
      </c>
      <c r="C35" s="1479"/>
      <c r="D35" s="1479"/>
      <c r="E35" s="1480">
        <f t="shared" si="0"/>
        <v>0</v>
      </c>
      <c r="J35" s="118">
        <v>0</v>
      </c>
    </row>
    <row r="36" spans="1:10" ht="24.75" thickBot="1">
      <c r="A36" s="1470" t="s">
        <v>1624</v>
      </c>
      <c r="B36" s="1481" t="s">
        <v>2422</v>
      </c>
      <c r="C36" s="1482"/>
      <c r="D36" s="1482"/>
      <c r="E36" s="1483">
        <f t="shared" si="0"/>
        <v>0</v>
      </c>
      <c r="J36" s="118">
        <v>0</v>
      </c>
    </row>
    <row r="37" spans="1:10" ht="12.75" thickBot="1">
      <c r="A37" s="1484" t="s">
        <v>1626</v>
      </c>
      <c r="B37" s="1485" t="s">
        <v>2423</v>
      </c>
      <c r="C37" s="1486">
        <f>+C30+C31+C32+C33+C34</f>
        <v>7</v>
      </c>
      <c r="D37" s="1486">
        <f>+D30+D31+D32+D33+D34</f>
        <v>0</v>
      </c>
      <c r="E37" s="1487">
        <f>+E30+E31+E32+E33+E34</f>
        <v>7</v>
      </c>
      <c r="J37" s="118">
        <v>6872</v>
      </c>
    </row>
    <row r="38" spans="1:10">
      <c r="A38" s="1488" t="s">
        <v>1628</v>
      </c>
      <c r="B38" s="1489" t="s">
        <v>2424</v>
      </c>
      <c r="C38" s="1490"/>
      <c r="D38" s="1490"/>
      <c r="E38" s="1491">
        <f t="shared" ref="E38:E46" si="1">+C38+D38</f>
        <v>0</v>
      </c>
      <c r="J38" s="118">
        <v>0</v>
      </c>
    </row>
    <row r="39" spans="1:10" ht="24">
      <c r="A39" s="1477" t="s">
        <v>1630</v>
      </c>
      <c r="B39" s="1478" t="s">
        <v>2425</v>
      </c>
      <c r="C39" s="1479"/>
      <c r="D39" s="1479"/>
      <c r="E39" s="1480">
        <f t="shared" si="1"/>
        <v>0</v>
      </c>
      <c r="J39" s="118">
        <v>0</v>
      </c>
    </row>
    <row r="40" spans="1:10">
      <c r="A40" s="1477" t="s">
        <v>1632</v>
      </c>
      <c r="B40" s="1478" t="s">
        <v>2426</v>
      </c>
      <c r="C40" s="1479">
        <v>1916</v>
      </c>
      <c r="D40" s="1479"/>
      <c r="E40" s="1480">
        <f t="shared" si="1"/>
        <v>1916</v>
      </c>
      <c r="J40" s="118">
        <v>1915989</v>
      </c>
    </row>
    <row r="41" spans="1:10">
      <c r="A41" s="1477" t="s">
        <v>1634</v>
      </c>
      <c r="B41" s="1478" t="s">
        <v>2427</v>
      </c>
      <c r="C41" s="1479">
        <v>-2484</v>
      </c>
      <c r="D41" s="1479"/>
      <c r="E41" s="1480">
        <f t="shared" si="1"/>
        <v>-2484</v>
      </c>
      <c r="J41" s="118">
        <v>-2484000</v>
      </c>
    </row>
    <row r="42" spans="1:10">
      <c r="A42" s="1477" t="s">
        <v>1636</v>
      </c>
      <c r="B42" s="1478" t="s">
        <v>2428</v>
      </c>
      <c r="C42" s="1479"/>
      <c r="D42" s="1479"/>
      <c r="E42" s="1480">
        <f t="shared" si="1"/>
        <v>0</v>
      </c>
      <c r="J42" s="118">
        <v>0</v>
      </c>
    </row>
    <row r="43" spans="1:10">
      <c r="A43" s="1477" t="s">
        <v>1638</v>
      </c>
      <c r="B43" s="1478" t="s">
        <v>2429</v>
      </c>
      <c r="C43" s="1479"/>
      <c r="D43" s="1479"/>
      <c r="E43" s="1480">
        <f t="shared" si="1"/>
        <v>0</v>
      </c>
      <c r="J43" s="118">
        <v>0</v>
      </c>
    </row>
    <row r="44" spans="1:10">
      <c r="A44" s="1477" t="s">
        <v>1640</v>
      </c>
      <c r="B44" s="1478" t="s">
        <v>2430</v>
      </c>
      <c r="C44" s="1479">
        <f>109+1</f>
        <v>110</v>
      </c>
      <c r="D44" s="1479"/>
      <c r="E44" s="1480">
        <f t="shared" si="1"/>
        <v>110</v>
      </c>
      <c r="J44" s="118">
        <v>109478</v>
      </c>
    </row>
    <row r="45" spans="1:10" ht="24">
      <c r="A45" s="1477" t="s">
        <v>1642</v>
      </c>
      <c r="B45" s="1478" t="s">
        <v>2431</v>
      </c>
      <c r="C45" s="1479"/>
      <c r="D45" s="1479"/>
      <c r="E45" s="1480">
        <f t="shared" si="1"/>
        <v>0</v>
      </c>
      <c r="J45" s="118">
        <v>0</v>
      </c>
    </row>
    <row r="46" spans="1:10" ht="24.75" thickBot="1">
      <c r="A46" s="1470" t="s">
        <v>1644</v>
      </c>
      <c r="B46" s="1481" t="s">
        <v>2432</v>
      </c>
      <c r="C46" s="1482"/>
      <c r="D46" s="1482"/>
      <c r="E46" s="1483">
        <f t="shared" si="1"/>
        <v>0</v>
      </c>
      <c r="J46" s="118">
        <v>0</v>
      </c>
    </row>
    <row r="47" spans="1:10" ht="12.75" thickBot="1">
      <c r="A47" s="1484" t="s">
        <v>1646</v>
      </c>
      <c r="B47" s="1485" t="s">
        <v>2433</v>
      </c>
      <c r="C47" s="1486">
        <f>+C38+C39+C40+C41+C44</f>
        <v>-458</v>
      </c>
      <c r="D47" s="1486">
        <f>+D38+D39+D40+D41+D44</f>
        <v>0</v>
      </c>
      <c r="E47" s="1487">
        <f>+E38+E39+E40+E41+E44</f>
        <v>-458</v>
      </c>
      <c r="J47" s="118">
        <v>-458533</v>
      </c>
    </row>
    <row r="48" spans="1:10" ht="12.75" thickBot="1">
      <c r="A48" s="1484" t="s">
        <v>1648</v>
      </c>
      <c r="B48" s="1485" t="s">
        <v>2434</v>
      </c>
      <c r="C48" s="1486">
        <f>+C37-C47</f>
        <v>465</v>
      </c>
      <c r="D48" s="1486">
        <f>+D37-D47</f>
        <v>0</v>
      </c>
      <c r="E48" s="1487">
        <f>+E37-E47</f>
        <v>465</v>
      </c>
      <c r="J48" s="118">
        <v>465405</v>
      </c>
    </row>
    <row r="49" spans="1:10" ht="12.75" thickBot="1">
      <c r="A49" s="1484" t="s">
        <v>1650</v>
      </c>
      <c r="B49" s="1485" t="s">
        <v>2435</v>
      </c>
      <c r="C49" s="1486">
        <f>+C29+C48</f>
        <v>-320907</v>
      </c>
      <c r="D49" s="1486">
        <f>+D29+D48</f>
        <v>0</v>
      </c>
      <c r="E49" s="1487">
        <f>+E29+E48</f>
        <v>-320907</v>
      </c>
      <c r="J49" s="118">
        <v>-320906696</v>
      </c>
    </row>
  </sheetData>
  <mergeCells count="1">
    <mergeCell ref="A2:E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94"/>
  <sheetViews>
    <sheetView zoomScaleNormal="100" workbookViewId="0"/>
  </sheetViews>
  <sheetFormatPr defaultRowHeight="12.75"/>
  <cols>
    <col min="1" max="1" width="48.7109375" style="1522" customWidth="1"/>
    <col min="2" max="2" width="11.42578125" style="1522" customWidth="1"/>
    <col min="3" max="3" width="14.140625" style="1522" customWidth="1"/>
    <col min="4" max="4" width="12.5703125" style="1522" customWidth="1"/>
    <col min="5" max="5" width="9.42578125" style="1522" bestFit="1" customWidth="1"/>
    <col min="6" max="6" width="13.85546875" style="1522" customWidth="1"/>
    <col min="7" max="7" width="10" style="1544" bestFit="1" customWidth="1"/>
    <col min="8" max="8" width="4.85546875" style="1574" customWidth="1"/>
    <col min="9" max="9" width="20" style="1525" customWidth="1"/>
    <col min="10" max="10" width="19.7109375" style="1522" bestFit="1" customWidth="1"/>
    <col min="11" max="11" width="9.140625" style="1522"/>
    <col min="12" max="13" width="9.140625" style="1522" hidden="1" customWidth="1"/>
    <col min="14" max="16384" width="9.140625" style="1522"/>
  </cols>
  <sheetData>
    <row r="1" spans="1:13" s="1520" customFormat="1" ht="15.75">
      <c r="G1" s="1521"/>
      <c r="I1" s="1910" t="s">
        <v>2436</v>
      </c>
      <c r="J1" s="1910"/>
    </row>
    <row r="2" spans="1:13" s="1520" customFormat="1" ht="15.75">
      <c r="A2" s="1757"/>
      <c r="B2" s="1757"/>
      <c r="C2" s="1757"/>
      <c r="D2" s="1757"/>
      <c r="E2" s="1757"/>
      <c r="F2" s="1757"/>
      <c r="G2" s="1757"/>
    </row>
    <row r="3" spans="1:13" s="1520" customFormat="1" ht="15.75">
      <c r="A3" s="1911" t="s">
        <v>2437</v>
      </c>
      <c r="B3" s="1911"/>
      <c r="C3" s="1911"/>
      <c r="D3" s="1911"/>
      <c r="E3" s="1911"/>
      <c r="F3" s="1911"/>
      <c r="G3" s="1911"/>
      <c r="H3" s="1911"/>
      <c r="I3" s="1911"/>
      <c r="J3" s="1911"/>
    </row>
    <row r="4" spans="1:13" s="1520" customFormat="1" ht="15.75">
      <c r="A4" s="1911" t="s">
        <v>2438</v>
      </c>
      <c r="B4" s="1911"/>
      <c r="C4" s="1911"/>
      <c r="D4" s="1911"/>
      <c r="E4" s="1911"/>
      <c r="F4" s="1911"/>
      <c r="G4" s="1911"/>
      <c r="H4" s="1911"/>
      <c r="I4" s="1911"/>
      <c r="J4" s="1911"/>
    </row>
    <row r="5" spans="1:13" s="1520" customFormat="1" ht="15.75">
      <c r="A5" s="1911" t="s">
        <v>2789</v>
      </c>
      <c r="B5" s="1911"/>
      <c r="C5" s="1911"/>
      <c r="D5" s="1911"/>
      <c r="E5" s="1911"/>
      <c r="F5" s="1911"/>
      <c r="G5" s="1911"/>
      <c r="H5" s="1911"/>
      <c r="I5" s="1911"/>
      <c r="J5" s="1911"/>
    </row>
    <row r="6" spans="1:13" ht="14.25" thickBot="1">
      <c r="G6" s="1523" t="s">
        <v>2439</v>
      </c>
      <c r="H6" s="1524"/>
      <c r="J6" s="1523" t="s">
        <v>2440</v>
      </c>
    </row>
    <row r="7" spans="1:13" ht="12" customHeight="1">
      <c r="A7" s="1912" t="s">
        <v>2441</v>
      </c>
      <c r="B7" s="1914" t="s">
        <v>2442</v>
      </c>
      <c r="C7" s="1915"/>
      <c r="D7" s="1915"/>
      <c r="E7" s="1916"/>
      <c r="F7" s="1917" t="s">
        <v>2443</v>
      </c>
      <c r="G7" s="1919" t="s">
        <v>18</v>
      </c>
      <c r="H7" s="1526"/>
      <c r="I7" s="1921" t="s">
        <v>2444</v>
      </c>
      <c r="J7" s="1921" t="s">
        <v>2445</v>
      </c>
    </row>
    <row r="8" spans="1:13" s="1530" customFormat="1" ht="51.75" thickBot="1">
      <c r="A8" s="1913"/>
      <c r="B8" s="1527" t="s">
        <v>2446</v>
      </c>
      <c r="C8" s="1528" t="s">
        <v>2447</v>
      </c>
      <c r="D8" s="1528" t="s">
        <v>2448</v>
      </c>
      <c r="E8" s="1529" t="s">
        <v>18</v>
      </c>
      <c r="F8" s="1918"/>
      <c r="G8" s="1920"/>
      <c r="H8" s="1526"/>
      <c r="I8" s="1922"/>
      <c r="J8" s="1922"/>
    </row>
    <row r="9" spans="1:13">
      <c r="A9" s="1531"/>
      <c r="B9" s="1532"/>
      <c r="C9" s="1533"/>
      <c r="D9" s="1533"/>
      <c r="E9" s="1534"/>
      <c r="F9" s="1535"/>
      <c r="G9" s="1536"/>
      <c r="H9" s="1537"/>
      <c r="I9" s="1538"/>
      <c r="J9" s="1538"/>
    </row>
    <row r="10" spans="1:13" s="1544" customFormat="1" ht="13.5">
      <c r="A10" s="1539" t="s">
        <v>2449</v>
      </c>
      <c r="B10" s="1540">
        <f t="shared" ref="B10:G10" si="0">+B11+B12+B18+B22</f>
        <v>0</v>
      </c>
      <c r="C10" s="1541">
        <f t="shared" si="0"/>
        <v>2614220</v>
      </c>
      <c r="D10" s="1541">
        <f t="shared" si="0"/>
        <v>5599018</v>
      </c>
      <c r="E10" s="1534">
        <f t="shared" si="0"/>
        <v>8213238</v>
      </c>
      <c r="F10" s="1542">
        <f t="shared" si="0"/>
        <v>1161266</v>
      </c>
      <c r="G10" s="1536">
        <f t="shared" si="0"/>
        <v>9374504</v>
      </c>
      <c r="H10" s="1537"/>
      <c r="I10" s="1543">
        <f>+I11+I12+I18+I22</f>
        <v>497901</v>
      </c>
      <c r="J10" s="1543">
        <f>+J11+J12+J18+J22</f>
        <v>0</v>
      </c>
    </row>
    <row r="11" spans="1:13">
      <c r="A11" s="1531" t="s">
        <v>2450</v>
      </c>
      <c r="B11" s="1532"/>
      <c r="C11" s="1533"/>
      <c r="D11" s="1533">
        <v>368</v>
      </c>
      <c r="E11" s="1534">
        <f>+B11+C11+D11</f>
        <v>368</v>
      </c>
      <c r="F11" s="1535"/>
      <c r="G11" s="1536">
        <f>+E11+F11</f>
        <v>368</v>
      </c>
      <c r="H11" s="1537"/>
      <c r="I11" s="1538">
        <v>108109</v>
      </c>
      <c r="J11" s="1538"/>
      <c r="L11" s="1522">
        <f>+'19.mell 2020K12'!E6</f>
        <v>368</v>
      </c>
      <c r="M11" s="1522">
        <f>+L11-G11</f>
        <v>0</v>
      </c>
    </row>
    <row r="12" spans="1:13">
      <c r="A12" s="1531" t="s">
        <v>2451</v>
      </c>
      <c r="B12" s="1532">
        <f t="shared" ref="B12:G12" si="1">+B13+B14+B15+B16+B17</f>
        <v>0</v>
      </c>
      <c r="C12" s="1533">
        <f t="shared" si="1"/>
        <v>2614220</v>
      </c>
      <c r="D12" s="1533">
        <f t="shared" si="1"/>
        <v>4691057</v>
      </c>
      <c r="E12" s="1534">
        <f t="shared" si="1"/>
        <v>7305277</v>
      </c>
      <c r="F12" s="1535">
        <f t="shared" si="1"/>
        <v>1024353</v>
      </c>
      <c r="G12" s="1536">
        <f t="shared" si="1"/>
        <v>8329630</v>
      </c>
      <c r="H12" s="1537"/>
      <c r="I12" s="1538">
        <f>+I13+I14+I15+I16+I17</f>
        <v>333495</v>
      </c>
      <c r="J12" s="1538">
        <f>+J13+J14+J15+J16+J17</f>
        <v>0</v>
      </c>
      <c r="L12" s="1522">
        <f>+'19.mell 2020K12'!E7</f>
        <v>8329630</v>
      </c>
      <c r="M12" s="1522">
        <f>+L12-G12</f>
        <v>0</v>
      </c>
    </row>
    <row r="13" spans="1:13">
      <c r="A13" s="1545" t="s">
        <v>2452</v>
      </c>
      <c r="B13" s="1546"/>
      <c r="C13" s="1547">
        <v>2614220</v>
      </c>
      <c r="D13" s="1548">
        <v>3061975</v>
      </c>
      <c r="E13" s="1534">
        <f>+B13+C13+D13</f>
        <v>5676195</v>
      </c>
      <c r="F13" s="1549">
        <v>1024353</v>
      </c>
      <c r="G13" s="1536">
        <f>+E13+F13</f>
        <v>6700548</v>
      </c>
      <c r="H13" s="1537"/>
      <c r="I13" s="1538">
        <v>10063</v>
      </c>
      <c r="J13" s="1538"/>
    </row>
    <row r="14" spans="1:13">
      <c r="A14" s="1545" t="s">
        <v>2453</v>
      </c>
      <c r="B14" s="1532"/>
      <c r="C14" s="1533"/>
      <c r="D14" s="1533">
        <v>290784</v>
      </c>
      <c r="E14" s="1534">
        <f>+B14+C14+D14</f>
        <v>290784</v>
      </c>
      <c r="F14" s="1549"/>
      <c r="G14" s="1536">
        <f>+E14+F14</f>
        <v>290784</v>
      </c>
      <c r="H14" s="1537"/>
      <c r="I14" s="1538">
        <v>323432</v>
      </c>
      <c r="J14" s="1538"/>
    </row>
    <row r="15" spans="1:13">
      <c r="A15" s="1545" t="s">
        <v>2454</v>
      </c>
      <c r="B15" s="1532"/>
      <c r="C15" s="1533"/>
      <c r="D15" s="1533"/>
      <c r="E15" s="1534">
        <f>+B15+C15+D15</f>
        <v>0</v>
      </c>
      <c r="F15" s="1535"/>
      <c r="G15" s="1536">
        <f>+E15+F15</f>
        <v>0</v>
      </c>
      <c r="H15" s="1537"/>
      <c r="I15" s="1538"/>
      <c r="J15" s="1538"/>
    </row>
    <row r="16" spans="1:13">
      <c r="A16" s="1545" t="s">
        <v>2455</v>
      </c>
      <c r="B16" s="1532"/>
      <c r="C16" s="1533"/>
      <c r="D16" s="1533">
        <f>1338299-1</f>
        <v>1338298</v>
      </c>
      <c r="E16" s="1534">
        <f>+B16+C16+D16</f>
        <v>1338298</v>
      </c>
      <c r="F16" s="1549"/>
      <c r="G16" s="1536">
        <f>+E16+F16</f>
        <v>1338298</v>
      </c>
      <c r="H16" s="1537"/>
      <c r="I16" s="1538"/>
      <c r="J16" s="1538"/>
    </row>
    <row r="17" spans="1:13">
      <c r="A17" s="1545" t="s">
        <v>2456</v>
      </c>
      <c r="B17" s="1532"/>
      <c r="C17" s="1533"/>
      <c r="D17" s="1533"/>
      <c r="E17" s="1534">
        <f>+B17+C17+D17</f>
        <v>0</v>
      </c>
      <c r="F17" s="1535"/>
      <c r="G17" s="1536">
        <f>+E17+F17</f>
        <v>0</v>
      </c>
      <c r="H17" s="1537"/>
      <c r="I17" s="1538"/>
      <c r="J17" s="1538"/>
    </row>
    <row r="18" spans="1:13">
      <c r="A18" s="1531" t="s">
        <v>2457</v>
      </c>
      <c r="B18" s="1546">
        <f t="shared" ref="B18:G18" si="2">+B19+B20+B21</f>
        <v>0</v>
      </c>
      <c r="C18" s="1548">
        <f t="shared" si="2"/>
        <v>0</v>
      </c>
      <c r="D18" s="1548">
        <f t="shared" si="2"/>
        <v>0</v>
      </c>
      <c r="E18" s="1550">
        <f t="shared" si="2"/>
        <v>0</v>
      </c>
      <c r="F18" s="1549">
        <f t="shared" si="2"/>
        <v>74918</v>
      </c>
      <c r="G18" s="1536">
        <f t="shared" si="2"/>
        <v>74918</v>
      </c>
      <c r="H18" s="1536"/>
      <c r="I18" s="1551">
        <f>+I19+I20+I21</f>
        <v>0</v>
      </c>
      <c r="J18" s="1551">
        <f>+J19+J20+J21</f>
        <v>0</v>
      </c>
      <c r="L18" s="1522">
        <f>+'19.mell 2020K12'!E8</f>
        <v>74918</v>
      </c>
      <c r="M18" s="1522">
        <f>+L18-G18</f>
        <v>0</v>
      </c>
    </row>
    <row r="19" spans="1:13">
      <c r="A19" s="1545" t="s">
        <v>2458</v>
      </c>
      <c r="B19" s="1546"/>
      <c r="C19" s="1548"/>
      <c r="D19" s="1548"/>
      <c r="E19" s="1534">
        <f>+B19+C19+D19</f>
        <v>0</v>
      </c>
      <c r="F19" s="1549">
        <v>74918</v>
      </c>
      <c r="G19" s="1536">
        <f>+E19+F19</f>
        <v>74918</v>
      </c>
      <c r="H19" s="1536"/>
      <c r="I19" s="1551"/>
      <c r="J19" s="1551"/>
    </row>
    <row r="20" spans="1:13">
      <c r="A20" s="1545" t="s">
        <v>2459</v>
      </c>
      <c r="B20" s="1546"/>
      <c r="C20" s="1548"/>
      <c r="D20" s="1548"/>
      <c r="E20" s="1534">
        <f>+B20+C20+D20</f>
        <v>0</v>
      </c>
      <c r="F20" s="1549"/>
      <c r="G20" s="1536">
        <f>+E20+F20</f>
        <v>0</v>
      </c>
      <c r="H20" s="1536"/>
      <c r="I20" s="1551"/>
      <c r="J20" s="1551"/>
    </row>
    <row r="21" spans="1:13">
      <c r="A21" s="1545" t="s">
        <v>2460</v>
      </c>
      <c r="B21" s="1546"/>
      <c r="C21" s="1548"/>
      <c r="D21" s="1548"/>
      <c r="E21" s="1534">
        <f>+B21+C21+D21</f>
        <v>0</v>
      </c>
      <c r="F21" s="1549"/>
      <c r="G21" s="1536">
        <f>+E21+F21</f>
        <v>0</v>
      </c>
      <c r="H21" s="1536"/>
      <c r="I21" s="1551"/>
      <c r="J21" s="1551"/>
    </row>
    <row r="22" spans="1:13">
      <c r="A22" s="1531" t="s">
        <v>2461</v>
      </c>
      <c r="B22" s="1546"/>
      <c r="C22" s="1548"/>
      <c r="D22" s="1548">
        <f>907592+1</f>
        <v>907593</v>
      </c>
      <c r="E22" s="1534">
        <f>+B22+C22+D22</f>
        <v>907593</v>
      </c>
      <c r="F22" s="1549">
        <v>61995</v>
      </c>
      <c r="G22" s="1536">
        <f>+E22+F22</f>
        <v>969588</v>
      </c>
      <c r="H22" s="1536"/>
      <c r="I22" s="1551">
        <v>56297</v>
      </c>
      <c r="J22" s="1551"/>
      <c r="L22" s="1522">
        <f>+'19.mell 2020K12'!E9</f>
        <v>969588</v>
      </c>
      <c r="M22" s="1522">
        <f>+L22-G22</f>
        <v>0</v>
      </c>
    </row>
    <row r="23" spans="1:13">
      <c r="A23" s="1552"/>
      <c r="B23" s="1546"/>
      <c r="C23" s="1548"/>
      <c r="D23" s="1548"/>
      <c r="E23" s="1550"/>
      <c r="F23" s="1549"/>
      <c r="G23" s="1536"/>
      <c r="H23" s="1536"/>
      <c r="I23" s="1551"/>
      <c r="J23" s="1551"/>
    </row>
    <row r="24" spans="1:13" s="1544" customFormat="1" ht="13.5">
      <c r="A24" s="1539" t="s">
        <v>2462</v>
      </c>
      <c r="B24" s="1553">
        <f t="shared" ref="B24:G24" si="3">+B25+B26</f>
        <v>0</v>
      </c>
      <c r="C24" s="1554">
        <f t="shared" si="3"/>
        <v>0</v>
      </c>
      <c r="D24" s="1554">
        <f t="shared" si="3"/>
        <v>0</v>
      </c>
      <c r="E24" s="1550">
        <f t="shared" si="3"/>
        <v>0</v>
      </c>
      <c r="F24" s="1555">
        <f t="shared" si="3"/>
        <v>1006</v>
      </c>
      <c r="G24" s="1536">
        <f t="shared" si="3"/>
        <v>1006</v>
      </c>
      <c r="H24" s="1536"/>
      <c r="I24" s="1556">
        <f>+I25+I26</f>
        <v>0</v>
      </c>
      <c r="J24" s="1556">
        <f>+J25+J26</f>
        <v>0</v>
      </c>
    </row>
    <row r="25" spans="1:13">
      <c r="A25" s="1557" t="s">
        <v>2463</v>
      </c>
      <c r="B25" s="1546"/>
      <c r="C25" s="1548"/>
      <c r="D25" s="1548"/>
      <c r="E25" s="1534">
        <f>+B25+C25+D25</f>
        <v>0</v>
      </c>
      <c r="F25" s="1549">
        <v>1006</v>
      </c>
      <c r="G25" s="1536">
        <f>+E25+F25</f>
        <v>1006</v>
      </c>
      <c r="H25" s="1536"/>
      <c r="I25" s="1551"/>
      <c r="J25" s="1551"/>
      <c r="L25" s="1522">
        <f>+'19.mell 2020K12'!E11</f>
        <v>1006</v>
      </c>
      <c r="M25" s="1522">
        <f>+L25-G25</f>
        <v>0</v>
      </c>
    </row>
    <row r="26" spans="1:13">
      <c r="A26" s="1557" t="s">
        <v>2464</v>
      </c>
      <c r="B26" s="1546"/>
      <c r="C26" s="1548"/>
      <c r="D26" s="1548"/>
      <c r="E26" s="1534">
        <f>+B26+C26+D26</f>
        <v>0</v>
      </c>
      <c r="F26" s="1549"/>
      <c r="G26" s="1536">
        <f>+E26+F26</f>
        <v>0</v>
      </c>
      <c r="H26" s="1536"/>
      <c r="I26" s="1551"/>
      <c r="J26" s="1551"/>
      <c r="L26" s="1522">
        <f>+'19.mell 2020K12'!E12</f>
        <v>0</v>
      </c>
      <c r="M26" s="1522">
        <f>+L26-G26</f>
        <v>0</v>
      </c>
    </row>
    <row r="27" spans="1:13">
      <c r="A27" s="1531"/>
      <c r="B27" s="1546"/>
      <c r="C27" s="1548"/>
      <c r="D27" s="1548"/>
      <c r="E27" s="1550"/>
      <c r="F27" s="1549"/>
      <c r="G27" s="1536"/>
      <c r="H27" s="1536"/>
      <c r="I27" s="1551"/>
      <c r="J27" s="1551"/>
    </row>
    <row r="28" spans="1:13" s="1544" customFormat="1" ht="13.5">
      <c r="A28" s="1539" t="s">
        <v>2465</v>
      </c>
      <c r="B28" s="1553">
        <f t="shared" ref="B28:G28" si="4">+B29+B30+B31+B32</f>
        <v>0</v>
      </c>
      <c r="C28" s="1554">
        <f t="shared" si="4"/>
        <v>0</v>
      </c>
      <c r="D28" s="1554">
        <f t="shared" si="4"/>
        <v>0</v>
      </c>
      <c r="E28" s="1550">
        <f t="shared" si="4"/>
        <v>0</v>
      </c>
      <c r="F28" s="1555">
        <f t="shared" si="4"/>
        <v>2424171</v>
      </c>
      <c r="G28" s="1536">
        <f t="shared" si="4"/>
        <v>2424171</v>
      </c>
      <c r="H28" s="1536"/>
      <c r="I28" s="1556">
        <f>+I29+I30+I31+I32</f>
        <v>0</v>
      </c>
      <c r="J28" s="1556">
        <f>+J29+J30+J31+J32</f>
        <v>0</v>
      </c>
    </row>
    <row r="29" spans="1:13">
      <c r="A29" s="1557" t="s">
        <v>2466</v>
      </c>
      <c r="B29" s="1546"/>
      <c r="C29" s="1548"/>
      <c r="D29" s="1548"/>
      <c r="E29" s="1534">
        <f>+B29+C29+D29</f>
        <v>0</v>
      </c>
      <c r="F29" s="1549"/>
      <c r="G29" s="1536">
        <f>+E29+F29</f>
        <v>0</v>
      </c>
      <c r="H29" s="1536"/>
      <c r="I29" s="1551"/>
      <c r="J29" s="1551"/>
      <c r="L29" s="1522">
        <f>+'19.mell 2020K12'!E14</f>
        <v>0</v>
      </c>
      <c r="M29" s="1522">
        <f>+L29-G29</f>
        <v>0</v>
      </c>
    </row>
    <row r="30" spans="1:13">
      <c r="A30" s="1557" t="s">
        <v>2467</v>
      </c>
      <c r="B30" s="1546"/>
      <c r="C30" s="1548"/>
      <c r="D30" s="1548"/>
      <c r="E30" s="1534">
        <f>+B30+C30+D30</f>
        <v>0</v>
      </c>
      <c r="F30" s="1549">
        <v>1547</v>
      </c>
      <c r="G30" s="1536">
        <f>+E30+F30</f>
        <v>1547</v>
      </c>
      <c r="H30" s="1536"/>
      <c r="I30" s="1551"/>
      <c r="J30" s="1551"/>
      <c r="L30" s="1522">
        <f>+'19.mell 2020K12'!E15</f>
        <v>1547</v>
      </c>
      <c r="M30" s="1522">
        <f>+L30-G30</f>
        <v>0</v>
      </c>
    </row>
    <row r="31" spans="1:13">
      <c r="A31" s="1557" t="s">
        <v>2468</v>
      </c>
      <c r="B31" s="1546"/>
      <c r="C31" s="1548"/>
      <c r="D31" s="1548"/>
      <c r="E31" s="1534">
        <f>+B31+C31+D31</f>
        <v>0</v>
      </c>
      <c r="F31" s="1549">
        <v>2422624</v>
      </c>
      <c r="G31" s="1536">
        <f>+E31+F31</f>
        <v>2422624</v>
      </c>
      <c r="H31" s="1536"/>
      <c r="I31" s="1551"/>
      <c r="J31" s="1551"/>
      <c r="L31" s="1522">
        <f>+'19.mell 2020K12'!E16</f>
        <v>2422624</v>
      </c>
      <c r="M31" s="1522">
        <f>+L31-F31-F32</f>
        <v>0</v>
      </c>
    </row>
    <row r="32" spans="1:13">
      <c r="A32" s="1557" t="s">
        <v>2469</v>
      </c>
      <c r="B32" s="1546"/>
      <c r="C32" s="1548"/>
      <c r="D32" s="1548"/>
      <c r="E32" s="1534">
        <f>+B32+C32+D32</f>
        <v>0</v>
      </c>
      <c r="F32" s="1549"/>
      <c r="G32" s="1536">
        <f>+E32+F32</f>
        <v>0</v>
      </c>
      <c r="H32" s="1536"/>
      <c r="I32" s="1551"/>
      <c r="J32" s="1551"/>
    </row>
    <row r="33" spans="1:13">
      <c r="A33" s="1557"/>
      <c r="B33" s="1546"/>
      <c r="C33" s="1548"/>
      <c r="D33" s="1548"/>
      <c r="E33" s="1550"/>
      <c r="F33" s="1549"/>
      <c r="G33" s="1536"/>
      <c r="H33" s="1536"/>
      <c r="I33" s="1551"/>
      <c r="J33" s="1551"/>
    </row>
    <row r="34" spans="1:13" s="1544" customFormat="1" ht="13.5">
      <c r="A34" s="1539" t="s">
        <v>2470</v>
      </c>
      <c r="B34" s="1553">
        <f t="shared" ref="B34:G34" si="5">+B35+B36+B37</f>
        <v>0</v>
      </c>
      <c r="C34" s="1554">
        <f t="shared" si="5"/>
        <v>0</v>
      </c>
      <c r="D34" s="1554">
        <f t="shared" si="5"/>
        <v>0</v>
      </c>
      <c r="E34" s="1550">
        <f t="shared" si="5"/>
        <v>0</v>
      </c>
      <c r="F34" s="1555">
        <f t="shared" si="5"/>
        <v>293890</v>
      </c>
      <c r="G34" s="1536">
        <f t="shared" si="5"/>
        <v>293890</v>
      </c>
      <c r="H34" s="1536"/>
      <c r="I34" s="1556">
        <f>+I35+I36+I37</f>
        <v>0</v>
      </c>
      <c r="J34" s="1556">
        <f>+J35+J36+J37</f>
        <v>0</v>
      </c>
    </row>
    <row r="35" spans="1:13">
      <c r="A35" s="1557" t="s">
        <v>2471</v>
      </c>
      <c r="B35" s="1546"/>
      <c r="C35" s="1548"/>
      <c r="D35" s="1548"/>
      <c r="E35" s="1534">
        <f>+B35+C35+D35</f>
        <v>0</v>
      </c>
      <c r="F35" s="1549">
        <v>204858</v>
      </c>
      <c r="G35" s="1536">
        <f>+E35+F35</f>
        <v>204858</v>
      </c>
      <c r="H35" s="1536"/>
      <c r="I35" s="1551"/>
      <c r="J35" s="1551"/>
      <c r="L35" s="1522">
        <f>+'19.mell 2020K12'!E18</f>
        <v>204858</v>
      </c>
      <c r="M35" s="1522">
        <f t="shared" ref="M35:M41" si="6">+L35-G35</f>
        <v>0</v>
      </c>
    </row>
    <row r="36" spans="1:13">
      <c r="A36" s="1557" t="s">
        <v>2472</v>
      </c>
      <c r="B36" s="1546"/>
      <c r="C36" s="1548"/>
      <c r="D36" s="1548"/>
      <c r="E36" s="1534">
        <f>+B36+C36+D36</f>
        <v>0</v>
      </c>
      <c r="F36" s="1549">
        <v>142</v>
      </c>
      <c r="G36" s="1536">
        <f>+E36+F36</f>
        <v>142</v>
      </c>
      <c r="H36" s="1536"/>
      <c r="I36" s="1551"/>
      <c r="J36" s="1551"/>
      <c r="L36" s="1522">
        <f>+'19.mell 2020K12'!E19</f>
        <v>142</v>
      </c>
      <c r="M36" s="1522">
        <f t="shared" si="6"/>
        <v>0</v>
      </c>
    </row>
    <row r="37" spans="1:13">
      <c r="A37" s="1557" t="s">
        <v>2473</v>
      </c>
      <c r="B37" s="1546"/>
      <c r="C37" s="1548"/>
      <c r="D37" s="1548"/>
      <c r="E37" s="1534">
        <f>+B37+C37+D37</f>
        <v>0</v>
      </c>
      <c r="F37" s="1549">
        <v>88890</v>
      </c>
      <c r="G37" s="1536">
        <f>+E37+F37</f>
        <v>88890</v>
      </c>
      <c r="H37" s="1536"/>
      <c r="I37" s="1551"/>
      <c r="J37" s="1551"/>
      <c r="L37" s="1522">
        <f>+'19.mell 2020K12'!E20</f>
        <v>88890</v>
      </c>
      <c r="M37" s="1522">
        <f t="shared" si="6"/>
        <v>0</v>
      </c>
    </row>
    <row r="38" spans="1:13">
      <c r="A38" s="1557"/>
      <c r="B38" s="1546"/>
      <c r="C38" s="1548"/>
      <c r="D38" s="1548"/>
      <c r="E38" s="1550"/>
      <c r="F38" s="1549"/>
      <c r="G38" s="1536"/>
      <c r="H38" s="1536"/>
      <c r="I38" s="1551"/>
      <c r="J38" s="1551"/>
    </row>
    <row r="39" spans="1:13" s="1544" customFormat="1" ht="13.5">
      <c r="A39" s="1558" t="s">
        <v>2474</v>
      </c>
      <c r="B39" s="1553"/>
      <c r="C39" s="1554"/>
      <c r="D39" s="1554"/>
      <c r="E39" s="1534">
        <f>+B39+C39+D39</f>
        <v>0</v>
      </c>
      <c r="F39" s="1555">
        <v>39007</v>
      </c>
      <c r="G39" s="1536">
        <f>+E39+F39</f>
        <v>39007</v>
      </c>
      <c r="H39" s="1536"/>
      <c r="I39" s="1556"/>
      <c r="J39" s="1556"/>
      <c r="L39" s="1544">
        <f>+'19.mell 2020K12'!E22</f>
        <v>39007</v>
      </c>
      <c r="M39" s="1522">
        <f t="shared" si="6"/>
        <v>0</v>
      </c>
    </row>
    <row r="40" spans="1:13">
      <c r="A40" s="1559"/>
      <c r="B40" s="1546"/>
      <c r="C40" s="1548"/>
      <c r="D40" s="1548"/>
      <c r="E40" s="1560"/>
      <c r="F40" s="1549"/>
      <c r="G40" s="1561"/>
      <c r="H40" s="1561"/>
      <c r="I40" s="1551"/>
      <c r="J40" s="1551"/>
    </row>
    <row r="41" spans="1:13" s="1544" customFormat="1" ht="13.5">
      <c r="A41" s="1558" t="s">
        <v>2475</v>
      </c>
      <c r="B41" s="1553"/>
      <c r="C41" s="1554"/>
      <c r="D41" s="1554"/>
      <c r="E41" s="1534">
        <f>+B41+C41+D41</f>
        <v>0</v>
      </c>
      <c r="F41" s="1555">
        <v>43</v>
      </c>
      <c r="G41" s="1536">
        <f>+E41+F41</f>
        <v>43</v>
      </c>
      <c r="H41" s="1536"/>
      <c r="I41" s="1556"/>
      <c r="J41" s="1556"/>
      <c r="L41" s="1544">
        <f>+'19.mell 2020K12'!E23</f>
        <v>43</v>
      </c>
      <c r="M41" s="1522">
        <f t="shared" si="6"/>
        <v>0</v>
      </c>
    </row>
    <row r="42" spans="1:13" ht="13.5" thickBot="1">
      <c r="A42" s="1545"/>
      <c r="B42" s="1546"/>
      <c r="C42" s="1548"/>
      <c r="D42" s="1548"/>
      <c r="E42" s="1560"/>
      <c r="F42" s="1562"/>
      <c r="G42" s="1563"/>
      <c r="H42" s="1564"/>
      <c r="I42" s="1551"/>
      <c r="J42" s="1551"/>
    </row>
    <row r="43" spans="1:13" s="1544" customFormat="1" ht="14.25" thickBot="1">
      <c r="A43" s="1565" t="s">
        <v>2476</v>
      </c>
      <c r="B43" s="1566">
        <f t="shared" ref="B43:G43" si="7">+B10+B24+B28+B34+B39+B41</f>
        <v>0</v>
      </c>
      <c r="C43" s="1567">
        <f t="shared" si="7"/>
        <v>2614220</v>
      </c>
      <c r="D43" s="1567">
        <f t="shared" si="7"/>
        <v>5599018</v>
      </c>
      <c r="E43" s="1568">
        <f t="shared" si="7"/>
        <v>8213238</v>
      </c>
      <c r="F43" s="1569">
        <f t="shared" si="7"/>
        <v>3919383</v>
      </c>
      <c r="G43" s="1570">
        <f t="shared" si="7"/>
        <v>12132621</v>
      </c>
      <c r="H43" s="1537"/>
      <c r="I43" s="1571">
        <f>+I10+I24+I28+I34+I39+I41</f>
        <v>497901</v>
      </c>
      <c r="J43" s="1571">
        <f>+J10+J24+J28+J34+J39+J41</f>
        <v>0</v>
      </c>
    </row>
    <row r="44" spans="1:13">
      <c r="A44" s="1572"/>
      <c r="G44" s="1573" t="s">
        <v>2477</v>
      </c>
    </row>
    <row r="45" spans="1:13" ht="13.5" thickBot="1">
      <c r="A45" s="1572"/>
      <c r="G45" s="1573"/>
    </row>
    <row r="46" spans="1:13" ht="12.75" customHeight="1">
      <c r="A46" s="1923" t="s">
        <v>2478</v>
      </c>
      <c r="B46" s="1925" t="s">
        <v>2442</v>
      </c>
      <c r="C46" s="1926"/>
      <c r="D46" s="1926"/>
      <c r="E46" s="1927"/>
      <c r="F46" s="1917" t="s">
        <v>2443</v>
      </c>
      <c r="G46" s="1907" t="s">
        <v>18</v>
      </c>
      <c r="H46" s="1575"/>
    </row>
    <row r="47" spans="1:13" ht="51.75" thickBot="1">
      <c r="A47" s="1924"/>
      <c r="B47" s="1527" t="s">
        <v>2446</v>
      </c>
      <c r="C47" s="1528" t="s">
        <v>2447</v>
      </c>
      <c r="D47" s="1528" t="s">
        <v>2448</v>
      </c>
      <c r="E47" s="1529" t="s">
        <v>18</v>
      </c>
      <c r="F47" s="1918"/>
      <c r="G47" s="1908"/>
      <c r="H47" s="1575"/>
    </row>
    <row r="48" spans="1:13">
      <c r="A48" s="1539"/>
      <c r="B48" s="1553"/>
      <c r="C48" s="1554"/>
      <c r="D48" s="1554"/>
      <c r="E48" s="1550"/>
      <c r="F48" s="1555"/>
      <c r="G48" s="1536"/>
    </row>
    <row r="49" spans="1:13" s="1544" customFormat="1" ht="13.5">
      <c r="A49" s="1539" t="s">
        <v>2479</v>
      </c>
      <c r="B49" s="1576"/>
      <c r="C49" s="1577"/>
      <c r="D49" s="1577"/>
      <c r="E49" s="1578"/>
      <c r="F49" s="1579"/>
      <c r="G49" s="1536">
        <f>+G50+G51+G52+G53+G54+G55</f>
        <v>4829130</v>
      </c>
      <c r="H49" s="1574"/>
      <c r="I49" s="1580"/>
    </row>
    <row r="50" spans="1:13">
      <c r="A50" s="1557" t="s">
        <v>2480</v>
      </c>
      <c r="B50" s="1581"/>
      <c r="C50" s="1582"/>
      <c r="D50" s="1582"/>
      <c r="E50" s="1578"/>
      <c r="F50" s="1583"/>
      <c r="G50" s="1536">
        <v>6470309</v>
      </c>
      <c r="L50" s="1544">
        <f>+'19.mell 2020K12'!E25</f>
        <v>6598169</v>
      </c>
      <c r="M50" s="1544">
        <f>+L50-G50-G51-G52</f>
        <v>0</v>
      </c>
    </row>
    <row r="51" spans="1:13">
      <c r="A51" s="1557" t="s">
        <v>2481</v>
      </c>
      <c r="B51" s="1581"/>
      <c r="C51" s="1582"/>
      <c r="D51" s="1582"/>
      <c r="E51" s="1578"/>
      <c r="F51" s="1583"/>
      <c r="G51" s="1536">
        <v>-139581</v>
      </c>
    </row>
    <row r="52" spans="1:13">
      <c r="A52" s="1557" t="s">
        <v>2482</v>
      </c>
      <c r="B52" s="1581"/>
      <c r="C52" s="1582"/>
      <c r="D52" s="1582"/>
      <c r="E52" s="1578"/>
      <c r="F52" s="1583"/>
      <c r="G52" s="1536">
        <v>267441</v>
      </c>
    </row>
    <row r="53" spans="1:13">
      <c r="A53" s="1557" t="s">
        <v>2483</v>
      </c>
      <c r="B53" s="1581"/>
      <c r="C53" s="1582"/>
      <c r="D53" s="1582"/>
      <c r="E53" s="1578"/>
      <c r="F53" s="1583"/>
      <c r="G53" s="1536">
        <v>-1448132</v>
      </c>
      <c r="L53" s="1522">
        <f>+'19.mell 2020K12'!E26</f>
        <v>-1448132</v>
      </c>
      <c r="M53" s="1522">
        <f>+L53-G53</f>
        <v>0</v>
      </c>
    </row>
    <row r="54" spans="1:13">
      <c r="A54" s="1557" t="s">
        <v>2484</v>
      </c>
      <c r="B54" s="1581"/>
      <c r="C54" s="1582"/>
      <c r="D54" s="1582"/>
      <c r="E54" s="1578"/>
      <c r="F54" s="1583"/>
      <c r="G54" s="1536"/>
      <c r="L54" s="1522">
        <f>+'19.mell 2020K12'!E27</f>
        <v>0</v>
      </c>
      <c r="M54" s="1522">
        <f>+L54-G54</f>
        <v>0</v>
      </c>
    </row>
    <row r="55" spans="1:13">
      <c r="A55" s="1557" t="s">
        <v>2485</v>
      </c>
      <c r="B55" s="1581"/>
      <c r="C55" s="1582"/>
      <c r="D55" s="1582"/>
      <c r="E55" s="1578"/>
      <c r="F55" s="1583"/>
      <c r="G55" s="1536">
        <v>-320907</v>
      </c>
      <c r="L55" s="1522">
        <f>+'19.mell 2020K12'!E28</f>
        <v>-320907</v>
      </c>
      <c r="M55" s="1522">
        <f>+L55-G55</f>
        <v>0</v>
      </c>
    </row>
    <row r="56" spans="1:13">
      <c r="A56" s="1557"/>
      <c r="B56" s="1581"/>
      <c r="C56" s="1582"/>
      <c r="D56" s="1582"/>
      <c r="E56" s="1584"/>
      <c r="F56" s="1583"/>
      <c r="G56" s="1536"/>
    </row>
    <row r="57" spans="1:13" s="1544" customFormat="1" ht="13.5">
      <c r="A57" s="1539" t="s">
        <v>2486</v>
      </c>
      <c r="B57" s="1576"/>
      <c r="C57" s="1577"/>
      <c r="D57" s="1577"/>
      <c r="E57" s="1578"/>
      <c r="F57" s="1579"/>
      <c r="G57" s="1536">
        <f>+G58+G59+G60</f>
        <v>305087</v>
      </c>
      <c r="H57" s="1574"/>
      <c r="I57" s="1580"/>
    </row>
    <row r="58" spans="1:13">
      <c r="A58" s="1557" t="s">
        <v>2487</v>
      </c>
      <c r="B58" s="1581"/>
      <c r="C58" s="1582"/>
      <c r="D58" s="1582"/>
      <c r="E58" s="1578"/>
      <c r="F58" s="1583"/>
      <c r="G58" s="1536">
        <v>159787</v>
      </c>
      <c r="L58" s="1522">
        <f>+'19.mell 2020K12'!E30</f>
        <v>159787</v>
      </c>
      <c r="M58" s="1522">
        <f t="shared" ref="M58:M64" si="8">+L58-G58</f>
        <v>0</v>
      </c>
    </row>
    <row r="59" spans="1:13">
      <c r="A59" s="1557" t="s">
        <v>2488</v>
      </c>
      <c r="B59" s="1581"/>
      <c r="C59" s="1582"/>
      <c r="D59" s="1582"/>
      <c r="E59" s="1578"/>
      <c r="F59" s="1583"/>
      <c r="G59" s="1536">
        <v>51872</v>
      </c>
      <c r="L59" s="1522">
        <f>+'19.mell 2020K12'!E31</f>
        <v>51872</v>
      </c>
      <c r="M59" s="1522">
        <f t="shared" si="8"/>
        <v>0</v>
      </c>
    </row>
    <row r="60" spans="1:13">
      <c r="A60" s="1557" t="s">
        <v>2489</v>
      </c>
      <c r="B60" s="1581"/>
      <c r="C60" s="1582"/>
      <c r="D60" s="1582"/>
      <c r="E60" s="1578"/>
      <c r="F60" s="1583"/>
      <c r="G60" s="1536">
        <v>93428</v>
      </c>
      <c r="L60" s="1522">
        <f>+'19.mell 2020K12'!E32</f>
        <v>93428</v>
      </c>
      <c r="M60" s="1522">
        <f t="shared" si="8"/>
        <v>0</v>
      </c>
    </row>
    <row r="61" spans="1:13">
      <c r="A61" s="1557"/>
      <c r="B61" s="1581"/>
      <c r="C61" s="1582"/>
      <c r="D61" s="1582"/>
      <c r="E61" s="1584"/>
      <c r="F61" s="1583"/>
      <c r="G61" s="1536"/>
    </row>
    <row r="62" spans="1:13" s="1544" customFormat="1" ht="13.5">
      <c r="A62" s="1558" t="s">
        <v>2490</v>
      </c>
      <c r="B62" s="1576"/>
      <c r="C62" s="1577"/>
      <c r="D62" s="1577"/>
      <c r="E62" s="1578"/>
      <c r="F62" s="1579"/>
      <c r="G62" s="1536"/>
      <c r="H62" s="1574"/>
      <c r="I62" s="1580"/>
      <c r="L62" s="1544">
        <f>+'19.mell 2020K12'!E34</f>
        <v>0</v>
      </c>
      <c r="M62" s="1522">
        <f t="shared" si="8"/>
        <v>0</v>
      </c>
    </row>
    <row r="63" spans="1:13">
      <c r="A63" s="1558"/>
      <c r="B63" s="1581"/>
      <c r="C63" s="1582"/>
      <c r="D63" s="1582"/>
      <c r="E63" s="1584"/>
      <c r="F63" s="1583"/>
      <c r="G63" s="1536"/>
    </row>
    <row r="64" spans="1:13" s="1544" customFormat="1" ht="13.5">
      <c r="A64" s="1539" t="s">
        <v>2491</v>
      </c>
      <c r="B64" s="1576"/>
      <c r="C64" s="1577"/>
      <c r="D64" s="1577"/>
      <c r="E64" s="1578"/>
      <c r="F64" s="1579"/>
      <c r="G64" s="1536">
        <v>6998404</v>
      </c>
      <c r="H64" s="1574"/>
      <c r="I64" s="1580"/>
      <c r="L64" s="1544">
        <f>+'19.mell 2020K12'!E35</f>
        <v>6998404</v>
      </c>
      <c r="M64" s="1522">
        <f t="shared" si="8"/>
        <v>0</v>
      </c>
    </row>
    <row r="65" spans="1:9" ht="13.5" thickBot="1">
      <c r="A65" s="1531"/>
      <c r="B65" s="1546"/>
      <c r="C65" s="1548"/>
      <c r="D65" s="1548"/>
      <c r="E65" s="1560"/>
      <c r="F65" s="1549"/>
      <c r="G65" s="1536"/>
    </row>
    <row r="66" spans="1:9" s="1544" customFormat="1" ht="14.25" thickBot="1">
      <c r="A66" s="1565" t="s">
        <v>2492</v>
      </c>
      <c r="B66" s="1585">
        <f t="shared" ref="B66:G66" si="9">+B49+B57+B62+B64</f>
        <v>0</v>
      </c>
      <c r="C66" s="1586">
        <f t="shared" si="9"/>
        <v>0</v>
      </c>
      <c r="D66" s="1586">
        <f t="shared" si="9"/>
        <v>0</v>
      </c>
      <c r="E66" s="1587">
        <f t="shared" si="9"/>
        <v>0</v>
      </c>
      <c r="F66" s="1588">
        <f t="shared" si="9"/>
        <v>0</v>
      </c>
      <c r="G66" s="1570">
        <f t="shared" si="9"/>
        <v>12132621</v>
      </c>
      <c r="H66" s="1574"/>
      <c r="I66" s="1580"/>
    </row>
    <row r="68" spans="1:9" s="1544" customFormat="1" ht="13.5">
      <c r="A68" s="1580" t="s">
        <v>2493</v>
      </c>
      <c r="G68" s="1544">
        <f>+G69+G70</f>
        <v>8119</v>
      </c>
      <c r="H68" s="1580" t="s">
        <v>2494</v>
      </c>
      <c r="I68" s="1580"/>
    </row>
    <row r="69" spans="1:9">
      <c r="A69" s="1525" t="s">
        <v>2495</v>
      </c>
      <c r="G69" s="1522">
        <v>647</v>
      </c>
      <c r="H69" s="1525" t="s">
        <v>2494</v>
      </c>
    </row>
    <row r="70" spans="1:9">
      <c r="A70" s="1525" t="s">
        <v>2496</v>
      </c>
      <c r="G70" s="1522">
        <v>7472</v>
      </c>
      <c r="H70" s="1525" t="s">
        <v>2494</v>
      </c>
    </row>
    <row r="71" spans="1:9">
      <c r="A71" s="1525"/>
      <c r="G71" s="1522"/>
      <c r="H71" s="1525"/>
    </row>
    <row r="72" spans="1:9" s="1544" customFormat="1" ht="13.5">
      <c r="A72" s="1580" t="s">
        <v>2497</v>
      </c>
      <c r="G72" s="1544">
        <f>SUM(G73:G92)</f>
        <v>4244200</v>
      </c>
      <c r="H72" s="1580" t="s">
        <v>2494</v>
      </c>
      <c r="I72" s="1580"/>
    </row>
    <row r="73" spans="1:9">
      <c r="A73" s="1909" t="s">
        <v>2498</v>
      </c>
      <c r="B73" s="1909"/>
      <c r="C73" s="1909"/>
      <c r="D73" s="1909"/>
      <c r="E73" s="1909"/>
      <c r="F73" s="1909"/>
      <c r="G73" s="1589">
        <v>205000</v>
      </c>
      <c r="H73" s="1525" t="s">
        <v>2494</v>
      </c>
    </row>
    <row r="74" spans="1:9">
      <c r="A74" s="1909" t="s">
        <v>2499</v>
      </c>
      <c r="B74" s="1909"/>
      <c r="C74" s="1909"/>
      <c r="D74" s="1909"/>
      <c r="E74" s="1909"/>
      <c r="F74" s="1909"/>
      <c r="G74" s="1589">
        <v>177292</v>
      </c>
      <c r="H74" s="1525" t="s">
        <v>2494</v>
      </c>
    </row>
    <row r="75" spans="1:9">
      <c r="A75" s="1909" t="s">
        <v>2500</v>
      </c>
      <c r="B75" s="1909"/>
      <c r="C75" s="1909"/>
      <c r="D75" s="1909"/>
      <c r="E75" s="1909"/>
      <c r="F75" s="1909"/>
      <c r="G75" s="1589">
        <v>249619</v>
      </c>
      <c r="H75" s="1525" t="s">
        <v>2494</v>
      </c>
    </row>
    <row r="76" spans="1:9">
      <c r="A76" s="1909" t="s">
        <v>2501</v>
      </c>
      <c r="B76" s="1909"/>
      <c r="C76" s="1909"/>
      <c r="D76" s="1909"/>
      <c r="E76" s="1909"/>
      <c r="F76" s="1909"/>
      <c r="G76" s="1589">
        <v>126248</v>
      </c>
      <c r="H76" s="1525" t="s">
        <v>2494</v>
      </c>
    </row>
    <row r="77" spans="1:9">
      <c r="A77" s="1756" t="s">
        <v>2502</v>
      </c>
      <c r="B77" s="1756"/>
      <c r="C77" s="1756"/>
      <c r="D77" s="1756"/>
      <c r="E77" s="1756"/>
      <c r="F77" s="1756"/>
      <c r="G77" s="1589">
        <v>220415</v>
      </c>
      <c r="H77" s="1525" t="s">
        <v>2494</v>
      </c>
    </row>
    <row r="78" spans="1:9">
      <c r="A78" s="1756" t="s">
        <v>2503</v>
      </c>
      <c r="B78" s="1756"/>
      <c r="C78" s="1756"/>
      <c r="D78" s="1756"/>
      <c r="E78" s="1756"/>
      <c r="F78" s="1756"/>
      <c r="G78" s="1589">
        <v>257978</v>
      </c>
      <c r="H78" s="1525" t="s">
        <v>2494</v>
      </c>
    </row>
    <row r="79" spans="1:9" s="1525" customFormat="1">
      <c r="A79" s="1525" t="s">
        <v>2504</v>
      </c>
      <c r="G79" s="1590">
        <v>130650</v>
      </c>
      <c r="H79" s="1525" t="s">
        <v>2494</v>
      </c>
    </row>
    <row r="80" spans="1:9">
      <c r="A80" s="1525" t="s">
        <v>2505</v>
      </c>
      <c r="B80" s="1525"/>
      <c r="C80" s="1525"/>
      <c r="D80" s="1525"/>
      <c r="E80" s="1525"/>
      <c r="F80" s="1525"/>
      <c r="G80" s="1590">
        <f>28285-1</f>
        <v>28284</v>
      </c>
      <c r="H80" s="1525" t="s">
        <v>2494</v>
      </c>
    </row>
    <row r="81" spans="1:10">
      <c r="A81" s="1525" t="s">
        <v>2506</v>
      </c>
      <c r="B81" s="1525"/>
      <c r="C81" s="1525"/>
      <c r="D81" s="1525"/>
      <c r="E81" s="1525"/>
      <c r="F81" s="1525"/>
      <c r="G81" s="1590">
        <v>57085</v>
      </c>
      <c r="H81" s="1525" t="s">
        <v>2494</v>
      </c>
    </row>
    <row r="82" spans="1:10" ht="13.5">
      <c r="A82" s="1525" t="s">
        <v>2507</v>
      </c>
      <c r="B82" s="1525"/>
      <c r="C82" s="1525"/>
      <c r="D82" s="1525"/>
      <c r="E82" s="1525"/>
      <c r="F82" s="1525"/>
      <c r="G82" s="1590">
        <v>69268</v>
      </c>
      <c r="H82" s="1525" t="s">
        <v>2494</v>
      </c>
      <c r="I82" s="1580"/>
      <c r="J82" s="1580"/>
    </row>
    <row r="83" spans="1:10">
      <c r="A83" s="1525" t="s">
        <v>2508</v>
      </c>
      <c r="B83" s="1525"/>
      <c r="C83" s="1525"/>
      <c r="D83" s="1525"/>
      <c r="E83" s="1525"/>
      <c r="F83" s="1525"/>
      <c r="G83" s="1590">
        <v>109516</v>
      </c>
      <c r="H83" s="1525" t="s">
        <v>2494</v>
      </c>
    </row>
    <row r="84" spans="1:10">
      <c r="A84" s="1525" t="s">
        <v>2509</v>
      </c>
      <c r="B84" s="1525"/>
      <c r="C84" s="1525"/>
      <c r="D84" s="1525"/>
      <c r="E84" s="1525"/>
      <c r="F84" s="1525"/>
      <c r="G84" s="1590">
        <v>616716</v>
      </c>
      <c r="H84" s="1525" t="s">
        <v>2494</v>
      </c>
    </row>
    <row r="85" spans="1:10">
      <c r="A85" s="1525" t="s">
        <v>2510</v>
      </c>
      <c r="B85" s="1525"/>
      <c r="C85" s="1525"/>
      <c r="D85" s="1525"/>
      <c r="E85" s="1525"/>
      <c r="F85" s="1525"/>
      <c r="G85" s="1590">
        <v>888543</v>
      </c>
      <c r="H85" s="1525" t="s">
        <v>2494</v>
      </c>
    </row>
    <row r="86" spans="1:10">
      <c r="A86" s="1525" t="s">
        <v>2511</v>
      </c>
      <c r="B86" s="1525"/>
      <c r="C86" s="1525"/>
      <c r="D86" s="1525"/>
      <c r="E86" s="1525"/>
      <c r="F86" s="1525"/>
      <c r="G86" s="1590">
        <v>204051</v>
      </c>
      <c r="H86" s="1525" t="s">
        <v>2494</v>
      </c>
    </row>
    <row r="87" spans="1:10">
      <c r="A87" s="1525" t="s">
        <v>2512</v>
      </c>
      <c r="B87" s="1525"/>
      <c r="C87" s="1525"/>
      <c r="D87" s="1525"/>
      <c r="E87" s="1525"/>
      <c r="F87" s="1525"/>
      <c r="G87" s="1590">
        <v>477168</v>
      </c>
      <c r="H87" s="1525" t="s">
        <v>2494</v>
      </c>
    </row>
    <row r="88" spans="1:10">
      <c r="A88" s="1525" t="s">
        <v>2815</v>
      </c>
      <c r="B88" s="1525"/>
      <c r="C88" s="1525"/>
      <c r="D88" s="1525"/>
      <c r="E88" s="1525"/>
      <c r="F88" s="1525"/>
      <c r="G88" s="1590">
        <v>16882</v>
      </c>
      <c r="H88" s="1525" t="s">
        <v>2494</v>
      </c>
    </row>
    <row r="89" spans="1:10">
      <c r="A89" s="1525" t="s">
        <v>2816</v>
      </c>
      <c r="B89" s="1525"/>
      <c r="C89" s="1525"/>
      <c r="D89" s="1525"/>
      <c r="E89" s="1525"/>
      <c r="F89" s="1525"/>
      <c r="G89" s="1590">
        <v>57164</v>
      </c>
      <c r="H89" s="1525" t="s">
        <v>2494</v>
      </c>
    </row>
    <row r="90" spans="1:10">
      <c r="A90" s="1525" t="s">
        <v>2513</v>
      </c>
      <c r="B90" s="1525"/>
      <c r="C90" s="1525"/>
      <c r="D90" s="1525"/>
      <c r="E90" s="1525"/>
      <c r="F90" s="1525"/>
      <c r="G90" s="1590">
        <v>350000</v>
      </c>
      <c r="H90" s="1525" t="s">
        <v>2494</v>
      </c>
    </row>
    <row r="91" spans="1:10">
      <c r="A91" s="1525" t="s">
        <v>2514</v>
      </c>
      <c r="B91" s="1525"/>
      <c r="C91" s="1525"/>
      <c r="D91" s="1525"/>
      <c r="E91" s="1525"/>
      <c r="F91" s="1525"/>
      <c r="G91" s="1590">
        <v>1406</v>
      </c>
      <c r="H91" s="1525" t="s">
        <v>2494</v>
      </c>
    </row>
    <row r="92" spans="1:10">
      <c r="A92" s="1525" t="s">
        <v>2813</v>
      </c>
      <c r="B92" s="1525"/>
      <c r="C92" s="1525"/>
      <c r="D92" s="1525"/>
      <c r="E92" s="1525"/>
      <c r="F92" s="1525"/>
      <c r="G92" s="1525">
        <v>915</v>
      </c>
      <c r="H92" s="1525" t="s">
        <v>2494</v>
      </c>
    </row>
    <row r="93" spans="1:10" ht="13.5">
      <c r="A93" s="1525"/>
      <c r="B93" s="1525"/>
      <c r="C93" s="1525"/>
      <c r="D93" s="1525"/>
      <c r="E93" s="1525"/>
      <c r="F93" s="1525"/>
      <c r="G93" s="1580"/>
      <c r="H93" s="1525"/>
    </row>
    <row r="94" spans="1:10" ht="13.5">
      <c r="A94" s="1591" t="s">
        <v>2515</v>
      </c>
      <c r="B94" s="1580"/>
      <c r="C94" s="1580"/>
      <c r="D94" s="1580"/>
      <c r="E94" s="1580"/>
      <c r="F94" s="1580"/>
      <c r="G94" s="1544">
        <v>0</v>
      </c>
      <c r="H94" s="1580" t="s">
        <v>2494</v>
      </c>
    </row>
  </sheetData>
  <mergeCells count="18">
    <mergeCell ref="G7:G8"/>
    <mergeCell ref="I7:I8"/>
    <mergeCell ref="J7:J8"/>
    <mergeCell ref="A75:F75"/>
    <mergeCell ref="A76:F76"/>
    <mergeCell ref="A46:A47"/>
    <mergeCell ref="B46:E46"/>
    <mergeCell ref="F46:F47"/>
    <mergeCell ref="G46:G47"/>
    <mergeCell ref="A73:F73"/>
    <mergeCell ref="A74:F74"/>
    <mergeCell ref="I1:J1"/>
    <mergeCell ref="A3:J3"/>
    <mergeCell ref="A4:J4"/>
    <mergeCell ref="A5:J5"/>
    <mergeCell ref="A7:A8"/>
    <mergeCell ref="B7:E7"/>
    <mergeCell ref="F7:F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4" width="9.28515625" style="4" customWidth="1"/>
    <col min="5" max="5" width="9.28515625" style="118" customWidth="1"/>
    <col min="6" max="6" width="9.28515625" style="1305" customWidth="1"/>
    <col min="7" max="9" width="9.28515625" style="4" customWidth="1"/>
    <col min="10" max="10" width="9.140625" style="4" customWidth="1"/>
    <col min="11" max="11" width="9.140625" style="4" hidden="1" customWidth="1"/>
    <col min="12" max="15" width="0" style="4" hidden="1" customWidth="1"/>
    <col min="16" max="16384" width="9.140625" style="4"/>
  </cols>
  <sheetData>
    <row r="1" spans="1:11" s="50" customFormat="1" ht="15.75">
      <c r="E1" s="1080"/>
      <c r="F1" s="1289"/>
      <c r="I1" s="51" t="s">
        <v>352</v>
      </c>
    </row>
    <row r="2" spans="1:11" s="50" customFormat="1" ht="15.75">
      <c r="E2" s="1080"/>
      <c r="F2" s="1289"/>
    </row>
    <row r="3" spans="1:11" s="52" customFormat="1" ht="15.75">
      <c r="A3" s="1769" t="s">
        <v>353</v>
      </c>
      <c r="B3" s="1769"/>
      <c r="C3" s="1769"/>
      <c r="D3" s="1769"/>
      <c r="E3" s="1769"/>
      <c r="F3" s="1769"/>
      <c r="G3" s="1769"/>
      <c r="H3" s="1769"/>
      <c r="I3" s="1769"/>
    </row>
    <row r="4" spans="1:11" s="52" customFormat="1" ht="15.75">
      <c r="A4" s="1769" t="s">
        <v>1417</v>
      </c>
      <c r="B4" s="1769"/>
      <c r="C4" s="1769"/>
      <c r="D4" s="1769"/>
      <c r="E4" s="1769"/>
      <c r="F4" s="1769"/>
      <c r="G4" s="1769"/>
      <c r="H4" s="1769"/>
      <c r="I4" s="1769"/>
    </row>
    <row r="5" spans="1:11" s="50" customFormat="1" ht="15.75">
      <c r="E5" s="1080"/>
      <c r="F5" s="1289"/>
    </row>
    <row r="6" spans="1:11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  <c r="I6" s="1769"/>
    </row>
    <row r="7" spans="1:11" s="36" customFormat="1" ht="12.75" thickBot="1">
      <c r="A7" s="38" t="s">
        <v>279</v>
      </c>
      <c r="E7" s="1081"/>
      <c r="F7" s="1290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771" t="s">
        <v>254</v>
      </c>
      <c r="D9" s="1772"/>
      <c r="E9" s="1772"/>
      <c r="F9" s="1772"/>
      <c r="G9" s="1772"/>
      <c r="H9" s="1772"/>
      <c r="I9" s="1773"/>
    </row>
    <row r="10" spans="1:11" s="3" customFormat="1" ht="12.75" thickBot="1">
      <c r="A10" s="95" t="s">
        <v>4</v>
      </c>
      <c r="B10" s="63" t="s">
        <v>296</v>
      </c>
      <c r="C10" s="401">
        <f>+C11+C25+C32+C44</f>
        <v>1508776</v>
      </c>
      <c r="D10" s="1060">
        <f>+D11+D25+D32+D44</f>
        <v>1972678</v>
      </c>
      <c r="E10" s="1292">
        <f>+E11+E25+E32+E44</f>
        <v>1775107</v>
      </c>
      <c r="F10" s="1293">
        <f t="shared" ref="F10:F73" si="0">IF(ISERROR(E10/D10),"-",E10/D10)</f>
        <v>0.89984630030851465</v>
      </c>
      <c r="G10" s="31">
        <f>+G11+G25+G32+G44</f>
        <v>1774982</v>
      </c>
      <c r="H10" s="32">
        <f>+H11+H25+H32+H44</f>
        <v>125</v>
      </c>
      <c r="I10" s="33">
        <f>+I11+I25+I32+I44</f>
        <v>0</v>
      </c>
      <c r="K10" s="3">
        <f t="shared" ref="K10:K41" si="1">+E10-G10-H10-I10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988986</v>
      </c>
      <c r="D11" s="1061">
        <f>+D12+D19+D20+D21+D22+D23</f>
        <v>1306046</v>
      </c>
      <c r="E11" s="1070">
        <f>+E12+E19+E20+E21+E22+E23</f>
        <v>1306046</v>
      </c>
      <c r="F11" s="1294">
        <f t="shared" si="0"/>
        <v>1</v>
      </c>
      <c r="G11" s="27">
        <f>+G12+G19+G20+G21+G22+G23</f>
        <v>1305921</v>
      </c>
      <c r="H11" s="28">
        <f>+H12+H19+H20+H21+H22+H23</f>
        <v>125</v>
      </c>
      <c r="I11" s="29">
        <f>+I12+I19+I20+I21+I22+I23</f>
        <v>0</v>
      </c>
      <c r="K11" s="3">
        <f t="shared" si="1"/>
        <v>0</v>
      </c>
    </row>
    <row r="12" spans="1:11" s="3" customFormat="1">
      <c r="A12" s="84" t="s">
        <v>54</v>
      </c>
      <c r="B12" s="65" t="s">
        <v>298</v>
      </c>
      <c r="C12" s="398">
        <f>+C13+C14+C15+C16+C17+C18</f>
        <v>917056</v>
      </c>
      <c r="D12" s="1062">
        <f>+D13+D14+D15+D16+D17+D18</f>
        <v>967057</v>
      </c>
      <c r="E12" s="1071">
        <f>+E13+E14+E15+E16+E17+E18</f>
        <v>967057</v>
      </c>
      <c r="F12" s="1295">
        <f t="shared" si="0"/>
        <v>1</v>
      </c>
      <c r="G12" s="18">
        <f>+G13+G14+G15+G16+G17+G18</f>
        <v>967057</v>
      </c>
      <c r="H12" s="9">
        <f>+H13+H14+H15+H16+H17+H18</f>
        <v>0</v>
      </c>
      <c r="I12" s="14">
        <f>+I13+I14+I15+I16+I17+I18</f>
        <v>0</v>
      </c>
      <c r="K12" s="4">
        <f t="shared" si="1"/>
        <v>0</v>
      </c>
    </row>
    <row r="13" spans="1:11" s="13" customFormat="1">
      <c r="A13" s="86" t="s">
        <v>189</v>
      </c>
      <c r="B13" s="66" t="s">
        <v>93</v>
      </c>
      <c r="C13" s="394">
        <v>221585</v>
      </c>
      <c r="D13" s="1063">
        <v>249155</v>
      </c>
      <c r="E13" s="1067">
        <v>249155</v>
      </c>
      <c r="F13" s="1296">
        <f t="shared" si="0"/>
        <v>1</v>
      </c>
      <c r="G13" s="19">
        <v>249155</v>
      </c>
      <c r="H13" s="12"/>
      <c r="I13" s="15"/>
      <c r="K13" s="13">
        <f t="shared" si="1"/>
        <v>0</v>
      </c>
    </row>
    <row r="14" spans="1:11" s="13" customFormat="1">
      <c r="A14" s="86" t="s">
        <v>190</v>
      </c>
      <c r="B14" s="66" t="s">
        <v>94</v>
      </c>
      <c r="C14" s="394">
        <v>238516</v>
      </c>
      <c r="D14" s="1063">
        <v>259126</v>
      </c>
      <c r="E14" s="1067">
        <v>259126</v>
      </c>
      <c r="F14" s="1296">
        <f t="shared" si="0"/>
        <v>1</v>
      </c>
      <c r="G14" s="19">
        <v>259126</v>
      </c>
      <c r="H14" s="12"/>
      <c r="I14" s="15"/>
      <c r="K14" s="13">
        <f t="shared" si="1"/>
        <v>0</v>
      </c>
    </row>
    <row r="15" spans="1:11" s="13" customFormat="1">
      <c r="A15" s="86" t="s">
        <v>191</v>
      </c>
      <c r="B15" s="66" t="s">
        <v>95</v>
      </c>
      <c r="C15" s="394">
        <v>287846</v>
      </c>
      <c r="D15" s="1063">
        <v>337720</v>
      </c>
      <c r="E15" s="1067">
        <v>337720</v>
      </c>
      <c r="F15" s="1296">
        <f t="shared" si="0"/>
        <v>1</v>
      </c>
      <c r="G15" s="19">
        <v>337720</v>
      </c>
      <c r="H15" s="12"/>
      <c r="I15" s="15"/>
      <c r="K15" s="13">
        <f t="shared" si="1"/>
        <v>0</v>
      </c>
    </row>
    <row r="16" spans="1:11" s="13" customFormat="1">
      <c r="A16" s="86" t="s">
        <v>192</v>
      </c>
      <c r="B16" s="66" t="s">
        <v>96</v>
      </c>
      <c r="C16" s="394">
        <v>13207</v>
      </c>
      <c r="D16" s="1063">
        <v>26951</v>
      </c>
      <c r="E16" s="1067">
        <v>26951</v>
      </c>
      <c r="F16" s="1296">
        <f t="shared" si="0"/>
        <v>1</v>
      </c>
      <c r="G16" s="19">
        <v>26951</v>
      </c>
      <c r="H16" s="12"/>
      <c r="I16" s="15"/>
      <c r="K16" s="13">
        <f t="shared" si="1"/>
        <v>0</v>
      </c>
    </row>
    <row r="17" spans="1:14" s="13" customFormat="1">
      <c r="A17" s="86" t="s">
        <v>193</v>
      </c>
      <c r="B17" s="66" t="s">
        <v>891</v>
      </c>
      <c r="C17" s="394">
        <v>155902</v>
      </c>
      <c r="D17" s="1063">
        <v>93958</v>
      </c>
      <c r="E17" s="1067">
        <v>93958</v>
      </c>
      <c r="F17" s="1297">
        <f t="shared" si="0"/>
        <v>1</v>
      </c>
      <c r="G17" s="19">
        <v>93958</v>
      </c>
      <c r="H17" s="12"/>
      <c r="I17" s="15"/>
      <c r="K17" s="13">
        <f t="shared" si="1"/>
        <v>0</v>
      </c>
    </row>
    <row r="18" spans="1:14" s="13" customFormat="1">
      <c r="A18" s="86" t="s">
        <v>194</v>
      </c>
      <c r="B18" s="66" t="s">
        <v>892</v>
      </c>
      <c r="C18" s="394"/>
      <c r="D18" s="1063">
        <v>147</v>
      </c>
      <c r="E18" s="1067">
        <v>147</v>
      </c>
      <c r="F18" s="1297">
        <f t="shared" si="0"/>
        <v>1</v>
      </c>
      <c r="G18" s="19">
        <v>147</v>
      </c>
      <c r="H18" s="12"/>
      <c r="I18" s="15"/>
      <c r="K18" s="13">
        <f t="shared" si="1"/>
        <v>0</v>
      </c>
    </row>
    <row r="19" spans="1:14">
      <c r="A19" s="85" t="s">
        <v>55</v>
      </c>
      <c r="B19" s="67" t="s">
        <v>97</v>
      </c>
      <c r="C19" s="396">
        <v>8014</v>
      </c>
      <c r="D19" s="1064">
        <v>1176</v>
      </c>
      <c r="E19" s="1068">
        <v>1176</v>
      </c>
      <c r="F19" s="1296">
        <f t="shared" si="0"/>
        <v>1</v>
      </c>
      <c r="G19" s="20">
        <v>1176</v>
      </c>
      <c r="H19" s="11"/>
      <c r="I19" s="16"/>
      <c r="K19" s="4">
        <f t="shared" si="1"/>
        <v>0</v>
      </c>
      <c r="M19" s="4">
        <f>+'1.2.mell._HKÖH_Mérleg2020'!D134+'1.3.mell._HVÓBKI_Mérleg2020'!D134+'1.4.mell._HKK_Mérleg2020'!D134+'1.5._mell._MŐSZ_Mérleg2020'!D134+'1.6._mell._HVGYKCSSZ_Mérleg2020'!D134</f>
        <v>1176</v>
      </c>
      <c r="N19" s="4">
        <f>+'1.2.mell._HKÖH_Mérleg2020'!E134+'1.3.mell._HVÓBKI_Mérleg2020'!E134+'1.4.mell._HKK_Mérleg2020'!E134+'1.5._mell._MŐSZ_Mérleg2020'!E134+'1.6._mell._HVGYKCSSZ_Mérleg2020'!E134</f>
        <v>1176</v>
      </c>
    </row>
    <row r="20" spans="1:14">
      <c r="A20" s="85" t="s">
        <v>83</v>
      </c>
      <c r="B20" s="67" t="s">
        <v>98</v>
      </c>
      <c r="C20" s="396"/>
      <c r="D20" s="1064"/>
      <c r="E20" s="1068"/>
      <c r="F20" s="1296" t="str">
        <f t="shared" si="0"/>
        <v>-</v>
      </c>
      <c r="G20" s="20"/>
      <c r="H20" s="11"/>
      <c r="I20" s="16"/>
      <c r="K20" s="4">
        <f t="shared" si="1"/>
        <v>0</v>
      </c>
      <c r="M20" s="4">
        <f>+M19-D19</f>
        <v>0</v>
      </c>
      <c r="N20" s="4">
        <f>+N19-E19</f>
        <v>0</v>
      </c>
    </row>
    <row r="21" spans="1:14">
      <c r="A21" s="85" t="s">
        <v>84</v>
      </c>
      <c r="B21" s="67" t="s">
        <v>99</v>
      </c>
      <c r="C21" s="396"/>
      <c r="D21" s="1064"/>
      <c r="E21" s="1068"/>
      <c r="F21" s="1296" t="str">
        <f t="shared" si="0"/>
        <v>-</v>
      </c>
      <c r="G21" s="20"/>
      <c r="H21" s="11"/>
      <c r="I21" s="16"/>
      <c r="K21" s="4">
        <f t="shared" si="1"/>
        <v>0</v>
      </c>
    </row>
    <row r="22" spans="1:14">
      <c r="A22" s="85" t="s">
        <v>85</v>
      </c>
      <c r="B22" s="67" t="s">
        <v>100</v>
      </c>
      <c r="C22" s="396"/>
      <c r="D22" s="1064"/>
      <c r="E22" s="1068"/>
      <c r="F22" s="1296" t="str">
        <f t="shared" si="0"/>
        <v>-</v>
      </c>
      <c r="G22" s="20"/>
      <c r="H22" s="11"/>
      <c r="I22" s="16"/>
      <c r="K22" s="4">
        <f t="shared" si="1"/>
        <v>0</v>
      </c>
    </row>
    <row r="23" spans="1:14">
      <c r="A23" s="78" t="s">
        <v>86</v>
      </c>
      <c r="B23" s="68" t="s">
        <v>101</v>
      </c>
      <c r="C23" s="397">
        <v>63916</v>
      </c>
      <c r="D23" s="1065">
        <v>337813</v>
      </c>
      <c r="E23" s="1069">
        <v>337813</v>
      </c>
      <c r="F23" s="1298">
        <f t="shared" si="0"/>
        <v>1</v>
      </c>
      <c r="G23" s="21">
        <v>337688</v>
      </c>
      <c r="H23" s="22">
        <v>125</v>
      </c>
      <c r="I23" s="23"/>
      <c r="K23" s="4">
        <f t="shared" si="1"/>
        <v>0</v>
      </c>
    </row>
    <row r="24" spans="1:14" s="13" customFormat="1" ht="12.75" thickBot="1">
      <c r="A24" s="89" t="s">
        <v>331</v>
      </c>
      <c r="B24" s="751" t="s">
        <v>332</v>
      </c>
      <c r="C24" s="395"/>
      <c r="D24" s="1066">
        <v>208341</v>
      </c>
      <c r="E24" s="1299">
        <v>208341</v>
      </c>
      <c r="F24" s="1298">
        <f t="shared" si="0"/>
        <v>1</v>
      </c>
      <c r="G24" s="45">
        <v>208341</v>
      </c>
      <c r="H24" s="43"/>
      <c r="I24" s="44"/>
      <c r="K24" s="13">
        <f t="shared" si="1"/>
        <v>0</v>
      </c>
    </row>
    <row r="25" spans="1:14" s="3" customFormat="1" ht="12.75" customHeight="1" thickBot="1">
      <c r="A25" s="83" t="s">
        <v>6</v>
      </c>
      <c r="B25" s="64" t="s">
        <v>778</v>
      </c>
      <c r="C25" s="129">
        <f>+C26+C27+C28+C29+C30+C31</f>
        <v>396552</v>
      </c>
      <c r="D25" s="1061">
        <f>+D26+D27+D28+D29+D30+D31</f>
        <v>538381</v>
      </c>
      <c r="E25" s="1070">
        <f>+E26+E27+E28+E29+E30+E31</f>
        <v>370135</v>
      </c>
      <c r="F25" s="1294">
        <f t="shared" si="0"/>
        <v>0.68749640124744371</v>
      </c>
      <c r="G25" s="27">
        <f>+G26+G27+G28+G29+G30+G31</f>
        <v>370135</v>
      </c>
      <c r="H25" s="28">
        <f>+H26+H27+H28+H29+H30+H31</f>
        <v>0</v>
      </c>
      <c r="I25" s="29">
        <f>+I26+I27+I28+I29+I30+I31</f>
        <v>0</v>
      </c>
      <c r="K25" s="3">
        <f t="shared" si="1"/>
        <v>0</v>
      </c>
    </row>
    <row r="26" spans="1:14" ht="12.75" customHeight="1">
      <c r="A26" s="84" t="s">
        <v>58</v>
      </c>
      <c r="B26" s="65" t="s">
        <v>102</v>
      </c>
      <c r="C26" s="398">
        <v>50</v>
      </c>
      <c r="D26" s="1062">
        <v>291</v>
      </c>
      <c r="E26" s="1071">
        <v>291</v>
      </c>
      <c r="F26" s="1295">
        <f t="shared" si="0"/>
        <v>1</v>
      </c>
      <c r="G26" s="34">
        <v>291</v>
      </c>
      <c r="H26" s="10"/>
      <c r="I26" s="35"/>
      <c r="K26" s="4">
        <f t="shared" si="1"/>
        <v>0</v>
      </c>
    </row>
    <row r="27" spans="1:14" ht="12.75" customHeight="1">
      <c r="A27" s="85" t="s">
        <v>59</v>
      </c>
      <c r="B27" s="67" t="s">
        <v>103</v>
      </c>
      <c r="C27" s="396"/>
      <c r="D27" s="1064"/>
      <c r="E27" s="1068"/>
      <c r="F27" s="1296" t="str">
        <f t="shared" si="0"/>
        <v>-</v>
      </c>
      <c r="G27" s="20"/>
      <c r="H27" s="11"/>
      <c r="I27" s="16"/>
      <c r="K27" s="4">
        <f t="shared" si="1"/>
        <v>0</v>
      </c>
    </row>
    <row r="28" spans="1:14" ht="12.75" customHeight="1">
      <c r="A28" s="85" t="s">
        <v>60</v>
      </c>
      <c r="B28" s="67" t="s">
        <v>104</v>
      </c>
      <c r="C28" s="396"/>
      <c r="D28" s="1064"/>
      <c r="E28" s="1068"/>
      <c r="F28" s="1296" t="str">
        <f t="shared" si="0"/>
        <v>-</v>
      </c>
      <c r="G28" s="20"/>
      <c r="H28" s="11"/>
      <c r="I28" s="16"/>
      <c r="K28" s="4">
        <f t="shared" si="1"/>
        <v>0</v>
      </c>
    </row>
    <row r="29" spans="1:14" ht="12.75" customHeight="1">
      <c r="A29" s="85" t="s">
        <v>179</v>
      </c>
      <c r="B29" s="67" t="s">
        <v>105</v>
      </c>
      <c r="C29" s="396">
        <v>66952</v>
      </c>
      <c r="D29" s="1064">
        <v>76043</v>
      </c>
      <c r="E29" s="1068">
        <f>72401+1</f>
        <v>72402</v>
      </c>
      <c r="F29" s="1296">
        <f t="shared" si="0"/>
        <v>0.95211919571821202</v>
      </c>
      <c r="G29" s="20">
        <v>72402</v>
      </c>
      <c r="H29" s="11"/>
      <c r="I29" s="16"/>
      <c r="K29" s="4">
        <f t="shared" si="1"/>
        <v>0</v>
      </c>
    </row>
    <row r="30" spans="1:14" ht="12.75" customHeight="1">
      <c r="A30" s="78" t="s">
        <v>180</v>
      </c>
      <c r="B30" s="68" t="s">
        <v>106</v>
      </c>
      <c r="C30" s="397">
        <v>328350</v>
      </c>
      <c r="D30" s="1065">
        <v>452474</v>
      </c>
      <c r="E30" s="1069">
        <v>294191</v>
      </c>
      <c r="F30" s="1298">
        <f t="shared" si="0"/>
        <v>0.65018321494715714</v>
      </c>
      <c r="G30" s="21">
        <v>294191</v>
      </c>
      <c r="H30" s="22"/>
      <c r="I30" s="23"/>
      <c r="K30" s="4">
        <f t="shared" si="1"/>
        <v>0</v>
      </c>
    </row>
    <row r="31" spans="1:14" ht="12.75" customHeight="1" thickBot="1">
      <c r="A31" s="78" t="s">
        <v>777</v>
      </c>
      <c r="B31" s="68" t="s">
        <v>779</v>
      </c>
      <c r="C31" s="397">
        <v>1200</v>
      </c>
      <c r="D31" s="1065">
        <v>9573</v>
      </c>
      <c r="E31" s="1069">
        <v>3251</v>
      </c>
      <c r="F31" s="1298">
        <f t="shared" si="0"/>
        <v>0.33960096103624776</v>
      </c>
      <c r="G31" s="21">
        <v>3251</v>
      </c>
      <c r="H31" s="22"/>
      <c r="I31" s="23"/>
      <c r="K31" s="4">
        <f t="shared" si="1"/>
        <v>0</v>
      </c>
    </row>
    <row r="32" spans="1:14" s="3" customFormat="1" ht="12.75" customHeight="1" thickBot="1">
      <c r="A32" s="83" t="s">
        <v>3</v>
      </c>
      <c r="B32" s="64" t="s">
        <v>964</v>
      </c>
      <c r="C32" s="129">
        <f>+C33+C34+C35+C36+C37+C38+C39+C40+C41+C42+C43</f>
        <v>123238</v>
      </c>
      <c r="D32" s="1061">
        <f>+D33+D34+D35+D36+D37+D38+D39+D40+D41+D42+D43</f>
        <v>108311</v>
      </c>
      <c r="E32" s="1070">
        <f>+E33+E34+E35+E36+E37+E38+E39+E40+E41+E42+E43</f>
        <v>94193</v>
      </c>
      <c r="F32" s="1294">
        <f t="shared" si="0"/>
        <v>0.86965312849110432</v>
      </c>
      <c r="G32" s="27">
        <f>+G33+G34+G35+G36+G37+G38+G39+G40+G41+G42+G43</f>
        <v>94193</v>
      </c>
      <c r="H32" s="28">
        <f>+H33+H34+H35+H36+H37+H38+H39+H40+H41+H42+H43</f>
        <v>0</v>
      </c>
      <c r="I32" s="29">
        <f>+I33+I34+I35+I36+I37+I38+I39+I40+I41+I42+I43</f>
        <v>0</v>
      </c>
      <c r="J32" s="4"/>
      <c r="K32" s="3">
        <f t="shared" si="1"/>
        <v>0</v>
      </c>
    </row>
    <row r="33" spans="1:11" ht="12.75" customHeight="1">
      <c r="A33" s="84" t="s">
        <v>61</v>
      </c>
      <c r="B33" s="65" t="s">
        <v>1539</v>
      </c>
      <c r="C33" s="398">
        <v>8000</v>
      </c>
      <c r="D33" s="1062">
        <f>8245</f>
        <v>8245</v>
      </c>
      <c r="E33" s="1071">
        <f>8245</f>
        <v>8245</v>
      </c>
      <c r="F33" s="1295">
        <f t="shared" si="0"/>
        <v>1</v>
      </c>
      <c r="G33" s="34">
        <v>8245</v>
      </c>
      <c r="H33" s="10"/>
      <c r="I33" s="35"/>
      <c r="K33" s="4">
        <f t="shared" si="1"/>
        <v>0</v>
      </c>
    </row>
    <row r="34" spans="1:11" ht="12.75" customHeight="1">
      <c r="A34" s="85" t="s">
        <v>62</v>
      </c>
      <c r="B34" s="67" t="s">
        <v>107</v>
      </c>
      <c r="C34" s="396">
        <v>34208</v>
      </c>
      <c r="D34" s="1064">
        <f>41155+1</f>
        <v>41156</v>
      </c>
      <c r="E34" s="1068">
        <f>41113+1</f>
        <v>41114</v>
      </c>
      <c r="F34" s="1296">
        <f t="shared" si="0"/>
        <v>0.99897949266206632</v>
      </c>
      <c r="G34" s="20">
        <v>41114</v>
      </c>
      <c r="H34" s="11"/>
      <c r="I34" s="16"/>
      <c r="K34" s="4">
        <f t="shared" si="1"/>
        <v>0</v>
      </c>
    </row>
    <row r="35" spans="1:11" ht="12.75" customHeight="1">
      <c r="A35" s="85" t="s">
        <v>63</v>
      </c>
      <c r="B35" s="67" t="s">
        <v>108</v>
      </c>
      <c r="C35" s="396"/>
      <c r="D35" s="1064">
        <v>13976</v>
      </c>
      <c r="E35" s="1068">
        <v>10376</v>
      </c>
      <c r="F35" s="1296">
        <f t="shared" si="0"/>
        <v>0.74241556954779619</v>
      </c>
      <c r="G35" s="20">
        <v>10376</v>
      </c>
      <c r="H35" s="11"/>
      <c r="I35" s="16"/>
      <c r="K35" s="4">
        <f t="shared" si="1"/>
        <v>0</v>
      </c>
    </row>
    <row r="36" spans="1:11" ht="12.75" customHeight="1">
      <c r="A36" s="85" t="s">
        <v>64</v>
      </c>
      <c r="B36" s="67" t="s">
        <v>109</v>
      </c>
      <c r="C36" s="396">
        <v>236</v>
      </c>
      <c r="D36" s="1064">
        <v>0</v>
      </c>
      <c r="E36" s="1068"/>
      <c r="F36" s="1296" t="str">
        <f t="shared" si="0"/>
        <v>-</v>
      </c>
      <c r="G36" s="20"/>
      <c r="H36" s="11"/>
      <c r="I36" s="16"/>
      <c r="K36" s="4">
        <f t="shared" si="1"/>
        <v>0</v>
      </c>
    </row>
    <row r="37" spans="1:11" ht="12.75" customHeight="1">
      <c r="A37" s="85" t="s">
        <v>65</v>
      </c>
      <c r="B37" s="67" t="s">
        <v>110</v>
      </c>
      <c r="C37" s="396"/>
      <c r="D37" s="1064"/>
      <c r="E37" s="1068"/>
      <c r="F37" s="1296" t="str">
        <f t="shared" si="0"/>
        <v>-</v>
      </c>
      <c r="G37" s="20"/>
      <c r="H37" s="11"/>
      <c r="I37" s="16"/>
      <c r="K37" s="4">
        <f t="shared" si="1"/>
        <v>0</v>
      </c>
    </row>
    <row r="38" spans="1:11" ht="12.75" customHeight="1">
      <c r="A38" s="85" t="s">
        <v>221</v>
      </c>
      <c r="B38" s="67" t="s">
        <v>111</v>
      </c>
      <c r="C38" s="396">
        <v>9300</v>
      </c>
      <c r="D38" s="1064">
        <f>16250-1</f>
        <v>16249</v>
      </c>
      <c r="E38" s="1068">
        <v>15175</v>
      </c>
      <c r="F38" s="1296">
        <f t="shared" si="0"/>
        <v>0.93390362483845157</v>
      </c>
      <c r="G38" s="20">
        <v>15175</v>
      </c>
      <c r="H38" s="11"/>
      <c r="I38" s="16"/>
      <c r="K38" s="4">
        <f t="shared" si="1"/>
        <v>0</v>
      </c>
    </row>
    <row r="39" spans="1:11" ht="12.75" customHeight="1">
      <c r="A39" s="85" t="s">
        <v>222</v>
      </c>
      <c r="B39" s="67" t="s">
        <v>112</v>
      </c>
      <c r="C39" s="396">
        <v>9851</v>
      </c>
      <c r="D39" s="1064">
        <v>4</v>
      </c>
      <c r="E39" s="1068">
        <v>4</v>
      </c>
      <c r="F39" s="1296">
        <f t="shared" si="0"/>
        <v>1</v>
      </c>
      <c r="G39" s="20">
        <v>4</v>
      </c>
      <c r="H39" s="11"/>
      <c r="I39" s="16"/>
      <c r="K39" s="4">
        <f t="shared" si="1"/>
        <v>0</v>
      </c>
    </row>
    <row r="40" spans="1:11" ht="12.75" customHeight="1">
      <c r="A40" s="85" t="s">
        <v>223</v>
      </c>
      <c r="B40" s="67" t="s">
        <v>974</v>
      </c>
      <c r="C40" s="396"/>
      <c r="D40" s="1064"/>
      <c r="E40" s="1068"/>
      <c r="F40" s="1296" t="str">
        <f t="shared" si="0"/>
        <v>-</v>
      </c>
      <c r="G40" s="20"/>
      <c r="H40" s="11"/>
      <c r="I40" s="16"/>
      <c r="K40" s="4">
        <f t="shared" si="1"/>
        <v>0</v>
      </c>
    </row>
    <row r="41" spans="1:11" ht="12.75" customHeight="1">
      <c r="A41" s="85" t="s">
        <v>224</v>
      </c>
      <c r="B41" s="67" t="s">
        <v>113</v>
      </c>
      <c r="C41" s="396"/>
      <c r="D41" s="1064">
        <v>7</v>
      </c>
      <c r="E41" s="1068">
        <v>7</v>
      </c>
      <c r="F41" s="1296">
        <f t="shared" si="0"/>
        <v>1</v>
      </c>
      <c r="G41" s="20">
        <v>7</v>
      </c>
      <c r="H41" s="11"/>
      <c r="I41" s="16"/>
      <c r="K41" s="4">
        <f t="shared" si="1"/>
        <v>0</v>
      </c>
    </row>
    <row r="42" spans="1:11" ht="12.75" customHeight="1">
      <c r="A42" s="78" t="s">
        <v>225</v>
      </c>
      <c r="B42" s="68" t="s">
        <v>894</v>
      </c>
      <c r="C42" s="396"/>
      <c r="D42" s="1064">
        <v>1022</v>
      </c>
      <c r="E42" s="1068">
        <v>1022</v>
      </c>
      <c r="F42" s="1296">
        <f t="shared" si="0"/>
        <v>1</v>
      </c>
      <c r="G42" s="20">
        <v>1022</v>
      </c>
      <c r="H42" s="11"/>
      <c r="I42" s="16"/>
      <c r="K42" s="4">
        <f t="shared" ref="K42:K73" si="2">+E42-G42-H42-I42</f>
        <v>0</v>
      </c>
    </row>
    <row r="43" spans="1:11" ht="12.75" customHeight="1" thickBot="1">
      <c r="A43" s="78" t="s">
        <v>893</v>
      </c>
      <c r="B43" s="68" t="s">
        <v>895</v>
      </c>
      <c r="C43" s="397">
        <v>61643</v>
      </c>
      <c r="D43" s="1065">
        <v>27652</v>
      </c>
      <c r="E43" s="1069">
        <v>18250</v>
      </c>
      <c r="F43" s="1298">
        <f t="shared" si="0"/>
        <v>0.65998842760017362</v>
      </c>
      <c r="G43" s="21">
        <v>18250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965</v>
      </c>
      <c r="C44" s="129">
        <f>+C45+C46+C47+C48+C49</f>
        <v>0</v>
      </c>
      <c r="D44" s="1061">
        <f>+D45+D46+D47+D48+D49</f>
        <v>19940</v>
      </c>
      <c r="E44" s="1070">
        <f>+E45+E46+E47+E48+E49</f>
        <v>4733</v>
      </c>
      <c r="F44" s="1294">
        <f t="shared" si="0"/>
        <v>0.23736208625877633</v>
      </c>
      <c r="G44" s="27">
        <f>+G45+G46+G47+G48+G49</f>
        <v>4733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398"/>
      <c r="D45" s="1062"/>
      <c r="E45" s="1071"/>
      <c r="F45" s="1295" t="str">
        <f t="shared" si="0"/>
        <v>-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896</v>
      </c>
      <c r="C46" s="396"/>
      <c r="D46" s="1064"/>
      <c r="E46" s="1068"/>
      <c r="F46" s="1295" t="str">
        <f t="shared" si="0"/>
        <v>-</v>
      </c>
      <c r="G46" s="20"/>
      <c r="H46" s="11"/>
      <c r="I46" s="16"/>
      <c r="K46" s="4">
        <f t="shared" si="2"/>
        <v>0</v>
      </c>
    </row>
    <row r="47" spans="1:11" ht="12.75" customHeight="1">
      <c r="A47" s="84" t="s">
        <v>228</v>
      </c>
      <c r="B47" s="65" t="s">
        <v>897</v>
      </c>
      <c r="C47" s="397"/>
      <c r="D47" s="1065"/>
      <c r="E47" s="1069"/>
      <c r="F47" s="1295" t="str">
        <f t="shared" si="0"/>
        <v>-</v>
      </c>
      <c r="G47" s="21"/>
      <c r="H47" s="22"/>
      <c r="I47" s="23"/>
      <c r="K47" s="4">
        <f t="shared" si="2"/>
        <v>0</v>
      </c>
    </row>
    <row r="48" spans="1:11" ht="12.75" customHeight="1">
      <c r="A48" s="85" t="s">
        <v>256</v>
      </c>
      <c r="B48" s="67" t="s">
        <v>898</v>
      </c>
      <c r="C48" s="396"/>
      <c r="D48" s="1064">
        <v>17041</v>
      </c>
      <c r="E48" s="1068">
        <v>3035</v>
      </c>
      <c r="F48" s="1296">
        <f t="shared" si="0"/>
        <v>0.17809987676779532</v>
      </c>
      <c r="G48" s="20">
        <v>3035</v>
      </c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899</v>
      </c>
      <c r="C49" s="397"/>
      <c r="D49" s="1065">
        <v>2899</v>
      </c>
      <c r="E49" s="1069">
        <v>1698</v>
      </c>
      <c r="F49" s="1298">
        <f t="shared" si="0"/>
        <v>0.58571921352190415</v>
      </c>
      <c r="G49" s="21">
        <v>1698</v>
      </c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73726</v>
      </c>
      <c r="D50" s="1061">
        <f>+D51+D58+D64</f>
        <v>267192</v>
      </c>
      <c r="E50" s="1070">
        <f>+E51+E58+E64</f>
        <v>261639</v>
      </c>
      <c r="F50" s="1294">
        <f t="shared" si="0"/>
        <v>0.97921719213150094</v>
      </c>
      <c r="G50" s="27">
        <f>+G51+G58+G64</f>
        <v>260975</v>
      </c>
      <c r="H50" s="28">
        <f>+H51+H58+H64</f>
        <v>664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32276</v>
      </c>
      <c r="D51" s="1061">
        <f>+D52+D53+D54+D55+D56</f>
        <v>219051</v>
      </c>
      <c r="E51" s="1070">
        <f>+E52+E53+E54+E55+E56</f>
        <v>219051</v>
      </c>
      <c r="F51" s="1294">
        <f t="shared" si="0"/>
        <v>1</v>
      </c>
      <c r="G51" s="27">
        <f>+G52+G53+G54+G55+G56</f>
        <v>219051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398"/>
      <c r="D52" s="1062">
        <v>39307</v>
      </c>
      <c r="E52" s="1071">
        <v>39307</v>
      </c>
      <c r="F52" s="1295">
        <f t="shared" si="0"/>
        <v>1</v>
      </c>
      <c r="G52" s="34">
        <v>39307</v>
      </c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396"/>
      <c r="D53" s="1064"/>
      <c r="E53" s="1068"/>
      <c r="F53" s="1296" t="str">
        <f t="shared" si="0"/>
        <v>-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396"/>
      <c r="D54" s="1064"/>
      <c r="E54" s="1068"/>
      <c r="F54" s="1296" t="str">
        <f t="shared" si="0"/>
        <v>-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396"/>
      <c r="D55" s="1064"/>
      <c r="E55" s="1068"/>
      <c r="F55" s="1296" t="str">
        <f t="shared" si="0"/>
        <v>-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397">
        <v>32276</v>
      </c>
      <c r="D56" s="1065">
        <v>179744</v>
      </c>
      <c r="E56" s="1069">
        <v>179744</v>
      </c>
      <c r="F56" s="1298">
        <f t="shared" si="0"/>
        <v>1</v>
      </c>
      <c r="G56" s="21">
        <v>179744</v>
      </c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51" t="s">
        <v>337</v>
      </c>
      <c r="C57" s="395"/>
      <c r="D57" s="1066">
        <v>169689</v>
      </c>
      <c r="E57" s="1299">
        <v>169689</v>
      </c>
      <c r="F57" s="1298">
        <f t="shared" si="0"/>
        <v>1</v>
      </c>
      <c r="G57" s="45">
        <v>169689</v>
      </c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40350</v>
      </c>
      <c r="D58" s="1061">
        <f>+D59+D60+D61+D62+D63</f>
        <v>42427</v>
      </c>
      <c r="E58" s="1070">
        <f>+E59+E60+E61+E62+E63</f>
        <v>41924</v>
      </c>
      <c r="F58" s="1294">
        <f t="shared" si="0"/>
        <v>0.98814434204633839</v>
      </c>
      <c r="G58" s="27">
        <f>+G59+G60+G61+G62+G63</f>
        <v>41924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398"/>
      <c r="D59" s="1062"/>
      <c r="E59" s="1071"/>
      <c r="F59" s="1295" t="str">
        <f t="shared" si="0"/>
        <v>-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396">
        <v>40350</v>
      </c>
      <c r="D60" s="1064">
        <v>42412</v>
      </c>
      <c r="E60" s="1068">
        <v>41909</v>
      </c>
      <c r="F60" s="1296">
        <f t="shared" si="0"/>
        <v>0.98814014901442992</v>
      </c>
      <c r="G60" s="20">
        <v>41909</v>
      </c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396"/>
      <c r="D61" s="1064">
        <v>15</v>
      </c>
      <c r="E61" s="1068">
        <v>15</v>
      </c>
      <c r="F61" s="1296">
        <f t="shared" si="0"/>
        <v>1</v>
      </c>
      <c r="G61" s="20">
        <v>15</v>
      </c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396"/>
      <c r="D62" s="1064"/>
      <c r="E62" s="1068"/>
      <c r="F62" s="1296" t="str">
        <f t="shared" si="0"/>
        <v>-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397"/>
      <c r="D63" s="1065"/>
      <c r="E63" s="1069"/>
      <c r="F63" s="1298" t="str">
        <f t="shared" si="0"/>
        <v>-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903</v>
      </c>
      <c r="C64" s="129">
        <f>+C65+C66+C67+C68+C69</f>
        <v>1100</v>
      </c>
      <c r="D64" s="1061">
        <f>+D65+D66+D67+D68+D69</f>
        <v>5714</v>
      </c>
      <c r="E64" s="1070">
        <f>+E65+E66+E67+E68+E69</f>
        <v>664</v>
      </c>
      <c r="F64" s="1294">
        <f t="shared" si="0"/>
        <v>0.11620581029051452</v>
      </c>
      <c r="G64" s="27">
        <f>+G65+G66+G67+G68+G69</f>
        <v>0</v>
      </c>
      <c r="H64" s="28">
        <f>+H65+H66+H67+H68+H69</f>
        <v>664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398"/>
      <c r="D65" s="1062"/>
      <c r="E65" s="1071"/>
      <c r="F65" s="1295" t="str">
        <f t="shared" si="0"/>
        <v>-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904</v>
      </c>
      <c r="C66" s="396"/>
      <c r="D66" s="1064"/>
      <c r="E66" s="1068"/>
      <c r="F66" s="1295" t="str">
        <f t="shared" si="0"/>
        <v>-</v>
      </c>
      <c r="G66" s="20"/>
      <c r="H66" s="11"/>
      <c r="I66" s="16"/>
      <c r="K66" s="4">
        <f t="shared" si="2"/>
        <v>0</v>
      </c>
    </row>
    <row r="67" spans="1:11">
      <c r="A67" s="84" t="s">
        <v>71</v>
      </c>
      <c r="B67" s="65" t="s">
        <v>905</v>
      </c>
      <c r="C67" s="397"/>
      <c r="D67" s="1065"/>
      <c r="E67" s="1069"/>
      <c r="F67" s="1295" t="str">
        <f t="shared" si="0"/>
        <v>-</v>
      </c>
      <c r="G67" s="21"/>
      <c r="H67" s="22"/>
      <c r="I67" s="23"/>
      <c r="K67" s="4">
        <f t="shared" si="2"/>
        <v>0</v>
      </c>
    </row>
    <row r="68" spans="1:11">
      <c r="A68" s="85" t="s">
        <v>72</v>
      </c>
      <c r="B68" s="67" t="s">
        <v>901</v>
      </c>
      <c r="C68" s="396">
        <v>1100</v>
      </c>
      <c r="D68" s="1064">
        <v>5678</v>
      </c>
      <c r="E68" s="1068">
        <v>664</v>
      </c>
      <c r="F68" s="1296">
        <f t="shared" si="0"/>
        <v>0.11694258541740049</v>
      </c>
      <c r="G68" s="20"/>
      <c r="H68" s="11">
        <v>664</v>
      </c>
      <c r="I68" s="16"/>
      <c r="K68" s="4">
        <f t="shared" si="2"/>
        <v>0</v>
      </c>
    </row>
    <row r="69" spans="1:11" ht="12.75" thickBot="1">
      <c r="A69" s="78" t="s">
        <v>900</v>
      </c>
      <c r="B69" s="68" t="s">
        <v>902</v>
      </c>
      <c r="C69" s="397"/>
      <c r="D69" s="1065">
        <v>36</v>
      </c>
      <c r="E69" s="1069"/>
      <c r="F69" s="1298">
        <f t="shared" si="0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1582502</v>
      </c>
      <c r="D70" s="1061">
        <f>+D10+D50</f>
        <v>2239870</v>
      </c>
      <c r="E70" s="1070">
        <f>+E10+E50</f>
        <v>2036746</v>
      </c>
      <c r="F70" s="1294">
        <f t="shared" si="0"/>
        <v>0.90931437985240215</v>
      </c>
      <c r="G70" s="27">
        <f>+G10+G50</f>
        <v>2035957</v>
      </c>
      <c r="H70" s="28">
        <f>+H10+H50</f>
        <v>789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2876249</v>
      </c>
      <c r="D71" s="1061">
        <f>+D72</f>
        <v>774274</v>
      </c>
      <c r="E71" s="1070">
        <f>+E72</f>
        <v>774274</v>
      </c>
      <c r="F71" s="1294">
        <f t="shared" si="0"/>
        <v>1</v>
      </c>
      <c r="G71" s="27">
        <f>+G72</f>
        <v>774274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912</v>
      </c>
      <c r="C72" s="129">
        <f>+C73+C83+C84+C85</f>
        <v>2876249</v>
      </c>
      <c r="D72" s="1061">
        <f>+D73+D83+D84+D85</f>
        <v>774274</v>
      </c>
      <c r="E72" s="1070">
        <f>+E73+E83+E84+E85</f>
        <v>774274</v>
      </c>
      <c r="F72" s="1294">
        <f t="shared" si="0"/>
        <v>1</v>
      </c>
      <c r="G72" s="27">
        <f>+G73+G83+G84+G85</f>
        <v>774274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907</v>
      </c>
      <c r="C73" s="398">
        <f>+C74+C75+C76+C77+C78+C79+C80+C81+C82</f>
        <v>2876249</v>
      </c>
      <c r="D73" s="1062">
        <f>+D74+D75+D76+D77+D78+D79+D80+D81+D82</f>
        <v>774274</v>
      </c>
      <c r="E73" s="1071">
        <f>+E74+E75+E76+E77+E78+E79+E80+E81+E82</f>
        <v>774274</v>
      </c>
      <c r="F73" s="1295">
        <f t="shared" si="0"/>
        <v>1</v>
      </c>
      <c r="G73" s="34">
        <f>+G74+G75+G76+G77+G78+G79+G80+G81+G82</f>
        <v>774274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906</v>
      </c>
      <c r="C74" s="394"/>
      <c r="D74" s="1063">
        <v>77939</v>
      </c>
      <c r="E74" s="1067">
        <v>77939</v>
      </c>
      <c r="F74" s="1296">
        <f t="shared" ref="F74:F102" si="3">IF(ISERROR(E74/D74),"-",E74/D74)</f>
        <v>1</v>
      </c>
      <c r="G74" s="19">
        <v>77939</v>
      </c>
      <c r="H74" s="12"/>
      <c r="I74" s="15"/>
      <c r="K74" s="13">
        <f t="shared" ref="K74:K102" si="4">+E74-G74-H74-I74</f>
        <v>0</v>
      </c>
    </row>
    <row r="75" spans="1:11" s="13" customFormat="1">
      <c r="A75" s="86" t="s">
        <v>196</v>
      </c>
      <c r="B75" s="66" t="s">
        <v>246</v>
      </c>
      <c r="C75" s="394"/>
      <c r="D75" s="1063"/>
      <c r="E75" s="1067"/>
      <c r="F75" s="1296" t="str">
        <f t="shared" si="3"/>
        <v>-</v>
      </c>
      <c r="G75" s="19"/>
      <c r="H75" s="12"/>
      <c r="I75" s="15"/>
      <c r="K75" s="13">
        <f t="shared" si="4"/>
        <v>0</v>
      </c>
    </row>
    <row r="76" spans="1:11" s="13" customFormat="1">
      <c r="A76" s="86" t="s">
        <v>197</v>
      </c>
      <c r="B76" s="66" t="s">
        <v>247</v>
      </c>
      <c r="C76" s="394">
        <v>2876249</v>
      </c>
      <c r="D76" s="1063">
        <f>3303332-1-D91</f>
        <v>659299</v>
      </c>
      <c r="E76" s="1067">
        <f>3303332-1-E91</f>
        <v>659299</v>
      </c>
      <c r="F76" s="1296">
        <f t="shared" si="3"/>
        <v>1</v>
      </c>
      <c r="G76" s="19">
        <v>659299</v>
      </c>
      <c r="H76" s="12"/>
      <c r="I76" s="15"/>
      <c r="K76" s="13">
        <f t="shared" si="4"/>
        <v>0</v>
      </c>
    </row>
    <row r="77" spans="1:11" s="13" customFormat="1">
      <c r="A77" s="86" t="s">
        <v>198</v>
      </c>
      <c r="B77" s="66" t="s">
        <v>248</v>
      </c>
      <c r="C77" s="394"/>
      <c r="D77" s="1063">
        <v>37036</v>
      </c>
      <c r="E77" s="1067">
        <v>37036</v>
      </c>
      <c r="F77" s="1296">
        <f t="shared" si="3"/>
        <v>1</v>
      </c>
      <c r="G77" s="19">
        <v>37036</v>
      </c>
      <c r="H77" s="12"/>
      <c r="I77" s="15"/>
      <c r="K77" s="13">
        <f t="shared" si="4"/>
        <v>0</v>
      </c>
    </row>
    <row r="78" spans="1:11" s="13" customFormat="1">
      <c r="A78" s="86" t="s">
        <v>199</v>
      </c>
      <c r="B78" s="66" t="s">
        <v>249</v>
      </c>
      <c r="C78" s="394"/>
      <c r="D78" s="1063"/>
      <c r="E78" s="1067"/>
      <c r="F78" s="1296" t="str">
        <f t="shared" si="3"/>
        <v>-</v>
      </c>
      <c r="G78" s="19"/>
      <c r="H78" s="12"/>
      <c r="I78" s="15"/>
      <c r="K78" s="13">
        <f t="shared" si="4"/>
        <v>0</v>
      </c>
    </row>
    <row r="79" spans="1:11" s="117" customFormat="1">
      <c r="A79" s="108" t="s">
        <v>200</v>
      </c>
      <c r="B79" s="109" t="s">
        <v>250</v>
      </c>
      <c r="C79" s="1056"/>
      <c r="D79" s="1067"/>
      <c r="E79" s="1067"/>
      <c r="F79" s="1297" t="str">
        <f t="shared" si="3"/>
        <v>-</v>
      </c>
      <c r="G79" s="686"/>
      <c r="H79" s="687"/>
      <c r="I79" s="688"/>
      <c r="K79" s="117">
        <f t="shared" si="4"/>
        <v>0</v>
      </c>
    </row>
    <row r="80" spans="1:11" s="117" customFormat="1">
      <c r="A80" s="86" t="s">
        <v>203</v>
      </c>
      <c r="B80" s="66" t="s">
        <v>251</v>
      </c>
      <c r="C80" s="1056"/>
      <c r="D80" s="1067"/>
      <c r="E80" s="1067"/>
      <c r="F80" s="1296" t="str">
        <f t="shared" si="3"/>
        <v>-</v>
      </c>
      <c r="G80" s="686"/>
      <c r="H80" s="687"/>
      <c r="I80" s="688"/>
      <c r="K80" s="117">
        <f t="shared" si="4"/>
        <v>0</v>
      </c>
    </row>
    <row r="81" spans="1:11" s="117" customFormat="1">
      <c r="A81" s="86" t="s">
        <v>201</v>
      </c>
      <c r="B81" s="66" t="s">
        <v>244</v>
      </c>
      <c r="C81" s="1056"/>
      <c r="D81" s="1067"/>
      <c r="E81" s="1067"/>
      <c r="F81" s="1296" t="str">
        <f t="shared" si="3"/>
        <v>-</v>
      </c>
      <c r="G81" s="686"/>
      <c r="H81" s="687"/>
      <c r="I81" s="688"/>
      <c r="K81" s="117">
        <f t="shared" si="4"/>
        <v>0</v>
      </c>
    </row>
    <row r="82" spans="1:11" s="117" customFormat="1">
      <c r="A82" s="86" t="s">
        <v>908</v>
      </c>
      <c r="B82" s="66" t="s">
        <v>909</v>
      </c>
      <c r="C82" s="1056"/>
      <c r="D82" s="1067"/>
      <c r="E82" s="1067"/>
      <c r="F82" s="1296" t="str">
        <f t="shared" si="3"/>
        <v>-</v>
      </c>
      <c r="G82" s="686"/>
      <c r="H82" s="687"/>
      <c r="I82" s="688"/>
      <c r="K82" s="117">
        <f t="shared" si="4"/>
        <v>0</v>
      </c>
    </row>
    <row r="83" spans="1:11" s="118" customFormat="1">
      <c r="A83" s="85" t="s">
        <v>74</v>
      </c>
      <c r="B83" s="67" t="s">
        <v>242</v>
      </c>
      <c r="C83" s="1057"/>
      <c r="D83" s="1068"/>
      <c r="E83" s="1068"/>
      <c r="F83" s="1296" t="str">
        <f t="shared" si="3"/>
        <v>-</v>
      </c>
      <c r="G83" s="925"/>
      <c r="H83" s="926"/>
      <c r="I83" s="927"/>
      <c r="K83" s="118">
        <f t="shared" si="4"/>
        <v>0</v>
      </c>
    </row>
    <row r="84" spans="1:11" s="118" customFormat="1">
      <c r="A84" s="78" t="s">
        <v>202</v>
      </c>
      <c r="B84" s="68" t="s">
        <v>243</v>
      </c>
      <c r="C84" s="980"/>
      <c r="D84" s="1069"/>
      <c r="E84" s="1069"/>
      <c r="F84" s="1298" t="str">
        <f t="shared" si="3"/>
        <v>-</v>
      </c>
      <c r="G84" s="928"/>
      <c r="H84" s="929"/>
      <c r="I84" s="930"/>
      <c r="K84" s="118">
        <f t="shared" si="4"/>
        <v>0</v>
      </c>
    </row>
    <row r="85" spans="1:11" s="118" customFormat="1" ht="12.75" thickBot="1">
      <c r="A85" s="78" t="s">
        <v>910</v>
      </c>
      <c r="B85" s="68" t="s">
        <v>911</v>
      </c>
      <c r="C85" s="980"/>
      <c r="D85" s="1069"/>
      <c r="E85" s="1069"/>
      <c r="F85" s="1298" t="str">
        <f t="shared" si="3"/>
        <v>-</v>
      </c>
      <c r="G85" s="928"/>
      <c r="H85" s="929"/>
      <c r="I85" s="930"/>
      <c r="K85" s="118">
        <f t="shared" si="4"/>
        <v>0</v>
      </c>
    </row>
    <row r="86" spans="1:11" s="119" customFormat="1" ht="12.75" thickBot="1">
      <c r="A86" s="83" t="s">
        <v>45</v>
      </c>
      <c r="B86" s="70" t="s">
        <v>304</v>
      </c>
      <c r="C86" s="1058">
        <f>+C87</f>
        <v>10000</v>
      </c>
      <c r="D86" s="1070">
        <f>+D87</f>
        <v>2653354</v>
      </c>
      <c r="E86" s="1070">
        <f>+E87</f>
        <v>2653354</v>
      </c>
      <c r="F86" s="1294">
        <f t="shared" si="3"/>
        <v>1</v>
      </c>
      <c r="G86" s="110">
        <f>+G87</f>
        <v>2653354</v>
      </c>
      <c r="H86" s="111">
        <f>+H87</f>
        <v>0</v>
      </c>
      <c r="I86" s="112">
        <f>+I87</f>
        <v>0</v>
      </c>
      <c r="K86" s="119">
        <f t="shared" si="4"/>
        <v>0</v>
      </c>
    </row>
    <row r="87" spans="1:11" s="119" customFormat="1" ht="12.75" thickBot="1">
      <c r="A87" s="83" t="s">
        <v>44</v>
      </c>
      <c r="B87" s="64" t="s">
        <v>914</v>
      </c>
      <c r="C87" s="1058">
        <f>+C88+C98+C99+C100</f>
        <v>10000</v>
      </c>
      <c r="D87" s="1070">
        <f>+D88+D98+D99+D100</f>
        <v>2653354</v>
      </c>
      <c r="E87" s="1070">
        <f>+E88+E98+E99+E100</f>
        <v>2653354</v>
      </c>
      <c r="F87" s="1294">
        <f t="shared" si="3"/>
        <v>1</v>
      </c>
      <c r="G87" s="110">
        <f>+G88+G98+G99+G100</f>
        <v>2653354</v>
      </c>
      <c r="H87" s="111">
        <f>+H88+H98+H99+H100</f>
        <v>0</v>
      </c>
      <c r="I87" s="112">
        <f>+I88+I98+I99+I100</f>
        <v>0</v>
      </c>
      <c r="K87" s="119">
        <f t="shared" si="4"/>
        <v>0</v>
      </c>
    </row>
    <row r="88" spans="1:11" s="118" customFormat="1">
      <c r="A88" s="84" t="s">
        <v>231</v>
      </c>
      <c r="B88" s="65" t="s">
        <v>966</v>
      </c>
      <c r="C88" s="1059">
        <f>+C89+C90+C91+C92+C93+C94+C95+C96+C97</f>
        <v>10000</v>
      </c>
      <c r="D88" s="1071">
        <f>+D89+D90+D91+D92+D93+D94+D95+D96+D97</f>
        <v>2653354</v>
      </c>
      <c r="E88" s="1071">
        <f>+E89+E90+E91+E92+E93+E94+E95+E96+E97</f>
        <v>2653354</v>
      </c>
      <c r="F88" s="1295">
        <f t="shared" si="3"/>
        <v>1</v>
      </c>
      <c r="G88" s="114">
        <f>+G89+G90+G91+G92+G93+G94+G95+G96+G97</f>
        <v>2653354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4"/>
        <v>0</v>
      </c>
    </row>
    <row r="89" spans="1:11" s="117" customFormat="1">
      <c r="A89" s="86" t="s">
        <v>232</v>
      </c>
      <c r="B89" s="66" t="s">
        <v>906</v>
      </c>
      <c r="C89" s="1056">
        <v>10000</v>
      </c>
      <c r="D89" s="1067">
        <v>9322</v>
      </c>
      <c r="E89" s="1067">
        <v>9322</v>
      </c>
      <c r="F89" s="1296">
        <f t="shared" si="3"/>
        <v>1</v>
      </c>
      <c r="G89" s="686">
        <v>9322</v>
      </c>
      <c r="H89" s="687"/>
      <c r="I89" s="688"/>
      <c r="K89" s="117">
        <f t="shared" si="4"/>
        <v>0</v>
      </c>
    </row>
    <row r="90" spans="1:11" s="117" customFormat="1">
      <c r="A90" s="86" t="s">
        <v>233</v>
      </c>
      <c r="B90" s="66" t="s">
        <v>246</v>
      </c>
      <c r="C90" s="1056"/>
      <c r="D90" s="1067"/>
      <c r="E90" s="1067"/>
      <c r="F90" s="1296" t="str">
        <f t="shared" si="3"/>
        <v>-</v>
      </c>
      <c r="G90" s="686"/>
      <c r="H90" s="687"/>
      <c r="I90" s="688"/>
      <c r="K90" s="117">
        <f t="shared" si="4"/>
        <v>0</v>
      </c>
    </row>
    <row r="91" spans="1:11" s="117" customFormat="1">
      <c r="A91" s="86" t="s">
        <v>234</v>
      </c>
      <c r="B91" s="66" t="s">
        <v>247</v>
      </c>
      <c r="C91" s="1056"/>
      <c r="D91" s="1067">
        <f>0+2644032</f>
        <v>2644032</v>
      </c>
      <c r="E91" s="1067">
        <f>0+2644032</f>
        <v>2644032</v>
      </c>
      <c r="F91" s="1296">
        <f t="shared" si="3"/>
        <v>1</v>
      </c>
      <c r="G91" s="686">
        <v>2644032</v>
      </c>
      <c r="H91" s="687"/>
      <c r="I91" s="688"/>
      <c r="K91" s="117">
        <f t="shared" si="4"/>
        <v>0</v>
      </c>
    </row>
    <row r="92" spans="1:11" s="117" customFormat="1">
      <c r="A92" s="86" t="s">
        <v>235</v>
      </c>
      <c r="B92" s="66" t="s">
        <v>248</v>
      </c>
      <c r="C92" s="1056"/>
      <c r="D92" s="1067"/>
      <c r="E92" s="1067"/>
      <c r="F92" s="1296" t="str">
        <f t="shared" si="3"/>
        <v>-</v>
      </c>
      <c r="G92" s="686"/>
      <c r="H92" s="687"/>
      <c r="I92" s="688"/>
      <c r="K92" s="117">
        <f t="shared" si="4"/>
        <v>0</v>
      </c>
    </row>
    <row r="93" spans="1:11" s="117" customFormat="1">
      <c r="A93" s="86" t="s">
        <v>236</v>
      </c>
      <c r="B93" s="66" t="s">
        <v>249</v>
      </c>
      <c r="C93" s="1056"/>
      <c r="D93" s="1067"/>
      <c r="E93" s="1067"/>
      <c r="F93" s="1296" t="str">
        <f t="shared" si="3"/>
        <v>-</v>
      </c>
      <c r="G93" s="686"/>
      <c r="H93" s="687"/>
      <c r="I93" s="688"/>
      <c r="K93" s="117">
        <f t="shared" si="4"/>
        <v>0</v>
      </c>
    </row>
    <row r="94" spans="1:11" s="117" customFormat="1">
      <c r="A94" s="108" t="s">
        <v>237</v>
      </c>
      <c r="B94" s="109" t="s">
        <v>250</v>
      </c>
      <c r="C94" s="1056"/>
      <c r="D94" s="1067"/>
      <c r="E94" s="1067"/>
      <c r="F94" s="1297" t="str">
        <f t="shared" si="3"/>
        <v>-</v>
      </c>
      <c r="G94" s="686"/>
      <c r="H94" s="687"/>
      <c r="I94" s="688"/>
      <c r="K94" s="117">
        <f t="shared" si="4"/>
        <v>0</v>
      </c>
    </row>
    <row r="95" spans="1:11" s="13" customFormat="1">
      <c r="A95" s="86" t="s">
        <v>238</v>
      </c>
      <c r="B95" s="66" t="s">
        <v>251</v>
      </c>
      <c r="C95" s="394"/>
      <c r="D95" s="1063"/>
      <c r="E95" s="1067"/>
      <c r="F95" s="1296" t="str">
        <f t="shared" si="3"/>
        <v>-</v>
      </c>
      <c r="G95" s="19"/>
      <c r="H95" s="12"/>
      <c r="I95" s="15"/>
      <c r="K95" s="13">
        <f t="shared" si="4"/>
        <v>0</v>
      </c>
    </row>
    <row r="96" spans="1:11" s="13" customFormat="1">
      <c r="A96" s="86" t="s">
        <v>239</v>
      </c>
      <c r="B96" s="66" t="s">
        <v>244</v>
      </c>
      <c r="C96" s="394"/>
      <c r="D96" s="1063"/>
      <c r="E96" s="1067"/>
      <c r="F96" s="1296" t="str">
        <f t="shared" si="3"/>
        <v>-</v>
      </c>
      <c r="G96" s="19"/>
      <c r="H96" s="12"/>
      <c r="I96" s="15"/>
      <c r="K96" s="13">
        <f t="shared" si="4"/>
        <v>0</v>
      </c>
    </row>
    <row r="97" spans="1:11" s="13" customFormat="1">
      <c r="A97" s="86" t="s">
        <v>913</v>
      </c>
      <c r="B97" s="66" t="s">
        <v>909</v>
      </c>
      <c r="C97" s="394"/>
      <c r="D97" s="1063"/>
      <c r="E97" s="1067"/>
      <c r="F97" s="1296" t="str">
        <f t="shared" si="3"/>
        <v>-</v>
      </c>
      <c r="G97" s="19"/>
      <c r="H97" s="12"/>
      <c r="I97" s="15"/>
      <c r="K97" s="13">
        <f t="shared" si="4"/>
        <v>0</v>
      </c>
    </row>
    <row r="98" spans="1:11">
      <c r="A98" s="85" t="s">
        <v>240</v>
      </c>
      <c r="B98" s="67" t="s">
        <v>242</v>
      </c>
      <c r="C98" s="396"/>
      <c r="D98" s="1064"/>
      <c r="E98" s="1068"/>
      <c r="F98" s="1296" t="str">
        <f t="shared" si="3"/>
        <v>-</v>
      </c>
      <c r="G98" s="20"/>
      <c r="H98" s="11"/>
      <c r="I98" s="16"/>
      <c r="K98" s="4">
        <f t="shared" si="4"/>
        <v>0</v>
      </c>
    </row>
    <row r="99" spans="1:11">
      <c r="A99" s="78" t="s">
        <v>241</v>
      </c>
      <c r="B99" s="68" t="s">
        <v>243</v>
      </c>
      <c r="C99" s="397"/>
      <c r="D99" s="1065"/>
      <c r="E99" s="1069"/>
      <c r="F99" s="1298" t="str">
        <f t="shared" si="3"/>
        <v>-</v>
      </c>
      <c r="G99" s="21"/>
      <c r="H99" s="22"/>
      <c r="I99" s="23"/>
      <c r="K99" s="4">
        <f t="shared" si="4"/>
        <v>0</v>
      </c>
    </row>
    <row r="100" spans="1:11" ht="12.75" thickBot="1">
      <c r="A100" s="78" t="s">
        <v>915</v>
      </c>
      <c r="B100" s="68" t="s">
        <v>911</v>
      </c>
      <c r="C100" s="397"/>
      <c r="D100" s="1065"/>
      <c r="E100" s="1069"/>
      <c r="F100" s="1298" t="str">
        <f t="shared" si="3"/>
        <v>-</v>
      </c>
      <c r="G100" s="21"/>
      <c r="H100" s="22"/>
      <c r="I100" s="23"/>
      <c r="K100" s="4">
        <f t="shared" si="4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2886249</v>
      </c>
      <c r="D101" s="1061">
        <f>+D71+D86</f>
        <v>3427628</v>
      </c>
      <c r="E101" s="1070">
        <f>+E71+E86</f>
        <v>3427628</v>
      </c>
      <c r="F101" s="1294">
        <f t="shared" si="3"/>
        <v>1</v>
      </c>
      <c r="G101" s="27">
        <f>+G71+G86</f>
        <v>3427628</v>
      </c>
      <c r="H101" s="28">
        <f>+H71+H86</f>
        <v>0</v>
      </c>
      <c r="I101" s="29">
        <f>+I71+I86</f>
        <v>0</v>
      </c>
      <c r="K101" s="3">
        <f t="shared" si="4"/>
        <v>0</v>
      </c>
    </row>
    <row r="102" spans="1:11" s="3" customFormat="1" ht="12.75" thickBot="1">
      <c r="A102" s="87" t="s">
        <v>40</v>
      </c>
      <c r="B102" s="71" t="s">
        <v>306</v>
      </c>
      <c r="C102" s="392">
        <f>+C70+C101</f>
        <v>4468751</v>
      </c>
      <c r="D102" s="1072">
        <f>+D70+D101</f>
        <v>5667498</v>
      </c>
      <c r="E102" s="1300">
        <f>+E70+E101</f>
        <v>5464374</v>
      </c>
      <c r="F102" s="1301">
        <f t="shared" si="3"/>
        <v>0.96415984619668149</v>
      </c>
      <c r="G102" s="24">
        <f>+G70+G101</f>
        <v>5463585</v>
      </c>
      <c r="H102" s="25">
        <f>+H70+H101</f>
        <v>789</v>
      </c>
      <c r="I102" s="26">
        <f>+I70+I101</f>
        <v>0</v>
      </c>
      <c r="K102" s="3">
        <f t="shared" si="4"/>
        <v>0</v>
      </c>
    </row>
    <row r="103" spans="1:11" s="3" customFormat="1">
      <c r="A103" s="53"/>
      <c r="B103" s="30"/>
      <c r="C103" s="30"/>
      <c r="D103" s="30"/>
      <c r="E103" s="1083"/>
      <c r="F103" s="129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1083"/>
      <c r="F104" s="1302"/>
      <c r="G104" s="30"/>
      <c r="H104" s="30"/>
      <c r="I104" s="30"/>
    </row>
    <row r="105" spans="1:11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I105" s="1769"/>
    </row>
    <row r="106" spans="1:11" s="36" customFormat="1" ht="12.75" thickBot="1">
      <c r="A106" s="38" t="s">
        <v>278</v>
      </c>
      <c r="E106" s="1081"/>
      <c r="F106" s="1290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771" t="s">
        <v>254</v>
      </c>
      <c r="D108" s="1772"/>
      <c r="E108" s="1772"/>
      <c r="F108" s="1772"/>
      <c r="G108" s="1772"/>
      <c r="H108" s="1772"/>
      <c r="I108" s="177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3035060</v>
      </c>
      <c r="D109" s="1061">
        <f>+D110+D114+D116+D123+D132</f>
        <v>3297571</v>
      </c>
      <c r="E109" s="1070">
        <f>+E110+E114+E116+E123+E132</f>
        <v>866539</v>
      </c>
      <c r="F109" s="1294">
        <f t="shared" ref="F109:F172" si="5">IF(ISERROR(E109/D109),"-",E109/D109)</f>
        <v>0.26278099849859182</v>
      </c>
      <c r="G109" s="27">
        <f>+G110+G114+G116+G123+G132</f>
        <v>859677</v>
      </c>
      <c r="H109" s="28">
        <f>+H110+H114+H116+H123+H132</f>
        <v>6862</v>
      </c>
      <c r="I109" s="29">
        <f>+I110+I114+I116+I123+I132</f>
        <v>0</v>
      </c>
      <c r="K109" s="3">
        <f t="shared" ref="K109:K140" si="6">+E109-G109-H109-I109</f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76485</v>
      </c>
      <c r="D110" s="1061">
        <f>+D112+D113</f>
        <v>268802</v>
      </c>
      <c r="E110" s="1070">
        <f>+E112+E113</f>
        <v>268779</v>
      </c>
      <c r="F110" s="1294">
        <f t="shared" si="5"/>
        <v>0.99991443516045264</v>
      </c>
      <c r="G110" s="27">
        <f>+G112+G113</f>
        <v>268779</v>
      </c>
      <c r="H110" s="28">
        <f>+H112+H113</f>
        <v>0</v>
      </c>
      <c r="I110" s="29">
        <f>+I112+I113</f>
        <v>0</v>
      </c>
      <c r="K110" s="3">
        <f t="shared" si="6"/>
        <v>0</v>
      </c>
    </row>
    <row r="111" spans="1:11" s="36" customFormat="1">
      <c r="A111" s="752" t="s">
        <v>348</v>
      </c>
      <c r="B111" s="753" t="s">
        <v>349</v>
      </c>
      <c r="C111" s="1073"/>
      <c r="D111" s="1074">
        <v>109888</v>
      </c>
      <c r="E111" s="1303">
        <v>109888</v>
      </c>
      <c r="F111" s="1304">
        <f t="shared" si="5"/>
        <v>1</v>
      </c>
      <c r="G111" s="96">
        <v>109888</v>
      </c>
      <c r="H111" s="97"/>
      <c r="I111" s="98"/>
      <c r="K111" s="36">
        <f t="shared" si="6"/>
        <v>0</v>
      </c>
    </row>
    <row r="112" spans="1:11">
      <c r="A112" s="84" t="s">
        <v>54</v>
      </c>
      <c r="B112" s="65" t="s">
        <v>126</v>
      </c>
      <c r="C112" s="398">
        <v>33433</v>
      </c>
      <c r="D112" s="1062">
        <v>181514</v>
      </c>
      <c r="E112" s="1071">
        <f>181492-1</f>
        <v>181491</v>
      </c>
      <c r="F112" s="1295">
        <f t="shared" si="5"/>
        <v>0.99987328801084219</v>
      </c>
      <c r="G112" s="34">
        <v>181491</v>
      </c>
      <c r="H112" s="10"/>
      <c r="I112" s="35"/>
      <c r="K112" s="4">
        <f t="shared" si="6"/>
        <v>0</v>
      </c>
    </row>
    <row r="113" spans="1:11" ht="12.75" thickBot="1">
      <c r="A113" s="78" t="s">
        <v>55</v>
      </c>
      <c r="B113" s="68" t="s">
        <v>127</v>
      </c>
      <c r="C113" s="397">
        <v>43051.999999999993</v>
      </c>
      <c r="D113" s="1065">
        <v>87288</v>
      </c>
      <c r="E113" s="1069">
        <v>87288</v>
      </c>
      <c r="F113" s="1298">
        <f t="shared" si="5"/>
        <v>1</v>
      </c>
      <c r="G113" s="21">
        <v>87288</v>
      </c>
      <c r="H113" s="22"/>
      <c r="I113" s="23"/>
      <c r="K113" s="4">
        <f t="shared" si="6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10414</v>
      </c>
      <c r="D114" s="1061">
        <v>34247</v>
      </c>
      <c r="E114" s="1070">
        <v>34247</v>
      </c>
      <c r="F114" s="1294">
        <f t="shared" si="5"/>
        <v>1</v>
      </c>
      <c r="G114" s="27">
        <v>34247</v>
      </c>
      <c r="H114" s="28"/>
      <c r="I114" s="29"/>
      <c r="K114" s="3">
        <f t="shared" si="6"/>
        <v>0</v>
      </c>
    </row>
    <row r="115" spans="1:11" s="36" customFormat="1" ht="12.75" thickBot="1">
      <c r="A115" s="752" t="s">
        <v>345</v>
      </c>
      <c r="B115" s="753" t="s">
        <v>346</v>
      </c>
      <c r="C115" s="1073"/>
      <c r="D115" s="1074">
        <v>16031</v>
      </c>
      <c r="E115" s="1303">
        <v>16031</v>
      </c>
      <c r="F115" s="1304">
        <f t="shared" si="5"/>
        <v>1</v>
      </c>
      <c r="G115" s="96">
        <v>16031</v>
      </c>
      <c r="H115" s="97"/>
      <c r="I115" s="98"/>
      <c r="K115" s="36">
        <f t="shared" si="6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185775</v>
      </c>
      <c r="D116" s="1061">
        <f>+D118+D119+D120+D121+D122</f>
        <v>522928</v>
      </c>
      <c r="E116" s="1070">
        <f>+E118+E119+E120+E121+E122</f>
        <v>418594</v>
      </c>
      <c r="F116" s="1294">
        <f t="shared" si="5"/>
        <v>0.8004811369825291</v>
      </c>
      <c r="G116" s="27">
        <f>+G118+G119+G120+G121+G122</f>
        <v>412253</v>
      </c>
      <c r="H116" s="28">
        <f>+H118+H119+H120+H121+H122</f>
        <v>6341</v>
      </c>
      <c r="I116" s="29">
        <f>+I118+I119+I120+I121+I122</f>
        <v>0</v>
      </c>
      <c r="K116" s="3">
        <f t="shared" si="6"/>
        <v>0</v>
      </c>
    </row>
    <row r="117" spans="1:11" s="36" customFormat="1">
      <c r="A117" s="752" t="s">
        <v>340</v>
      </c>
      <c r="B117" s="753" t="s">
        <v>347</v>
      </c>
      <c r="C117" s="1073"/>
      <c r="D117" s="1074">
        <f>160495+10234-10234</f>
        <v>160495</v>
      </c>
      <c r="E117" s="1303">
        <f>160495+10234-10234</f>
        <v>160495</v>
      </c>
      <c r="F117" s="1304">
        <f t="shared" si="5"/>
        <v>1</v>
      </c>
      <c r="G117" s="96">
        <v>160495</v>
      </c>
      <c r="H117" s="97"/>
      <c r="I117" s="98"/>
      <c r="K117" s="36">
        <f t="shared" si="6"/>
        <v>0</v>
      </c>
    </row>
    <row r="118" spans="1:11">
      <c r="A118" s="84" t="s">
        <v>61</v>
      </c>
      <c r="B118" s="65" t="s">
        <v>128</v>
      </c>
      <c r="C118" s="398">
        <v>10482</v>
      </c>
      <c r="D118" s="1062">
        <v>57194</v>
      </c>
      <c r="E118" s="1071">
        <v>56201</v>
      </c>
      <c r="F118" s="1295">
        <f t="shared" si="5"/>
        <v>0.98263803895513513</v>
      </c>
      <c r="G118" s="34">
        <v>56201</v>
      </c>
      <c r="H118" s="10"/>
      <c r="I118" s="35"/>
      <c r="K118" s="4">
        <f t="shared" si="6"/>
        <v>0</v>
      </c>
    </row>
    <row r="119" spans="1:11">
      <c r="A119" s="85" t="s">
        <v>62</v>
      </c>
      <c r="B119" s="67" t="s">
        <v>129</v>
      </c>
      <c r="C119" s="396">
        <v>16430</v>
      </c>
      <c r="D119" s="1064">
        <v>17829</v>
      </c>
      <c r="E119" s="1068">
        <v>16549</v>
      </c>
      <c r="F119" s="1296">
        <f t="shared" si="5"/>
        <v>0.92820685400190706</v>
      </c>
      <c r="G119" s="20">
        <v>16549</v>
      </c>
      <c r="H119" s="11"/>
      <c r="I119" s="16"/>
      <c r="K119" s="4">
        <f t="shared" si="6"/>
        <v>0</v>
      </c>
    </row>
    <row r="120" spans="1:11">
      <c r="A120" s="85" t="s">
        <v>63</v>
      </c>
      <c r="B120" s="67" t="s">
        <v>130</v>
      </c>
      <c r="C120" s="396">
        <v>94931</v>
      </c>
      <c r="D120" s="1064">
        <v>290808</v>
      </c>
      <c r="E120" s="1068">
        <v>219301</v>
      </c>
      <c r="F120" s="1296">
        <f t="shared" si="5"/>
        <v>0.7541092404610602</v>
      </c>
      <c r="G120" s="20">
        <v>214308</v>
      </c>
      <c r="H120" s="11">
        <f>2306+2687</f>
        <v>4993</v>
      </c>
      <c r="I120" s="16"/>
      <c r="K120" s="4">
        <f t="shared" si="6"/>
        <v>0</v>
      </c>
    </row>
    <row r="121" spans="1:11">
      <c r="A121" s="85" t="s">
        <v>64</v>
      </c>
      <c r="B121" s="67" t="s">
        <v>131</v>
      </c>
      <c r="C121" s="396">
        <v>1000</v>
      </c>
      <c r="D121" s="1064">
        <f>5003+1</f>
        <v>5004</v>
      </c>
      <c r="E121" s="1068">
        <v>4883</v>
      </c>
      <c r="F121" s="1296">
        <f t="shared" si="5"/>
        <v>0.97581934452438046</v>
      </c>
      <c r="G121" s="20">
        <v>4883</v>
      </c>
      <c r="H121" s="11"/>
      <c r="I121" s="16"/>
      <c r="K121" s="4">
        <f t="shared" si="6"/>
        <v>0</v>
      </c>
    </row>
    <row r="122" spans="1:11" ht="12.75" thickBot="1">
      <c r="A122" s="78" t="s">
        <v>65</v>
      </c>
      <c r="B122" s="68" t="s">
        <v>132</v>
      </c>
      <c r="C122" s="397">
        <v>62932</v>
      </c>
      <c r="D122" s="1065">
        <v>152093</v>
      </c>
      <c r="E122" s="1069">
        <f>121661-1</f>
        <v>121660</v>
      </c>
      <c r="F122" s="1298">
        <f t="shared" si="5"/>
        <v>0.79990532108644052</v>
      </c>
      <c r="G122" s="21">
        <v>120312</v>
      </c>
      <c r="H122" s="22">
        <f>2929-2306+725</f>
        <v>1348</v>
      </c>
      <c r="I122" s="23"/>
      <c r="K122" s="4">
        <f t="shared" si="6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52779</v>
      </c>
      <c r="D123" s="1061">
        <f>+D124+D125+D126+D127+D128+D129+D130+D131</f>
        <v>48429</v>
      </c>
      <c r="E123" s="1070">
        <f>+E124+E125+E126+E127+E128+E129+E130+E131</f>
        <v>48427</v>
      </c>
      <c r="F123" s="1294">
        <f t="shared" si="5"/>
        <v>0.999958702430362</v>
      </c>
      <c r="G123" s="27">
        <f>+G124+G125+G126+G127+G128+G129+G130+G131</f>
        <v>48427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6"/>
        <v>0</v>
      </c>
    </row>
    <row r="124" spans="1:11">
      <c r="A124" s="84" t="s">
        <v>226</v>
      </c>
      <c r="B124" s="65" t="s">
        <v>133</v>
      </c>
      <c r="C124" s="398"/>
      <c r="D124" s="1062"/>
      <c r="E124" s="1071"/>
      <c r="F124" s="1295" t="str">
        <f t="shared" si="5"/>
        <v>-</v>
      </c>
      <c r="G124" s="34"/>
      <c r="H124" s="10"/>
      <c r="I124" s="35"/>
      <c r="K124" s="4">
        <f t="shared" si="6"/>
        <v>0</v>
      </c>
    </row>
    <row r="125" spans="1:11">
      <c r="A125" s="85" t="s">
        <v>227</v>
      </c>
      <c r="B125" s="67" t="s">
        <v>134</v>
      </c>
      <c r="C125" s="396"/>
      <c r="D125" s="1064"/>
      <c r="E125" s="1068"/>
      <c r="F125" s="1296" t="str">
        <f t="shared" si="5"/>
        <v>-</v>
      </c>
      <c r="G125" s="20"/>
      <c r="H125" s="11"/>
      <c r="I125" s="16"/>
      <c r="K125" s="4">
        <f t="shared" si="6"/>
        <v>0</v>
      </c>
    </row>
    <row r="126" spans="1:11">
      <c r="A126" s="85" t="s">
        <v>228</v>
      </c>
      <c r="B126" s="67" t="s">
        <v>135</v>
      </c>
      <c r="C126" s="396"/>
      <c r="D126" s="1064"/>
      <c r="E126" s="1068"/>
      <c r="F126" s="1296" t="str">
        <f t="shared" si="5"/>
        <v>-</v>
      </c>
      <c r="G126" s="20"/>
      <c r="H126" s="11"/>
      <c r="I126" s="16"/>
      <c r="K126" s="4">
        <f t="shared" si="6"/>
        <v>0</v>
      </c>
    </row>
    <row r="127" spans="1:11">
      <c r="A127" s="85" t="s">
        <v>256</v>
      </c>
      <c r="B127" s="67" t="s">
        <v>136</v>
      </c>
      <c r="C127" s="396">
        <v>2400</v>
      </c>
      <c r="D127" s="1064">
        <v>0</v>
      </c>
      <c r="E127" s="1068"/>
      <c r="F127" s="1296" t="str">
        <f t="shared" si="5"/>
        <v>-</v>
      </c>
      <c r="G127" s="20"/>
      <c r="H127" s="11"/>
      <c r="I127" s="16"/>
      <c r="K127" s="4">
        <f t="shared" si="6"/>
        <v>0</v>
      </c>
    </row>
    <row r="128" spans="1:11">
      <c r="A128" s="85" t="s">
        <v>257</v>
      </c>
      <c r="B128" s="67" t="s">
        <v>137</v>
      </c>
      <c r="C128" s="396"/>
      <c r="D128" s="1064"/>
      <c r="E128" s="1068"/>
      <c r="F128" s="1296" t="str">
        <f t="shared" si="5"/>
        <v>-</v>
      </c>
      <c r="G128" s="20"/>
      <c r="H128" s="11"/>
      <c r="I128" s="16"/>
      <c r="K128" s="4">
        <f t="shared" si="6"/>
        <v>0</v>
      </c>
    </row>
    <row r="129" spans="1:11">
      <c r="A129" s="85" t="s">
        <v>258</v>
      </c>
      <c r="B129" s="67" t="s">
        <v>138</v>
      </c>
      <c r="C129" s="396">
        <v>19200</v>
      </c>
      <c r="D129" s="1064">
        <v>0</v>
      </c>
      <c r="E129" s="1068"/>
      <c r="F129" s="1296" t="str">
        <f t="shared" si="5"/>
        <v>-</v>
      </c>
      <c r="G129" s="20"/>
      <c r="H129" s="11"/>
      <c r="I129" s="16"/>
      <c r="K129" s="4">
        <f t="shared" si="6"/>
        <v>0</v>
      </c>
    </row>
    <row r="130" spans="1:11">
      <c r="A130" s="85" t="s">
        <v>259</v>
      </c>
      <c r="B130" s="67" t="s">
        <v>139</v>
      </c>
      <c r="C130" s="396">
        <v>8299</v>
      </c>
      <c r="D130" s="1064">
        <v>2376</v>
      </c>
      <c r="E130" s="1068">
        <v>2376</v>
      </c>
      <c r="F130" s="1296">
        <f t="shared" si="5"/>
        <v>1</v>
      </c>
      <c r="G130" s="20">
        <v>2376</v>
      </c>
      <c r="H130" s="11"/>
      <c r="I130" s="16"/>
      <c r="K130" s="4">
        <f t="shared" si="6"/>
        <v>0</v>
      </c>
    </row>
    <row r="131" spans="1:11" ht="12.75" thickBot="1">
      <c r="A131" s="78" t="s">
        <v>260</v>
      </c>
      <c r="B131" s="68" t="s">
        <v>140</v>
      </c>
      <c r="C131" s="397">
        <v>22880</v>
      </c>
      <c r="D131" s="1065">
        <v>46053</v>
      </c>
      <c r="E131" s="1069">
        <v>46051</v>
      </c>
      <c r="F131" s="1298">
        <f t="shared" si="5"/>
        <v>0.99995657177599717</v>
      </c>
      <c r="G131" s="21">
        <v>46051</v>
      </c>
      <c r="H131" s="22"/>
      <c r="I131" s="23"/>
      <c r="K131" s="4">
        <f t="shared" si="6"/>
        <v>0</v>
      </c>
    </row>
    <row r="132" spans="1:11" s="3" customFormat="1" ht="12.75" thickBot="1">
      <c r="A132" s="83" t="s">
        <v>15</v>
      </c>
      <c r="B132" s="64" t="s">
        <v>919</v>
      </c>
      <c r="C132" s="129">
        <f>+C133+C134+C135+C136+C137+C138+C144+C140+C141+C142+C143+C145+C146</f>
        <v>2709607</v>
      </c>
      <c r="D132" s="1061">
        <f>+D133+D134+D135+D136+D137+D138+D144+D140+D141+D142+D143+D145+D146</f>
        <v>2423165</v>
      </c>
      <c r="E132" s="1070">
        <f>+E133+E134+E135+E136+E137+E138+E144+E140+E141+E142+E143+E145+E146</f>
        <v>96492</v>
      </c>
      <c r="F132" s="1294">
        <f t="shared" si="5"/>
        <v>3.9820647789151793E-2</v>
      </c>
      <c r="G132" s="27">
        <f>+G133+G134+G135+G136+G137+G138+G144+G140+G141+G142+G143+G145+G146</f>
        <v>95971</v>
      </c>
      <c r="H132" s="28">
        <f>+H133+H134+H135+H136+H137+H138+H144+H140+H141+H142+H143+H145+H146</f>
        <v>521</v>
      </c>
      <c r="I132" s="29">
        <f>+I133+I134+I135+I136+I137+I138+I144+I140+I141+I142+I143+I145+I146</f>
        <v>0</v>
      </c>
      <c r="K132" s="3">
        <f t="shared" si="6"/>
        <v>0</v>
      </c>
    </row>
    <row r="133" spans="1:11">
      <c r="A133" s="84" t="s">
        <v>87</v>
      </c>
      <c r="B133" s="65" t="s">
        <v>141</v>
      </c>
      <c r="C133" s="398"/>
      <c r="D133" s="1062"/>
      <c r="E133" s="1071"/>
      <c r="F133" s="1295" t="str">
        <f t="shared" si="5"/>
        <v>-</v>
      </c>
      <c r="G133" s="34"/>
      <c r="H133" s="10"/>
      <c r="I133" s="35"/>
      <c r="K133" s="4">
        <f t="shared" si="6"/>
        <v>0</v>
      </c>
    </row>
    <row r="134" spans="1:11">
      <c r="A134" s="85" t="s">
        <v>88</v>
      </c>
      <c r="B134" s="67" t="s">
        <v>142</v>
      </c>
      <c r="C134" s="396">
        <v>1000</v>
      </c>
      <c r="D134" s="1064">
        <f>6511+1-1</f>
        <v>6511</v>
      </c>
      <c r="E134" s="1068">
        <f>6511+1-1</f>
        <v>6511</v>
      </c>
      <c r="F134" s="1296">
        <f t="shared" si="5"/>
        <v>1</v>
      </c>
      <c r="G134" s="20">
        <v>6511</v>
      </c>
      <c r="H134" s="11"/>
      <c r="I134" s="16"/>
      <c r="K134" s="4">
        <f t="shared" si="6"/>
        <v>0</v>
      </c>
    </row>
    <row r="135" spans="1:11">
      <c r="A135" s="85" t="s">
        <v>181</v>
      </c>
      <c r="B135" s="67" t="s">
        <v>143</v>
      </c>
      <c r="C135" s="396"/>
      <c r="D135" s="1064"/>
      <c r="E135" s="1068"/>
      <c r="F135" s="1296" t="str">
        <f t="shared" si="5"/>
        <v>-</v>
      </c>
      <c r="G135" s="20"/>
      <c r="H135" s="11"/>
      <c r="I135" s="16"/>
      <c r="K135" s="4">
        <f t="shared" si="6"/>
        <v>0</v>
      </c>
    </row>
    <row r="136" spans="1:11">
      <c r="A136" s="85" t="s">
        <v>182</v>
      </c>
      <c r="B136" s="67" t="s">
        <v>144</v>
      </c>
      <c r="C136" s="396"/>
      <c r="D136" s="1064"/>
      <c r="E136" s="1068"/>
      <c r="F136" s="1296" t="str">
        <f t="shared" si="5"/>
        <v>-</v>
      </c>
      <c r="G136" s="20"/>
      <c r="H136" s="11"/>
      <c r="I136" s="16"/>
      <c r="K136" s="4">
        <f t="shared" si="6"/>
        <v>0</v>
      </c>
    </row>
    <row r="137" spans="1:11">
      <c r="A137" s="85" t="s">
        <v>183</v>
      </c>
      <c r="B137" s="67" t="s">
        <v>145</v>
      </c>
      <c r="C137" s="396"/>
      <c r="D137" s="1064"/>
      <c r="E137" s="1068"/>
      <c r="F137" s="1296" t="str">
        <f t="shared" si="5"/>
        <v>-</v>
      </c>
      <c r="G137" s="20"/>
      <c r="H137" s="11"/>
      <c r="I137" s="16"/>
      <c r="K137" s="4">
        <f t="shared" si="6"/>
        <v>0</v>
      </c>
    </row>
    <row r="138" spans="1:11">
      <c r="A138" s="85" t="s">
        <v>261</v>
      </c>
      <c r="B138" s="67" t="s">
        <v>146</v>
      </c>
      <c r="C138" s="396">
        <v>9332</v>
      </c>
      <c r="D138" s="1064">
        <f>10926-1+1-1</f>
        <v>10925</v>
      </c>
      <c r="E138" s="1068">
        <v>9479</v>
      </c>
      <c r="F138" s="1296">
        <f t="shared" si="5"/>
        <v>0.86764302059496567</v>
      </c>
      <c r="G138" s="20">
        <v>9479</v>
      </c>
      <c r="H138" s="11"/>
      <c r="I138" s="16"/>
      <c r="K138" s="4">
        <f t="shared" si="6"/>
        <v>0</v>
      </c>
    </row>
    <row r="139" spans="1:11" s="13" customFormat="1">
      <c r="A139" s="89" t="s">
        <v>335</v>
      </c>
      <c r="B139" s="751" t="s">
        <v>925</v>
      </c>
      <c r="C139" s="395"/>
      <c r="D139" s="1066">
        <v>10234</v>
      </c>
      <c r="E139" s="1299">
        <v>10234</v>
      </c>
      <c r="F139" s="1298">
        <f t="shared" si="5"/>
        <v>1</v>
      </c>
      <c r="G139" s="45">
        <v>10234</v>
      </c>
      <c r="H139" s="43"/>
      <c r="I139" s="44"/>
      <c r="K139" s="13">
        <f t="shared" si="6"/>
        <v>0</v>
      </c>
    </row>
    <row r="140" spans="1:11">
      <c r="A140" s="85" t="s">
        <v>262</v>
      </c>
      <c r="B140" s="67" t="s">
        <v>147</v>
      </c>
      <c r="C140" s="396"/>
      <c r="D140" s="1064"/>
      <c r="E140" s="1068"/>
      <c r="F140" s="1296" t="str">
        <f t="shared" si="5"/>
        <v>-</v>
      </c>
      <c r="G140" s="20"/>
      <c r="H140" s="11"/>
      <c r="I140" s="16"/>
      <c r="K140" s="4">
        <f t="shared" si="6"/>
        <v>0</v>
      </c>
    </row>
    <row r="141" spans="1:11">
      <c r="A141" s="85" t="s">
        <v>263</v>
      </c>
      <c r="B141" s="67" t="s">
        <v>148</v>
      </c>
      <c r="C141" s="396"/>
      <c r="D141" s="1064">
        <v>10850</v>
      </c>
      <c r="E141" s="1068">
        <v>10850</v>
      </c>
      <c r="F141" s="1296">
        <f t="shared" si="5"/>
        <v>1</v>
      </c>
      <c r="G141" s="20">
        <v>10850</v>
      </c>
      <c r="H141" s="11"/>
      <c r="I141" s="16"/>
      <c r="K141" s="4">
        <f t="shared" ref="K141:K172" si="7">+E141-G141-H141-I141</f>
        <v>0</v>
      </c>
    </row>
    <row r="142" spans="1:11">
      <c r="A142" s="85" t="s">
        <v>264</v>
      </c>
      <c r="B142" s="67" t="s">
        <v>149</v>
      </c>
      <c r="C142" s="396"/>
      <c r="D142" s="1064"/>
      <c r="E142" s="1068"/>
      <c r="F142" s="1296" t="str">
        <f t="shared" si="5"/>
        <v>-</v>
      </c>
      <c r="G142" s="20"/>
      <c r="H142" s="11"/>
      <c r="I142" s="16"/>
      <c r="K142" s="4">
        <f t="shared" si="7"/>
        <v>0</v>
      </c>
    </row>
    <row r="143" spans="1:11">
      <c r="A143" s="85" t="s">
        <v>265</v>
      </c>
      <c r="B143" s="67" t="s">
        <v>150</v>
      </c>
      <c r="C143" s="396"/>
      <c r="D143" s="1064"/>
      <c r="E143" s="1068"/>
      <c r="F143" s="1296" t="str">
        <f t="shared" si="5"/>
        <v>-</v>
      </c>
      <c r="G143" s="20"/>
      <c r="H143" s="11"/>
      <c r="I143" s="16"/>
      <c r="K143" s="4">
        <f t="shared" si="7"/>
        <v>0</v>
      </c>
    </row>
    <row r="144" spans="1:11">
      <c r="A144" s="85" t="s">
        <v>266</v>
      </c>
      <c r="B144" s="67" t="s">
        <v>920</v>
      </c>
      <c r="C144" s="396"/>
      <c r="D144" s="1064"/>
      <c r="E144" s="1068"/>
      <c r="F144" s="1296" t="str">
        <f t="shared" si="5"/>
        <v>-</v>
      </c>
      <c r="G144" s="20"/>
      <c r="H144" s="11"/>
      <c r="I144" s="16"/>
      <c r="K144" s="4">
        <f t="shared" si="7"/>
        <v>0</v>
      </c>
    </row>
    <row r="145" spans="1:11">
      <c r="A145" s="85" t="s">
        <v>267</v>
      </c>
      <c r="B145" s="67" t="s">
        <v>921</v>
      </c>
      <c r="C145" s="396">
        <v>51350</v>
      </c>
      <c r="D145" s="1064">
        <v>70796</v>
      </c>
      <c r="E145" s="1068">
        <f>69651+1-1+1</f>
        <v>69652</v>
      </c>
      <c r="F145" s="1296">
        <f t="shared" si="5"/>
        <v>0.98384089496581728</v>
      </c>
      <c r="G145" s="20">
        <v>69131</v>
      </c>
      <c r="H145" s="11">
        <f>216+305</f>
        <v>521</v>
      </c>
      <c r="I145" s="16"/>
      <c r="K145" s="4">
        <f t="shared" si="7"/>
        <v>0</v>
      </c>
    </row>
    <row r="146" spans="1:11">
      <c r="A146" s="78" t="s">
        <v>916</v>
      </c>
      <c r="B146" s="68" t="s">
        <v>922</v>
      </c>
      <c r="C146" s="397">
        <f>+C147+C148</f>
        <v>2647925</v>
      </c>
      <c r="D146" s="1065">
        <f>+D147+D148</f>
        <v>2324083</v>
      </c>
      <c r="E146" s="1069">
        <f>+E147+E148</f>
        <v>0</v>
      </c>
      <c r="F146" s="1298">
        <f t="shared" si="5"/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7"/>
        <v>0</v>
      </c>
    </row>
    <row r="147" spans="1:11" s="13" customFormat="1">
      <c r="A147" s="89" t="s">
        <v>917</v>
      </c>
      <c r="B147" s="74" t="s">
        <v>923</v>
      </c>
      <c r="C147" s="395">
        <v>15000</v>
      </c>
      <c r="D147" s="1066">
        <v>2324083</v>
      </c>
      <c r="E147" s="1299"/>
      <c r="F147" s="1298">
        <f t="shared" si="5"/>
        <v>0</v>
      </c>
      <c r="G147" s="45"/>
      <c r="H147" s="43"/>
      <c r="I147" s="44"/>
      <c r="K147" s="13">
        <f t="shared" si="7"/>
        <v>0</v>
      </c>
    </row>
    <row r="148" spans="1:11" s="13" customFormat="1" ht="12.75" thickBot="1">
      <c r="A148" s="89" t="s">
        <v>918</v>
      </c>
      <c r="B148" s="74" t="s">
        <v>924</v>
      </c>
      <c r="C148" s="395">
        <v>2632925</v>
      </c>
      <c r="D148" s="1066">
        <v>0</v>
      </c>
      <c r="E148" s="1299"/>
      <c r="F148" s="1298" t="str">
        <f t="shared" si="5"/>
        <v>-</v>
      </c>
      <c r="G148" s="45"/>
      <c r="H148" s="43"/>
      <c r="I148" s="44"/>
      <c r="K148" s="13">
        <f t="shared" si="7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487508</v>
      </c>
      <c r="D149" s="1061">
        <f>+D150+D159+D165</f>
        <v>1321494</v>
      </c>
      <c r="E149" s="1070">
        <f>+E150+E159+E165</f>
        <v>1184023</v>
      </c>
      <c r="F149" s="1294">
        <f t="shared" si="5"/>
        <v>0.89597304263205135</v>
      </c>
      <c r="G149" s="27">
        <f>+G150+G159+G165</f>
        <v>1121418</v>
      </c>
      <c r="H149" s="28">
        <f>+H150+H159+H165</f>
        <v>62605</v>
      </c>
      <c r="I149" s="29">
        <f>+I150+I159+I165</f>
        <v>0</v>
      </c>
      <c r="K149" s="3">
        <f t="shared" si="7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420250</v>
      </c>
      <c r="D150" s="1061">
        <f>+D152+D153+D154+D155+D156+D157+D158</f>
        <v>781783</v>
      </c>
      <c r="E150" s="1070">
        <f>+E152+E153+E154+E155+E156+E157+E158</f>
        <v>681132</v>
      </c>
      <c r="F150" s="1294">
        <f t="shared" si="5"/>
        <v>0.87125455529219742</v>
      </c>
      <c r="G150" s="27">
        <f>+G152+G153+G154+G155+G156+G157+G158</f>
        <v>618527</v>
      </c>
      <c r="H150" s="28">
        <f>+H152+H153+H154+H155+H156+H157+H158</f>
        <v>62605</v>
      </c>
      <c r="I150" s="29">
        <f>+I152+I153+I154+I155+I156+I157+I158</f>
        <v>0</v>
      </c>
      <c r="K150" s="3">
        <f t="shared" si="7"/>
        <v>0</v>
      </c>
    </row>
    <row r="151" spans="1:11" s="36" customFormat="1">
      <c r="A151" s="752" t="s">
        <v>926</v>
      </c>
      <c r="B151" s="753" t="s">
        <v>341</v>
      </c>
      <c r="C151" s="1073"/>
      <c r="D151" s="1074">
        <v>513829</v>
      </c>
      <c r="E151" s="1303">
        <v>513829</v>
      </c>
      <c r="F151" s="1304">
        <f t="shared" si="5"/>
        <v>1</v>
      </c>
      <c r="G151" s="96">
        <v>513829</v>
      </c>
      <c r="H151" s="97"/>
      <c r="I151" s="98"/>
      <c r="K151" s="36">
        <f t="shared" si="7"/>
        <v>0</v>
      </c>
    </row>
    <row r="152" spans="1:11">
      <c r="A152" s="84" t="s">
        <v>66</v>
      </c>
      <c r="B152" s="65" t="s">
        <v>151</v>
      </c>
      <c r="C152" s="398">
        <v>11811</v>
      </c>
      <c r="D152" s="1062">
        <v>0</v>
      </c>
      <c r="E152" s="1071"/>
      <c r="F152" s="1295" t="str">
        <f t="shared" si="5"/>
        <v>-</v>
      </c>
      <c r="G152" s="34"/>
      <c r="H152" s="10"/>
      <c r="I152" s="35"/>
      <c r="K152" s="4">
        <f t="shared" si="7"/>
        <v>0</v>
      </c>
    </row>
    <row r="153" spans="1:11">
      <c r="A153" s="85" t="s">
        <v>67</v>
      </c>
      <c r="B153" s="67" t="s">
        <v>152</v>
      </c>
      <c r="C153" s="396">
        <v>328543</v>
      </c>
      <c r="D153" s="1064">
        <v>680108</v>
      </c>
      <c r="E153" s="1068">
        <v>583319</v>
      </c>
      <c r="F153" s="1296">
        <f t="shared" si="5"/>
        <v>0.85768583813159083</v>
      </c>
      <c r="G153" s="20">
        <v>529257</v>
      </c>
      <c r="H153" s="11">
        <v>54062</v>
      </c>
      <c r="I153" s="16"/>
      <c r="K153" s="4">
        <f t="shared" si="7"/>
        <v>0</v>
      </c>
    </row>
    <row r="154" spans="1:11">
      <c r="A154" s="85" t="s">
        <v>68</v>
      </c>
      <c r="B154" s="67" t="s">
        <v>153</v>
      </c>
      <c r="C154" s="396"/>
      <c r="D154" s="1064">
        <v>547</v>
      </c>
      <c r="E154" s="1068">
        <v>547</v>
      </c>
      <c r="F154" s="1296">
        <f t="shared" si="5"/>
        <v>1</v>
      </c>
      <c r="G154" s="20">
        <v>547</v>
      </c>
      <c r="H154" s="11"/>
      <c r="I154" s="16"/>
      <c r="K154" s="4">
        <f t="shared" si="7"/>
        <v>0</v>
      </c>
    </row>
    <row r="155" spans="1:11">
      <c r="A155" s="85" t="s">
        <v>229</v>
      </c>
      <c r="B155" s="67" t="s">
        <v>154</v>
      </c>
      <c r="C155" s="396">
        <v>1181</v>
      </c>
      <c r="D155" s="1064">
        <f>53777+1</f>
        <v>53778</v>
      </c>
      <c r="E155" s="1068">
        <v>53613</v>
      </c>
      <c r="F155" s="1296">
        <f t="shared" si="5"/>
        <v>0.99693183086020309</v>
      </c>
      <c r="G155" s="20">
        <v>53613</v>
      </c>
      <c r="H155" s="11"/>
      <c r="I155" s="16"/>
      <c r="K155" s="4">
        <f t="shared" si="7"/>
        <v>0</v>
      </c>
    </row>
    <row r="156" spans="1:11">
      <c r="A156" s="85" t="s">
        <v>230</v>
      </c>
      <c r="B156" s="67" t="s">
        <v>155</v>
      </c>
      <c r="C156" s="396"/>
      <c r="D156" s="1064">
        <v>6000</v>
      </c>
      <c r="E156" s="1068">
        <v>6000</v>
      </c>
      <c r="F156" s="1296">
        <f t="shared" si="5"/>
        <v>1</v>
      </c>
      <c r="G156" s="20">
        <v>6000</v>
      </c>
      <c r="H156" s="11"/>
      <c r="I156" s="16"/>
      <c r="K156" s="4">
        <f t="shared" si="7"/>
        <v>0</v>
      </c>
    </row>
    <row r="157" spans="1:11">
      <c r="A157" s="85" t="s">
        <v>268</v>
      </c>
      <c r="B157" s="67" t="s">
        <v>156</v>
      </c>
      <c r="C157" s="396"/>
      <c r="D157" s="1064"/>
      <c r="E157" s="1068"/>
      <c r="F157" s="1296" t="str">
        <f t="shared" si="5"/>
        <v>-</v>
      </c>
      <c r="G157" s="20"/>
      <c r="H157" s="11"/>
      <c r="I157" s="16"/>
      <c r="K157" s="4">
        <f t="shared" si="7"/>
        <v>0</v>
      </c>
    </row>
    <row r="158" spans="1:11" ht="12.75" thickBot="1">
      <c r="A158" s="78" t="s">
        <v>269</v>
      </c>
      <c r="B158" s="68" t="s">
        <v>157</v>
      </c>
      <c r="C158" s="397">
        <v>78715</v>
      </c>
      <c r="D158" s="1065">
        <v>41350</v>
      </c>
      <c r="E158" s="1069">
        <v>37653</v>
      </c>
      <c r="F158" s="1298">
        <f t="shared" si="5"/>
        <v>0.91059250302297456</v>
      </c>
      <c r="G158" s="21">
        <v>29110</v>
      </c>
      <c r="H158" s="22">
        <v>8543</v>
      </c>
      <c r="I158" s="23"/>
      <c r="K158" s="4">
        <f t="shared" si="7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67258</v>
      </c>
      <c r="D159" s="1061">
        <f>+D161+D162+D163+D164</f>
        <v>539711</v>
      </c>
      <c r="E159" s="1070">
        <f>+E161+E162+E163+E164</f>
        <v>502891</v>
      </c>
      <c r="F159" s="1294">
        <f t="shared" si="5"/>
        <v>0.93177830357357916</v>
      </c>
      <c r="G159" s="27">
        <f>+G161+G162+G163+G164</f>
        <v>502891</v>
      </c>
      <c r="H159" s="28">
        <f>+H161+H162+H163+H164</f>
        <v>0</v>
      </c>
      <c r="I159" s="29">
        <f>+I161+I162+I163+I164</f>
        <v>0</v>
      </c>
      <c r="K159" s="3">
        <f t="shared" si="7"/>
        <v>0</v>
      </c>
    </row>
    <row r="160" spans="1:11" s="36" customFormat="1">
      <c r="A160" s="752" t="s">
        <v>343</v>
      </c>
      <c r="B160" s="753" t="s">
        <v>344</v>
      </c>
      <c r="C160" s="1073"/>
      <c r="D160" s="1074">
        <v>423059</v>
      </c>
      <c r="E160" s="1303">
        <v>423059</v>
      </c>
      <c r="F160" s="1304">
        <f t="shared" si="5"/>
        <v>1</v>
      </c>
      <c r="G160" s="96">
        <v>423059</v>
      </c>
      <c r="H160" s="97"/>
      <c r="I160" s="98"/>
      <c r="K160" s="36">
        <f t="shared" si="7"/>
        <v>0</v>
      </c>
    </row>
    <row r="161" spans="1:11">
      <c r="A161" s="84" t="s">
        <v>69</v>
      </c>
      <c r="B161" s="65" t="s">
        <v>158</v>
      </c>
      <c r="C161" s="398">
        <v>52959</v>
      </c>
      <c r="D161" s="1062">
        <v>461033</v>
      </c>
      <c r="E161" s="1071">
        <v>424692</v>
      </c>
      <c r="F161" s="1295">
        <f t="shared" si="5"/>
        <v>0.92117483997891692</v>
      </c>
      <c r="G161" s="34">
        <v>424692</v>
      </c>
      <c r="H161" s="10"/>
      <c r="I161" s="35"/>
      <c r="K161" s="4">
        <f t="shared" si="7"/>
        <v>0</v>
      </c>
    </row>
    <row r="162" spans="1:11">
      <c r="A162" s="85" t="s">
        <v>70</v>
      </c>
      <c r="B162" s="67" t="s">
        <v>159</v>
      </c>
      <c r="C162" s="396"/>
      <c r="D162" s="1064"/>
      <c r="E162" s="1068"/>
      <c r="F162" s="1296" t="str">
        <f t="shared" si="5"/>
        <v>-</v>
      </c>
      <c r="G162" s="20"/>
      <c r="H162" s="11"/>
      <c r="I162" s="16"/>
      <c r="K162" s="4">
        <f t="shared" si="7"/>
        <v>0</v>
      </c>
    </row>
    <row r="163" spans="1:11">
      <c r="A163" s="85" t="s">
        <v>71</v>
      </c>
      <c r="B163" s="67" t="s">
        <v>160</v>
      </c>
      <c r="C163" s="396"/>
      <c r="D163" s="1064"/>
      <c r="E163" s="1068"/>
      <c r="F163" s="1296" t="str">
        <f t="shared" si="5"/>
        <v>-</v>
      </c>
      <c r="G163" s="20"/>
      <c r="H163" s="11"/>
      <c r="I163" s="16"/>
      <c r="K163" s="4">
        <f t="shared" si="7"/>
        <v>0</v>
      </c>
    </row>
    <row r="164" spans="1:11" ht="12.75" thickBot="1">
      <c r="A164" s="78" t="s">
        <v>72</v>
      </c>
      <c r="B164" s="68" t="s">
        <v>161</v>
      </c>
      <c r="C164" s="397">
        <v>14299</v>
      </c>
      <c r="D164" s="1065">
        <v>78678</v>
      </c>
      <c r="E164" s="1069">
        <v>78199</v>
      </c>
      <c r="F164" s="1298">
        <f t="shared" si="5"/>
        <v>0.99391189404916236</v>
      </c>
      <c r="G164" s="21">
        <v>78199</v>
      </c>
      <c r="H164" s="22"/>
      <c r="I164" s="23"/>
      <c r="K164" s="4">
        <f t="shared" si="7"/>
        <v>0</v>
      </c>
    </row>
    <row r="165" spans="1:11" s="3" customFormat="1" ht="12.75" thickBot="1">
      <c r="A165" s="83" t="s">
        <v>11</v>
      </c>
      <c r="B165" s="64" t="s">
        <v>928</v>
      </c>
      <c r="C165" s="129">
        <f>+C166+C167+C168+C169+C171+C172+C173+C174+C175</f>
        <v>0</v>
      </c>
      <c r="D165" s="1061">
        <f>+D166+D167+D168+D169+D171+D172+D173+D174+D175</f>
        <v>0</v>
      </c>
      <c r="E165" s="1070">
        <f>+E166+E167+E168+E169+E171+E172+E173+E174+E175</f>
        <v>0</v>
      </c>
      <c r="F165" s="1294" t="str">
        <f t="shared" si="5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7"/>
        <v>0</v>
      </c>
    </row>
    <row r="166" spans="1:11">
      <c r="A166" s="84" t="s">
        <v>270</v>
      </c>
      <c r="B166" s="65" t="s">
        <v>162</v>
      </c>
      <c r="C166" s="398"/>
      <c r="D166" s="1062"/>
      <c r="E166" s="1071"/>
      <c r="F166" s="1295" t="str">
        <f t="shared" si="5"/>
        <v>-</v>
      </c>
      <c r="G166" s="34"/>
      <c r="H166" s="10"/>
      <c r="I166" s="35"/>
      <c r="K166" s="4">
        <f t="shared" si="7"/>
        <v>0</v>
      </c>
    </row>
    <row r="167" spans="1:11">
      <c r="A167" s="85" t="s">
        <v>271</v>
      </c>
      <c r="B167" s="67" t="s">
        <v>163</v>
      </c>
      <c r="C167" s="396"/>
      <c r="D167" s="1064"/>
      <c r="E167" s="1068"/>
      <c r="F167" s="1296" t="str">
        <f t="shared" si="5"/>
        <v>-</v>
      </c>
      <c r="G167" s="20"/>
      <c r="H167" s="11"/>
      <c r="I167" s="16"/>
      <c r="K167" s="4">
        <f t="shared" si="7"/>
        <v>0</v>
      </c>
    </row>
    <row r="168" spans="1:11">
      <c r="A168" s="85" t="s">
        <v>272</v>
      </c>
      <c r="B168" s="67" t="s">
        <v>164</v>
      </c>
      <c r="C168" s="396"/>
      <c r="D168" s="1064"/>
      <c r="E168" s="1068"/>
      <c r="F168" s="1296" t="str">
        <f t="shared" si="5"/>
        <v>-</v>
      </c>
      <c r="G168" s="20"/>
      <c r="H168" s="11"/>
      <c r="I168" s="16"/>
      <c r="K168" s="4">
        <f t="shared" si="7"/>
        <v>0</v>
      </c>
    </row>
    <row r="169" spans="1:11">
      <c r="A169" s="85" t="s">
        <v>273</v>
      </c>
      <c r="B169" s="67" t="s">
        <v>165</v>
      </c>
      <c r="C169" s="396"/>
      <c r="D169" s="1064"/>
      <c r="E169" s="1068"/>
      <c r="F169" s="1296" t="str">
        <f t="shared" si="5"/>
        <v>-</v>
      </c>
      <c r="G169" s="20"/>
      <c r="H169" s="11"/>
      <c r="I169" s="16"/>
      <c r="K169" s="4">
        <f t="shared" si="7"/>
        <v>0</v>
      </c>
    </row>
    <row r="170" spans="1:11" s="13" customFormat="1">
      <c r="A170" s="89" t="s">
        <v>338</v>
      </c>
      <c r="B170" s="751" t="s">
        <v>339</v>
      </c>
      <c r="C170" s="395"/>
      <c r="D170" s="1066"/>
      <c r="E170" s="1299"/>
      <c r="F170" s="1298" t="str">
        <f t="shared" si="5"/>
        <v>-</v>
      </c>
      <c r="G170" s="45"/>
      <c r="H170" s="43"/>
      <c r="I170" s="44"/>
      <c r="K170" s="13">
        <f t="shared" si="7"/>
        <v>0</v>
      </c>
    </row>
    <row r="171" spans="1:11">
      <c r="A171" s="85" t="s">
        <v>274</v>
      </c>
      <c r="B171" s="67" t="s">
        <v>166</v>
      </c>
      <c r="C171" s="396"/>
      <c r="D171" s="1064"/>
      <c r="E171" s="1068"/>
      <c r="F171" s="1296" t="str">
        <f t="shared" si="5"/>
        <v>-</v>
      </c>
      <c r="G171" s="20"/>
      <c r="H171" s="11"/>
      <c r="I171" s="16"/>
      <c r="K171" s="4">
        <f t="shared" si="7"/>
        <v>0</v>
      </c>
    </row>
    <row r="172" spans="1:11">
      <c r="A172" s="85" t="s">
        <v>275</v>
      </c>
      <c r="B172" s="67" t="s">
        <v>167</v>
      </c>
      <c r="C172" s="396"/>
      <c r="D172" s="1064"/>
      <c r="E172" s="1068"/>
      <c r="F172" s="1296" t="str">
        <f t="shared" si="5"/>
        <v>-</v>
      </c>
      <c r="G172" s="20"/>
      <c r="H172" s="11"/>
      <c r="I172" s="16"/>
      <c r="K172" s="4">
        <f t="shared" si="7"/>
        <v>0</v>
      </c>
    </row>
    <row r="173" spans="1:11">
      <c r="A173" s="85" t="s">
        <v>276</v>
      </c>
      <c r="B173" s="67" t="s">
        <v>168</v>
      </c>
      <c r="C173" s="396"/>
      <c r="D173" s="1064"/>
      <c r="E173" s="1068"/>
      <c r="F173" s="1296" t="str">
        <f t="shared" ref="F173:F208" si="8">IF(ISERROR(E173/D173),"-",E173/D173)</f>
        <v>-</v>
      </c>
      <c r="G173" s="20"/>
      <c r="H173" s="11"/>
      <c r="I173" s="16"/>
      <c r="K173" s="4">
        <f t="shared" ref="K173:K208" si="9">+E173-G173-H173-I173</f>
        <v>0</v>
      </c>
    </row>
    <row r="174" spans="1:11">
      <c r="A174" s="85" t="s">
        <v>277</v>
      </c>
      <c r="B174" s="67" t="s">
        <v>929</v>
      </c>
      <c r="C174" s="396"/>
      <c r="D174" s="1064"/>
      <c r="E174" s="1068"/>
      <c r="F174" s="1296" t="str">
        <f t="shared" si="8"/>
        <v>-</v>
      </c>
      <c r="G174" s="20"/>
      <c r="H174" s="11"/>
      <c r="I174" s="16"/>
      <c r="K174" s="4">
        <f t="shared" si="9"/>
        <v>0</v>
      </c>
    </row>
    <row r="175" spans="1:11" ht="12.75" thickBot="1">
      <c r="A175" s="78" t="s">
        <v>927</v>
      </c>
      <c r="B175" s="68" t="s">
        <v>930</v>
      </c>
      <c r="C175" s="397"/>
      <c r="D175" s="1065"/>
      <c r="E175" s="1069"/>
      <c r="F175" s="1298" t="str">
        <f t="shared" si="8"/>
        <v>-</v>
      </c>
      <c r="G175" s="21"/>
      <c r="H175" s="22"/>
      <c r="I175" s="23"/>
      <c r="K175" s="4">
        <f t="shared" si="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3522568</v>
      </c>
      <c r="D176" s="1061">
        <f>+D109+D149</f>
        <v>4619065</v>
      </c>
      <c r="E176" s="1070">
        <f>+E109+E149</f>
        <v>2050562</v>
      </c>
      <c r="F176" s="1294">
        <f t="shared" si="8"/>
        <v>0.44393443261785664</v>
      </c>
      <c r="G176" s="27">
        <f>+G109+G149</f>
        <v>1981095</v>
      </c>
      <c r="H176" s="28">
        <f>+H109+H149</f>
        <v>69467</v>
      </c>
      <c r="I176" s="29">
        <f>+I109+I149</f>
        <v>0</v>
      </c>
      <c r="K176" s="3">
        <f t="shared" si="9"/>
        <v>0</v>
      </c>
    </row>
    <row r="177" spans="1:14" s="3" customFormat="1" ht="12.75" thickBot="1">
      <c r="A177" s="83" t="s">
        <v>9</v>
      </c>
      <c r="B177" s="70" t="s">
        <v>314</v>
      </c>
      <c r="C177" s="129">
        <f>+C178</f>
        <v>929711</v>
      </c>
      <c r="D177" s="1061">
        <f>+D178</f>
        <v>1022255</v>
      </c>
      <c r="E177" s="1070">
        <f>+E178</f>
        <v>1018683</v>
      </c>
      <c r="F177" s="1294">
        <f t="shared" si="8"/>
        <v>0.99650576421734305</v>
      </c>
      <c r="G177" s="27">
        <f>+G178</f>
        <v>996944</v>
      </c>
      <c r="H177" s="28">
        <f>+H178</f>
        <v>21739</v>
      </c>
      <c r="I177" s="29">
        <f>+I178</f>
        <v>0</v>
      </c>
      <c r="K177" s="3">
        <f t="shared" si="9"/>
        <v>0</v>
      </c>
    </row>
    <row r="178" spans="1:14" s="3" customFormat="1" ht="12.75" thickBot="1">
      <c r="A178" s="83" t="s">
        <v>45</v>
      </c>
      <c r="B178" s="64" t="s">
        <v>937</v>
      </c>
      <c r="C178" s="129">
        <f>+C179+C189+C190+C191</f>
        <v>929711</v>
      </c>
      <c r="D178" s="1061">
        <f>+D179+D189+D190+D191</f>
        <v>1022255</v>
      </c>
      <c r="E178" s="1070">
        <f>+E179+E189+E190+E191</f>
        <v>1018683</v>
      </c>
      <c r="F178" s="1294">
        <f t="shared" si="8"/>
        <v>0.99650576421734305</v>
      </c>
      <c r="G178" s="27">
        <f>+G179+G189+G190+G191</f>
        <v>996944</v>
      </c>
      <c r="H178" s="28">
        <f>+H179+H189+H190+H191</f>
        <v>21739</v>
      </c>
      <c r="I178" s="29">
        <f>+I179+I189+I190+I191</f>
        <v>0</v>
      </c>
      <c r="K178" s="3">
        <f t="shared" si="9"/>
        <v>0</v>
      </c>
    </row>
    <row r="179" spans="1:14">
      <c r="A179" s="84" t="s">
        <v>75</v>
      </c>
      <c r="B179" s="65" t="s">
        <v>938</v>
      </c>
      <c r="C179" s="398">
        <f>+C180+C181+C182+C183+C184+C185+C186+C187+C188</f>
        <v>929711</v>
      </c>
      <c r="D179" s="1062">
        <f>+D180+D181+D182+D183+D184+D185+D186+D187+D188</f>
        <v>1022255</v>
      </c>
      <c r="E179" s="1071">
        <f>+E180+E181+E182+E183+E184+E185+E186+E187+E188</f>
        <v>1018683</v>
      </c>
      <c r="F179" s="1295">
        <f t="shared" si="8"/>
        <v>0.99650576421734305</v>
      </c>
      <c r="G179" s="575">
        <f>+G180+G181+G182+G183+G184+G185+G186+G187+G188</f>
        <v>996944</v>
      </c>
      <c r="H179" s="47">
        <f>+H180+H181+H182+H183+H184+H185+H186+H187+H188</f>
        <v>21739</v>
      </c>
      <c r="I179" s="48">
        <f>+I180+I181+I182+I183+I184+I185+I186+I187+I188</f>
        <v>0</v>
      </c>
      <c r="K179" s="4">
        <f t="shared" si="9"/>
        <v>0</v>
      </c>
    </row>
    <row r="180" spans="1:14" s="13" customFormat="1">
      <c r="A180" s="86" t="s">
        <v>204</v>
      </c>
      <c r="B180" s="66" t="s">
        <v>169</v>
      </c>
      <c r="C180" s="394"/>
      <c r="D180" s="1063">
        <v>77939</v>
      </c>
      <c r="E180" s="1067">
        <v>77939</v>
      </c>
      <c r="F180" s="1296">
        <f t="shared" si="8"/>
        <v>1</v>
      </c>
      <c r="G180" s="457">
        <v>77939</v>
      </c>
      <c r="H180" s="12"/>
      <c r="I180" s="15"/>
      <c r="K180" s="13">
        <f t="shared" si="9"/>
        <v>0</v>
      </c>
    </row>
    <row r="181" spans="1:14" s="13" customFormat="1">
      <c r="A181" s="86" t="s">
        <v>205</v>
      </c>
      <c r="B181" s="66" t="s">
        <v>170</v>
      </c>
      <c r="C181" s="394"/>
      <c r="D181" s="1063"/>
      <c r="E181" s="1067"/>
      <c r="F181" s="1296" t="str">
        <f t="shared" si="8"/>
        <v>-</v>
      </c>
      <c r="G181" s="457"/>
      <c r="H181" s="12"/>
      <c r="I181" s="15"/>
      <c r="K181" s="13">
        <f t="shared" si="9"/>
        <v>0</v>
      </c>
    </row>
    <row r="182" spans="1:14" s="13" customFormat="1">
      <c r="A182" s="86" t="s">
        <v>206</v>
      </c>
      <c r="B182" s="66" t="s">
        <v>171</v>
      </c>
      <c r="C182" s="394"/>
      <c r="D182" s="1063"/>
      <c r="E182" s="1067"/>
      <c r="F182" s="1296" t="str">
        <f t="shared" si="8"/>
        <v>-</v>
      </c>
      <c r="G182" s="457"/>
      <c r="H182" s="12"/>
      <c r="I182" s="15"/>
      <c r="K182" s="13">
        <f t="shared" si="9"/>
        <v>0</v>
      </c>
    </row>
    <row r="183" spans="1:14" s="13" customFormat="1">
      <c r="A183" s="86" t="s">
        <v>207</v>
      </c>
      <c r="B183" s="66" t="s">
        <v>172</v>
      </c>
      <c r="C183" s="394">
        <v>30446</v>
      </c>
      <c r="D183" s="1063">
        <f>31186+1</f>
        <v>31187</v>
      </c>
      <c r="E183" s="1067">
        <f>31186+1</f>
        <v>31187</v>
      </c>
      <c r="F183" s="1296">
        <f t="shared" si="8"/>
        <v>1</v>
      </c>
      <c r="G183" s="457">
        <v>31187</v>
      </c>
      <c r="H183" s="12"/>
      <c r="I183" s="15"/>
      <c r="K183" s="13">
        <f t="shared" si="9"/>
        <v>0</v>
      </c>
    </row>
    <row r="184" spans="1:14" s="117" customFormat="1">
      <c r="A184" s="108" t="s">
        <v>208</v>
      </c>
      <c r="B184" s="109" t="s">
        <v>173</v>
      </c>
      <c r="C184" s="1056">
        <f>+'1.2.mell._HKÖH_Mérleg2020'!C79+'1.3.mell._HVÓBKI_Mérleg2020'!C79+'1.4.mell._HKK_Mérleg2020'!C79+'1.5._mell._MŐSZ_Mérleg2020'!C79+'1.6._mell._HVGYKCSSZ_Mérleg2020'!C79</f>
        <v>899265</v>
      </c>
      <c r="D184" s="1067">
        <f>+'1.2.mell._HKÖH_Mérleg2020'!D79+'1.3.mell._HVÓBKI_Mérleg2020'!D79+'1.4.mell._HKK_Mérleg2020'!D79+'1.5._mell._MŐSZ_Mérleg2020'!D79+'1.6._mell._HVGYKCSSZ_Mérleg2020'!D79</f>
        <v>913129</v>
      </c>
      <c r="E184" s="1067">
        <f>+'1.2.mell._HKÖH_Mérleg2020'!E79+'1.3.mell._HVÓBKI_Mérleg2020'!E79+'1.4.mell._HKK_Mérleg2020'!E79+'1.5._mell._MŐSZ_Mérleg2020'!E79+'1.6._mell._HVGYKCSSZ_Mérleg2020'!E79</f>
        <v>909557</v>
      </c>
      <c r="F184" s="1297">
        <f t="shared" si="8"/>
        <v>0.99608817593133059</v>
      </c>
      <c r="G184" s="811">
        <f>+'1.2.mell._HKÖH_Mérleg2020'!G79+'1.3.mell._HVÓBKI_Mérleg2020'!G79+'1.4.mell._HKK_Mérleg2020'!G79+'1.5._mell._MŐSZ_Mérleg2020'!G79+'1.6._mell._HVGYKCSSZ_Mérleg2020'!G79</f>
        <v>887818</v>
      </c>
      <c r="H184" s="686">
        <f>+'1.2.mell._HKÖH_Mérleg2020'!H79+'1.3.mell._HVÓBKI_Mérleg2020'!H79+'1.4.mell._HKK_Mérleg2020'!H79+'1.5._mell._MŐSZ_Mérleg2020'!H79+'1.6._mell._HVGYKCSSZ_Mérleg2020'!H79</f>
        <v>21739</v>
      </c>
      <c r="I184" s="812">
        <f>+'1.2.mell._HKÖH_Mérleg2020'!I79+'1.3.mell._HVÓBKI_Mérleg2020'!I79+'1.4.mell._HKK_Mérleg2020'!I79+'1.5._mell._MŐSZ_Mérleg2020'!I79+'1.6._mell._HVGYKCSSZ_Mérleg2020'!I79</f>
        <v>0</v>
      </c>
      <c r="K184" s="117">
        <f t="shared" si="9"/>
        <v>0</v>
      </c>
      <c r="M184" s="117">
        <v>939307</v>
      </c>
      <c r="N184" s="117">
        <v>932989</v>
      </c>
    </row>
    <row r="185" spans="1:14" s="13" customFormat="1">
      <c r="A185" s="86" t="s">
        <v>209</v>
      </c>
      <c r="B185" s="66" t="s">
        <v>178</v>
      </c>
      <c r="C185" s="394"/>
      <c r="D185" s="1063"/>
      <c r="E185" s="1067"/>
      <c r="F185" s="1296" t="str">
        <f t="shared" si="8"/>
        <v>-</v>
      </c>
      <c r="G185" s="457"/>
      <c r="H185" s="12"/>
      <c r="I185" s="15"/>
      <c r="K185" s="13">
        <f t="shared" si="9"/>
        <v>0</v>
      </c>
      <c r="M185" s="13">
        <f>+M184-D184-D199</f>
        <v>0</v>
      </c>
      <c r="N185" s="13">
        <f>+N184-E184-E199</f>
        <v>0</v>
      </c>
    </row>
    <row r="186" spans="1:14" s="13" customFormat="1">
      <c r="A186" s="86" t="s">
        <v>210</v>
      </c>
      <c r="B186" s="66" t="s">
        <v>174</v>
      </c>
      <c r="C186" s="394"/>
      <c r="D186" s="1063"/>
      <c r="E186" s="1067"/>
      <c r="F186" s="1296" t="str">
        <f t="shared" si="8"/>
        <v>-</v>
      </c>
      <c r="G186" s="457"/>
      <c r="H186" s="12"/>
      <c r="I186" s="15"/>
      <c r="K186" s="13">
        <f t="shared" si="9"/>
        <v>0</v>
      </c>
    </row>
    <row r="187" spans="1:14" s="13" customFormat="1">
      <c r="A187" s="86" t="s">
        <v>211</v>
      </c>
      <c r="B187" s="66" t="s">
        <v>175</v>
      </c>
      <c r="C187" s="394"/>
      <c r="D187" s="1063"/>
      <c r="E187" s="1067"/>
      <c r="F187" s="1296" t="str">
        <f t="shared" si="8"/>
        <v>-</v>
      </c>
      <c r="G187" s="457"/>
      <c r="H187" s="12"/>
      <c r="I187" s="15"/>
      <c r="K187" s="13">
        <f t="shared" si="9"/>
        <v>0</v>
      </c>
    </row>
    <row r="188" spans="1:14" s="13" customFormat="1">
      <c r="A188" s="86" t="s">
        <v>931</v>
      </c>
      <c r="B188" s="66" t="s">
        <v>933</v>
      </c>
      <c r="C188" s="394"/>
      <c r="D188" s="1063"/>
      <c r="E188" s="1067"/>
      <c r="F188" s="1296" t="str">
        <f t="shared" si="8"/>
        <v>-</v>
      </c>
      <c r="G188" s="457"/>
      <c r="H188" s="12"/>
      <c r="I188" s="15"/>
      <c r="K188" s="13">
        <f t="shared" si="9"/>
        <v>0</v>
      </c>
    </row>
    <row r="189" spans="1:14">
      <c r="A189" s="85" t="s">
        <v>76</v>
      </c>
      <c r="B189" s="67" t="s">
        <v>176</v>
      </c>
      <c r="C189" s="396"/>
      <c r="D189" s="1064"/>
      <c r="E189" s="1068"/>
      <c r="F189" s="1296" t="str">
        <f t="shared" si="8"/>
        <v>-</v>
      </c>
      <c r="G189" s="456"/>
      <c r="H189" s="11"/>
      <c r="I189" s="16"/>
      <c r="K189" s="4">
        <f t="shared" si="9"/>
        <v>0</v>
      </c>
    </row>
    <row r="190" spans="1:14">
      <c r="A190" s="78" t="s">
        <v>77</v>
      </c>
      <c r="B190" s="68" t="s">
        <v>177</v>
      </c>
      <c r="C190" s="397"/>
      <c r="D190" s="1065"/>
      <c r="E190" s="1069"/>
      <c r="F190" s="1298" t="str">
        <f t="shared" si="8"/>
        <v>-</v>
      </c>
      <c r="G190" s="455"/>
      <c r="H190" s="22"/>
      <c r="I190" s="23"/>
      <c r="K190" s="4">
        <f t="shared" si="9"/>
        <v>0</v>
      </c>
    </row>
    <row r="191" spans="1:14" ht="12.75" thickBot="1">
      <c r="A191" s="78" t="s">
        <v>936</v>
      </c>
      <c r="B191" s="68" t="s">
        <v>934</v>
      </c>
      <c r="C191" s="397"/>
      <c r="D191" s="1065"/>
      <c r="E191" s="1069"/>
      <c r="F191" s="1298" t="str">
        <f t="shared" si="8"/>
        <v>-</v>
      </c>
      <c r="G191" s="458"/>
      <c r="H191" s="17"/>
      <c r="I191" s="39"/>
      <c r="K191" s="4">
        <f t="shared" si="9"/>
        <v>0</v>
      </c>
    </row>
    <row r="192" spans="1:14" s="3" customFormat="1" ht="12.75" thickBot="1">
      <c r="A192" s="83" t="s">
        <v>44</v>
      </c>
      <c r="B192" s="69" t="s">
        <v>315</v>
      </c>
      <c r="C192" s="129">
        <f>+C193</f>
        <v>16472</v>
      </c>
      <c r="D192" s="1061">
        <f>+D193</f>
        <v>26178</v>
      </c>
      <c r="E192" s="1070">
        <f>+E193</f>
        <v>23432</v>
      </c>
      <c r="F192" s="1294">
        <f t="shared" si="8"/>
        <v>0.89510275804110317</v>
      </c>
      <c r="G192" s="27">
        <f>+G193</f>
        <v>20638</v>
      </c>
      <c r="H192" s="28">
        <f>+H193</f>
        <v>2794</v>
      </c>
      <c r="I192" s="29">
        <f>+I193</f>
        <v>0</v>
      </c>
      <c r="K192" s="3">
        <f t="shared" si="9"/>
        <v>0</v>
      </c>
    </row>
    <row r="193" spans="1:11" s="3" customFormat="1" ht="12.75" thickBot="1">
      <c r="A193" s="83" t="s">
        <v>43</v>
      </c>
      <c r="B193" s="64" t="s">
        <v>932</v>
      </c>
      <c r="C193" s="129">
        <f>+C194+C204+C205+C206</f>
        <v>16472</v>
      </c>
      <c r="D193" s="1061">
        <f>+D194+D204+D205+D206</f>
        <v>26178</v>
      </c>
      <c r="E193" s="1070">
        <f>+E194+E204+E205+E206</f>
        <v>23432</v>
      </c>
      <c r="F193" s="1294">
        <f t="shared" si="8"/>
        <v>0.89510275804110317</v>
      </c>
      <c r="G193" s="27">
        <f>+G194+G204+G205+G206</f>
        <v>20638</v>
      </c>
      <c r="H193" s="28">
        <f>+H194+H204+H205+H206</f>
        <v>2794</v>
      </c>
      <c r="I193" s="29">
        <f>+I194+I204+I205+I206</f>
        <v>0</v>
      </c>
      <c r="K193" s="3">
        <f t="shared" si="9"/>
        <v>0</v>
      </c>
    </row>
    <row r="194" spans="1:11">
      <c r="A194" s="84" t="s">
        <v>78</v>
      </c>
      <c r="B194" s="65" t="s">
        <v>967</v>
      </c>
      <c r="C194" s="398">
        <f>+C195+C196+C197+C198+C199+C200+C201+C202+C203</f>
        <v>16472</v>
      </c>
      <c r="D194" s="1062">
        <f>+D195+D196+D197+D198+D199+D200+D201+D202+D203</f>
        <v>26178</v>
      </c>
      <c r="E194" s="1071">
        <f>+E195+E196+E197+E198+E199+E200+E201+E202+E203</f>
        <v>23432</v>
      </c>
      <c r="F194" s="1295">
        <f t="shared" si="8"/>
        <v>0.89510275804110317</v>
      </c>
      <c r="G194" s="575">
        <f>+G195+G196+G197+G198+G199+G200+G201+G202+G203</f>
        <v>20638</v>
      </c>
      <c r="H194" s="47">
        <f>+H195+H196+H197+H198+H199+H200+H201+H202+H203</f>
        <v>2794</v>
      </c>
      <c r="I194" s="48">
        <f>+I195+I196+I197+I198+I199+I200+I201+I202+I203</f>
        <v>0</v>
      </c>
      <c r="K194" s="4">
        <f t="shared" si="9"/>
        <v>0</v>
      </c>
    </row>
    <row r="195" spans="1:11" s="13" customFormat="1">
      <c r="A195" s="86" t="s">
        <v>212</v>
      </c>
      <c r="B195" s="66" t="s">
        <v>169</v>
      </c>
      <c r="C195" s="394"/>
      <c r="D195" s="1063"/>
      <c r="E195" s="1067"/>
      <c r="F195" s="1296" t="str">
        <f t="shared" si="8"/>
        <v>-</v>
      </c>
      <c r="G195" s="457"/>
      <c r="H195" s="12"/>
      <c r="I195" s="15"/>
      <c r="K195" s="13">
        <f t="shared" si="9"/>
        <v>0</v>
      </c>
    </row>
    <row r="196" spans="1:11" s="13" customFormat="1">
      <c r="A196" s="86" t="s">
        <v>213</v>
      </c>
      <c r="B196" s="66" t="s">
        <v>170</v>
      </c>
      <c r="C196" s="394"/>
      <c r="D196" s="1063"/>
      <c r="E196" s="1067"/>
      <c r="F196" s="1296" t="str">
        <f t="shared" si="8"/>
        <v>-</v>
      </c>
      <c r="G196" s="457"/>
      <c r="H196" s="12"/>
      <c r="I196" s="15"/>
      <c r="K196" s="13">
        <f t="shared" si="9"/>
        <v>0</v>
      </c>
    </row>
    <row r="197" spans="1:11" s="13" customFormat="1">
      <c r="A197" s="86" t="s">
        <v>214</v>
      </c>
      <c r="B197" s="66" t="s">
        <v>171</v>
      </c>
      <c r="C197" s="394"/>
      <c r="D197" s="1063"/>
      <c r="E197" s="1067"/>
      <c r="F197" s="1296" t="str">
        <f t="shared" si="8"/>
        <v>-</v>
      </c>
      <c r="G197" s="457"/>
      <c r="H197" s="12"/>
      <c r="I197" s="15"/>
      <c r="K197" s="13">
        <f t="shared" si="9"/>
        <v>0</v>
      </c>
    </row>
    <row r="198" spans="1:11" s="13" customFormat="1">
      <c r="A198" s="86" t="s">
        <v>215</v>
      </c>
      <c r="B198" s="66" t="s">
        <v>172</v>
      </c>
      <c r="C198" s="394"/>
      <c r="D198" s="1063"/>
      <c r="E198" s="1067"/>
      <c r="F198" s="1296" t="str">
        <f t="shared" si="8"/>
        <v>-</v>
      </c>
      <c r="G198" s="457"/>
      <c r="H198" s="12"/>
      <c r="I198" s="15"/>
      <c r="K198" s="13">
        <f t="shared" si="9"/>
        <v>0</v>
      </c>
    </row>
    <row r="199" spans="1:11" s="117" customFormat="1">
      <c r="A199" s="108" t="s">
        <v>216</v>
      </c>
      <c r="B199" s="109" t="s">
        <v>173</v>
      </c>
      <c r="C199" s="1056">
        <f>+'1.2.mell._HKÖH_Mérleg2020'!C94+'1.3.mell._HVÓBKI_Mérleg2020'!C94+'1.4.mell._HKK_Mérleg2020'!C94+'1.5._mell._MŐSZ_Mérleg2020'!C94+'1.6._mell._HVGYKCSSZ_Mérleg2020'!C94</f>
        <v>16472</v>
      </c>
      <c r="D199" s="1067">
        <f>+'1.2.mell._HKÖH_Mérleg2020'!D94+'1.3.mell._HVÓBKI_Mérleg2020'!D94+'1.4.mell._HKK_Mérleg2020'!D94+'1.5._mell._MŐSZ_Mérleg2020'!D94+'1.6._mell._HVGYKCSSZ_Mérleg2020'!D94</f>
        <v>26178</v>
      </c>
      <c r="E199" s="1067">
        <f>+'1.2.mell._HKÖH_Mérleg2020'!E94+'1.3.mell._HVÓBKI_Mérleg2020'!E94+'1.4.mell._HKK_Mérleg2020'!E94+'1.5._mell._MŐSZ_Mérleg2020'!E94+'1.6._mell._HVGYKCSSZ_Mérleg2020'!E94</f>
        <v>23432</v>
      </c>
      <c r="F199" s="1297">
        <f t="shared" si="8"/>
        <v>0.89510275804110317</v>
      </c>
      <c r="G199" s="811">
        <f>+'1.2.mell._HKÖH_Mérleg2020'!G94+'1.3.mell._HVÓBKI_Mérleg2020'!G94+'1.4.mell._HKK_Mérleg2020'!G94+'1.5._mell._MŐSZ_Mérleg2020'!G94+'1.6._mell._HVGYKCSSZ_Mérleg2020'!G94</f>
        <v>20638</v>
      </c>
      <c r="H199" s="686">
        <f>+'1.2.mell._HKÖH_Mérleg2020'!H94+'1.3.mell._HVÓBKI_Mérleg2020'!H94+'1.4.mell._HKK_Mérleg2020'!H94+'1.5._mell._MŐSZ_Mérleg2020'!H94+'1.6._mell._HVGYKCSSZ_Mérleg2020'!H94</f>
        <v>2794</v>
      </c>
      <c r="I199" s="812">
        <f>+'1.2.mell._HKÖH_Mérleg2020'!I94+'1.3.mell._HVÓBKI_Mérleg2020'!I94+'1.4.mell._HKK_Mérleg2020'!I94+'1.5._mell._MŐSZ_Mérleg2020'!I94+'1.6._mell._HVGYKCSSZ_Mérleg2020'!I94</f>
        <v>0</v>
      </c>
      <c r="K199" s="117">
        <f t="shared" si="9"/>
        <v>0</v>
      </c>
    </row>
    <row r="200" spans="1:11" s="13" customFormat="1">
      <c r="A200" s="86" t="s">
        <v>217</v>
      </c>
      <c r="B200" s="66" t="s">
        <v>178</v>
      </c>
      <c r="C200" s="394"/>
      <c r="D200" s="1063"/>
      <c r="E200" s="1067"/>
      <c r="F200" s="1296" t="str">
        <f t="shared" si="8"/>
        <v>-</v>
      </c>
      <c r="G200" s="457"/>
      <c r="H200" s="12"/>
      <c r="I200" s="15"/>
      <c r="K200" s="13">
        <f t="shared" si="9"/>
        <v>0</v>
      </c>
    </row>
    <row r="201" spans="1:11" s="13" customFormat="1">
      <c r="A201" s="86" t="s">
        <v>218</v>
      </c>
      <c r="B201" s="66" t="s">
        <v>174</v>
      </c>
      <c r="C201" s="394"/>
      <c r="D201" s="1063"/>
      <c r="E201" s="1067"/>
      <c r="F201" s="1296" t="str">
        <f t="shared" si="8"/>
        <v>-</v>
      </c>
      <c r="G201" s="457"/>
      <c r="H201" s="12"/>
      <c r="I201" s="15"/>
      <c r="K201" s="13">
        <f t="shared" si="9"/>
        <v>0</v>
      </c>
    </row>
    <row r="202" spans="1:11" s="13" customFormat="1">
      <c r="A202" s="86" t="s">
        <v>219</v>
      </c>
      <c r="B202" s="66" t="s">
        <v>175</v>
      </c>
      <c r="C202" s="394"/>
      <c r="D202" s="1063"/>
      <c r="E202" s="1067"/>
      <c r="F202" s="1296" t="str">
        <f t="shared" si="8"/>
        <v>-</v>
      </c>
      <c r="G202" s="457"/>
      <c r="H202" s="12"/>
      <c r="I202" s="15"/>
      <c r="K202" s="13">
        <f t="shared" si="9"/>
        <v>0</v>
      </c>
    </row>
    <row r="203" spans="1:11" s="13" customFormat="1">
      <c r="A203" s="86" t="s">
        <v>931</v>
      </c>
      <c r="B203" s="66" t="s">
        <v>933</v>
      </c>
      <c r="C203" s="394"/>
      <c r="D203" s="1063"/>
      <c r="E203" s="1067"/>
      <c r="F203" s="1296" t="str">
        <f t="shared" si="8"/>
        <v>-</v>
      </c>
      <c r="G203" s="457"/>
      <c r="H203" s="12"/>
      <c r="I203" s="15"/>
      <c r="K203" s="13">
        <f t="shared" si="9"/>
        <v>0</v>
      </c>
    </row>
    <row r="204" spans="1:11">
      <c r="A204" s="85" t="s">
        <v>79</v>
      </c>
      <c r="B204" s="67" t="s">
        <v>176</v>
      </c>
      <c r="C204" s="396"/>
      <c r="D204" s="1064"/>
      <c r="E204" s="1068"/>
      <c r="F204" s="1296" t="str">
        <f t="shared" si="8"/>
        <v>-</v>
      </c>
      <c r="G204" s="456"/>
      <c r="H204" s="11"/>
      <c r="I204" s="16"/>
      <c r="K204" s="4">
        <f t="shared" si="9"/>
        <v>0</v>
      </c>
    </row>
    <row r="205" spans="1:11">
      <c r="A205" s="78" t="s">
        <v>220</v>
      </c>
      <c r="B205" s="68" t="s">
        <v>177</v>
      </c>
      <c r="C205" s="397"/>
      <c r="D205" s="1065"/>
      <c r="E205" s="1069"/>
      <c r="F205" s="1298" t="str">
        <f t="shared" si="8"/>
        <v>-</v>
      </c>
      <c r="G205" s="455"/>
      <c r="H205" s="22"/>
      <c r="I205" s="23"/>
      <c r="K205" s="4">
        <f t="shared" si="9"/>
        <v>0</v>
      </c>
    </row>
    <row r="206" spans="1:11" ht="12.75" thickBot="1">
      <c r="A206" s="78" t="s">
        <v>935</v>
      </c>
      <c r="B206" s="68" t="s">
        <v>934</v>
      </c>
      <c r="C206" s="397"/>
      <c r="D206" s="1065"/>
      <c r="E206" s="1069"/>
      <c r="F206" s="1298" t="str">
        <f t="shared" si="8"/>
        <v>-</v>
      </c>
      <c r="G206" s="458"/>
      <c r="H206" s="17"/>
      <c r="I206" s="39"/>
      <c r="K206" s="4">
        <f t="shared" si="9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946183</v>
      </c>
      <c r="D207" s="1061">
        <f>+D177+D192</f>
        <v>1048433</v>
      </c>
      <c r="E207" s="1070">
        <f>+E177+E192</f>
        <v>1042115</v>
      </c>
      <c r="F207" s="1294">
        <f t="shared" si="8"/>
        <v>0.99397386385205344</v>
      </c>
      <c r="G207" s="27">
        <f>+G177+G192</f>
        <v>1017582</v>
      </c>
      <c r="H207" s="28">
        <f>+H177+H192</f>
        <v>24533</v>
      </c>
      <c r="I207" s="29">
        <f>+I177+I192</f>
        <v>0</v>
      </c>
      <c r="K207" s="3">
        <f t="shared" si="9"/>
        <v>0</v>
      </c>
    </row>
    <row r="208" spans="1:11" s="3" customFormat="1" ht="12.75" thickBot="1">
      <c r="A208" s="87" t="s">
        <v>39</v>
      </c>
      <c r="B208" s="71" t="s">
        <v>334</v>
      </c>
      <c r="C208" s="392">
        <f>+C176+C207</f>
        <v>4468751</v>
      </c>
      <c r="D208" s="1072">
        <f>+D176+D207</f>
        <v>5667498</v>
      </c>
      <c r="E208" s="1300">
        <f>+E176+E207</f>
        <v>3092677</v>
      </c>
      <c r="F208" s="1301">
        <f t="shared" si="8"/>
        <v>0.54568647399610903</v>
      </c>
      <c r="G208" s="24">
        <f>+G176+G207</f>
        <v>2998677</v>
      </c>
      <c r="H208" s="25">
        <f>+H176+H207</f>
        <v>94000</v>
      </c>
      <c r="I208" s="26">
        <f>+I176+I207</f>
        <v>0</v>
      </c>
      <c r="K208" s="3">
        <f t="shared" si="9"/>
        <v>0</v>
      </c>
    </row>
    <row r="211" spans="1:31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E212" s="1081"/>
      <c r="F212" s="1290"/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-1940066</v>
      </c>
      <c r="D213" s="1061">
        <f>+D214+D215</f>
        <v>-2379195</v>
      </c>
      <c r="E213" s="1070">
        <f>+E214+E215</f>
        <v>-13816</v>
      </c>
      <c r="F213" s="1294">
        <f>IF(ISERROR(E213/D213),"-",E213/D213)</f>
        <v>5.8070061512402304E-3</v>
      </c>
      <c r="G213" s="27">
        <f>+G214+G215</f>
        <v>54862</v>
      </c>
      <c r="H213" s="28">
        <f>+H214+H215</f>
        <v>-68678</v>
      </c>
      <c r="I213" s="29">
        <f>+I214+I215</f>
        <v>0</v>
      </c>
      <c r="K213" s="3">
        <f>+E213-G213-H213-I213</f>
        <v>0</v>
      </c>
    </row>
    <row r="214" spans="1:31">
      <c r="A214" s="84" t="s">
        <v>81</v>
      </c>
      <c r="B214" s="72" t="s">
        <v>318</v>
      </c>
      <c r="C214" s="398">
        <f>+C10-C109</f>
        <v>-1526284</v>
      </c>
      <c r="D214" s="1062">
        <f>+D10-D109</f>
        <v>-1324893</v>
      </c>
      <c r="E214" s="1071">
        <f>+E10-E109</f>
        <v>908568</v>
      </c>
      <c r="F214" s="1295">
        <f>IF(ISERROR(E214/D214),"-",E214/D214)</f>
        <v>-0.68576707703942885</v>
      </c>
      <c r="G214" s="34">
        <f>+G10-G109</f>
        <v>915305</v>
      </c>
      <c r="H214" s="10">
        <f>+H10-H109</f>
        <v>-6737</v>
      </c>
      <c r="I214" s="35">
        <f>+I10-I109</f>
        <v>0</v>
      </c>
      <c r="K214" s="4">
        <f>+E214-G214-H214-I214</f>
        <v>0</v>
      </c>
    </row>
    <row r="215" spans="1:31" ht="12.75" thickBot="1">
      <c r="A215" s="88" t="s">
        <v>82</v>
      </c>
      <c r="B215" s="73" t="s">
        <v>319</v>
      </c>
      <c r="C215" s="391">
        <f>+C50-C149</f>
        <v>-413782</v>
      </c>
      <c r="D215" s="1079">
        <f>+D50-D149</f>
        <v>-1054302</v>
      </c>
      <c r="E215" s="1306">
        <f>+E50-E149</f>
        <v>-922384</v>
      </c>
      <c r="F215" s="1307">
        <f>IF(ISERROR(E215/D215),"-",E215/D215)</f>
        <v>0.87487645854793028</v>
      </c>
      <c r="G215" s="40">
        <f>+G50-G149</f>
        <v>-860443</v>
      </c>
      <c r="H215" s="17">
        <f>+H50-H149</f>
        <v>-61941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E219" s="1081"/>
      <c r="F219" s="1290"/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1940066</v>
      </c>
      <c r="D220" s="28">
        <f>+D221+D228</f>
        <v>2379195</v>
      </c>
      <c r="E220" s="1070">
        <f>+E221+E228</f>
        <v>2385513</v>
      </c>
      <c r="F220" s="1294">
        <f t="shared" ref="F220:F234" si="10">IF(ISERROR(E220/D220),"-",E220/D220)</f>
        <v>1.002655520039341</v>
      </c>
      <c r="G220" s="27">
        <f>+G221+G228</f>
        <v>2410046</v>
      </c>
      <c r="H220" s="28">
        <f>+H221+H228</f>
        <v>-24533</v>
      </c>
      <c r="I220" s="29">
        <f>+I221+I228</f>
        <v>0</v>
      </c>
      <c r="K220" s="3">
        <f t="shared" ref="K220:K234" si="11">+E220-G220-H220-I220</f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1946538</v>
      </c>
      <c r="D221" s="28">
        <f>+D222-D225</f>
        <v>-247981</v>
      </c>
      <c r="E221" s="1070">
        <f>+E222-E225</f>
        <v>-244409</v>
      </c>
      <c r="F221" s="1294">
        <f t="shared" si="10"/>
        <v>0.9855956706360568</v>
      </c>
      <c r="G221" s="27">
        <f>+G222-G225</f>
        <v>-222670</v>
      </c>
      <c r="H221" s="28">
        <f>+H222-H225</f>
        <v>-21739</v>
      </c>
      <c r="I221" s="29">
        <f>+I222-I225</f>
        <v>0</v>
      </c>
      <c r="K221" s="3">
        <f t="shared" si="11"/>
        <v>0</v>
      </c>
    </row>
    <row r="222" spans="1:31">
      <c r="A222" s="84" t="s">
        <v>54</v>
      </c>
      <c r="B222" s="65" t="s">
        <v>322</v>
      </c>
      <c r="C222" s="398">
        <f>+C223+C224</f>
        <v>2876249</v>
      </c>
      <c r="D222" s="10">
        <f>+D223+D224</f>
        <v>774274</v>
      </c>
      <c r="E222" s="1071">
        <f>+E223+E224</f>
        <v>774274</v>
      </c>
      <c r="F222" s="1295">
        <f t="shared" si="10"/>
        <v>1</v>
      </c>
      <c r="G222" s="34">
        <f>+G223+G224</f>
        <v>774274</v>
      </c>
      <c r="H222" s="10">
        <f>+H223+H224</f>
        <v>0</v>
      </c>
      <c r="I222" s="35">
        <f>+I223+I224</f>
        <v>0</v>
      </c>
      <c r="K222" s="4">
        <f t="shared" si="11"/>
        <v>0</v>
      </c>
    </row>
    <row r="223" spans="1:31" s="13" customFormat="1">
      <c r="A223" s="86" t="s">
        <v>189</v>
      </c>
      <c r="B223" s="66" t="s">
        <v>284</v>
      </c>
      <c r="C223" s="394">
        <f>+C76+C80</f>
        <v>2876249</v>
      </c>
      <c r="D223" s="12">
        <f>+D76+D80</f>
        <v>659299</v>
      </c>
      <c r="E223" s="1067">
        <f>+E76+E80</f>
        <v>659299</v>
      </c>
      <c r="F223" s="1296">
        <f t="shared" si="10"/>
        <v>1</v>
      </c>
      <c r="G223" s="19">
        <f>+G76+G80</f>
        <v>659299</v>
      </c>
      <c r="H223" s="12">
        <f>+H76+H80</f>
        <v>0</v>
      </c>
      <c r="I223" s="15">
        <f>+I76+I80</f>
        <v>0</v>
      </c>
      <c r="K223" s="13">
        <f t="shared" si="11"/>
        <v>0</v>
      </c>
    </row>
    <row r="224" spans="1:31" s="13" customFormat="1">
      <c r="A224" s="86" t="s">
        <v>190</v>
      </c>
      <c r="B224" s="66" t="s">
        <v>285</v>
      </c>
      <c r="C224" s="394">
        <f>+C74+C75+C77+C78+C79+C81</f>
        <v>0</v>
      </c>
      <c r="D224" s="12">
        <f>+D74+D75+D77+D78+D79+D81</f>
        <v>114975</v>
      </c>
      <c r="E224" s="1067">
        <f>+E74+E75+E77+E78+E79+E81</f>
        <v>114975</v>
      </c>
      <c r="F224" s="1296">
        <f t="shared" si="10"/>
        <v>1</v>
      </c>
      <c r="G224" s="19">
        <f>+G74+G75+G77+G78+G79+G81</f>
        <v>114975</v>
      </c>
      <c r="H224" s="12">
        <f>+H74+H75+H77+H78+H79+H81</f>
        <v>0</v>
      </c>
      <c r="I224" s="15">
        <f>+I74+I75+I77+I78+I79+I81</f>
        <v>0</v>
      </c>
      <c r="K224" s="13">
        <f t="shared" si="11"/>
        <v>0</v>
      </c>
    </row>
    <row r="225" spans="1:31">
      <c r="A225" s="85" t="s">
        <v>55</v>
      </c>
      <c r="B225" s="67" t="s">
        <v>323</v>
      </c>
      <c r="C225" s="396">
        <f>+C227</f>
        <v>929711</v>
      </c>
      <c r="D225" s="11">
        <f>+D227</f>
        <v>1022255</v>
      </c>
      <c r="E225" s="1068">
        <f>+E227</f>
        <v>1018683</v>
      </c>
      <c r="F225" s="1296">
        <f t="shared" si="10"/>
        <v>0.99650576421734305</v>
      </c>
      <c r="G225" s="20">
        <f>+G227</f>
        <v>996944</v>
      </c>
      <c r="H225" s="11">
        <f>+H227</f>
        <v>21739</v>
      </c>
      <c r="I225" s="16">
        <f>+I227</f>
        <v>0</v>
      </c>
      <c r="K225" s="4">
        <f t="shared" si="11"/>
        <v>0</v>
      </c>
    </row>
    <row r="226" spans="1:31" s="13" customFormat="1">
      <c r="A226" s="86" t="s">
        <v>56</v>
      </c>
      <c r="B226" s="66" t="s">
        <v>286</v>
      </c>
      <c r="C226" s="394">
        <f>+C185</f>
        <v>0</v>
      </c>
      <c r="D226" s="12">
        <f>+D185</f>
        <v>0</v>
      </c>
      <c r="E226" s="1067">
        <f>+E185</f>
        <v>0</v>
      </c>
      <c r="F226" s="1296" t="str">
        <f t="shared" si="10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11"/>
        <v>0</v>
      </c>
    </row>
    <row r="227" spans="1:31" s="13" customFormat="1" ht="12.75" thickBot="1">
      <c r="A227" s="89" t="s">
        <v>57</v>
      </c>
      <c r="B227" s="74" t="s">
        <v>287</v>
      </c>
      <c r="C227" s="395">
        <f>+C180+C181+C182+C183+C184+C186+C187</f>
        <v>929711</v>
      </c>
      <c r="D227" s="43">
        <f>+D180+D181+D182+D183+D184+D186+D187</f>
        <v>1022255</v>
      </c>
      <c r="E227" s="1299">
        <f>+E180+E181+E182+E183+E184+E186+E187</f>
        <v>1018683</v>
      </c>
      <c r="F227" s="1298">
        <f t="shared" si="10"/>
        <v>0.99650576421734305</v>
      </c>
      <c r="G227" s="45">
        <f>+G180+G181+G182+G183+G184+G186+G187</f>
        <v>996944</v>
      </c>
      <c r="H227" s="43">
        <f>+H180+H181+H182+H183+H184+H186+H187</f>
        <v>21739</v>
      </c>
      <c r="I227" s="44">
        <f>+I180+I181+I182+I183+I184+I186+I187</f>
        <v>0</v>
      </c>
      <c r="K227" s="13">
        <f t="shared" si="11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-6472</v>
      </c>
      <c r="D228" s="28">
        <f>+D229-D232</f>
        <v>2627176</v>
      </c>
      <c r="E228" s="1070">
        <f>+E229-E232</f>
        <v>2629922</v>
      </c>
      <c r="F228" s="1294">
        <f t="shared" si="10"/>
        <v>1.0010452287931986</v>
      </c>
      <c r="G228" s="27">
        <f>+G229-G232</f>
        <v>2632716</v>
      </c>
      <c r="H228" s="28">
        <f>+H229-H232</f>
        <v>-2794</v>
      </c>
      <c r="I228" s="29">
        <f>+I229-I232</f>
        <v>0</v>
      </c>
      <c r="K228" s="3">
        <f t="shared" si="11"/>
        <v>0</v>
      </c>
    </row>
    <row r="229" spans="1:31">
      <c r="A229" s="84" t="s">
        <v>58</v>
      </c>
      <c r="B229" s="65" t="s">
        <v>325</v>
      </c>
      <c r="C229" s="398">
        <f>+C230+C231</f>
        <v>10000</v>
      </c>
      <c r="D229" s="10">
        <f>+D230+D231</f>
        <v>2653354</v>
      </c>
      <c r="E229" s="1071">
        <f>+E230+E231</f>
        <v>2653354</v>
      </c>
      <c r="F229" s="1295">
        <f t="shared" si="10"/>
        <v>1</v>
      </c>
      <c r="G229" s="34">
        <f>+G230+G231</f>
        <v>2653354</v>
      </c>
      <c r="H229" s="10">
        <f>+H230+H231</f>
        <v>0</v>
      </c>
      <c r="I229" s="35">
        <f>+I230+I231</f>
        <v>0</v>
      </c>
      <c r="K229" s="4">
        <f t="shared" si="11"/>
        <v>0</v>
      </c>
    </row>
    <row r="230" spans="1:31" s="13" customFormat="1">
      <c r="A230" s="86" t="s">
        <v>292</v>
      </c>
      <c r="B230" s="66" t="s">
        <v>290</v>
      </c>
      <c r="C230" s="394">
        <f>+C91+C95</f>
        <v>0</v>
      </c>
      <c r="D230" s="12">
        <f>+D91+D95</f>
        <v>2644032</v>
      </c>
      <c r="E230" s="1067">
        <f>+E91+E95</f>
        <v>2644032</v>
      </c>
      <c r="F230" s="1296">
        <f t="shared" si="10"/>
        <v>1</v>
      </c>
      <c r="G230" s="19">
        <f>+G91+G95</f>
        <v>2644032</v>
      </c>
      <c r="H230" s="12">
        <f>+H91+H95</f>
        <v>0</v>
      </c>
      <c r="I230" s="15">
        <f>+I91+I95</f>
        <v>0</v>
      </c>
      <c r="K230" s="13">
        <f t="shared" si="11"/>
        <v>0</v>
      </c>
    </row>
    <row r="231" spans="1:31" s="13" customFormat="1">
      <c r="A231" s="86" t="s">
        <v>293</v>
      </c>
      <c r="B231" s="66" t="s">
        <v>291</v>
      </c>
      <c r="C231" s="394">
        <f>+C89+C90+C92+C93+C94+C96</f>
        <v>10000</v>
      </c>
      <c r="D231" s="12">
        <f>+D89+D90+D92+D93+D94+D96</f>
        <v>9322</v>
      </c>
      <c r="E231" s="1067">
        <f>+E89+E90+E92+E93+E94+E96</f>
        <v>9322</v>
      </c>
      <c r="F231" s="1296">
        <f t="shared" si="10"/>
        <v>1</v>
      </c>
      <c r="G231" s="19">
        <f>+G89+G90+G92+G93+G94+G96</f>
        <v>9322</v>
      </c>
      <c r="H231" s="12">
        <f>+H89+H90+H92+H93+H94+H96</f>
        <v>0</v>
      </c>
      <c r="I231" s="15">
        <f>+I89+I90+I92+I93+I94+I96</f>
        <v>0</v>
      </c>
      <c r="K231" s="13">
        <f t="shared" si="11"/>
        <v>0</v>
      </c>
    </row>
    <row r="232" spans="1:31">
      <c r="A232" s="85" t="s">
        <v>59</v>
      </c>
      <c r="B232" s="67" t="s">
        <v>326</v>
      </c>
      <c r="C232" s="396">
        <f>+C233+C234</f>
        <v>16472</v>
      </c>
      <c r="D232" s="11">
        <f>+D233+D234</f>
        <v>26178</v>
      </c>
      <c r="E232" s="1068">
        <f>+E233+E234</f>
        <v>23432</v>
      </c>
      <c r="F232" s="1296">
        <f t="shared" si="10"/>
        <v>0.89510275804110317</v>
      </c>
      <c r="G232" s="20">
        <f>+G233+G234</f>
        <v>20638</v>
      </c>
      <c r="H232" s="11">
        <f>+H233+H234</f>
        <v>2794</v>
      </c>
      <c r="I232" s="16">
        <f>+I233+I234</f>
        <v>0</v>
      </c>
      <c r="K232" s="4">
        <f t="shared" si="11"/>
        <v>0</v>
      </c>
    </row>
    <row r="233" spans="1:31" s="13" customFormat="1">
      <c r="A233" s="86" t="s">
        <v>294</v>
      </c>
      <c r="B233" s="66" t="s">
        <v>288</v>
      </c>
      <c r="C233" s="394">
        <f>+C200</f>
        <v>0</v>
      </c>
      <c r="D233" s="12">
        <f>+D200</f>
        <v>0</v>
      </c>
      <c r="E233" s="1067">
        <f>+E200</f>
        <v>0</v>
      </c>
      <c r="F233" s="1296" t="str">
        <f t="shared" si="10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11"/>
        <v>0</v>
      </c>
    </row>
    <row r="234" spans="1:31" s="13" customFormat="1" ht="12.75" thickBot="1">
      <c r="A234" s="90" t="s">
        <v>295</v>
      </c>
      <c r="B234" s="75" t="s">
        <v>289</v>
      </c>
      <c r="C234" s="390">
        <f>+C195+C196+C197+C198+C199+C201+C202</f>
        <v>16472</v>
      </c>
      <c r="D234" s="41">
        <f>+D195+D196+D197+D198+D199+D201+D202</f>
        <v>26178</v>
      </c>
      <c r="E234" s="1308">
        <f>+E195+E196+E197+E198+E199+E201+E202</f>
        <v>23432</v>
      </c>
      <c r="F234" s="1307">
        <f t="shared" si="10"/>
        <v>0.89510275804110317</v>
      </c>
      <c r="G234" s="46">
        <f>+G195+G196+G197+G198+G199+G201+G202</f>
        <v>20638</v>
      </c>
      <c r="H234" s="41">
        <f>+H195+H196+H197+H198+H199+H201+H202</f>
        <v>2794</v>
      </c>
      <c r="I234" s="42">
        <f>+I195+I196+I197+I198+I199+I201+I202</f>
        <v>0</v>
      </c>
      <c r="K234" s="13">
        <f t="shared" si="11"/>
        <v>0</v>
      </c>
    </row>
    <row r="237" spans="1:31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E238" s="1081"/>
      <c r="F238" s="1290"/>
      <c r="I238" s="37"/>
    </row>
    <row r="239" spans="1:31" s="3" customFormat="1">
      <c r="A239" s="91" t="s">
        <v>4</v>
      </c>
      <c r="B239" s="76" t="s">
        <v>91</v>
      </c>
      <c r="C239" s="1075">
        <v>1</v>
      </c>
      <c r="D239" s="55">
        <v>75</v>
      </c>
      <c r="E239" s="1309">
        <v>52</v>
      </c>
      <c r="F239" s="1304">
        <f>IF(ISERROR(E239/D239),"-",E239/D239)</f>
        <v>0.69333333333333336</v>
      </c>
      <c r="G239" s="54">
        <v>52</v>
      </c>
      <c r="H239" s="55"/>
      <c r="I239" s="56"/>
      <c r="K239" s="3">
        <f>+E239-G239-H239-I239</f>
        <v>0</v>
      </c>
    </row>
    <row r="240" spans="1:31" s="13" customFormat="1">
      <c r="A240" s="89" t="s">
        <v>350</v>
      </c>
      <c r="B240" s="99" t="s">
        <v>351</v>
      </c>
      <c r="C240" s="1076"/>
      <c r="D240" s="101">
        <v>24</v>
      </c>
      <c r="E240" s="1310">
        <v>24</v>
      </c>
      <c r="F240" s="1298">
        <f>IF(ISERROR(E240/D240),"-",E240/D240)</f>
        <v>1</v>
      </c>
      <c r="G240" s="100">
        <v>24</v>
      </c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77">
        <v>148</v>
      </c>
      <c r="D241" s="58">
        <f>105+54</f>
        <v>159</v>
      </c>
      <c r="E241" s="1311">
        <f>44+62</f>
        <v>106</v>
      </c>
      <c r="F241" s="1312">
        <f>IF(ISERROR(E241/D241),"-",E241/D241)</f>
        <v>0.66666666666666663</v>
      </c>
      <c r="G241" s="57">
        <f>62+44</f>
        <v>106</v>
      </c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329</v>
      </c>
      <c r="C242" s="1078">
        <f>+C239+C241</f>
        <v>149</v>
      </c>
      <c r="D242" s="61">
        <f>+D239+D241</f>
        <v>234</v>
      </c>
      <c r="E242" s="1313">
        <f>+E239+E241</f>
        <v>158</v>
      </c>
      <c r="F242" s="1294">
        <f>IF(ISERROR(E242/D242),"-",E242/D242)</f>
        <v>0.67521367521367526</v>
      </c>
      <c r="G242" s="60">
        <f>+G239+G241</f>
        <v>158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74:F85 F65:F69 F59:F63 F52:F57 F45:F49 F33:F43 F13:F24 F195:F206 F180:F191 F166:F175 F151:F158 F147:F148 F133:F145 F124:F131 F117:F122 F111:F115 F160:F164">
    <cfRule type="cellIs" dxfId="12" priority="2" stopIfTrue="1" operator="equal">
      <formula>0</formula>
    </cfRule>
  </conditionalFormatting>
  <conditionalFormatting sqref="F74:F85 F65:F69 F59:F63 F52:F57 F45:F49 F33:F43 F13:F24 F195:F206 F180:F191 F166:F175 F160:F164 F151:F158 F147:F148 F133:F145 F124:F131 F117:F122 F111:F115 F26:F31 F89:F100">
    <cfRule type="cellIs" dxfId="1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18"/>
  <sheetViews>
    <sheetView zoomScaleNormal="100" workbookViewId="0"/>
  </sheetViews>
  <sheetFormatPr defaultRowHeight="16.5" customHeight="1"/>
  <cols>
    <col min="1" max="1" width="4.7109375" style="1592" customWidth="1"/>
    <col min="2" max="2" width="41.7109375" style="1592" customWidth="1"/>
    <col min="3" max="3" width="11.5703125" style="1592" customWidth="1"/>
    <col min="4" max="4" width="11" style="1592" customWidth="1"/>
    <col min="5" max="5" width="25.42578125" style="1592" bestFit="1" customWidth="1"/>
    <col min="6" max="6" width="11.140625" style="1592" customWidth="1"/>
    <col min="7" max="7" width="13.140625" style="1592" customWidth="1"/>
    <col min="8" max="8" width="14.140625" style="1592" customWidth="1"/>
    <col min="9" max="10" width="9.140625" style="1592"/>
    <col min="11" max="12" width="0" style="1592" hidden="1" customWidth="1"/>
    <col min="13" max="16384" width="9.140625" style="1592"/>
  </cols>
  <sheetData>
    <row r="1" spans="1:12" s="577" customFormat="1" ht="16.5" customHeight="1">
      <c r="A1" s="576"/>
      <c r="G1" s="1910" t="s">
        <v>2516</v>
      </c>
      <c r="H1" s="1910"/>
    </row>
    <row r="2" spans="1:12" s="577" customFormat="1" ht="16.5" customHeight="1">
      <c r="A2" s="576"/>
    </row>
    <row r="3" spans="1:12" s="577" customFormat="1" ht="33.75" customHeight="1">
      <c r="A3" s="1928" t="s">
        <v>2517</v>
      </c>
      <c r="B3" s="1928"/>
      <c r="C3" s="1928"/>
      <c r="D3" s="1928"/>
      <c r="E3" s="1928"/>
      <c r="F3" s="1928"/>
      <c r="G3" s="1928"/>
      <c r="H3" s="1928"/>
    </row>
    <row r="4" spans="1:12" s="577" customFormat="1" ht="16.5" customHeight="1">
      <c r="A4" s="1929" t="s">
        <v>2789</v>
      </c>
      <c r="B4" s="1929"/>
      <c r="C4" s="1929"/>
      <c r="D4" s="1929"/>
      <c r="E4" s="1929"/>
      <c r="F4" s="1929"/>
      <c r="G4" s="1929"/>
      <c r="H4" s="1929"/>
    </row>
    <row r="5" spans="1:12" ht="16.5" customHeight="1" thickBot="1">
      <c r="H5" s="1593" t="s">
        <v>457</v>
      </c>
    </row>
    <row r="6" spans="1:12" ht="84.75" customHeight="1" thickBot="1">
      <c r="A6" s="1594" t="s">
        <v>17</v>
      </c>
      <c r="B6" s="1595" t="s">
        <v>2518</v>
      </c>
      <c r="C6" s="1596" t="s">
        <v>2519</v>
      </c>
      <c r="D6" s="1597" t="s">
        <v>2792</v>
      </c>
      <c r="E6" s="1598" t="s">
        <v>2793</v>
      </c>
      <c r="F6" s="1596" t="s">
        <v>2790</v>
      </c>
      <c r="G6" s="1597" t="s">
        <v>2520</v>
      </c>
      <c r="H6" s="1599" t="s">
        <v>2796</v>
      </c>
    </row>
    <row r="7" spans="1:12" ht="16.5" customHeight="1">
      <c r="A7" s="1600" t="s">
        <v>4</v>
      </c>
      <c r="B7" s="1601" t="s">
        <v>2521</v>
      </c>
      <c r="C7" s="1602">
        <v>0</v>
      </c>
      <c r="D7" s="1603"/>
      <c r="E7" s="1604"/>
      <c r="F7" s="1605">
        <f t="shared" ref="F7:F14" si="0">+C7+D7</f>
        <v>0</v>
      </c>
      <c r="G7" s="1606">
        <v>1</v>
      </c>
      <c r="H7" s="1607"/>
    </row>
    <row r="8" spans="1:12" ht="12.75">
      <c r="A8" s="1608" t="s">
        <v>5</v>
      </c>
      <c r="B8" s="1609" t="s">
        <v>2791</v>
      </c>
      <c r="C8" s="1610">
        <v>0</v>
      </c>
      <c r="D8" s="1611">
        <v>3000</v>
      </c>
      <c r="E8" s="1604" t="s">
        <v>2794</v>
      </c>
      <c r="F8" s="1605">
        <f>+C8+D8</f>
        <v>3000</v>
      </c>
      <c r="G8" s="1606">
        <v>1</v>
      </c>
      <c r="H8" s="1612"/>
    </row>
    <row r="9" spans="1:12" ht="12.75">
      <c r="A9" s="1608" t="s">
        <v>6</v>
      </c>
      <c r="B9" s="1609" t="s">
        <v>2522</v>
      </c>
      <c r="C9" s="1610">
        <v>45410</v>
      </c>
      <c r="D9" s="1611">
        <v>2978</v>
      </c>
      <c r="E9" s="1604" t="s">
        <v>2523</v>
      </c>
      <c r="F9" s="1605">
        <f t="shared" si="0"/>
        <v>48388</v>
      </c>
      <c r="G9" s="1606">
        <v>1</v>
      </c>
      <c r="H9" s="1612"/>
    </row>
    <row r="10" spans="1:12" ht="25.5">
      <c r="A10" s="1608" t="s">
        <v>3</v>
      </c>
      <c r="B10" s="1609" t="s">
        <v>2524</v>
      </c>
      <c r="C10" s="1610">
        <v>1304</v>
      </c>
      <c r="D10" s="1611">
        <v>-294</v>
      </c>
      <c r="E10" s="1613" t="s">
        <v>2525</v>
      </c>
      <c r="F10" s="1605">
        <f t="shared" si="0"/>
        <v>1010</v>
      </c>
      <c r="G10" s="1606">
        <v>1</v>
      </c>
      <c r="H10" s="1612"/>
    </row>
    <row r="11" spans="1:12" ht="12.75">
      <c r="A11" s="1608" t="s">
        <v>16</v>
      </c>
      <c r="B11" s="1609" t="s">
        <v>2795</v>
      </c>
      <c r="C11" s="1610">
        <v>0</v>
      </c>
      <c r="D11" s="1611">
        <v>3000</v>
      </c>
      <c r="E11" s="1604" t="s">
        <v>2794</v>
      </c>
      <c r="F11" s="1605">
        <f t="shared" si="0"/>
        <v>3000</v>
      </c>
      <c r="G11" s="1606">
        <v>1</v>
      </c>
      <c r="H11" s="1612"/>
    </row>
    <row r="12" spans="1:12" ht="16.5" customHeight="1">
      <c r="A12" s="1608" t="s">
        <v>15</v>
      </c>
      <c r="B12" s="1609" t="s">
        <v>2526</v>
      </c>
      <c r="C12" s="1610">
        <v>200</v>
      </c>
      <c r="D12" s="1611">
        <v>-200</v>
      </c>
      <c r="E12" s="1613" t="s">
        <v>2525</v>
      </c>
      <c r="F12" s="1605">
        <f t="shared" si="0"/>
        <v>0</v>
      </c>
      <c r="G12" s="1606">
        <f>25%-19.74%</f>
        <v>5.2600000000000008E-2</v>
      </c>
      <c r="H12" s="1612"/>
    </row>
    <row r="13" spans="1:12" ht="12.75">
      <c r="A13" s="1608" t="s">
        <v>14</v>
      </c>
      <c r="B13" s="1609" t="s">
        <v>2527</v>
      </c>
      <c r="C13" s="1610">
        <v>1190</v>
      </c>
      <c r="D13" s="1611"/>
      <c r="E13" s="1604"/>
      <c r="F13" s="1605">
        <f t="shared" si="0"/>
        <v>1190</v>
      </c>
      <c r="G13" s="1606">
        <v>9.7000000000000003E-2</v>
      </c>
      <c r="H13" s="1612"/>
    </row>
    <row r="14" spans="1:12" ht="13.5" thickBot="1">
      <c r="A14" s="1608" t="s">
        <v>13</v>
      </c>
      <c r="B14" s="1609" t="s">
        <v>2528</v>
      </c>
      <c r="C14" s="1610">
        <v>18330</v>
      </c>
      <c r="D14" s="1611"/>
      <c r="E14" s="1604"/>
      <c r="F14" s="1605">
        <f t="shared" si="0"/>
        <v>18330</v>
      </c>
      <c r="G14" s="1606">
        <f>5.46%-0.97%</f>
        <v>4.4900000000000002E-2</v>
      </c>
      <c r="H14" s="1612"/>
    </row>
    <row r="15" spans="1:12" s="603" customFormat="1" ht="16.5" customHeight="1" thickBot="1">
      <c r="A15" s="1930" t="s">
        <v>440</v>
      </c>
      <c r="B15" s="1931"/>
      <c r="C15" s="1614">
        <f>SUM(C7:C14)</f>
        <v>66434</v>
      </c>
      <c r="D15" s="1615">
        <f>SUM(D7:D14)</f>
        <v>8484</v>
      </c>
      <c r="E15" s="1616">
        <f>SUM(E7:E14)</f>
        <v>0</v>
      </c>
      <c r="F15" s="1614">
        <f>SUM(F7:F14)</f>
        <v>74918</v>
      </c>
      <c r="G15" s="1617" t="s">
        <v>19</v>
      </c>
      <c r="H15" s="1618">
        <f>SUM(H7:H14)</f>
        <v>0</v>
      </c>
      <c r="K15" s="603">
        <f>+'21.mell Vagyonkim2020'!G19</f>
        <v>74918</v>
      </c>
      <c r="L15" s="603">
        <f>+K15-F15</f>
        <v>0</v>
      </c>
    </row>
    <row r="17" spans="6:6" ht="16.5" hidden="1" customHeight="1">
      <c r="F17" s="1592">
        <f>+'21.mell Vagyonkim2020'!G19</f>
        <v>74918</v>
      </c>
    </row>
    <row r="18" spans="6:6" ht="16.5" hidden="1" customHeight="1">
      <c r="F18" s="1592">
        <f>+F17-F15</f>
        <v>0</v>
      </c>
    </row>
  </sheetData>
  <mergeCells count="4">
    <mergeCell ref="G1:H1"/>
    <mergeCell ref="A3:H3"/>
    <mergeCell ref="A4:H4"/>
    <mergeCell ref="A15:B1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G38"/>
  <sheetViews>
    <sheetView topLeftCell="A4" zoomScaleNormal="100" workbookViewId="0">
      <pane xSplit="2" ySplit="6" topLeftCell="C10" activePane="bottomRight" state="frozen"/>
      <selection activeCell="T58" sqref="T58"/>
      <selection pane="topRight" activeCell="T58" sqref="T58"/>
      <selection pane="bottomLeft" activeCell="T58" sqref="T58"/>
      <selection pane="bottomRight" activeCell="C10" sqref="C10"/>
    </sheetView>
  </sheetViews>
  <sheetFormatPr defaultRowHeight="21" customHeight="1"/>
  <cols>
    <col min="1" max="1" width="4.7109375" style="1592" customWidth="1"/>
    <col min="2" max="2" width="41.7109375" style="1592" customWidth="1"/>
    <col min="3" max="3" width="11.140625" style="1592" customWidth="1"/>
    <col min="4" max="9" width="10.140625" style="1592" customWidth="1"/>
    <col min="10" max="10" width="11.5703125" style="1592" customWidth="1"/>
    <col min="11" max="11" width="10.85546875" style="1592" customWidth="1"/>
    <col min="12" max="15" width="9.140625" style="1592" hidden="1" customWidth="1"/>
    <col min="16" max="16" width="11.85546875" style="1592" hidden="1" customWidth="1"/>
    <col min="17" max="17" width="10.85546875" style="1592" hidden="1" customWidth="1"/>
    <col min="18" max="18" width="9.5703125" style="1592" hidden="1" customWidth="1"/>
    <col min="19" max="20" width="9.140625" style="1592" hidden="1" customWidth="1"/>
    <col min="21" max="21" width="11.28515625" style="1592" hidden="1" customWidth="1"/>
    <col min="22" max="22" width="12.85546875" style="1592" hidden="1" customWidth="1"/>
    <col min="23" max="23" width="11.5703125" style="1592" hidden="1" customWidth="1"/>
    <col min="24" max="24" width="14.42578125" style="1592" hidden="1" customWidth="1"/>
    <col min="25" max="25" width="9.140625" style="1592" hidden="1" customWidth="1"/>
    <col min="26" max="36" width="10.140625" style="1592" hidden="1" customWidth="1"/>
    <col min="37" max="39" width="9.140625" style="1592" hidden="1" customWidth="1"/>
    <col min="40" max="40" width="11.42578125" style="1592" hidden="1" customWidth="1"/>
    <col min="41" max="46" width="9.140625" style="1592" hidden="1" customWidth="1"/>
    <col min="47" max="47" width="15" style="1592" hidden="1" customWidth="1"/>
    <col min="48" max="85" width="9.140625" style="1592" hidden="1" customWidth="1"/>
    <col min="86" max="87" width="0" style="1592" hidden="1" customWidth="1"/>
    <col min="88" max="16384" width="9.140625" style="1592"/>
  </cols>
  <sheetData>
    <row r="1" spans="1:84" s="577" customFormat="1" ht="21" customHeight="1">
      <c r="A1" s="576"/>
      <c r="J1" s="1910" t="s">
        <v>2529</v>
      </c>
      <c r="K1" s="1910"/>
    </row>
    <row r="2" spans="1:84" s="577" customFormat="1" ht="21" customHeight="1">
      <c r="A2" s="576"/>
    </row>
    <row r="3" spans="1:84" s="577" customFormat="1" ht="21" customHeight="1">
      <c r="A3" s="1934" t="s">
        <v>2530</v>
      </c>
      <c r="B3" s="1934"/>
      <c r="C3" s="1934"/>
      <c r="D3" s="1934"/>
      <c r="E3" s="1934"/>
      <c r="F3" s="1934"/>
      <c r="G3" s="1934"/>
      <c r="H3" s="1934"/>
      <c r="I3" s="1934"/>
      <c r="J3" s="1934"/>
      <c r="K3" s="1934"/>
    </row>
    <row r="4" spans="1:84" s="577" customFormat="1" ht="21" customHeight="1">
      <c r="A4" s="1929" t="s">
        <v>2800</v>
      </c>
      <c r="B4" s="1929"/>
      <c r="C4" s="1929"/>
      <c r="D4" s="1929"/>
      <c r="E4" s="1929"/>
      <c r="F4" s="1929"/>
      <c r="G4" s="1929"/>
      <c r="H4" s="1929"/>
      <c r="I4" s="1929"/>
      <c r="J4" s="1929"/>
      <c r="K4" s="1929"/>
    </row>
    <row r="5" spans="1:84" ht="21" customHeight="1" thickBot="1">
      <c r="K5" s="1593" t="s">
        <v>457</v>
      </c>
      <c r="N5" s="1592" t="s">
        <v>2531</v>
      </c>
      <c r="Z5" s="1592" t="s">
        <v>2532</v>
      </c>
      <c r="AL5" s="1592" t="s">
        <v>2533</v>
      </c>
      <c r="AX5" s="1592" t="s">
        <v>819</v>
      </c>
      <c r="BJ5" s="1592" t="s">
        <v>2534</v>
      </c>
      <c r="BV5" s="1592" t="s">
        <v>2535</v>
      </c>
    </row>
    <row r="6" spans="1:84" ht="21" customHeight="1">
      <c r="A6" s="1932" t="s">
        <v>17</v>
      </c>
      <c r="B6" s="1935" t="s">
        <v>2536</v>
      </c>
      <c r="C6" s="1935" t="s">
        <v>2537</v>
      </c>
      <c r="D6" s="1937" t="s">
        <v>2538</v>
      </c>
      <c r="E6" s="1937"/>
      <c r="F6" s="1937"/>
      <c r="G6" s="1937"/>
      <c r="H6" s="1937"/>
      <c r="I6" s="1937"/>
      <c r="J6" s="1937"/>
      <c r="K6" s="1938" t="s">
        <v>2539</v>
      </c>
      <c r="N6" s="1932" t="s">
        <v>17</v>
      </c>
      <c r="O6" s="1935" t="s">
        <v>2536</v>
      </c>
      <c r="P6" s="1935" t="s">
        <v>2537</v>
      </c>
      <c r="Q6" s="1937" t="s">
        <v>2538</v>
      </c>
      <c r="R6" s="1937"/>
      <c r="S6" s="1937"/>
      <c r="T6" s="1937"/>
      <c r="U6" s="1937"/>
      <c r="V6" s="1937"/>
      <c r="W6" s="1937"/>
      <c r="X6" s="1938" t="s">
        <v>2539</v>
      </c>
      <c r="Z6" s="1932" t="s">
        <v>17</v>
      </c>
      <c r="AA6" s="1935" t="s">
        <v>2536</v>
      </c>
      <c r="AB6" s="1935" t="s">
        <v>2537</v>
      </c>
      <c r="AC6" s="1937" t="s">
        <v>2538</v>
      </c>
      <c r="AD6" s="1937"/>
      <c r="AE6" s="1937"/>
      <c r="AF6" s="1937"/>
      <c r="AG6" s="1937"/>
      <c r="AH6" s="1937"/>
      <c r="AI6" s="1937"/>
      <c r="AJ6" s="1938" t="s">
        <v>2539</v>
      </c>
      <c r="AL6" s="1932" t="s">
        <v>17</v>
      </c>
      <c r="AM6" s="1935" t="s">
        <v>2536</v>
      </c>
      <c r="AN6" s="1935" t="s">
        <v>2537</v>
      </c>
      <c r="AO6" s="1937" t="s">
        <v>2538</v>
      </c>
      <c r="AP6" s="1937"/>
      <c r="AQ6" s="1937"/>
      <c r="AR6" s="1937"/>
      <c r="AS6" s="1937"/>
      <c r="AT6" s="1937"/>
      <c r="AU6" s="1937"/>
      <c r="AV6" s="1938" t="s">
        <v>2539</v>
      </c>
      <c r="AX6" s="1932" t="s">
        <v>17</v>
      </c>
      <c r="AY6" s="1935" t="s">
        <v>2536</v>
      </c>
      <c r="AZ6" s="1935" t="s">
        <v>2537</v>
      </c>
      <c r="BA6" s="1937" t="s">
        <v>2538</v>
      </c>
      <c r="BB6" s="1937"/>
      <c r="BC6" s="1937"/>
      <c r="BD6" s="1937"/>
      <c r="BE6" s="1937"/>
      <c r="BF6" s="1937"/>
      <c r="BG6" s="1937"/>
      <c r="BH6" s="1938" t="s">
        <v>2539</v>
      </c>
      <c r="BJ6" s="1932" t="s">
        <v>17</v>
      </c>
      <c r="BK6" s="1935" t="s">
        <v>2536</v>
      </c>
      <c r="BL6" s="1935" t="s">
        <v>2537</v>
      </c>
      <c r="BM6" s="1937" t="s">
        <v>2538</v>
      </c>
      <c r="BN6" s="1937"/>
      <c r="BO6" s="1937"/>
      <c r="BP6" s="1937"/>
      <c r="BQ6" s="1937"/>
      <c r="BR6" s="1937"/>
      <c r="BS6" s="1937"/>
      <c r="BT6" s="1938" t="s">
        <v>2539</v>
      </c>
      <c r="BV6" s="1932" t="s">
        <v>17</v>
      </c>
      <c r="BW6" s="1935" t="s">
        <v>2536</v>
      </c>
      <c r="BX6" s="1935" t="s">
        <v>2537</v>
      </c>
      <c r="BY6" s="1937" t="s">
        <v>2538</v>
      </c>
      <c r="BZ6" s="1937"/>
      <c r="CA6" s="1937"/>
      <c r="CB6" s="1937"/>
      <c r="CC6" s="1937"/>
      <c r="CD6" s="1937"/>
      <c r="CE6" s="1937"/>
      <c r="CF6" s="1938" t="s">
        <v>2539</v>
      </c>
    </row>
    <row r="7" spans="1:84" s="587" customFormat="1" ht="41.25" customHeight="1" thickBot="1">
      <c r="A7" s="1933"/>
      <c r="B7" s="1936"/>
      <c r="C7" s="1936"/>
      <c r="D7" s="1758" t="s">
        <v>2540</v>
      </c>
      <c r="E7" s="1758" t="s">
        <v>2541</v>
      </c>
      <c r="F7" s="1758" t="s">
        <v>2542</v>
      </c>
      <c r="G7" s="1758" t="s">
        <v>2543</v>
      </c>
      <c r="H7" s="1758" t="s">
        <v>2544</v>
      </c>
      <c r="I7" s="1758" t="s">
        <v>2545</v>
      </c>
      <c r="J7" s="1758" t="s">
        <v>2546</v>
      </c>
      <c r="K7" s="1939"/>
      <c r="N7" s="1933"/>
      <c r="O7" s="1936"/>
      <c r="P7" s="1936"/>
      <c r="Q7" s="1758" t="s">
        <v>2540</v>
      </c>
      <c r="R7" s="1758" t="s">
        <v>2541</v>
      </c>
      <c r="S7" s="1758" t="s">
        <v>2542</v>
      </c>
      <c r="T7" s="1758" t="s">
        <v>2543</v>
      </c>
      <c r="U7" s="1758" t="s">
        <v>2544</v>
      </c>
      <c r="V7" s="1758" t="s">
        <v>2545</v>
      </c>
      <c r="W7" s="1758" t="s">
        <v>2546</v>
      </c>
      <c r="X7" s="1939"/>
      <c r="Z7" s="1933"/>
      <c r="AA7" s="1936"/>
      <c r="AB7" s="1936"/>
      <c r="AC7" s="1758" t="s">
        <v>2540</v>
      </c>
      <c r="AD7" s="1758" t="s">
        <v>2541</v>
      </c>
      <c r="AE7" s="1758" t="s">
        <v>2542</v>
      </c>
      <c r="AF7" s="1758" t="s">
        <v>2543</v>
      </c>
      <c r="AG7" s="1758" t="s">
        <v>2544</v>
      </c>
      <c r="AH7" s="1758" t="s">
        <v>2545</v>
      </c>
      <c r="AI7" s="1758" t="s">
        <v>2546</v>
      </c>
      <c r="AJ7" s="1939"/>
      <c r="AL7" s="1933"/>
      <c r="AM7" s="1936"/>
      <c r="AN7" s="1936"/>
      <c r="AO7" s="1758" t="s">
        <v>2540</v>
      </c>
      <c r="AP7" s="1758" t="s">
        <v>2541</v>
      </c>
      <c r="AQ7" s="1758" t="s">
        <v>2542</v>
      </c>
      <c r="AR7" s="1758" t="s">
        <v>2543</v>
      </c>
      <c r="AS7" s="1758" t="s">
        <v>2544</v>
      </c>
      <c r="AT7" s="1758" t="s">
        <v>2545</v>
      </c>
      <c r="AU7" s="1758" t="s">
        <v>2546</v>
      </c>
      <c r="AV7" s="1939"/>
      <c r="AX7" s="1933"/>
      <c r="AY7" s="1936"/>
      <c r="AZ7" s="1936"/>
      <c r="BA7" s="1758" t="s">
        <v>2540</v>
      </c>
      <c r="BB7" s="1758" t="s">
        <v>2541</v>
      </c>
      <c r="BC7" s="1758" t="s">
        <v>2542</v>
      </c>
      <c r="BD7" s="1758" t="s">
        <v>2543</v>
      </c>
      <c r="BE7" s="1758" t="s">
        <v>2544</v>
      </c>
      <c r="BF7" s="1758" t="s">
        <v>2545</v>
      </c>
      <c r="BG7" s="1758" t="s">
        <v>2546</v>
      </c>
      <c r="BH7" s="1939"/>
      <c r="BJ7" s="1933"/>
      <c r="BK7" s="1936"/>
      <c r="BL7" s="1936"/>
      <c r="BM7" s="1758" t="s">
        <v>2540</v>
      </c>
      <c r="BN7" s="1758" t="s">
        <v>2541</v>
      </c>
      <c r="BO7" s="1758" t="s">
        <v>2542</v>
      </c>
      <c r="BP7" s="1758" t="s">
        <v>2543</v>
      </c>
      <c r="BQ7" s="1758" t="s">
        <v>2544</v>
      </c>
      <c r="BR7" s="1758" t="s">
        <v>2545</v>
      </c>
      <c r="BS7" s="1758" t="s">
        <v>2546</v>
      </c>
      <c r="BT7" s="1939"/>
      <c r="BV7" s="1933"/>
      <c r="BW7" s="1936"/>
      <c r="BX7" s="1936"/>
      <c r="BY7" s="1758" t="s">
        <v>2540</v>
      </c>
      <c r="BZ7" s="1758" t="s">
        <v>2541</v>
      </c>
      <c r="CA7" s="1758" t="s">
        <v>2542</v>
      </c>
      <c r="CB7" s="1758" t="s">
        <v>2543</v>
      </c>
      <c r="CC7" s="1758" t="s">
        <v>2544</v>
      </c>
      <c r="CD7" s="1758" t="s">
        <v>2545</v>
      </c>
      <c r="CE7" s="1758" t="s">
        <v>2546</v>
      </c>
      <c r="CF7" s="1939"/>
    </row>
    <row r="8" spans="1:84" s="587" customFormat="1" ht="26.25" thickBot="1">
      <c r="A8" s="1594">
        <v>1</v>
      </c>
      <c r="B8" s="1619">
        <v>2</v>
      </c>
      <c r="C8" s="1619">
        <v>3</v>
      </c>
      <c r="D8" s="1619">
        <v>4</v>
      </c>
      <c r="E8" s="1619">
        <v>5</v>
      </c>
      <c r="F8" s="1619">
        <v>6</v>
      </c>
      <c r="G8" s="1619">
        <v>7</v>
      </c>
      <c r="H8" s="1619">
        <v>8</v>
      </c>
      <c r="I8" s="1619">
        <v>9</v>
      </c>
      <c r="J8" s="1619" t="s">
        <v>2547</v>
      </c>
      <c r="K8" s="1620" t="s">
        <v>2548</v>
      </c>
      <c r="N8" s="1594">
        <v>1</v>
      </c>
      <c r="O8" s="1619">
        <v>2</v>
      </c>
      <c r="P8" s="1619">
        <v>3</v>
      </c>
      <c r="Q8" s="1619">
        <v>4</v>
      </c>
      <c r="R8" s="1619">
        <v>5</v>
      </c>
      <c r="S8" s="1619">
        <v>6</v>
      </c>
      <c r="T8" s="1619">
        <v>7</v>
      </c>
      <c r="U8" s="1619">
        <v>8</v>
      </c>
      <c r="V8" s="1619">
        <v>9</v>
      </c>
      <c r="W8" s="1619" t="s">
        <v>2547</v>
      </c>
      <c r="X8" s="1620" t="s">
        <v>2548</v>
      </c>
      <c r="Z8" s="1594">
        <v>1</v>
      </c>
      <c r="AA8" s="1619">
        <v>2</v>
      </c>
      <c r="AB8" s="1619">
        <v>3</v>
      </c>
      <c r="AC8" s="1619">
        <v>4</v>
      </c>
      <c r="AD8" s="1619">
        <v>5</v>
      </c>
      <c r="AE8" s="1619">
        <v>6</v>
      </c>
      <c r="AF8" s="1619">
        <v>7</v>
      </c>
      <c r="AG8" s="1619">
        <v>8</v>
      </c>
      <c r="AH8" s="1619">
        <v>9</v>
      </c>
      <c r="AI8" s="1619" t="s">
        <v>2547</v>
      </c>
      <c r="AJ8" s="1620" t="s">
        <v>2548</v>
      </c>
      <c r="AL8" s="1594">
        <v>1</v>
      </c>
      <c r="AM8" s="1619">
        <v>2</v>
      </c>
      <c r="AN8" s="1619">
        <v>3</v>
      </c>
      <c r="AO8" s="1619">
        <v>4</v>
      </c>
      <c r="AP8" s="1619">
        <v>5</v>
      </c>
      <c r="AQ8" s="1619">
        <v>6</v>
      </c>
      <c r="AR8" s="1619">
        <v>7</v>
      </c>
      <c r="AS8" s="1619">
        <v>8</v>
      </c>
      <c r="AT8" s="1619">
        <v>9</v>
      </c>
      <c r="AU8" s="1619" t="s">
        <v>2547</v>
      </c>
      <c r="AV8" s="1620" t="s">
        <v>2548</v>
      </c>
      <c r="AX8" s="1594">
        <v>1</v>
      </c>
      <c r="AY8" s="1619">
        <v>2</v>
      </c>
      <c r="AZ8" s="1619">
        <v>3</v>
      </c>
      <c r="BA8" s="1619">
        <v>4</v>
      </c>
      <c r="BB8" s="1619">
        <v>5</v>
      </c>
      <c r="BC8" s="1619">
        <v>6</v>
      </c>
      <c r="BD8" s="1619">
        <v>7</v>
      </c>
      <c r="BE8" s="1619">
        <v>8</v>
      </c>
      <c r="BF8" s="1619">
        <v>9</v>
      </c>
      <c r="BG8" s="1619" t="s">
        <v>2547</v>
      </c>
      <c r="BH8" s="1620" t="s">
        <v>2548</v>
      </c>
      <c r="BJ8" s="1594">
        <v>1</v>
      </c>
      <c r="BK8" s="1619">
        <v>2</v>
      </c>
      <c r="BL8" s="1619">
        <v>3</v>
      </c>
      <c r="BM8" s="1619">
        <v>4</v>
      </c>
      <c r="BN8" s="1619">
        <v>5</v>
      </c>
      <c r="BO8" s="1619">
        <v>6</v>
      </c>
      <c r="BP8" s="1619">
        <v>7</v>
      </c>
      <c r="BQ8" s="1619">
        <v>8</v>
      </c>
      <c r="BR8" s="1619">
        <v>9</v>
      </c>
      <c r="BS8" s="1619" t="s">
        <v>2547</v>
      </c>
      <c r="BT8" s="1620" t="s">
        <v>2548</v>
      </c>
      <c r="BV8" s="1594">
        <v>1</v>
      </c>
      <c r="BW8" s="1619">
        <v>2</v>
      </c>
      <c r="BX8" s="1619">
        <v>3</v>
      </c>
      <c r="BY8" s="1619">
        <v>4</v>
      </c>
      <c r="BZ8" s="1619">
        <v>5</v>
      </c>
      <c r="CA8" s="1619">
        <v>6</v>
      </c>
      <c r="CB8" s="1619">
        <v>7</v>
      </c>
      <c r="CC8" s="1619">
        <v>8</v>
      </c>
      <c r="CD8" s="1619">
        <v>9</v>
      </c>
      <c r="CE8" s="1619" t="s">
        <v>2547</v>
      </c>
      <c r="CF8" s="1620" t="s">
        <v>2548</v>
      </c>
    </row>
    <row r="9" spans="1:84" s="587" customFormat="1" ht="21" customHeight="1">
      <c r="A9" s="1940" t="s">
        <v>2549</v>
      </c>
      <c r="B9" s="1941"/>
      <c r="C9" s="1941"/>
      <c r="D9" s="1941"/>
      <c r="E9" s="1941"/>
      <c r="F9" s="1941"/>
      <c r="G9" s="1941"/>
      <c r="H9" s="1941"/>
      <c r="I9" s="1941"/>
      <c r="J9" s="1941"/>
      <c r="K9" s="1942"/>
      <c r="N9" s="1940" t="s">
        <v>2549</v>
      </c>
      <c r="O9" s="1941"/>
      <c r="P9" s="1941"/>
      <c r="Q9" s="1941"/>
      <c r="R9" s="1941"/>
      <c r="S9" s="1941"/>
      <c r="T9" s="1941"/>
      <c r="U9" s="1941"/>
      <c r="V9" s="1941"/>
      <c r="W9" s="1941"/>
      <c r="X9" s="1942"/>
      <c r="Z9" s="1940" t="s">
        <v>2549</v>
      </c>
      <c r="AA9" s="1941"/>
      <c r="AB9" s="1941"/>
      <c r="AC9" s="1941"/>
      <c r="AD9" s="1941"/>
      <c r="AE9" s="1941"/>
      <c r="AF9" s="1941"/>
      <c r="AG9" s="1941"/>
      <c r="AH9" s="1941"/>
      <c r="AI9" s="1941"/>
      <c r="AJ9" s="1942"/>
      <c r="AL9" s="1940" t="s">
        <v>2549</v>
      </c>
      <c r="AM9" s="1941"/>
      <c r="AN9" s="1941"/>
      <c r="AO9" s="1941"/>
      <c r="AP9" s="1941"/>
      <c r="AQ9" s="1941"/>
      <c r="AR9" s="1941"/>
      <c r="AS9" s="1941"/>
      <c r="AT9" s="1941"/>
      <c r="AU9" s="1941"/>
      <c r="AV9" s="1942"/>
      <c r="AX9" s="1940" t="s">
        <v>2549</v>
      </c>
      <c r="AY9" s="1941"/>
      <c r="AZ9" s="1941"/>
      <c r="BA9" s="1941"/>
      <c r="BB9" s="1941"/>
      <c r="BC9" s="1941"/>
      <c r="BD9" s="1941"/>
      <c r="BE9" s="1941"/>
      <c r="BF9" s="1941"/>
      <c r="BG9" s="1941"/>
      <c r="BH9" s="1942"/>
      <c r="BJ9" s="1940" t="s">
        <v>2549</v>
      </c>
      <c r="BK9" s="1941"/>
      <c r="BL9" s="1941"/>
      <c r="BM9" s="1941"/>
      <c r="BN9" s="1941"/>
      <c r="BO9" s="1941"/>
      <c r="BP9" s="1941"/>
      <c r="BQ9" s="1941"/>
      <c r="BR9" s="1941"/>
      <c r="BS9" s="1941"/>
      <c r="BT9" s="1942"/>
      <c r="BV9" s="1940" t="s">
        <v>2549</v>
      </c>
      <c r="BW9" s="1941"/>
      <c r="BX9" s="1941"/>
      <c r="BY9" s="1941"/>
      <c r="BZ9" s="1941"/>
      <c r="CA9" s="1941"/>
      <c r="CB9" s="1941"/>
      <c r="CC9" s="1941"/>
      <c r="CD9" s="1941"/>
      <c r="CE9" s="1941"/>
      <c r="CF9" s="1942"/>
    </row>
    <row r="10" spans="1:84" ht="21" customHeight="1">
      <c r="A10" s="1600" t="s">
        <v>4</v>
      </c>
      <c r="B10" s="1621" t="s">
        <v>2550</v>
      </c>
      <c r="C10" s="1622">
        <f t="shared" ref="C10:J16" si="0">+ROUND(P10/1000,0)+ROUND(AB10/1000,0)+ROUND(AN10/1000,0)+ROUND(AZ10/1000,0)+ROUND(BL10/1000,0)+ROUND(BX10/1000,0)</f>
        <v>0</v>
      </c>
      <c r="D10" s="1623">
        <f t="shared" si="0"/>
        <v>0</v>
      </c>
      <c r="E10" s="1623">
        <f t="shared" si="0"/>
        <v>0</v>
      </c>
      <c r="F10" s="1623">
        <f t="shared" si="0"/>
        <v>0</v>
      </c>
      <c r="G10" s="1623">
        <f t="shared" si="0"/>
        <v>0</v>
      </c>
      <c r="H10" s="1623">
        <f t="shared" si="0"/>
        <v>0</v>
      </c>
      <c r="I10" s="1623">
        <f t="shared" si="0"/>
        <v>0</v>
      </c>
      <c r="J10" s="1622">
        <f t="shared" si="0"/>
        <v>0</v>
      </c>
      <c r="K10" s="1624">
        <f>+C10+J10</f>
        <v>0</v>
      </c>
      <c r="N10" s="1600" t="s">
        <v>4</v>
      </c>
      <c r="O10" s="1621" t="s">
        <v>2550</v>
      </c>
      <c r="P10" s="1622"/>
      <c r="Q10" s="1623"/>
      <c r="R10" s="1623"/>
      <c r="S10" s="1623"/>
      <c r="T10" s="1623"/>
      <c r="U10" s="1623"/>
      <c r="V10" s="1623"/>
      <c r="W10" s="1622">
        <f t="shared" ref="W10:W16" si="1">SUM(Q10:V10)</f>
        <v>0</v>
      </c>
      <c r="X10" s="1624">
        <f>+P10+W10</f>
        <v>0</v>
      </c>
      <c r="Z10" s="1600" t="s">
        <v>4</v>
      </c>
      <c r="AA10" s="1621" t="s">
        <v>2550</v>
      </c>
      <c r="AB10" s="1622"/>
      <c r="AC10" s="1623"/>
      <c r="AD10" s="1623"/>
      <c r="AE10" s="1623"/>
      <c r="AF10" s="1623"/>
      <c r="AG10" s="1623"/>
      <c r="AH10" s="1623"/>
      <c r="AI10" s="1622">
        <f t="shared" ref="AI10:AI16" si="2">SUM(AC10:AH10)</f>
        <v>0</v>
      </c>
      <c r="AJ10" s="1624">
        <f>+AB10+AI10</f>
        <v>0</v>
      </c>
      <c r="AL10" s="1600" t="s">
        <v>4</v>
      </c>
      <c r="AM10" s="1621" t="s">
        <v>2550</v>
      </c>
      <c r="AN10" s="1622"/>
      <c r="AO10" s="1623"/>
      <c r="AP10" s="1623"/>
      <c r="AQ10" s="1623"/>
      <c r="AR10" s="1623"/>
      <c r="AS10" s="1623"/>
      <c r="AT10" s="1623"/>
      <c r="AU10" s="1622">
        <f t="shared" ref="AU10:AU16" si="3">SUM(AO10:AT10)</f>
        <v>0</v>
      </c>
      <c r="AV10" s="1624">
        <f>+AN10+AU10</f>
        <v>0</v>
      </c>
      <c r="AX10" s="1600" t="s">
        <v>4</v>
      </c>
      <c r="AY10" s="1621" t="s">
        <v>2550</v>
      </c>
      <c r="AZ10" s="1622"/>
      <c r="BA10" s="1623"/>
      <c r="BB10" s="1623"/>
      <c r="BC10" s="1623"/>
      <c r="BD10" s="1623"/>
      <c r="BE10" s="1623"/>
      <c r="BF10" s="1623"/>
      <c r="BG10" s="1622">
        <f t="shared" ref="BG10:BG16" si="4">SUM(BA10:BF10)</f>
        <v>0</v>
      </c>
      <c r="BH10" s="1624">
        <f>+AZ10+BG10</f>
        <v>0</v>
      </c>
      <c r="BJ10" s="1600" t="s">
        <v>4</v>
      </c>
      <c r="BK10" s="1621" t="s">
        <v>2550</v>
      </c>
      <c r="BL10" s="1622"/>
      <c r="BM10" s="1623"/>
      <c r="BN10" s="1623"/>
      <c r="BO10" s="1623"/>
      <c r="BP10" s="1623"/>
      <c r="BQ10" s="1623"/>
      <c r="BR10" s="1623"/>
      <c r="BS10" s="1622">
        <f t="shared" ref="BS10:BS16" si="5">SUM(BM10:BR10)</f>
        <v>0</v>
      </c>
      <c r="BT10" s="1624">
        <f>+BL10+BS10</f>
        <v>0</v>
      </c>
      <c r="BV10" s="1600" t="s">
        <v>4</v>
      </c>
      <c r="BW10" s="1621" t="s">
        <v>2550</v>
      </c>
      <c r="BX10" s="1622"/>
      <c r="BY10" s="1623"/>
      <c r="BZ10" s="1623"/>
      <c r="CA10" s="1623"/>
      <c r="CB10" s="1623"/>
      <c r="CC10" s="1623"/>
      <c r="CD10" s="1623"/>
      <c r="CE10" s="1622">
        <f t="shared" ref="CE10:CE16" si="6">SUM(BY10:CD10)</f>
        <v>0</v>
      </c>
      <c r="CF10" s="1624">
        <f>+BX10+CE10</f>
        <v>0</v>
      </c>
    </row>
    <row r="11" spans="1:84" ht="21" customHeight="1">
      <c r="A11" s="1608" t="s">
        <v>5</v>
      </c>
      <c r="B11" s="1625" t="s">
        <v>795</v>
      </c>
      <c r="C11" s="1626">
        <f t="shared" si="0"/>
        <v>0</v>
      </c>
      <c r="D11" s="1627">
        <f t="shared" si="0"/>
        <v>0</v>
      </c>
      <c r="E11" s="1627">
        <f t="shared" si="0"/>
        <v>0</v>
      </c>
      <c r="F11" s="1627">
        <f t="shared" si="0"/>
        <v>0</v>
      </c>
      <c r="G11" s="1627">
        <f t="shared" si="0"/>
        <v>0</v>
      </c>
      <c r="H11" s="1627">
        <f t="shared" si="0"/>
        <v>0</v>
      </c>
      <c r="I11" s="1627">
        <f t="shared" si="0"/>
        <v>0</v>
      </c>
      <c r="J11" s="1622">
        <f t="shared" si="0"/>
        <v>0</v>
      </c>
      <c r="K11" s="1628">
        <f t="shared" ref="K11:K16" si="7">+C11+J11</f>
        <v>0</v>
      </c>
      <c r="N11" s="1608" t="s">
        <v>5</v>
      </c>
      <c r="O11" s="1625" t="s">
        <v>795</v>
      </c>
      <c r="P11" s="1626"/>
      <c r="Q11" s="1627"/>
      <c r="R11" s="1627"/>
      <c r="S11" s="1627"/>
      <c r="T11" s="1627"/>
      <c r="U11" s="1627"/>
      <c r="V11" s="1627"/>
      <c r="W11" s="1622">
        <f t="shared" si="1"/>
        <v>0</v>
      </c>
      <c r="X11" s="1628">
        <f t="shared" ref="X11:X16" si="8">+P11+W11</f>
        <v>0</v>
      </c>
      <c r="Z11" s="1608" t="s">
        <v>5</v>
      </c>
      <c r="AA11" s="1625" t="s">
        <v>795</v>
      </c>
      <c r="AB11" s="1626"/>
      <c r="AC11" s="1627"/>
      <c r="AD11" s="1627"/>
      <c r="AE11" s="1627"/>
      <c r="AF11" s="1627"/>
      <c r="AG11" s="1627"/>
      <c r="AH11" s="1627"/>
      <c r="AI11" s="1622">
        <f t="shared" si="2"/>
        <v>0</v>
      </c>
      <c r="AJ11" s="1628">
        <f t="shared" ref="AJ11:AJ16" si="9">+AB11+AI11</f>
        <v>0</v>
      </c>
      <c r="AL11" s="1608" t="s">
        <v>5</v>
      </c>
      <c r="AM11" s="1625" t="s">
        <v>795</v>
      </c>
      <c r="AN11" s="1626"/>
      <c r="AO11" s="1627"/>
      <c r="AP11" s="1627"/>
      <c r="AQ11" s="1627"/>
      <c r="AR11" s="1627"/>
      <c r="AS11" s="1627"/>
      <c r="AT11" s="1627"/>
      <c r="AU11" s="1622">
        <f t="shared" si="3"/>
        <v>0</v>
      </c>
      <c r="AV11" s="1628">
        <f t="shared" ref="AV11:AV16" si="10">+AN11+AU11</f>
        <v>0</v>
      </c>
      <c r="AX11" s="1608" t="s">
        <v>5</v>
      </c>
      <c r="AY11" s="1625" t="s">
        <v>795</v>
      </c>
      <c r="AZ11" s="1626"/>
      <c r="BA11" s="1627"/>
      <c r="BB11" s="1627"/>
      <c r="BC11" s="1627"/>
      <c r="BD11" s="1627"/>
      <c r="BE11" s="1627"/>
      <c r="BF11" s="1627"/>
      <c r="BG11" s="1622">
        <f t="shared" si="4"/>
        <v>0</v>
      </c>
      <c r="BH11" s="1628">
        <f t="shared" ref="BH11:BH16" si="11">+AZ11+BG11</f>
        <v>0</v>
      </c>
      <c r="BJ11" s="1608" t="s">
        <v>5</v>
      </c>
      <c r="BK11" s="1625" t="s">
        <v>795</v>
      </c>
      <c r="BL11" s="1626"/>
      <c r="BM11" s="1627"/>
      <c r="BN11" s="1627"/>
      <c r="BO11" s="1627"/>
      <c r="BP11" s="1627"/>
      <c r="BQ11" s="1627"/>
      <c r="BR11" s="1627"/>
      <c r="BS11" s="1622">
        <f t="shared" si="5"/>
        <v>0</v>
      </c>
      <c r="BT11" s="1628">
        <f t="shared" ref="BT11:BT16" si="12">+BL11+BS11</f>
        <v>0</v>
      </c>
      <c r="BV11" s="1608" t="s">
        <v>5</v>
      </c>
      <c r="BW11" s="1625" t="s">
        <v>795</v>
      </c>
      <c r="BX11" s="1626"/>
      <c r="BY11" s="1627"/>
      <c r="BZ11" s="1627"/>
      <c r="CA11" s="1627"/>
      <c r="CB11" s="1627"/>
      <c r="CC11" s="1627"/>
      <c r="CD11" s="1627"/>
      <c r="CE11" s="1622">
        <f t="shared" si="6"/>
        <v>0</v>
      </c>
      <c r="CF11" s="1628">
        <f t="shared" ref="CF11:CF16" si="13">+BX11+CE11</f>
        <v>0</v>
      </c>
    </row>
    <row r="12" spans="1:84" ht="21" customHeight="1">
      <c r="A12" s="1608" t="s">
        <v>6</v>
      </c>
      <c r="B12" s="1625" t="s">
        <v>796</v>
      </c>
      <c r="C12" s="1626">
        <f t="shared" si="0"/>
        <v>0</v>
      </c>
      <c r="D12" s="1627">
        <f t="shared" si="0"/>
        <v>0</v>
      </c>
      <c r="E12" s="1627">
        <f t="shared" si="0"/>
        <v>0</v>
      </c>
      <c r="F12" s="1627">
        <f t="shared" si="0"/>
        <v>0</v>
      </c>
      <c r="G12" s="1627">
        <f t="shared" si="0"/>
        <v>0</v>
      </c>
      <c r="H12" s="1627">
        <f t="shared" si="0"/>
        <v>0</v>
      </c>
      <c r="I12" s="1627">
        <f t="shared" si="0"/>
        <v>0</v>
      </c>
      <c r="J12" s="1622">
        <f t="shared" si="0"/>
        <v>0</v>
      </c>
      <c r="K12" s="1628">
        <f t="shared" si="7"/>
        <v>0</v>
      </c>
      <c r="N12" s="1608" t="s">
        <v>6</v>
      </c>
      <c r="O12" s="1625" t="s">
        <v>796</v>
      </c>
      <c r="P12" s="1626"/>
      <c r="Q12" s="1627"/>
      <c r="R12" s="1627"/>
      <c r="S12" s="1627"/>
      <c r="T12" s="1627"/>
      <c r="U12" s="1627"/>
      <c r="V12" s="1627"/>
      <c r="W12" s="1622">
        <f t="shared" si="1"/>
        <v>0</v>
      </c>
      <c r="X12" s="1628">
        <f t="shared" si="8"/>
        <v>0</v>
      </c>
      <c r="Z12" s="1608" t="s">
        <v>6</v>
      </c>
      <c r="AA12" s="1625" t="s">
        <v>796</v>
      </c>
      <c r="AB12" s="1626"/>
      <c r="AC12" s="1627"/>
      <c r="AD12" s="1627"/>
      <c r="AE12" s="1627"/>
      <c r="AF12" s="1627"/>
      <c r="AG12" s="1627"/>
      <c r="AH12" s="1627"/>
      <c r="AI12" s="1622">
        <f t="shared" si="2"/>
        <v>0</v>
      </c>
      <c r="AJ12" s="1628">
        <f t="shared" si="9"/>
        <v>0</v>
      </c>
      <c r="AL12" s="1608" t="s">
        <v>6</v>
      </c>
      <c r="AM12" s="1625" t="s">
        <v>796</v>
      </c>
      <c r="AN12" s="1626"/>
      <c r="AO12" s="1627"/>
      <c r="AP12" s="1627"/>
      <c r="AQ12" s="1627"/>
      <c r="AR12" s="1627"/>
      <c r="AS12" s="1627"/>
      <c r="AT12" s="1627"/>
      <c r="AU12" s="1622">
        <f t="shared" si="3"/>
        <v>0</v>
      </c>
      <c r="AV12" s="1628">
        <f t="shared" si="10"/>
        <v>0</v>
      </c>
      <c r="AX12" s="1608" t="s">
        <v>6</v>
      </c>
      <c r="AY12" s="1625" t="s">
        <v>796</v>
      </c>
      <c r="AZ12" s="1626"/>
      <c r="BA12" s="1627"/>
      <c r="BB12" s="1627"/>
      <c r="BC12" s="1627"/>
      <c r="BD12" s="1627"/>
      <c r="BE12" s="1627"/>
      <c r="BF12" s="1627"/>
      <c r="BG12" s="1622">
        <f t="shared" si="4"/>
        <v>0</v>
      </c>
      <c r="BH12" s="1628">
        <f t="shared" si="11"/>
        <v>0</v>
      </c>
      <c r="BJ12" s="1608" t="s">
        <v>6</v>
      </c>
      <c r="BK12" s="1625" t="s">
        <v>796</v>
      </c>
      <c r="BL12" s="1626"/>
      <c r="BM12" s="1627"/>
      <c r="BN12" s="1627"/>
      <c r="BO12" s="1627"/>
      <c r="BP12" s="1627"/>
      <c r="BQ12" s="1627"/>
      <c r="BR12" s="1627"/>
      <c r="BS12" s="1622">
        <f t="shared" si="5"/>
        <v>0</v>
      </c>
      <c r="BT12" s="1628">
        <f t="shared" si="12"/>
        <v>0</v>
      </c>
      <c r="BV12" s="1608" t="s">
        <v>6</v>
      </c>
      <c r="BW12" s="1625" t="s">
        <v>796</v>
      </c>
      <c r="BX12" s="1626"/>
      <c r="BY12" s="1627"/>
      <c r="BZ12" s="1627"/>
      <c r="CA12" s="1627"/>
      <c r="CB12" s="1627"/>
      <c r="CC12" s="1627"/>
      <c r="CD12" s="1627"/>
      <c r="CE12" s="1622">
        <f t="shared" si="6"/>
        <v>0</v>
      </c>
      <c r="CF12" s="1628">
        <f t="shared" si="13"/>
        <v>0</v>
      </c>
    </row>
    <row r="13" spans="1:84" ht="21" customHeight="1">
      <c r="A13" s="1608" t="s">
        <v>3</v>
      </c>
      <c r="B13" s="1625" t="s">
        <v>797</v>
      </c>
      <c r="C13" s="1626">
        <f t="shared" si="0"/>
        <v>0</v>
      </c>
      <c r="D13" s="1627">
        <f t="shared" si="0"/>
        <v>0</v>
      </c>
      <c r="E13" s="1627">
        <f t="shared" si="0"/>
        <v>0</v>
      </c>
      <c r="F13" s="1627">
        <f t="shared" si="0"/>
        <v>0</v>
      </c>
      <c r="G13" s="1627">
        <f t="shared" si="0"/>
        <v>0</v>
      </c>
      <c r="H13" s="1627">
        <f t="shared" si="0"/>
        <v>0</v>
      </c>
      <c r="I13" s="1627">
        <f t="shared" si="0"/>
        <v>0</v>
      </c>
      <c r="J13" s="1622">
        <f t="shared" si="0"/>
        <v>0</v>
      </c>
      <c r="K13" s="1628">
        <f t="shared" si="7"/>
        <v>0</v>
      </c>
      <c r="N13" s="1608" t="s">
        <v>3</v>
      </c>
      <c r="O13" s="1625" t="s">
        <v>797</v>
      </c>
      <c r="P13" s="1626"/>
      <c r="Q13" s="1627"/>
      <c r="R13" s="1627"/>
      <c r="S13" s="1627"/>
      <c r="T13" s="1627"/>
      <c r="U13" s="1627"/>
      <c r="V13" s="1627"/>
      <c r="W13" s="1622">
        <f t="shared" si="1"/>
        <v>0</v>
      </c>
      <c r="X13" s="1628">
        <f t="shared" si="8"/>
        <v>0</v>
      </c>
      <c r="Z13" s="1608" t="s">
        <v>3</v>
      </c>
      <c r="AA13" s="1625" t="s">
        <v>797</v>
      </c>
      <c r="AB13" s="1626"/>
      <c r="AC13" s="1627"/>
      <c r="AD13" s="1627"/>
      <c r="AE13" s="1627"/>
      <c r="AF13" s="1627"/>
      <c r="AG13" s="1627"/>
      <c r="AH13" s="1627"/>
      <c r="AI13" s="1622">
        <f t="shared" si="2"/>
        <v>0</v>
      </c>
      <c r="AJ13" s="1628">
        <f t="shared" si="9"/>
        <v>0</v>
      </c>
      <c r="AL13" s="1608" t="s">
        <v>3</v>
      </c>
      <c r="AM13" s="1625" t="s">
        <v>797</v>
      </c>
      <c r="AN13" s="1626"/>
      <c r="AO13" s="1627"/>
      <c r="AP13" s="1627"/>
      <c r="AQ13" s="1627"/>
      <c r="AR13" s="1627"/>
      <c r="AS13" s="1627"/>
      <c r="AT13" s="1627"/>
      <c r="AU13" s="1622">
        <f t="shared" si="3"/>
        <v>0</v>
      </c>
      <c r="AV13" s="1628">
        <f t="shared" si="10"/>
        <v>0</v>
      </c>
      <c r="AX13" s="1608" t="s">
        <v>3</v>
      </c>
      <c r="AY13" s="1625" t="s">
        <v>797</v>
      </c>
      <c r="AZ13" s="1626"/>
      <c r="BA13" s="1627"/>
      <c r="BB13" s="1627"/>
      <c r="BC13" s="1627"/>
      <c r="BD13" s="1627"/>
      <c r="BE13" s="1627"/>
      <c r="BF13" s="1627"/>
      <c r="BG13" s="1622">
        <f t="shared" si="4"/>
        <v>0</v>
      </c>
      <c r="BH13" s="1628">
        <f t="shared" si="11"/>
        <v>0</v>
      </c>
      <c r="BJ13" s="1608" t="s">
        <v>3</v>
      </c>
      <c r="BK13" s="1625" t="s">
        <v>797</v>
      </c>
      <c r="BL13" s="1626"/>
      <c r="BM13" s="1627"/>
      <c r="BN13" s="1627"/>
      <c r="BO13" s="1627"/>
      <c r="BP13" s="1627"/>
      <c r="BQ13" s="1627"/>
      <c r="BR13" s="1627"/>
      <c r="BS13" s="1622">
        <f t="shared" si="5"/>
        <v>0</v>
      </c>
      <c r="BT13" s="1628">
        <f t="shared" si="12"/>
        <v>0</v>
      </c>
      <c r="BV13" s="1608" t="s">
        <v>3</v>
      </c>
      <c r="BW13" s="1625" t="s">
        <v>797</v>
      </c>
      <c r="BX13" s="1626"/>
      <c r="BY13" s="1627"/>
      <c r="BZ13" s="1627"/>
      <c r="CA13" s="1627"/>
      <c r="CB13" s="1627"/>
      <c r="CC13" s="1627"/>
      <c r="CD13" s="1627"/>
      <c r="CE13" s="1622">
        <f t="shared" si="6"/>
        <v>0</v>
      </c>
      <c r="CF13" s="1628">
        <f t="shared" si="13"/>
        <v>0</v>
      </c>
    </row>
    <row r="14" spans="1:84" ht="24.75" customHeight="1">
      <c r="A14" s="1608" t="s">
        <v>16</v>
      </c>
      <c r="B14" s="1625" t="s">
        <v>798</v>
      </c>
      <c r="C14" s="1626">
        <f t="shared" si="0"/>
        <v>0</v>
      </c>
      <c r="D14" s="1627">
        <f t="shared" si="0"/>
        <v>0</v>
      </c>
      <c r="E14" s="1627">
        <f t="shared" si="0"/>
        <v>0</v>
      </c>
      <c r="F14" s="1627">
        <f t="shared" si="0"/>
        <v>0</v>
      </c>
      <c r="G14" s="1627">
        <f t="shared" si="0"/>
        <v>0</v>
      </c>
      <c r="H14" s="1627">
        <f t="shared" si="0"/>
        <v>0</v>
      </c>
      <c r="I14" s="1627">
        <f t="shared" si="0"/>
        <v>0</v>
      </c>
      <c r="J14" s="1622">
        <f t="shared" si="0"/>
        <v>0</v>
      </c>
      <c r="K14" s="1628">
        <f t="shared" si="7"/>
        <v>0</v>
      </c>
      <c r="N14" s="1608" t="s">
        <v>16</v>
      </c>
      <c r="O14" s="1625" t="s">
        <v>798</v>
      </c>
      <c r="P14" s="1626"/>
      <c r="Q14" s="1627"/>
      <c r="R14" s="1627"/>
      <c r="S14" s="1627"/>
      <c r="T14" s="1627"/>
      <c r="U14" s="1627"/>
      <c r="V14" s="1627"/>
      <c r="W14" s="1622">
        <f t="shared" si="1"/>
        <v>0</v>
      </c>
      <c r="X14" s="1628">
        <f t="shared" si="8"/>
        <v>0</v>
      </c>
      <c r="Z14" s="1608" t="s">
        <v>16</v>
      </c>
      <c r="AA14" s="1625" t="s">
        <v>798</v>
      </c>
      <c r="AB14" s="1626"/>
      <c r="AC14" s="1627"/>
      <c r="AD14" s="1627"/>
      <c r="AE14" s="1627"/>
      <c r="AF14" s="1627"/>
      <c r="AG14" s="1627"/>
      <c r="AH14" s="1627"/>
      <c r="AI14" s="1622">
        <f t="shared" si="2"/>
        <v>0</v>
      </c>
      <c r="AJ14" s="1628">
        <f t="shared" si="9"/>
        <v>0</v>
      </c>
      <c r="AL14" s="1608" t="s">
        <v>16</v>
      </c>
      <c r="AM14" s="1625" t="s">
        <v>798</v>
      </c>
      <c r="AN14" s="1626"/>
      <c r="AO14" s="1627"/>
      <c r="AP14" s="1627"/>
      <c r="AQ14" s="1627"/>
      <c r="AR14" s="1627"/>
      <c r="AS14" s="1627"/>
      <c r="AT14" s="1627"/>
      <c r="AU14" s="1622">
        <f t="shared" si="3"/>
        <v>0</v>
      </c>
      <c r="AV14" s="1628">
        <f t="shared" si="10"/>
        <v>0</v>
      </c>
      <c r="AX14" s="1608" t="s">
        <v>16</v>
      </c>
      <c r="AY14" s="1625" t="s">
        <v>798</v>
      </c>
      <c r="AZ14" s="1626"/>
      <c r="BA14" s="1627"/>
      <c r="BB14" s="1627"/>
      <c r="BC14" s="1627"/>
      <c r="BD14" s="1627"/>
      <c r="BE14" s="1627"/>
      <c r="BF14" s="1627"/>
      <c r="BG14" s="1622">
        <f t="shared" si="4"/>
        <v>0</v>
      </c>
      <c r="BH14" s="1628">
        <f t="shared" si="11"/>
        <v>0</v>
      </c>
      <c r="BJ14" s="1608" t="s">
        <v>16</v>
      </c>
      <c r="BK14" s="1625" t="s">
        <v>798</v>
      </c>
      <c r="BL14" s="1626"/>
      <c r="BM14" s="1627"/>
      <c r="BN14" s="1627"/>
      <c r="BO14" s="1627"/>
      <c r="BP14" s="1627"/>
      <c r="BQ14" s="1627"/>
      <c r="BR14" s="1627"/>
      <c r="BS14" s="1622">
        <f t="shared" si="5"/>
        <v>0</v>
      </c>
      <c r="BT14" s="1628">
        <f t="shared" si="12"/>
        <v>0</v>
      </c>
      <c r="BV14" s="1608" t="s">
        <v>16</v>
      </c>
      <c r="BW14" s="1625" t="s">
        <v>798</v>
      </c>
      <c r="BX14" s="1626"/>
      <c r="BY14" s="1627"/>
      <c r="BZ14" s="1627"/>
      <c r="CA14" s="1627"/>
      <c r="CB14" s="1627"/>
      <c r="CC14" s="1627"/>
      <c r="CD14" s="1627"/>
      <c r="CE14" s="1622">
        <f t="shared" si="6"/>
        <v>0</v>
      </c>
      <c r="CF14" s="1628">
        <f t="shared" si="13"/>
        <v>0</v>
      </c>
    </row>
    <row r="15" spans="1:84" ht="21" customHeight="1">
      <c r="A15" s="1629" t="s">
        <v>15</v>
      </c>
      <c r="B15" s="1630" t="s">
        <v>2551</v>
      </c>
      <c r="C15" s="1631">
        <f t="shared" si="0"/>
        <v>66374</v>
      </c>
      <c r="D15" s="1632">
        <f t="shared" si="0"/>
        <v>12218</v>
      </c>
      <c r="E15" s="1632">
        <f t="shared" si="0"/>
        <v>7070</v>
      </c>
      <c r="F15" s="1632">
        <f t="shared" si="0"/>
        <v>1702</v>
      </c>
      <c r="G15" s="1632">
        <f t="shared" si="0"/>
        <v>24107</v>
      </c>
      <c r="H15" s="1632">
        <f t="shared" si="0"/>
        <v>5273</v>
      </c>
      <c r="I15" s="1632">
        <f t="shared" si="0"/>
        <v>49304</v>
      </c>
      <c r="J15" s="1622">
        <f t="shared" si="0"/>
        <v>99671</v>
      </c>
      <c r="K15" s="1633">
        <f t="shared" si="7"/>
        <v>166045</v>
      </c>
      <c r="N15" s="1629" t="s">
        <v>15</v>
      </c>
      <c r="O15" s="1630" t="s">
        <v>2552</v>
      </c>
      <c r="P15" s="1626">
        <f>236889+P34+P27</f>
        <v>63688892</v>
      </c>
      <c r="Q15" s="1627">
        <f>7711663+22180+723155</f>
        <v>8456998</v>
      </c>
      <c r="R15" s="1627">
        <f>3654333+723155+R27</f>
        <v>4586609</v>
      </c>
      <c r="S15" s="1627">
        <v>1109725</v>
      </c>
      <c r="T15" s="1627">
        <f>3256877+T27</f>
        <v>23063877</v>
      </c>
      <c r="U15" s="1627">
        <v>4598141</v>
      </c>
      <c r="V15" s="1627">
        <f>37371063+44581+V27</f>
        <v>45552218</v>
      </c>
      <c r="W15" s="1622">
        <f t="shared" si="1"/>
        <v>87367568</v>
      </c>
      <c r="X15" s="1633">
        <f t="shared" si="8"/>
        <v>151056460</v>
      </c>
      <c r="Z15" s="1629" t="s">
        <v>15</v>
      </c>
      <c r="AA15" s="1630" t="s">
        <v>2552</v>
      </c>
      <c r="AB15" s="1631">
        <f>372826+AB34</f>
        <v>1676402</v>
      </c>
      <c r="AC15" s="1632">
        <v>2564994</v>
      </c>
      <c r="AD15" s="1632">
        <v>2049182</v>
      </c>
      <c r="AE15" s="1632">
        <v>460637</v>
      </c>
      <c r="AF15" s="1632">
        <v>824043</v>
      </c>
      <c r="AG15" s="1632">
        <v>599627</v>
      </c>
      <c r="AH15" s="1632">
        <v>26686</v>
      </c>
      <c r="AI15" s="1622">
        <f t="shared" si="2"/>
        <v>6525169</v>
      </c>
      <c r="AJ15" s="1633">
        <f t="shared" si="9"/>
        <v>8201571</v>
      </c>
      <c r="AL15" s="1629" t="s">
        <v>15</v>
      </c>
      <c r="AM15" s="1630" t="s">
        <v>2552</v>
      </c>
      <c r="AN15" s="1631">
        <f>+AN34+35715</f>
        <v>809397</v>
      </c>
      <c r="AO15" s="1627">
        <v>1164089</v>
      </c>
      <c r="AP15" s="1627">
        <v>433704</v>
      </c>
      <c r="AQ15" s="1627">
        <v>130588</v>
      </c>
      <c r="AR15" s="1627">
        <v>219065</v>
      </c>
      <c r="AS15" s="1627">
        <v>74666</v>
      </c>
      <c r="AT15" s="1627">
        <f>2171886+1337000</f>
        <v>3508886</v>
      </c>
      <c r="AU15" s="1622">
        <f t="shared" si="3"/>
        <v>5530998</v>
      </c>
      <c r="AV15" s="1633">
        <f t="shared" si="10"/>
        <v>6340395</v>
      </c>
      <c r="AX15" s="1629" t="s">
        <v>15</v>
      </c>
      <c r="AY15" s="1630" t="s">
        <v>2552</v>
      </c>
      <c r="AZ15" s="1631">
        <f>+AZ34</f>
        <v>140644</v>
      </c>
      <c r="BA15" s="1632">
        <v>17500</v>
      </c>
      <c r="BB15" s="1632"/>
      <c r="BC15" s="1632"/>
      <c r="BD15" s="1632"/>
      <c r="BE15" s="1632"/>
      <c r="BF15" s="1632">
        <v>215652</v>
      </c>
      <c r="BG15" s="1622">
        <f t="shared" si="4"/>
        <v>233152</v>
      </c>
      <c r="BH15" s="1633">
        <f t="shared" si="11"/>
        <v>373796</v>
      </c>
      <c r="BJ15" s="1629" t="s">
        <v>15</v>
      </c>
      <c r="BK15" s="1630" t="s">
        <v>2552</v>
      </c>
      <c r="BL15" s="1631"/>
      <c r="BM15" s="1632"/>
      <c r="BN15" s="1632"/>
      <c r="BO15" s="1632"/>
      <c r="BP15" s="1632"/>
      <c r="BQ15" s="1632"/>
      <c r="BR15" s="1632"/>
      <c r="BS15" s="1622">
        <f t="shared" si="5"/>
        <v>0</v>
      </c>
      <c r="BT15" s="1633">
        <f t="shared" si="12"/>
        <v>0</v>
      </c>
      <c r="BV15" s="1629" t="s">
        <v>15</v>
      </c>
      <c r="BW15" s="1630" t="s">
        <v>2552</v>
      </c>
      <c r="BX15" s="1631">
        <f>+BX34+19797</f>
        <v>58517</v>
      </c>
      <c r="BY15" s="1632">
        <v>14323</v>
      </c>
      <c r="BZ15" s="1632"/>
      <c r="CA15" s="1632"/>
      <c r="CB15" s="1632"/>
      <c r="CC15" s="1632"/>
      <c r="CD15" s="1632"/>
      <c r="CE15" s="1622">
        <f t="shared" si="6"/>
        <v>14323</v>
      </c>
      <c r="CF15" s="1633">
        <f t="shared" si="13"/>
        <v>72840</v>
      </c>
    </row>
    <row r="16" spans="1:84" ht="21" customHeight="1" thickBot="1">
      <c r="A16" s="1634" t="s">
        <v>14</v>
      </c>
      <c r="B16" s="1635" t="s">
        <v>2553</v>
      </c>
      <c r="C16" s="1636">
        <f t="shared" si="0"/>
        <v>0</v>
      </c>
      <c r="D16" s="1637">
        <f t="shared" si="0"/>
        <v>0</v>
      </c>
      <c r="E16" s="1637">
        <f t="shared" si="0"/>
        <v>0</v>
      </c>
      <c r="F16" s="1637">
        <f t="shared" si="0"/>
        <v>0</v>
      </c>
      <c r="G16" s="1637">
        <f t="shared" si="0"/>
        <v>0</v>
      </c>
      <c r="H16" s="1637">
        <f t="shared" si="0"/>
        <v>0</v>
      </c>
      <c r="I16" s="1637">
        <f t="shared" si="0"/>
        <v>0</v>
      </c>
      <c r="J16" s="1622">
        <f t="shared" si="0"/>
        <v>0</v>
      </c>
      <c r="K16" s="1638">
        <f t="shared" si="7"/>
        <v>0</v>
      </c>
      <c r="N16" s="1634" t="s">
        <v>14</v>
      </c>
      <c r="O16" s="1635" t="s">
        <v>2554</v>
      </c>
      <c r="P16" s="1760"/>
      <c r="Q16" s="1761"/>
      <c r="R16" s="1761"/>
      <c r="S16" s="1761"/>
      <c r="T16" s="1761"/>
      <c r="U16" s="1761"/>
      <c r="V16" s="1761"/>
      <c r="W16" s="1622">
        <f t="shared" si="1"/>
        <v>0</v>
      </c>
      <c r="X16" s="1638">
        <f t="shared" si="8"/>
        <v>0</v>
      </c>
      <c r="Z16" s="1634" t="s">
        <v>14</v>
      </c>
      <c r="AA16" s="1635" t="s">
        <v>2554</v>
      </c>
      <c r="AB16" s="1636"/>
      <c r="AC16" s="1637"/>
      <c r="AD16" s="1637"/>
      <c r="AE16" s="1637"/>
      <c r="AF16" s="1637"/>
      <c r="AG16" s="1637"/>
      <c r="AH16" s="1637"/>
      <c r="AI16" s="1622">
        <f t="shared" si="2"/>
        <v>0</v>
      </c>
      <c r="AJ16" s="1638">
        <f t="shared" si="9"/>
        <v>0</v>
      </c>
      <c r="AL16" s="1634" t="s">
        <v>14</v>
      </c>
      <c r="AM16" s="1635" t="s">
        <v>2554</v>
      </c>
      <c r="AN16" s="1636"/>
      <c r="AO16" s="1761"/>
      <c r="AP16" s="1761"/>
      <c r="AQ16" s="1761"/>
      <c r="AR16" s="1761"/>
      <c r="AS16" s="1761"/>
      <c r="AT16" s="1761"/>
      <c r="AU16" s="1622">
        <f t="shared" si="3"/>
        <v>0</v>
      </c>
      <c r="AV16" s="1638">
        <f t="shared" si="10"/>
        <v>0</v>
      </c>
      <c r="AX16" s="1634" t="s">
        <v>14</v>
      </c>
      <c r="AY16" s="1635" t="s">
        <v>2554</v>
      </c>
      <c r="AZ16" s="1636"/>
      <c r="BA16" s="1637"/>
      <c r="BB16" s="1637"/>
      <c r="BC16" s="1637"/>
      <c r="BD16" s="1637"/>
      <c r="BE16" s="1637"/>
      <c r="BF16" s="1637"/>
      <c r="BG16" s="1622">
        <f t="shared" si="4"/>
        <v>0</v>
      </c>
      <c r="BH16" s="1638">
        <f t="shared" si="11"/>
        <v>0</v>
      </c>
      <c r="BJ16" s="1634" t="s">
        <v>14</v>
      </c>
      <c r="BK16" s="1635" t="s">
        <v>2554</v>
      </c>
      <c r="BL16" s="1636"/>
      <c r="BM16" s="1637"/>
      <c r="BN16" s="1637"/>
      <c r="BO16" s="1637"/>
      <c r="BP16" s="1637"/>
      <c r="BQ16" s="1637"/>
      <c r="BR16" s="1637"/>
      <c r="BS16" s="1622">
        <f t="shared" si="5"/>
        <v>0</v>
      </c>
      <c r="BT16" s="1638">
        <f t="shared" si="12"/>
        <v>0</v>
      </c>
      <c r="BV16" s="1634" t="s">
        <v>14</v>
      </c>
      <c r="BW16" s="1635" t="s">
        <v>2554</v>
      </c>
      <c r="BX16" s="1636"/>
      <c r="BY16" s="1637"/>
      <c r="BZ16" s="1637"/>
      <c r="CA16" s="1637"/>
      <c r="CB16" s="1637"/>
      <c r="CC16" s="1637"/>
      <c r="CD16" s="1637"/>
      <c r="CE16" s="1622">
        <f t="shared" si="6"/>
        <v>0</v>
      </c>
      <c r="CF16" s="1638">
        <f t="shared" si="13"/>
        <v>0</v>
      </c>
    </row>
    <row r="17" spans="1:84" s="603" customFormat="1" ht="21" customHeight="1" thickBot="1">
      <c r="A17" s="1930" t="s">
        <v>2555</v>
      </c>
      <c r="B17" s="1943"/>
      <c r="C17" s="1639">
        <f>SUM(C10:C16)</f>
        <v>66374</v>
      </c>
      <c r="D17" s="1639">
        <f t="shared" ref="D17:K17" si="14">SUM(D10:D16)</f>
        <v>12218</v>
      </c>
      <c r="E17" s="1639">
        <f t="shared" si="14"/>
        <v>7070</v>
      </c>
      <c r="F17" s="1639">
        <f t="shared" si="14"/>
        <v>1702</v>
      </c>
      <c r="G17" s="1639">
        <f t="shared" si="14"/>
        <v>24107</v>
      </c>
      <c r="H17" s="1639">
        <f t="shared" si="14"/>
        <v>5273</v>
      </c>
      <c r="I17" s="1639">
        <f t="shared" si="14"/>
        <v>49304</v>
      </c>
      <c r="J17" s="1639">
        <f t="shared" si="14"/>
        <v>99671</v>
      </c>
      <c r="K17" s="1640">
        <f t="shared" si="14"/>
        <v>166045</v>
      </c>
      <c r="N17" s="1930" t="s">
        <v>2555</v>
      </c>
      <c r="O17" s="1943"/>
      <c r="P17" s="1639">
        <f>SUM(P10:P16)</f>
        <v>63688892</v>
      </c>
      <c r="Q17" s="1639">
        <f t="shared" ref="Q17:X17" si="15">SUM(Q10:Q16)</f>
        <v>8456998</v>
      </c>
      <c r="R17" s="1639">
        <f t="shared" si="15"/>
        <v>4586609</v>
      </c>
      <c r="S17" s="1639">
        <f t="shared" si="15"/>
        <v>1109725</v>
      </c>
      <c r="T17" s="1639">
        <f t="shared" si="15"/>
        <v>23063877</v>
      </c>
      <c r="U17" s="1639">
        <f t="shared" si="15"/>
        <v>4598141</v>
      </c>
      <c r="V17" s="1639">
        <f t="shared" si="15"/>
        <v>45552218</v>
      </c>
      <c r="W17" s="1639">
        <f t="shared" si="15"/>
        <v>87367568</v>
      </c>
      <c r="X17" s="1640">
        <f t="shared" si="15"/>
        <v>151056460</v>
      </c>
      <c r="Z17" s="1930" t="s">
        <v>2555</v>
      </c>
      <c r="AA17" s="1943"/>
      <c r="AB17" s="1639">
        <f>SUM(AB10:AB16)</f>
        <v>1676402</v>
      </c>
      <c r="AC17" s="1639">
        <f t="shared" ref="AC17:AJ17" si="16">SUM(AC10:AC16)</f>
        <v>2564994</v>
      </c>
      <c r="AD17" s="1639">
        <f t="shared" si="16"/>
        <v>2049182</v>
      </c>
      <c r="AE17" s="1639">
        <f t="shared" si="16"/>
        <v>460637</v>
      </c>
      <c r="AF17" s="1639">
        <f t="shared" si="16"/>
        <v>824043</v>
      </c>
      <c r="AG17" s="1639">
        <f t="shared" si="16"/>
        <v>599627</v>
      </c>
      <c r="AH17" s="1639">
        <f t="shared" si="16"/>
        <v>26686</v>
      </c>
      <c r="AI17" s="1639">
        <f t="shared" si="16"/>
        <v>6525169</v>
      </c>
      <c r="AJ17" s="1640">
        <f t="shared" si="16"/>
        <v>8201571</v>
      </c>
      <c r="AL17" s="1930" t="s">
        <v>2555</v>
      </c>
      <c r="AM17" s="1943"/>
      <c r="AN17" s="1639">
        <f>SUM(AN10:AN16)</f>
        <v>809397</v>
      </c>
      <c r="AO17" s="1639">
        <f t="shared" ref="AO17:AV17" si="17">SUM(AO10:AO16)</f>
        <v>1164089</v>
      </c>
      <c r="AP17" s="1639">
        <f t="shared" si="17"/>
        <v>433704</v>
      </c>
      <c r="AQ17" s="1639">
        <f t="shared" si="17"/>
        <v>130588</v>
      </c>
      <c r="AR17" s="1639">
        <f t="shared" si="17"/>
        <v>219065</v>
      </c>
      <c r="AS17" s="1639">
        <f t="shared" si="17"/>
        <v>74666</v>
      </c>
      <c r="AT17" s="1639">
        <f t="shared" si="17"/>
        <v>3508886</v>
      </c>
      <c r="AU17" s="1639">
        <f t="shared" si="17"/>
        <v>5530998</v>
      </c>
      <c r="AV17" s="1640">
        <f t="shared" si="17"/>
        <v>6340395</v>
      </c>
      <c r="AX17" s="1930" t="s">
        <v>2555</v>
      </c>
      <c r="AY17" s="1943"/>
      <c r="AZ17" s="1639">
        <f>SUM(AZ10:AZ16)</f>
        <v>140644</v>
      </c>
      <c r="BA17" s="1639">
        <f t="shared" ref="BA17:BH17" si="18">SUM(BA10:BA16)</f>
        <v>17500</v>
      </c>
      <c r="BB17" s="1639">
        <f t="shared" si="18"/>
        <v>0</v>
      </c>
      <c r="BC17" s="1639">
        <f t="shared" si="18"/>
        <v>0</v>
      </c>
      <c r="BD17" s="1639">
        <f t="shared" si="18"/>
        <v>0</v>
      </c>
      <c r="BE17" s="1639">
        <f t="shared" si="18"/>
        <v>0</v>
      </c>
      <c r="BF17" s="1639">
        <f t="shared" si="18"/>
        <v>215652</v>
      </c>
      <c r="BG17" s="1639">
        <f t="shared" si="18"/>
        <v>233152</v>
      </c>
      <c r="BH17" s="1640">
        <f t="shared" si="18"/>
        <v>373796</v>
      </c>
      <c r="BJ17" s="1930" t="s">
        <v>2555</v>
      </c>
      <c r="BK17" s="1943"/>
      <c r="BL17" s="1639">
        <f>SUM(BL10:BL16)</f>
        <v>0</v>
      </c>
      <c r="BM17" s="1639">
        <f t="shared" ref="BM17:BT17" si="19">SUM(BM10:BM16)</f>
        <v>0</v>
      </c>
      <c r="BN17" s="1639">
        <f t="shared" si="19"/>
        <v>0</v>
      </c>
      <c r="BO17" s="1639">
        <f t="shared" si="19"/>
        <v>0</v>
      </c>
      <c r="BP17" s="1639">
        <f t="shared" si="19"/>
        <v>0</v>
      </c>
      <c r="BQ17" s="1639">
        <f t="shared" si="19"/>
        <v>0</v>
      </c>
      <c r="BR17" s="1639">
        <f t="shared" si="19"/>
        <v>0</v>
      </c>
      <c r="BS17" s="1639">
        <f t="shared" si="19"/>
        <v>0</v>
      </c>
      <c r="BT17" s="1640">
        <f t="shared" si="19"/>
        <v>0</v>
      </c>
      <c r="BV17" s="1930" t="s">
        <v>2555</v>
      </c>
      <c r="BW17" s="1943"/>
      <c r="BX17" s="1639">
        <f>SUM(BX10:BX16)</f>
        <v>58517</v>
      </c>
      <c r="BY17" s="1639">
        <f t="shared" ref="BY17:CF17" si="20">SUM(BY10:BY16)</f>
        <v>14323</v>
      </c>
      <c r="BZ17" s="1639">
        <f t="shared" si="20"/>
        <v>0</v>
      </c>
      <c r="CA17" s="1639">
        <f t="shared" si="20"/>
        <v>0</v>
      </c>
      <c r="CB17" s="1639">
        <f t="shared" si="20"/>
        <v>0</v>
      </c>
      <c r="CC17" s="1639">
        <f t="shared" si="20"/>
        <v>0</v>
      </c>
      <c r="CD17" s="1639">
        <f t="shared" si="20"/>
        <v>0</v>
      </c>
      <c r="CE17" s="1639">
        <f t="shared" si="20"/>
        <v>14323</v>
      </c>
      <c r="CF17" s="1640">
        <f t="shared" si="20"/>
        <v>72840</v>
      </c>
    </row>
    <row r="18" spans="1:84" ht="21" customHeight="1">
      <c r="A18" s="1940" t="s">
        <v>2556</v>
      </c>
      <c r="B18" s="1941"/>
      <c r="C18" s="1941"/>
      <c r="D18" s="1941"/>
      <c r="E18" s="1941"/>
      <c r="F18" s="1941"/>
      <c r="G18" s="1941"/>
      <c r="H18" s="1941"/>
      <c r="I18" s="1941"/>
      <c r="J18" s="1941"/>
      <c r="K18" s="1942"/>
      <c r="N18" s="1940" t="s">
        <v>2556</v>
      </c>
      <c r="O18" s="1941"/>
      <c r="P18" s="1941"/>
      <c r="Q18" s="1941"/>
      <c r="R18" s="1941"/>
      <c r="S18" s="1941"/>
      <c r="T18" s="1941"/>
      <c r="U18" s="1941"/>
      <c r="V18" s="1941"/>
      <c r="W18" s="1941"/>
      <c r="X18" s="1942"/>
      <c r="Z18" s="1940" t="s">
        <v>2556</v>
      </c>
      <c r="AA18" s="1941"/>
      <c r="AB18" s="1941"/>
      <c r="AC18" s="1941"/>
      <c r="AD18" s="1941"/>
      <c r="AE18" s="1941"/>
      <c r="AF18" s="1941"/>
      <c r="AG18" s="1941"/>
      <c r="AH18" s="1941"/>
      <c r="AI18" s="1941"/>
      <c r="AJ18" s="1942"/>
      <c r="AL18" s="1940" t="s">
        <v>2556</v>
      </c>
      <c r="AM18" s="1941"/>
      <c r="AN18" s="1941"/>
      <c r="AO18" s="1941"/>
      <c r="AP18" s="1941"/>
      <c r="AQ18" s="1941"/>
      <c r="AR18" s="1941"/>
      <c r="AS18" s="1941"/>
      <c r="AT18" s="1941"/>
      <c r="AU18" s="1941"/>
      <c r="AV18" s="1942"/>
      <c r="AX18" s="1940" t="s">
        <v>2556</v>
      </c>
      <c r="AY18" s="1941"/>
      <c r="AZ18" s="1941"/>
      <c r="BA18" s="1941"/>
      <c r="BB18" s="1941"/>
      <c r="BC18" s="1941"/>
      <c r="BD18" s="1941"/>
      <c r="BE18" s="1941"/>
      <c r="BF18" s="1941"/>
      <c r="BG18" s="1941"/>
      <c r="BH18" s="1942"/>
      <c r="BJ18" s="1940" t="s">
        <v>2556</v>
      </c>
      <c r="BK18" s="1941"/>
      <c r="BL18" s="1941"/>
      <c r="BM18" s="1941"/>
      <c r="BN18" s="1941"/>
      <c r="BO18" s="1941"/>
      <c r="BP18" s="1941"/>
      <c r="BQ18" s="1941"/>
      <c r="BR18" s="1941"/>
      <c r="BS18" s="1941"/>
      <c r="BT18" s="1942"/>
      <c r="BV18" s="1940" t="s">
        <v>2556</v>
      </c>
      <c r="BW18" s="1941"/>
      <c r="BX18" s="1941"/>
      <c r="BY18" s="1941"/>
      <c r="BZ18" s="1941"/>
      <c r="CA18" s="1941"/>
      <c r="CB18" s="1941"/>
      <c r="CC18" s="1941"/>
      <c r="CD18" s="1941"/>
      <c r="CE18" s="1941"/>
      <c r="CF18" s="1942"/>
    </row>
    <row r="19" spans="1:84" ht="21" customHeight="1">
      <c r="A19" s="1600" t="s">
        <v>4</v>
      </c>
      <c r="B19" s="1621" t="s">
        <v>2557</v>
      </c>
      <c r="C19" s="1622">
        <f t="shared" ref="C19:I20" si="21">+ROUND(P19/1000,0)+ROUND(AB19/1000,0)+ROUND(AN19/1000,0)+ROUND(AZ19/1000,0)+ROUND(BL19/1000,0)+ROUND(BX19/1000,0)</f>
        <v>0</v>
      </c>
      <c r="D19" s="1623">
        <f t="shared" si="21"/>
        <v>0</v>
      </c>
      <c r="E19" s="1623">
        <f t="shared" si="21"/>
        <v>0</v>
      </c>
      <c r="F19" s="1623">
        <f t="shared" si="21"/>
        <v>0</v>
      </c>
      <c r="G19" s="1623">
        <f t="shared" si="21"/>
        <v>0</v>
      </c>
      <c r="H19" s="1623">
        <f t="shared" si="21"/>
        <v>0</v>
      </c>
      <c r="I19" s="1623">
        <f t="shared" si="21"/>
        <v>0</v>
      </c>
      <c r="J19" s="1622">
        <f>+W19+AI19+AU19+BG19+BS19</f>
        <v>0</v>
      </c>
      <c r="K19" s="1624">
        <f>+C19+J19</f>
        <v>0</v>
      </c>
      <c r="N19" s="1600" t="s">
        <v>4</v>
      </c>
      <c r="O19" s="1621" t="s">
        <v>2557</v>
      </c>
      <c r="P19" s="1622"/>
      <c r="Q19" s="1623"/>
      <c r="R19" s="1623"/>
      <c r="S19" s="1623"/>
      <c r="T19" s="1623"/>
      <c r="U19" s="1623"/>
      <c r="V19" s="1623"/>
      <c r="W19" s="1622">
        <f>SUM(Q19:V19)</f>
        <v>0</v>
      </c>
      <c r="X19" s="1624">
        <f>+P19+W19</f>
        <v>0</v>
      </c>
      <c r="Z19" s="1600" t="s">
        <v>4</v>
      </c>
      <c r="AA19" s="1621" t="s">
        <v>2557</v>
      </c>
      <c r="AB19" s="1622"/>
      <c r="AC19" s="1623"/>
      <c r="AD19" s="1623"/>
      <c r="AE19" s="1623"/>
      <c r="AF19" s="1623"/>
      <c r="AG19" s="1623"/>
      <c r="AH19" s="1623"/>
      <c r="AI19" s="1622">
        <f>SUM(AC19:AH19)</f>
        <v>0</v>
      </c>
      <c r="AJ19" s="1624">
        <f>+AB19+AI19</f>
        <v>0</v>
      </c>
      <c r="AL19" s="1600" t="s">
        <v>4</v>
      </c>
      <c r="AM19" s="1621" t="s">
        <v>2557</v>
      </c>
      <c r="AN19" s="1622"/>
      <c r="AO19" s="1623"/>
      <c r="AP19" s="1623"/>
      <c r="AQ19" s="1623"/>
      <c r="AR19" s="1623"/>
      <c r="AS19" s="1623"/>
      <c r="AT19" s="1623"/>
      <c r="AU19" s="1622">
        <f>SUM(AO19:AT19)</f>
        <v>0</v>
      </c>
      <c r="AV19" s="1624">
        <f>+AN19+AU19</f>
        <v>0</v>
      </c>
      <c r="AX19" s="1600" t="s">
        <v>4</v>
      </c>
      <c r="AY19" s="1621" t="s">
        <v>2557</v>
      </c>
      <c r="AZ19" s="1622"/>
      <c r="BA19" s="1623"/>
      <c r="BB19" s="1623"/>
      <c r="BC19" s="1623"/>
      <c r="BD19" s="1623"/>
      <c r="BE19" s="1623"/>
      <c r="BF19" s="1623"/>
      <c r="BG19" s="1622">
        <f>SUM(BA19:BF19)</f>
        <v>0</v>
      </c>
      <c r="BH19" s="1624">
        <f>+AZ19+BG19</f>
        <v>0</v>
      </c>
      <c r="BJ19" s="1600" t="s">
        <v>4</v>
      </c>
      <c r="BK19" s="1621" t="s">
        <v>2557</v>
      </c>
      <c r="BL19" s="1622"/>
      <c r="BM19" s="1623"/>
      <c r="BN19" s="1623"/>
      <c r="BO19" s="1623"/>
      <c r="BP19" s="1623"/>
      <c r="BQ19" s="1623"/>
      <c r="BR19" s="1623"/>
      <c r="BS19" s="1622">
        <f>SUM(BM19:BR19)</f>
        <v>0</v>
      </c>
      <c r="BT19" s="1624">
        <f>+BL19+BS19</f>
        <v>0</v>
      </c>
      <c r="BV19" s="1600" t="s">
        <v>4</v>
      </c>
      <c r="BW19" s="1621" t="s">
        <v>2557</v>
      </c>
      <c r="BX19" s="1622"/>
      <c r="BY19" s="1623"/>
      <c r="BZ19" s="1623"/>
      <c r="CA19" s="1623"/>
      <c r="CB19" s="1623"/>
      <c r="CC19" s="1623"/>
      <c r="CD19" s="1623"/>
      <c r="CE19" s="1622">
        <f>SUM(BY19:CD19)</f>
        <v>0</v>
      </c>
      <c r="CF19" s="1624">
        <f>+BX19+CE19</f>
        <v>0</v>
      </c>
    </row>
    <row r="20" spans="1:84" ht="21" customHeight="1" thickBot="1">
      <c r="A20" s="1629" t="s">
        <v>5</v>
      </c>
      <c r="B20" s="1630" t="s">
        <v>2558</v>
      </c>
      <c r="C20" s="1631">
        <f t="shared" si="21"/>
        <v>0</v>
      </c>
      <c r="D20" s="1632">
        <f t="shared" si="21"/>
        <v>0</v>
      </c>
      <c r="E20" s="1632">
        <f t="shared" si="21"/>
        <v>0</v>
      </c>
      <c r="F20" s="1632">
        <f t="shared" si="21"/>
        <v>0</v>
      </c>
      <c r="G20" s="1632">
        <f t="shared" si="21"/>
        <v>0</v>
      </c>
      <c r="H20" s="1632">
        <f t="shared" si="21"/>
        <v>0</v>
      </c>
      <c r="I20" s="1632">
        <f t="shared" si="21"/>
        <v>0</v>
      </c>
      <c r="J20" s="1622">
        <f>+W20+AI20+AU20+BG20+BS20</f>
        <v>0</v>
      </c>
      <c r="K20" s="1633">
        <f>+C20+J20</f>
        <v>0</v>
      </c>
      <c r="N20" s="1629" t="s">
        <v>5</v>
      </c>
      <c r="O20" s="1630" t="s">
        <v>2558</v>
      </c>
      <c r="P20" s="1631"/>
      <c r="Q20" s="1632"/>
      <c r="R20" s="1632"/>
      <c r="S20" s="1632"/>
      <c r="T20" s="1632"/>
      <c r="U20" s="1632"/>
      <c r="V20" s="1632"/>
      <c r="W20" s="1622">
        <f>SUM(Q20:V20)</f>
        <v>0</v>
      </c>
      <c r="X20" s="1633">
        <f>+P20+W20</f>
        <v>0</v>
      </c>
      <c r="Z20" s="1629" t="s">
        <v>5</v>
      </c>
      <c r="AA20" s="1630" t="s">
        <v>2558</v>
      </c>
      <c r="AB20" s="1631"/>
      <c r="AC20" s="1632"/>
      <c r="AD20" s="1632"/>
      <c r="AE20" s="1632"/>
      <c r="AF20" s="1632"/>
      <c r="AG20" s="1632"/>
      <c r="AH20" s="1632"/>
      <c r="AI20" s="1622">
        <f>SUM(AC20:AH20)</f>
        <v>0</v>
      </c>
      <c r="AJ20" s="1633">
        <f>+AB20+AI20</f>
        <v>0</v>
      </c>
      <c r="AL20" s="1629" t="s">
        <v>5</v>
      </c>
      <c r="AM20" s="1630" t="s">
        <v>2558</v>
      </c>
      <c r="AN20" s="1631"/>
      <c r="AO20" s="1632"/>
      <c r="AP20" s="1632"/>
      <c r="AQ20" s="1632"/>
      <c r="AR20" s="1632"/>
      <c r="AS20" s="1632"/>
      <c r="AT20" s="1632"/>
      <c r="AU20" s="1622">
        <f>SUM(AO20:AT20)</f>
        <v>0</v>
      </c>
      <c r="AV20" s="1633">
        <f>+AN20+AU20</f>
        <v>0</v>
      </c>
      <c r="AX20" s="1629" t="s">
        <v>5</v>
      </c>
      <c r="AY20" s="1630" t="s">
        <v>2558</v>
      </c>
      <c r="AZ20" s="1631"/>
      <c r="BA20" s="1632"/>
      <c r="BB20" s="1632"/>
      <c r="BC20" s="1632"/>
      <c r="BD20" s="1632"/>
      <c r="BE20" s="1632"/>
      <c r="BF20" s="1632"/>
      <c r="BG20" s="1622">
        <f>SUM(BA20:BF20)</f>
        <v>0</v>
      </c>
      <c r="BH20" s="1633">
        <f>+AZ20+BG20</f>
        <v>0</v>
      </c>
      <c r="BJ20" s="1629" t="s">
        <v>5</v>
      </c>
      <c r="BK20" s="1630" t="s">
        <v>2558</v>
      </c>
      <c r="BL20" s="1631"/>
      <c r="BM20" s="1632"/>
      <c r="BN20" s="1632"/>
      <c r="BO20" s="1632"/>
      <c r="BP20" s="1632"/>
      <c r="BQ20" s="1632"/>
      <c r="BR20" s="1632"/>
      <c r="BS20" s="1622">
        <f>SUM(BM20:BR20)</f>
        <v>0</v>
      </c>
      <c r="BT20" s="1633">
        <f>+BL20+BS20</f>
        <v>0</v>
      </c>
      <c r="BV20" s="1629" t="s">
        <v>5</v>
      </c>
      <c r="BW20" s="1630" t="s">
        <v>2558</v>
      </c>
      <c r="BX20" s="1631"/>
      <c r="BY20" s="1632"/>
      <c r="BZ20" s="1632"/>
      <c r="CA20" s="1632"/>
      <c r="CB20" s="1632"/>
      <c r="CC20" s="1632"/>
      <c r="CD20" s="1632"/>
      <c r="CE20" s="1622">
        <f>SUM(BY20:CD20)</f>
        <v>0</v>
      </c>
      <c r="CF20" s="1633">
        <f>+BX20+CE20</f>
        <v>0</v>
      </c>
    </row>
    <row r="21" spans="1:84" ht="21" customHeight="1" thickBot="1">
      <c r="A21" s="1930" t="s">
        <v>2559</v>
      </c>
      <c r="B21" s="1943"/>
      <c r="C21" s="1639">
        <f>SUM(C19:C20)</f>
        <v>0</v>
      </c>
      <c r="D21" s="1639">
        <f t="shared" ref="D21:K21" si="22">SUM(D19:D20)</f>
        <v>0</v>
      </c>
      <c r="E21" s="1639">
        <f t="shared" si="22"/>
        <v>0</v>
      </c>
      <c r="F21" s="1639">
        <f t="shared" si="22"/>
        <v>0</v>
      </c>
      <c r="G21" s="1639">
        <f t="shared" si="22"/>
        <v>0</v>
      </c>
      <c r="H21" s="1639">
        <f t="shared" si="22"/>
        <v>0</v>
      </c>
      <c r="I21" s="1639">
        <f t="shared" si="22"/>
        <v>0</v>
      </c>
      <c r="J21" s="1639">
        <f t="shared" si="22"/>
        <v>0</v>
      </c>
      <c r="K21" s="1640">
        <f t="shared" si="22"/>
        <v>0</v>
      </c>
      <c r="N21" s="1930" t="s">
        <v>2559</v>
      </c>
      <c r="O21" s="1943"/>
      <c r="P21" s="1639">
        <f>SUM(P19:P20)</f>
        <v>0</v>
      </c>
      <c r="Q21" s="1639">
        <f t="shared" ref="Q21:X21" si="23">SUM(Q19:Q20)</f>
        <v>0</v>
      </c>
      <c r="R21" s="1639">
        <f t="shared" si="23"/>
        <v>0</v>
      </c>
      <c r="S21" s="1639">
        <f t="shared" si="23"/>
        <v>0</v>
      </c>
      <c r="T21" s="1639">
        <f t="shared" si="23"/>
        <v>0</v>
      </c>
      <c r="U21" s="1639">
        <f t="shared" si="23"/>
        <v>0</v>
      </c>
      <c r="V21" s="1639">
        <f t="shared" si="23"/>
        <v>0</v>
      </c>
      <c r="W21" s="1639">
        <f t="shared" si="23"/>
        <v>0</v>
      </c>
      <c r="X21" s="1640">
        <f t="shared" si="23"/>
        <v>0</v>
      </c>
      <c r="Z21" s="1930" t="s">
        <v>2559</v>
      </c>
      <c r="AA21" s="1943"/>
      <c r="AB21" s="1639">
        <f>SUM(AB19:AB20)</f>
        <v>0</v>
      </c>
      <c r="AC21" s="1639">
        <f t="shared" ref="AC21:AJ21" si="24">SUM(AC19:AC20)</f>
        <v>0</v>
      </c>
      <c r="AD21" s="1639">
        <f t="shared" si="24"/>
        <v>0</v>
      </c>
      <c r="AE21" s="1639">
        <f t="shared" si="24"/>
        <v>0</v>
      </c>
      <c r="AF21" s="1639">
        <f t="shared" si="24"/>
        <v>0</v>
      </c>
      <c r="AG21" s="1639">
        <f t="shared" si="24"/>
        <v>0</v>
      </c>
      <c r="AH21" s="1639">
        <f t="shared" si="24"/>
        <v>0</v>
      </c>
      <c r="AI21" s="1639">
        <f t="shared" si="24"/>
        <v>0</v>
      </c>
      <c r="AJ21" s="1640">
        <f t="shared" si="24"/>
        <v>0</v>
      </c>
      <c r="AL21" s="1930" t="s">
        <v>2559</v>
      </c>
      <c r="AM21" s="1943"/>
      <c r="AN21" s="1639">
        <f>SUM(AN19:AN20)</f>
        <v>0</v>
      </c>
      <c r="AO21" s="1639">
        <f t="shared" ref="AO21:AV21" si="25">SUM(AO19:AO20)</f>
        <v>0</v>
      </c>
      <c r="AP21" s="1639">
        <f t="shared" si="25"/>
        <v>0</v>
      </c>
      <c r="AQ21" s="1639">
        <f t="shared" si="25"/>
        <v>0</v>
      </c>
      <c r="AR21" s="1639">
        <f t="shared" si="25"/>
        <v>0</v>
      </c>
      <c r="AS21" s="1639">
        <f t="shared" si="25"/>
        <v>0</v>
      </c>
      <c r="AT21" s="1639">
        <f t="shared" si="25"/>
        <v>0</v>
      </c>
      <c r="AU21" s="1639">
        <f t="shared" si="25"/>
        <v>0</v>
      </c>
      <c r="AV21" s="1640">
        <f t="shared" si="25"/>
        <v>0</v>
      </c>
      <c r="AX21" s="1930" t="s">
        <v>2559</v>
      </c>
      <c r="AY21" s="1943"/>
      <c r="AZ21" s="1639">
        <f>SUM(AZ19:AZ20)</f>
        <v>0</v>
      </c>
      <c r="BA21" s="1639">
        <f t="shared" ref="BA21:BH21" si="26">SUM(BA19:BA20)</f>
        <v>0</v>
      </c>
      <c r="BB21" s="1639">
        <f t="shared" si="26"/>
        <v>0</v>
      </c>
      <c r="BC21" s="1639">
        <f t="shared" si="26"/>
        <v>0</v>
      </c>
      <c r="BD21" s="1639">
        <f t="shared" si="26"/>
        <v>0</v>
      </c>
      <c r="BE21" s="1639">
        <f t="shared" si="26"/>
        <v>0</v>
      </c>
      <c r="BF21" s="1639">
        <f t="shared" si="26"/>
        <v>0</v>
      </c>
      <c r="BG21" s="1639">
        <f t="shared" si="26"/>
        <v>0</v>
      </c>
      <c r="BH21" s="1640">
        <f t="shared" si="26"/>
        <v>0</v>
      </c>
      <c r="BJ21" s="1930" t="s">
        <v>2559</v>
      </c>
      <c r="BK21" s="1943"/>
      <c r="BL21" s="1639">
        <f>SUM(BL19:BL20)</f>
        <v>0</v>
      </c>
      <c r="BM21" s="1639">
        <f t="shared" ref="BM21:BT21" si="27">SUM(BM19:BM20)</f>
        <v>0</v>
      </c>
      <c r="BN21" s="1639">
        <f t="shared" si="27"/>
        <v>0</v>
      </c>
      <c r="BO21" s="1639">
        <f t="shared" si="27"/>
        <v>0</v>
      </c>
      <c r="BP21" s="1639">
        <f t="shared" si="27"/>
        <v>0</v>
      </c>
      <c r="BQ21" s="1639">
        <f t="shared" si="27"/>
        <v>0</v>
      </c>
      <c r="BR21" s="1639">
        <f t="shared" si="27"/>
        <v>0</v>
      </c>
      <c r="BS21" s="1639">
        <f t="shared" si="27"/>
        <v>0</v>
      </c>
      <c r="BT21" s="1640">
        <f t="shared" si="27"/>
        <v>0</v>
      </c>
      <c r="BV21" s="1930" t="s">
        <v>2559</v>
      </c>
      <c r="BW21" s="1943"/>
      <c r="BX21" s="1639">
        <f>SUM(BX19:BX20)</f>
        <v>0</v>
      </c>
      <c r="BY21" s="1639">
        <f t="shared" ref="BY21:CF21" si="28">SUM(BY19:BY20)</f>
        <v>0</v>
      </c>
      <c r="BZ21" s="1639">
        <f t="shared" si="28"/>
        <v>0</v>
      </c>
      <c r="CA21" s="1639">
        <f t="shared" si="28"/>
        <v>0</v>
      </c>
      <c r="CB21" s="1639">
        <f t="shared" si="28"/>
        <v>0</v>
      </c>
      <c r="CC21" s="1639">
        <f t="shared" si="28"/>
        <v>0</v>
      </c>
      <c r="CD21" s="1639">
        <f t="shared" si="28"/>
        <v>0</v>
      </c>
      <c r="CE21" s="1639">
        <f t="shared" si="28"/>
        <v>0</v>
      </c>
      <c r="CF21" s="1640">
        <f t="shared" si="28"/>
        <v>0</v>
      </c>
    </row>
    <row r="22" spans="1:84" ht="21" customHeight="1" thickBot="1">
      <c r="A22" s="1930" t="s">
        <v>2560</v>
      </c>
      <c r="B22" s="1943"/>
      <c r="C22" s="1639">
        <f>+C17+C21</f>
        <v>66374</v>
      </c>
      <c r="D22" s="1639">
        <f t="shared" ref="D22:K22" si="29">+D17+D21</f>
        <v>12218</v>
      </c>
      <c r="E22" s="1639">
        <f t="shared" si="29"/>
        <v>7070</v>
      </c>
      <c r="F22" s="1639">
        <f t="shared" si="29"/>
        <v>1702</v>
      </c>
      <c r="G22" s="1639">
        <f t="shared" si="29"/>
        <v>24107</v>
      </c>
      <c r="H22" s="1639">
        <f t="shared" si="29"/>
        <v>5273</v>
      </c>
      <c r="I22" s="1639">
        <f t="shared" si="29"/>
        <v>49304</v>
      </c>
      <c r="J22" s="1639">
        <f t="shared" si="29"/>
        <v>99671</v>
      </c>
      <c r="K22" s="1640">
        <f t="shared" si="29"/>
        <v>166045</v>
      </c>
      <c r="N22" s="1930" t="s">
        <v>2560</v>
      </c>
      <c r="O22" s="1943"/>
      <c r="P22" s="1639">
        <f>+P17+P21</f>
        <v>63688892</v>
      </c>
      <c r="Q22" s="1639">
        <f t="shared" ref="Q22:X22" si="30">+Q17+Q21</f>
        <v>8456998</v>
      </c>
      <c r="R22" s="1639">
        <f t="shared" si="30"/>
        <v>4586609</v>
      </c>
      <c r="S22" s="1639">
        <f t="shared" si="30"/>
        <v>1109725</v>
      </c>
      <c r="T22" s="1639">
        <f t="shared" si="30"/>
        <v>23063877</v>
      </c>
      <c r="U22" s="1639">
        <f t="shared" si="30"/>
        <v>4598141</v>
      </c>
      <c r="V22" s="1639">
        <f t="shared" si="30"/>
        <v>45552218</v>
      </c>
      <c r="W22" s="1639">
        <f t="shared" si="30"/>
        <v>87367568</v>
      </c>
      <c r="X22" s="1640">
        <f t="shared" si="30"/>
        <v>151056460</v>
      </c>
      <c r="Z22" s="1930" t="s">
        <v>2560</v>
      </c>
      <c r="AA22" s="1943"/>
      <c r="AB22" s="1639">
        <f>+AB17+AB21</f>
        <v>1676402</v>
      </c>
      <c r="AC22" s="1639">
        <f t="shared" ref="AC22:AJ22" si="31">+AC17+AC21</f>
        <v>2564994</v>
      </c>
      <c r="AD22" s="1639">
        <f t="shared" si="31"/>
        <v>2049182</v>
      </c>
      <c r="AE22" s="1639">
        <f t="shared" si="31"/>
        <v>460637</v>
      </c>
      <c r="AF22" s="1639">
        <f t="shared" si="31"/>
        <v>824043</v>
      </c>
      <c r="AG22" s="1639">
        <f t="shared" si="31"/>
        <v>599627</v>
      </c>
      <c r="AH22" s="1639">
        <f t="shared" si="31"/>
        <v>26686</v>
      </c>
      <c r="AI22" s="1639">
        <f t="shared" si="31"/>
        <v>6525169</v>
      </c>
      <c r="AJ22" s="1640">
        <f t="shared" si="31"/>
        <v>8201571</v>
      </c>
      <c r="AL22" s="1930" t="s">
        <v>2560</v>
      </c>
      <c r="AM22" s="1943"/>
      <c r="AN22" s="1639">
        <f>+AN17+AN21</f>
        <v>809397</v>
      </c>
      <c r="AO22" s="1639">
        <f t="shared" ref="AO22:AV22" si="32">+AO17+AO21</f>
        <v>1164089</v>
      </c>
      <c r="AP22" s="1639">
        <f t="shared" si="32"/>
        <v>433704</v>
      </c>
      <c r="AQ22" s="1639">
        <f t="shared" si="32"/>
        <v>130588</v>
      </c>
      <c r="AR22" s="1639">
        <f t="shared" si="32"/>
        <v>219065</v>
      </c>
      <c r="AS22" s="1639">
        <f t="shared" si="32"/>
        <v>74666</v>
      </c>
      <c r="AT22" s="1639">
        <f t="shared" si="32"/>
        <v>3508886</v>
      </c>
      <c r="AU22" s="1639">
        <f t="shared" si="32"/>
        <v>5530998</v>
      </c>
      <c r="AV22" s="1640">
        <f t="shared" si="32"/>
        <v>6340395</v>
      </c>
      <c r="AX22" s="1930" t="s">
        <v>2560</v>
      </c>
      <c r="AY22" s="1943"/>
      <c r="AZ22" s="1639">
        <f>+AZ17+AZ21</f>
        <v>140644</v>
      </c>
      <c r="BA22" s="1639">
        <f t="shared" ref="BA22:BH22" si="33">+BA17+BA21</f>
        <v>17500</v>
      </c>
      <c r="BB22" s="1639">
        <f t="shared" si="33"/>
        <v>0</v>
      </c>
      <c r="BC22" s="1639">
        <f t="shared" si="33"/>
        <v>0</v>
      </c>
      <c r="BD22" s="1639">
        <f t="shared" si="33"/>
        <v>0</v>
      </c>
      <c r="BE22" s="1639">
        <f t="shared" si="33"/>
        <v>0</v>
      </c>
      <c r="BF22" s="1639">
        <f t="shared" si="33"/>
        <v>215652</v>
      </c>
      <c r="BG22" s="1639">
        <f t="shared" si="33"/>
        <v>233152</v>
      </c>
      <c r="BH22" s="1640">
        <f t="shared" si="33"/>
        <v>373796</v>
      </c>
      <c r="BJ22" s="1930" t="s">
        <v>2560</v>
      </c>
      <c r="BK22" s="1943"/>
      <c r="BL22" s="1639">
        <f>+BL17+BL21</f>
        <v>0</v>
      </c>
      <c r="BM22" s="1639">
        <f t="shared" ref="BM22:BT22" si="34">+BM17+BM21</f>
        <v>0</v>
      </c>
      <c r="BN22" s="1639">
        <f t="shared" si="34"/>
        <v>0</v>
      </c>
      <c r="BO22" s="1639">
        <f t="shared" si="34"/>
        <v>0</v>
      </c>
      <c r="BP22" s="1639">
        <f t="shared" si="34"/>
        <v>0</v>
      </c>
      <c r="BQ22" s="1639">
        <f t="shared" si="34"/>
        <v>0</v>
      </c>
      <c r="BR22" s="1639">
        <f t="shared" si="34"/>
        <v>0</v>
      </c>
      <c r="BS22" s="1639">
        <f t="shared" si="34"/>
        <v>0</v>
      </c>
      <c r="BT22" s="1640">
        <f t="shared" si="34"/>
        <v>0</v>
      </c>
      <c r="BV22" s="1930" t="s">
        <v>2560</v>
      </c>
      <c r="BW22" s="1943"/>
      <c r="BX22" s="1639">
        <f>+BX17+BX21</f>
        <v>58517</v>
      </c>
      <c r="BY22" s="1639">
        <f t="shared" ref="BY22:CF22" si="35">+BY17+BY21</f>
        <v>14323</v>
      </c>
      <c r="BZ22" s="1639">
        <f t="shared" si="35"/>
        <v>0</v>
      </c>
      <c r="CA22" s="1639">
        <f t="shared" si="35"/>
        <v>0</v>
      </c>
      <c r="CB22" s="1639">
        <f t="shared" si="35"/>
        <v>0</v>
      </c>
      <c r="CC22" s="1639">
        <f t="shared" si="35"/>
        <v>0</v>
      </c>
      <c r="CD22" s="1639">
        <f t="shared" si="35"/>
        <v>0</v>
      </c>
      <c r="CE22" s="1639">
        <f t="shared" si="35"/>
        <v>14323</v>
      </c>
      <c r="CF22" s="1640">
        <f t="shared" si="35"/>
        <v>72840</v>
      </c>
    </row>
    <row r="23" spans="1:84" s="1641" customFormat="1" ht="21" customHeight="1">
      <c r="A23" s="1592" t="s">
        <v>2561</v>
      </c>
    </row>
    <row r="24" spans="1:84" s="1641" customFormat="1" ht="21" hidden="1" customHeight="1">
      <c r="A24" s="1592"/>
    </row>
    <row r="25" spans="1:84" s="1641" customFormat="1" ht="21" hidden="1" customHeight="1">
      <c r="B25" s="1641" t="s">
        <v>2562</v>
      </c>
      <c r="C25" s="1641">
        <f>+ROUND(P25/1000,0)+ROUND(AB25/1000,0)+ROUND(AN25/1000,0)+ROUND(AZ25/1000,0)+ROUND(BL25/1000,0)+ROUND(BX25/1000,0)</f>
        <v>0</v>
      </c>
      <c r="D25" s="1641">
        <f t="shared" ref="D25:J29" si="36">+ROUND(Q25/1000,0)+ROUND(AC25/1000,0)+ROUND(AO25/1000,0)+ROUND(BA25/1000,0)+ROUND(BM25/1000,0)+ROUND(BY25/1000,0)</f>
        <v>0</v>
      </c>
      <c r="E25" s="1641">
        <f t="shared" si="36"/>
        <v>0</v>
      </c>
      <c r="F25" s="1641">
        <f t="shared" si="36"/>
        <v>0</v>
      </c>
      <c r="G25" s="1641">
        <f t="shared" si="36"/>
        <v>0</v>
      </c>
      <c r="H25" s="1641">
        <f t="shared" si="36"/>
        <v>0</v>
      </c>
      <c r="I25" s="1641">
        <f t="shared" si="36"/>
        <v>0</v>
      </c>
      <c r="J25" s="1641">
        <f t="shared" si="36"/>
        <v>0</v>
      </c>
      <c r="K25" s="1641">
        <f>+J25+C25</f>
        <v>0</v>
      </c>
      <c r="W25" s="1641">
        <f>SUM(Q25:V25)</f>
        <v>0</v>
      </c>
      <c r="X25" s="1641">
        <f>+P25+W25</f>
        <v>0</v>
      </c>
      <c r="AI25" s="1641">
        <f>SUM(AC25:AH25)</f>
        <v>0</v>
      </c>
      <c r="AJ25" s="1641">
        <f>+AB25+AI25</f>
        <v>0</v>
      </c>
      <c r="AU25" s="1641">
        <f>SUM(AO25:AT25)</f>
        <v>0</v>
      </c>
      <c r="AV25" s="1641">
        <f>+AN25+AU25</f>
        <v>0</v>
      </c>
      <c r="BG25" s="1641">
        <f>SUM(BA25:BF25)</f>
        <v>0</v>
      </c>
      <c r="BH25" s="1641">
        <f>+AZ25+BG25</f>
        <v>0</v>
      </c>
    </row>
    <row r="26" spans="1:84" ht="21" hidden="1" customHeight="1">
      <c r="B26" s="1592" t="s">
        <v>2563</v>
      </c>
      <c r="C26" s="1592">
        <f>+ROUND(P26/1000,0)+ROUND(AB26/1000,0)+ROUND(AN26/1000,0)+ROUND(AZ26/1000,0)+ROUND(BL26/1000,0)+ROUND(BX26/1000,0)</f>
        <v>0</v>
      </c>
      <c r="D26" s="1592">
        <f t="shared" si="36"/>
        <v>0</v>
      </c>
      <c r="E26" s="1592">
        <f t="shared" si="36"/>
        <v>0</v>
      </c>
      <c r="F26" s="1592">
        <f t="shared" si="36"/>
        <v>0</v>
      </c>
      <c r="G26" s="1592">
        <f t="shared" si="36"/>
        <v>0</v>
      </c>
      <c r="H26" s="1592">
        <f t="shared" si="36"/>
        <v>0</v>
      </c>
      <c r="I26" s="1592">
        <f t="shared" si="36"/>
        <v>0</v>
      </c>
      <c r="J26" s="1641">
        <f t="shared" si="36"/>
        <v>0</v>
      </c>
      <c r="K26" s="1642">
        <f>+J26+C26</f>
        <v>0</v>
      </c>
      <c r="W26" s="1592">
        <f>SUM(Q26:V26)</f>
        <v>0</v>
      </c>
      <c r="X26" s="1592">
        <f>+P26+W26</f>
        <v>0</v>
      </c>
      <c r="AI26" s="1592">
        <f>SUM(AC26:AH26)</f>
        <v>0</v>
      </c>
      <c r="AJ26" s="1592">
        <f>+AB26+AI26</f>
        <v>0</v>
      </c>
      <c r="AU26" s="1592">
        <f>SUM(AO26:AT26)</f>
        <v>0</v>
      </c>
      <c r="AV26" s="1592">
        <f>+AN26+AU26</f>
        <v>0</v>
      </c>
      <c r="BG26" s="1592">
        <f>SUM(BA26:BF26)</f>
        <v>0</v>
      </c>
      <c r="BH26" s="1592">
        <f>+AZ26+BG26</f>
        <v>0</v>
      </c>
    </row>
    <row r="27" spans="1:84" ht="21" hidden="1" customHeight="1">
      <c r="B27" s="1592" t="s">
        <v>2564</v>
      </c>
      <c r="C27" s="1592">
        <f>+ROUND(P27/1000,0)+ROUND(AB27/1000,0)+ROUND(AN27/1000,0)+ROUND(AZ27/1000,0)+ROUND(BL27/1000,0)+ROUND(BX27/1000,0)</f>
        <v>59455</v>
      </c>
      <c r="D27" s="1592">
        <f t="shared" si="36"/>
        <v>0</v>
      </c>
      <c r="E27" s="1592">
        <f t="shared" si="36"/>
        <v>209</v>
      </c>
      <c r="F27" s="1592">
        <f t="shared" si="36"/>
        <v>0</v>
      </c>
      <c r="G27" s="1592">
        <f t="shared" si="36"/>
        <v>19807</v>
      </c>
      <c r="H27" s="1592">
        <f t="shared" si="36"/>
        <v>0</v>
      </c>
      <c r="I27" s="1592">
        <f t="shared" si="36"/>
        <v>8137</v>
      </c>
      <c r="J27" s="1643">
        <f t="shared" si="36"/>
        <v>28153</v>
      </c>
      <c r="K27" s="1641">
        <f>+J27+C27</f>
        <v>87608</v>
      </c>
      <c r="P27" s="1592">
        <f>43736900-19807000+35525000</f>
        <v>59454900</v>
      </c>
      <c r="R27" s="1592">
        <v>209121</v>
      </c>
      <c r="T27" s="1592">
        <f>0+19807000</f>
        <v>19807000</v>
      </c>
      <c r="V27" s="1592">
        <f>43661574-35525000</f>
        <v>8136574</v>
      </c>
      <c r="W27" s="1592">
        <f>SUM(Q27:V27)</f>
        <v>28152695</v>
      </c>
      <c r="X27" s="1592">
        <f>+P27+W27</f>
        <v>87607595</v>
      </c>
      <c r="AI27" s="1592">
        <f>SUM(AC27:AH27)</f>
        <v>0</v>
      </c>
      <c r="AJ27" s="1592">
        <f>+AB27+AI27</f>
        <v>0</v>
      </c>
      <c r="AU27" s="1592">
        <f>SUM(AO27:AT27)</f>
        <v>0</v>
      </c>
      <c r="AV27" s="1592">
        <f>+AN27+AU27</f>
        <v>0</v>
      </c>
      <c r="BG27" s="1592">
        <f>SUM(BA27:BF27)</f>
        <v>0</v>
      </c>
      <c r="BH27" s="1592">
        <f>+AZ27+BG27</f>
        <v>0</v>
      </c>
    </row>
    <row r="28" spans="1:84" ht="21" hidden="1" customHeight="1">
      <c r="B28" s="1592" t="s">
        <v>2565</v>
      </c>
      <c r="C28" s="1592">
        <f>+ROUND(P28/1000,0)+ROUND(AB28/1000,0)+ROUND(AN28/1000,0)+ROUND(AZ28/1000,0)+ROUND(BL28/1000,0)+ROUND(BX28/1000,0)</f>
        <v>0</v>
      </c>
      <c r="D28" s="1592">
        <f t="shared" si="36"/>
        <v>0</v>
      </c>
      <c r="E28" s="1592">
        <f t="shared" si="36"/>
        <v>0</v>
      </c>
      <c r="F28" s="1592">
        <f t="shared" si="36"/>
        <v>0</v>
      </c>
      <c r="G28" s="1592">
        <f t="shared" si="36"/>
        <v>0</v>
      </c>
      <c r="H28" s="1592">
        <f t="shared" si="36"/>
        <v>0</v>
      </c>
      <c r="I28" s="1592">
        <f t="shared" si="36"/>
        <v>0</v>
      </c>
      <c r="J28" s="1641">
        <f t="shared" si="36"/>
        <v>0</v>
      </c>
      <c r="K28" s="1641">
        <f>+J28+C28</f>
        <v>0</v>
      </c>
      <c r="W28" s="1592">
        <f>SUM(Q28:V28)</f>
        <v>0</v>
      </c>
      <c r="X28" s="1592">
        <f>+P28+W28</f>
        <v>0</v>
      </c>
      <c r="AI28" s="1592">
        <f>SUM(AC28:AH28)</f>
        <v>0</v>
      </c>
      <c r="AJ28" s="1592">
        <f>+AB28+AI28</f>
        <v>0</v>
      </c>
      <c r="AU28" s="1592">
        <f>SUM(AO28:AT28)</f>
        <v>0</v>
      </c>
      <c r="AV28" s="1592">
        <f>+AN28+AU28</f>
        <v>0</v>
      </c>
      <c r="BG28" s="1592">
        <f>SUM(BA28:BF28)</f>
        <v>0</v>
      </c>
      <c r="BH28" s="1592">
        <f>+AZ28+BG28</f>
        <v>0</v>
      </c>
    </row>
    <row r="29" spans="1:84" ht="21" hidden="1" customHeight="1">
      <c r="B29" s="1592" t="s">
        <v>2566</v>
      </c>
      <c r="C29" s="1592">
        <f>+ROUND(P29/1000,0)+ROUND(AB29/1000,0)+ROUND(AN29/1000,0)+ROUND(AZ29/1000,0)+ROUND(BL29/1000,0)+ROUND(BX29/1000,0)</f>
        <v>0</v>
      </c>
      <c r="D29" s="1592">
        <f t="shared" si="36"/>
        <v>0</v>
      </c>
      <c r="E29" s="1592">
        <f t="shared" si="36"/>
        <v>0</v>
      </c>
      <c r="F29" s="1592">
        <f t="shared" si="36"/>
        <v>0</v>
      </c>
      <c r="G29" s="1592">
        <f t="shared" si="36"/>
        <v>0</v>
      </c>
      <c r="H29" s="1592">
        <f t="shared" si="36"/>
        <v>0</v>
      </c>
      <c r="I29" s="1592">
        <f t="shared" si="36"/>
        <v>0</v>
      </c>
      <c r="J29" s="1641">
        <f t="shared" si="36"/>
        <v>0</v>
      </c>
      <c r="K29" s="1642">
        <f>+J29+C29</f>
        <v>0</v>
      </c>
      <c r="W29" s="1592">
        <f>SUM(Q29:V29)</f>
        <v>0</v>
      </c>
      <c r="X29" s="1592">
        <f>+P29+W29</f>
        <v>0</v>
      </c>
      <c r="AI29" s="1592">
        <f>SUM(AC29:AH29)</f>
        <v>0</v>
      </c>
      <c r="AJ29" s="1592">
        <f>+AB29+AI29</f>
        <v>0</v>
      </c>
      <c r="AU29" s="1592">
        <f>SUM(AO29:AT29)</f>
        <v>0</v>
      </c>
      <c r="AV29" s="1592">
        <f>+AN29+AU29</f>
        <v>0</v>
      </c>
      <c r="BG29" s="1592">
        <f>SUM(BA29:BF29)</f>
        <v>0</v>
      </c>
      <c r="BH29" s="1592">
        <f>+AZ29+BG29</f>
        <v>0</v>
      </c>
    </row>
    <row r="30" spans="1:84" ht="21" hidden="1" customHeight="1">
      <c r="C30" s="1592">
        <f>SUM(C25:C29)</f>
        <v>59455</v>
      </c>
      <c r="D30" s="1592">
        <f t="shared" ref="D30:J30" si="37">SUM(D25:D29)</f>
        <v>0</v>
      </c>
      <c r="E30" s="1592">
        <f t="shared" si="37"/>
        <v>209</v>
      </c>
      <c r="F30" s="1592">
        <f t="shared" si="37"/>
        <v>0</v>
      </c>
      <c r="G30" s="1592">
        <f t="shared" si="37"/>
        <v>19807</v>
      </c>
      <c r="H30" s="1592">
        <f t="shared" si="37"/>
        <v>0</v>
      </c>
      <c r="I30" s="1592">
        <f t="shared" si="37"/>
        <v>8137</v>
      </c>
      <c r="J30" s="1592">
        <f t="shared" si="37"/>
        <v>28153</v>
      </c>
      <c r="K30" s="1592">
        <f>SUM(K25:K29)</f>
        <v>87608</v>
      </c>
      <c r="P30" s="1592">
        <f t="shared" ref="P30:X30" si="38">SUM(P25:P29)</f>
        <v>59454900</v>
      </c>
      <c r="Q30" s="1592">
        <f t="shared" si="38"/>
        <v>0</v>
      </c>
      <c r="R30" s="1592">
        <f t="shared" si="38"/>
        <v>209121</v>
      </c>
      <c r="S30" s="1592">
        <f t="shared" si="38"/>
        <v>0</v>
      </c>
      <c r="T30" s="1592">
        <f t="shared" si="38"/>
        <v>19807000</v>
      </c>
      <c r="U30" s="1592">
        <f t="shared" si="38"/>
        <v>0</v>
      </c>
      <c r="V30" s="1592">
        <f t="shared" si="38"/>
        <v>8136574</v>
      </c>
      <c r="W30" s="1592">
        <f t="shared" si="38"/>
        <v>28152695</v>
      </c>
      <c r="X30" s="1592">
        <f t="shared" si="38"/>
        <v>87607595</v>
      </c>
      <c r="AB30" s="1592">
        <f t="shared" ref="AB30:AJ30" si="39">SUM(AB25:AB29)</f>
        <v>0</v>
      </c>
      <c r="AC30" s="1592">
        <f t="shared" si="39"/>
        <v>0</v>
      </c>
      <c r="AD30" s="1592">
        <f t="shared" si="39"/>
        <v>0</v>
      </c>
      <c r="AE30" s="1592">
        <f t="shared" si="39"/>
        <v>0</v>
      </c>
      <c r="AF30" s="1592">
        <f t="shared" si="39"/>
        <v>0</v>
      </c>
      <c r="AG30" s="1592">
        <f t="shared" si="39"/>
        <v>0</v>
      </c>
      <c r="AH30" s="1592">
        <f t="shared" si="39"/>
        <v>0</v>
      </c>
      <c r="AI30" s="1592">
        <f t="shared" si="39"/>
        <v>0</v>
      </c>
      <c r="AJ30" s="1592">
        <f t="shared" si="39"/>
        <v>0</v>
      </c>
      <c r="AN30" s="1592">
        <f t="shared" ref="AN30:AV30" si="40">SUM(AN25:AN29)</f>
        <v>0</v>
      </c>
      <c r="AO30" s="1592">
        <f t="shared" si="40"/>
        <v>0</v>
      </c>
      <c r="AP30" s="1592">
        <f t="shared" si="40"/>
        <v>0</v>
      </c>
      <c r="AQ30" s="1592">
        <f t="shared" si="40"/>
        <v>0</v>
      </c>
      <c r="AR30" s="1592">
        <f t="shared" si="40"/>
        <v>0</v>
      </c>
      <c r="AS30" s="1592">
        <f t="shared" si="40"/>
        <v>0</v>
      </c>
      <c r="AT30" s="1592">
        <f t="shared" si="40"/>
        <v>0</v>
      </c>
      <c r="AU30" s="1592">
        <f t="shared" si="40"/>
        <v>0</v>
      </c>
      <c r="AV30" s="1592">
        <f t="shared" si="40"/>
        <v>0</v>
      </c>
      <c r="AZ30" s="1592">
        <f t="shared" ref="AZ30:BH30" si="41">SUM(AZ25:AZ29)</f>
        <v>0</v>
      </c>
      <c r="BA30" s="1592">
        <f t="shared" si="41"/>
        <v>0</v>
      </c>
      <c r="BB30" s="1592">
        <f t="shared" si="41"/>
        <v>0</v>
      </c>
      <c r="BC30" s="1592">
        <f t="shared" si="41"/>
        <v>0</v>
      </c>
      <c r="BD30" s="1592">
        <f t="shared" si="41"/>
        <v>0</v>
      </c>
      <c r="BE30" s="1592">
        <f t="shared" si="41"/>
        <v>0</v>
      </c>
      <c r="BF30" s="1592">
        <f t="shared" si="41"/>
        <v>0</v>
      </c>
      <c r="BG30" s="1592">
        <f t="shared" si="41"/>
        <v>0</v>
      </c>
      <c r="BH30" s="1592">
        <f t="shared" si="41"/>
        <v>0</v>
      </c>
      <c r="BL30" s="1592">
        <f t="shared" ref="BL30:BT30" si="42">SUM(BL25:BL29)</f>
        <v>0</v>
      </c>
      <c r="BM30" s="1592">
        <f t="shared" si="42"/>
        <v>0</v>
      </c>
      <c r="BN30" s="1592">
        <f t="shared" si="42"/>
        <v>0</v>
      </c>
      <c r="BO30" s="1592">
        <f t="shared" si="42"/>
        <v>0</v>
      </c>
      <c r="BP30" s="1592">
        <f t="shared" si="42"/>
        <v>0</v>
      </c>
      <c r="BQ30" s="1592">
        <f t="shared" si="42"/>
        <v>0</v>
      </c>
      <c r="BR30" s="1592">
        <f t="shared" si="42"/>
        <v>0</v>
      </c>
      <c r="BS30" s="1592">
        <f t="shared" si="42"/>
        <v>0</v>
      </c>
      <c r="BT30" s="1592">
        <f t="shared" si="42"/>
        <v>0</v>
      </c>
      <c r="BX30" s="1592">
        <f t="shared" ref="BX30:CF30" si="43">SUM(BX25:BX29)</f>
        <v>0</v>
      </c>
      <c r="BY30" s="1592">
        <f t="shared" si="43"/>
        <v>0</v>
      </c>
      <c r="BZ30" s="1592">
        <f t="shared" si="43"/>
        <v>0</v>
      </c>
      <c r="CA30" s="1592">
        <f t="shared" si="43"/>
        <v>0</v>
      </c>
      <c r="CB30" s="1592">
        <f t="shared" si="43"/>
        <v>0</v>
      </c>
      <c r="CC30" s="1592">
        <f t="shared" si="43"/>
        <v>0</v>
      </c>
      <c r="CD30" s="1592">
        <f t="shared" si="43"/>
        <v>0</v>
      </c>
      <c r="CE30" s="1592">
        <f t="shared" si="43"/>
        <v>0</v>
      </c>
      <c r="CF30" s="1592">
        <f t="shared" si="43"/>
        <v>0</v>
      </c>
    </row>
    <row r="31" spans="1:84" ht="21" hidden="1" customHeight="1">
      <c r="B31" s="1592" t="s">
        <v>2567</v>
      </c>
      <c r="C31" s="1592">
        <f t="shared" ref="C31:K31" si="44">+C22-C30</f>
        <v>6919</v>
      </c>
      <c r="D31" s="1592">
        <f t="shared" si="44"/>
        <v>12218</v>
      </c>
      <c r="E31" s="1592">
        <f t="shared" si="44"/>
        <v>6861</v>
      </c>
      <c r="F31" s="1592">
        <f t="shared" si="44"/>
        <v>1702</v>
      </c>
      <c r="G31" s="1592">
        <f t="shared" si="44"/>
        <v>4300</v>
      </c>
      <c r="H31" s="1592">
        <f t="shared" si="44"/>
        <v>5273</v>
      </c>
      <c r="I31" s="1592">
        <f t="shared" si="44"/>
        <v>41167</v>
      </c>
      <c r="J31" s="1644">
        <f t="shared" si="44"/>
        <v>71518</v>
      </c>
      <c r="K31" s="1592">
        <f t="shared" si="44"/>
        <v>78437</v>
      </c>
      <c r="P31" s="1592">
        <f t="shared" ref="P31:X31" si="45">+P22-P30</f>
        <v>4233992</v>
      </c>
      <c r="Q31" s="1592">
        <f t="shared" si="45"/>
        <v>8456998</v>
      </c>
      <c r="R31" s="1592">
        <f t="shared" si="45"/>
        <v>4377488</v>
      </c>
      <c r="S31" s="1592">
        <f t="shared" si="45"/>
        <v>1109725</v>
      </c>
      <c r="T31" s="1592">
        <f t="shared" si="45"/>
        <v>3256877</v>
      </c>
      <c r="U31" s="1592">
        <f t="shared" si="45"/>
        <v>4598141</v>
      </c>
      <c r="V31" s="1592">
        <f t="shared" si="45"/>
        <v>37415644</v>
      </c>
      <c r="W31" s="1592">
        <f t="shared" si="45"/>
        <v>59214873</v>
      </c>
      <c r="X31" s="1592">
        <f t="shared" si="45"/>
        <v>63448865</v>
      </c>
      <c r="AB31" s="1592">
        <f t="shared" ref="AB31:AJ31" si="46">+AB22-AB30</f>
        <v>1676402</v>
      </c>
      <c r="AC31" s="1592">
        <f t="shared" si="46"/>
        <v>2564994</v>
      </c>
      <c r="AD31" s="1592">
        <f t="shared" si="46"/>
        <v>2049182</v>
      </c>
      <c r="AE31" s="1592">
        <f t="shared" si="46"/>
        <v>460637</v>
      </c>
      <c r="AF31" s="1592">
        <f t="shared" si="46"/>
        <v>824043</v>
      </c>
      <c r="AG31" s="1592">
        <f t="shared" si="46"/>
        <v>599627</v>
      </c>
      <c r="AH31" s="1592">
        <f t="shared" si="46"/>
        <v>26686</v>
      </c>
      <c r="AI31" s="1592">
        <f t="shared" si="46"/>
        <v>6525169</v>
      </c>
      <c r="AJ31" s="1592">
        <f t="shared" si="46"/>
        <v>8201571</v>
      </c>
      <c r="AN31" s="1592">
        <f t="shared" ref="AN31:AV31" si="47">+AN22-AN30</f>
        <v>809397</v>
      </c>
      <c r="AO31" s="1592">
        <f t="shared" si="47"/>
        <v>1164089</v>
      </c>
      <c r="AP31" s="1592">
        <f t="shared" si="47"/>
        <v>433704</v>
      </c>
      <c r="AQ31" s="1592">
        <f t="shared" si="47"/>
        <v>130588</v>
      </c>
      <c r="AR31" s="1592">
        <f t="shared" si="47"/>
        <v>219065</v>
      </c>
      <c r="AS31" s="1592">
        <f t="shared" si="47"/>
        <v>74666</v>
      </c>
      <c r="AT31" s="1592">
        <f t="shared" si="47"/>
        <v>3508886</v>
      </c>
      <c r="AU31" s="1592">
        <f t="shared" si="47"/>
        <v>5530998</v>
      </c>
      <c r="AV31" s="1592">
        <f t="shared" si="47"/>
        <v>6340395</v>
      </c>
      <c r="AZ31" s="1592">
        <f t="shared" ref="AZ31:BH31" si="48">+AZ22-AZ30</f>
        <v>140644</v>
      </c>
      <c r="BA31" s="1592">
        <f t="shared" si="48"/>
        <v>17500</v>
      </c>
      <c r="BB31" s="1592">
        <f t="shared" si="48"/>
        <v>0</v>
      </c>
      <c r="BC31" s="1592">
        <f t="shared" si="48"/>
        <v>0</v>
      </c>
      <c r="BD31" s="1592">
        <f t="shared" si="48"/>
        <v>0</v>
      </c>
      <c r="BE31" s="1592">
        <f t="shared" si="48"/>
        <v>0</v>
      </c>
      <c r="BF31" s="1592">
        <f t="shared" si="48"/>
        <v>215652</v>
      </c>
      <c r="BG31" s="1592">
        <f t="shared" si="48"/>
        <v>233152</v>
      </c>
      <c r="BH31" s="1592">
        <f t="shared" si="48"/>
        <v>373796</v>
      </c>
      <c r="BL31" s="1592">
        <f t="shared" ref="BL31:BT31" si="49">+BL22-BL30</f>
        <v>0</v>
      </c>
      <c r="BM31" s="1592">
        <f t="shared" si="49"/>
        <v>0</v>
      </c>
      <c r="BN31" s="1592">
        <f t="shared" si="49"/>
        <v>0</v>
      </c>
      <c r="BO31" s="1592">
        <f t="shared" si="49"/>
        <v>0</v>
      </c>
      <c r="BP31" s="1592">
        <f t="shared" si="49"/>
        <v>0</v>
      </c>
      <c r="BQ31" s="1592">
        <f t="shared" si="49"/>
        <v>0</v>
      </c>
      <c r="BR31" s="1592">
        <f t="shared" si="49"/>
        <v>0</v>
      </c>
      <c r="BS31" s="1592">
        <f t="shared" si="49"/>
        <v>0</v>
      </c>
      <c r="BT31" s="1592">
        <f t="shared" si="49"/>
        <v>0</v>
      </c>
      <c r="BX31" s="1592">
        <f t="shared" ref="BX31:CF31" si="50">+BX22-BX30</f>
        <v>58517</v>
      </c>
      <c r="BY31" s="1592">
        <f t="shared" si="50"/>
        <v>14323</v>
      </c>
      <c r="BZ31" s="1592">
        <f t="shared" si="50"/>
        <v>0</v>
      </c>
      <c r="CA31" s="1592">
        <f t="shared" si="50"/>
        <v>0</v>
      </c>
      <c r="CB31" s="1592">
        <f t="shared" si="50"/>
        <v>0</v>
      </c>
      <c r="CC31" s="1592">
        <f t="shared" si="50"/>
        <v>0</v>
      </c>
      <c r="CD31" s="1592">
        <f t="shared" si="50"/>
        <v>0</v>
      </c>
      <c r="CE31" s="1592">
        <f t="shared" si="50"/>
        <v>14323</v>
      </c>
      <c r="CF31" s="1592">
        <f t="shared" si="50"/>
        <v>72840</v>
      </c>
    </row>
    <row r="32" spans="1:84" ht="21" hidden="1" customHeight="1"/>
    <row r="33" spans="2:84" ht="21" hidden="1" customHeight="1">
      <c r="B33" s="1592" t="s">
        <v>2568</v>
      </c>
      <c r="C33" s="1592">
        <f t="shared" ref="C33:K35" si="51">+ROUND(P33/1000,0)+ROUND(AB33/1000,0)+ROUND(AN33/1000,0)+ROUND(AZ33/1000,0)+ROUND(BL33/1000,0)+ROUND(BX33/1000,0)</f>
        <v>60121</v>
      </c>
      <c r="D33" s="1592">
        <f t="shared" si="51"/>
        <v>12218</v>
      </c>
      <c r="E33" s="1592">
        <f t="shared" si="51"/>
        <v>7070</v>
      </c>
      <c r="F33" s="1592">
        <f t="shared" si="51"/>
        <v>1702</v>
      </c>
      <c r="G33" s="1592">
        <f t="shared" si="51"/>
        <v>24107</v>
      </c>
      <c r="H33" s="1592">
        <f t="shared" si="51"/>
        <v>5273</v>
      </c>
      <c r="I33" s="1592">
        <f t="shared" si="51"/>
        <v>49304</v>
      </c>
      <c r="J33" s="1592">
        <f t="shared" si="51"/>
        <v>99671</v>
      </c>
      <c r="K33" s="1592">
        <f t="shared" si="51"/>
        <v>159791</v>
      </c>
      <c r="L33" s="1592">
        <f>+K33-K26-K29</f>
        <v>159791</v>
      </c>
      <c r="M33" s="1592">
        <f>+L33-K28</f>
        <v>159791</v>
      </c>
      <c r="P33" s="1592">
        <f t="shared" ref="P33:V33" si="52">+P22-P34</f>
        <v>59691789</v>
      </c>
      <c r="Q33" s="1592">
        <f t="shared" si="52"/>
        <v>8456998</v>
      </c>
      <c r="R33" s="1592">
        <f t="shared" si="52"/>
        <v>4586609</v>
      </c>
      <c r="S33" s="1592">
        <f t="shared" si="52"/>
        <v>1109725</v>
      </c>
      <c r="T33" s="1592">
        <f t="shared" si="52"/>
        <v>23063877</v>
      </c>
      <c r="U33" s="1592">
        <f t="shared" si="52"/>
        <v>4598141</v>
      </c>
      <c r="V33" s="1592">
        <f t="shared" si="52"/>
        <v>45552218</v>
      </c>
      <c r="W33" s="1641">
        <f>SUM(Q33:V33)</f>
        <v>87367568</v>
      </c>
      <c r="X33" s="1641">
        <f>+P33+W33</f>
        <v>147059357</v>
      </c>
      <c r="AB33" s="1592">
        <f t="shared" ref="AB33:AH33" si="53">+AB22-AB34</f>
        <v>372826</v>
      </c>
      <c r="AC33" s="1592">
        <f t="shared" si="53"/>
        <v>2564994</v>
      </c>
      <c r="AD33" s="1592">
        <f t="shared" si="53"/>
        <v>2049182</v>
      </c>
      <c r="AE33" s="1592">
        <f t="shared" si="53"/>
        <v>460637</v>
      </c>
      <c r="AF33" s="1592">
        <f t="shared" si="53"/>
        <v>824043</v>
      </c>
      <c r="AG33" s="1592">
        <f t="shared" si="53"/>
        <v>599627</v>
      </c>
      <c r="AH33" s="1592">
        <f t="shared" si="53"/>
        <v>26686</v>
      </c>
      <c r="AI33" s="1641">
        <f>SUM(AC33:AH33)</f>
        <v>6525169</v>
      </c>
      <c r="AJ33" s="1641">
        <f>+AB33+AI33</f>
        <v>6897995</v>
      </c>
      <c r="AN33" s="1592">
        <f t="shared" ref="AN33:AT33" si="54">+AN22-AN34</f>
        <v>35715</v>
      </c>
      <c r="AO33" s="1592">
        <f t="shared" si="54"/>
        <v>1164089</v>
      </c>
      <c r="AP33" s="1592">
        <f t="shared" si="54"/>
        <v>433704</v>
      </c>
      <c r="AQ33" s="1592">
        <f t="shared" si="54"/>
        <v>130588</v>
      </c>
      <c r="AR33" s="1592">
        <f t="shared" si="54"/>
        <v>219065</v>
      </c>
      <c r="AS33" s="1592">
        <f t="shared" si="54"/>
        <v>74666</v>
      </c>
      <c r="AT33" s="1592">
        <f t="shared" si="54"/>
        <v>3508886</v>
      </c>
      <c r="AU33" s="1641">
        <f>SUM(AO33:AT33)</f>
        <v>5530998</v>
      </c>
      <c r="AV33" s="1641">
        <f>+AN33+AU33</f>
        <v>5566713</v>
      </c>
      <c r="AZ33" s="1592">
        <f t="shared" ref="AZ33:BF33" si="55">+AZ22-AZ34</f>
        <v>0</v>
      </c>
      <c r="BA33" s="1592">
        <f t="shared" si="55"/>
        <v>17500</v>
      </c>
      <c r="BB33" s="1592">
        <f t="shared" si="55"/>
        <v>0</v>
      </c>
      <c r="BC33" s="1592">
        <f t="shared" si="55"/>
        <v>0</v>
      </c>
      <c r="BD33" s="1592">
        <f t="shared" si="55"/>
        <v>0</v>
      </c>
      <c r="BE33" s="1592">
        <f t="shared" si="55"/>
        <v>0</v>
      </c>
      <c r="BF33" s="1592">
        <f t="shared" si="55"/>
        <v>215652</v>
      </c>
      <c r="BG33" s="1641">
        <f>SUM(BA33:BF33)</f>
        <v>233152</v>
      </c>
      <c r="BH33" s="1641">
        <f>+AZ33+BG33</f>
        <v>233152</v>
      </c>
      <c r="BL33" s="1592">
        <f t="shared" ref="BL33:BR33" si="56">+BL22-BL34</f>
        <v>0</v>
      </c>
      <c r="BM33" s="1592">
        <f t="shared" si="56"/>
        <v>0</v>
      </c>
      <c r="BN33" s="1592">
        <f t="shared" si="56"/>
        <v>0</v>
      </c>
      <c r="BO33" s="1592">
        <f t="shared" si="56"/>
        <v>0</v>
      </c>
      <c r="BP33" s="1592">
        <f t="shared" si="56"/>
        <v>0</v>
      </c>
      <c r="BQ33" s="1592">
        <f t="shared" si="56"/>
        <v>0</v>
      </c>
      <c r="BR33" s="1592">
        <f t="shared" si="56"/>
        <v>0</v>
      </c>
      <c r="BS33" s="1641">
        <f>SUM(BM33:BR33)</f>
        <v>0</v>
      </c>
      <c r="BT33" s="1641">
        <f>+BL33+BS33</f>
        <v>0</v>
      </c>
      <c r="BX33" s="1592">
        <f t="shared" ref="BX33:CD33" si="57">+BX22-BX34</f>
        <v>19797</v>
      </c>
      <c r="BY33" s="1592">
        <f t="shared" si="57"/>
        <v>14323</v>
      </c>
      <c r="BZ33" s="1592">
        <f t="shared" si="57"/>
        <v>0</v>
      </c>
      <c r="CA33" s="1592">
        <f t="shared" si="57"/>
        <v>0</v>
      </c>
      <c r="CB33" s="1592">
        <f t="shared" si="57"/>
        <v>0</v>
      </c>
      <c r="CC33" s="1592">
        <f t="shared" si="57"/>
        <v>0</v>
      </c>
      <c r="CD33" s="1592">
        <f t="shared" si="57"/>
        <v>0</v>
      </c>
      <c r="CE33" s="1641">
        <f>SUM(BY33:CD33)</f>
        <v>14323</v>
      </c>
      <c r="CF33" s="1641">
        <f>+BX33+CE33</f>
        <v>34120</v>
      </c>
    </row>
    <row r="34" spans="2:84" ht="21" hidden="1" customHeight="1">
      <c r="B34" s="1592" t="s">
        <v>2569</v>
      </c>
      <c r="C34" s="1592">
        <f t="shared" si="51"/>
        <v>6255</v>
      </c>
      <c r="D34" s="1592">
        <f t="shared" si="51"/>
        <v>0</v>
      </c>
      <c r="E34" s="1592">
        <f t="shared" si="51"/>
        <v>0</v>
      </c>
      <c r="F34" s="1592">
        <f t="shared" si="51"/>
        <v>0</v>
      </c>
      <c r="G34" s="1592">
        <f t="shared" si="51"/>
        <v>0</v>
      </c>
      <c r="H34" s="1592">
        <f t="shared" si="51"/>
        <v>0</v>
      </c>
      <c r="I34" s="1592">
        <f t="shared" si="51"/>
        <v>0</v>
      </c>
      <c r="J34" s="1592">
        <f t="shared" si="51"/>
        <v>0</v>
      </c>
      <c r="K34" s="1592">
        <f t="shared" si="51"/>
        <v>6255</v>
      </c>
      <c r="P34" s="1592">
        <f>3273948+723155</f>
        <v>3997103</v>
      </c>
      <c r="W34" s="1641">
        <f>SUM(Q34:V34)</f>
        <v>0</v>
      </c>
      <c r="X34" s="1641">
        <f>+P34+W34</f>
        <v>3997103</v>
      </c>
      <c r="AB34" s="1592">
        <v>1303576</v>
      </c>
      <c r="AI34" s="1641">
        <f>SUM(AC34:AH34)</f>
        <v>0</v>
      </c>
      <c r="AJ34" s="1641">
        <f>+AB34+AI34</f>
        <v>1303576</v>
      </c>
      <c r="AN34" s="1592">
        <v>773682</v>
      </c>
      <c r="AU34" s="1641">
        <f>SUM(AO34:AT34)</f>
        <v>0</v>
      </c>
      <c r="AV34" s="1641">
        <f>+AN34+AU34</f>
        <v>773682</v>
      </c>
      <c r="AZ34" s="1592">
        <v>140644</v>
      </c>
      <c r="BG34" s="1641">
        <f>SUM(BA34:BF34)</f>
        <v>0</v>
      </c>
      <c r="BH34" s="1641">
        <f>+AZ34+BG34</f>
        <v>140644</v>
      </c>
      <c r="BS34" s="1641">
        <f>SUM(BM34:BR34)</f>
        <v>0</v>
      </c>
      <c r="BT34" s="1641">
        <f>+BL34+BS34</f>
        <v>0</v>
      </c>
      <c r="BX34" s="1592">
        <v>38720</v>
      </c>
      <c r="CE34" s="1641">
        <f>SUM(BY34:CD34)</f>
        <v>0</v>
      </c>
      <c r="CF34" s="1641">
        <f>+BX34+CE34</f>
        <v>38720</v>
      </c>
    </row>
    <row r="35" spans="2:84" ht="21" hidden="1" customHeight="1">
      <c r="B35" s="1592" t="s">
        <v>2569</v>
      </c>
      <c r="C35" s="1592">
        <f t="shared" si="51"/>
        <v>0</v>
      </c>
      <c r="D35" s="1592">
        <f t="shared" si="51"/>
        <v>0</v>
      </c>
      <c r="E35" s="1592">
        <f t="shared" si="51"/>
        <v>0</v>
      </c>
      <c r="F35" s="1592">
        <f t="shared" si="51"/>
        <v>0</v>
      </c>
      <c r="G35" s="1592">
        <f t="shared" si="51"/>
        <v>0</v>
      </c>
      <c r="H35" s="1592">
        <f t="shared" si="51"/>
        <v>0</v>
      </c>
      <c r="I35" s="1592">
        <f t="shared" si="51"/>
        <v>0</v>
      </c>
      <c r="J35" s="1592">
        <f t="shared" si="51"/>
        <v>0</v>
      </c>
      <c r="K35" s="1592">
        <f t="shared" si="51"/>
        <v>0</v>
      </c>
      <c r="W35" s="1641">
        <f>SUM(Q35:V35)</f>
        <v>0</v>
      </c>
      <c r="X35" s="1641">
        <f>+P35+W35</f>
        <v>0</v>
      </c>
      <c r="AI35" s="1641">
        <f>SUM(AC35:AH35)</f>
        <v>0</v>
      </c>
      <c r="AJ35" s="1641">
        <f>+AB35+AI35</f>
        <v>0</v>
      </c>
      <c r="AU35" s="1641">
        <f>SUM(AO35:AT35)</f>
        <v>0</v>
      </c>
      <c r="AV35" s="1641">
        <f>+AN35+AU35</f>
        <v>0</v>
      </c>
      <c r="BG35" s="1641">
        <f>SUM(BA35:BF35)</f>
        <v>0</v>
      </c>
      <c r="BH35" s="1641">
        <f>+AZ35+BG35</f>
        <v>0</v>
      </c>
      <c r="BS35" s="1641">
        <f>SUM(BM35:BR35)</f>
        <v>0</v>
      </c>
      <c r="BT35" s="1641">
        <f>+BL35+BS35</f>
        <v>0</v>
      </c>
      <c r="CE35" s="1641">
        <f>SUM(BY35:CD35)</f>
        <v>0</v>
      </c>
      <c r="CF35" s="1641">
        <f>+BX35+CE35</f>
        <v>0</v>
      </c>
    </row>
    <row r="36" spans="2:84" ht="21" hidden="1" customHeight="1"/>
    <row r="37" spans="2:84" ht="21" hidden="1" customHeight="1">
      <c r="J37" s="1592">
        <f>+J17-J26-J29</f>
        <v>99671</v>
      </c>
    </row>
    <row r="38" spans="2:84" ht="21" hidden="1" customHeight="1"/>
  </sheetData>
  <mergeCells count="73">
    <mergeCell ref="BJ22:BK22"/>
    <mergeCell ref="Z18:AJ18"/>
    <mergeCell ref="AL18:AV18"/>
    <mergeCell ref="AX18:BH18"/>
    <mergeCell ref="BJ18:BT18"/>
    <mergeCell ref="BV22:BW22"/>
    <mergeCell ref="A22:B22"/>
    <mergeCell ref="N22:O22"/>
    <mergeCell ref="Z22:AA22"/>
    <mergeCell ref="AL22:AM22"/>
    <mergeCell ref="AX22:AY22"/>
    <mergeCell ref="BV18:CF18"/>
    <mergeCell ref="A21:B21"/>
    <mergeCell ref="N21:O21"/>
    <mergeCell ref="Z21:AA21"/>
    <mergeCell ref="AL21:AM21"/>
    <mergeCell ref="AX21:AY21"/>
    <mergeCell ref="BJ21:BK21"/>
    <mergeCell ref="BV21:BW21"/>
    <mergeCell ref="A18:K18"/>
    <mergeCell ref="N18:X18"/>
    <mergeCell ref="A9:K9"/>
    <mergeCell ref="N9:X9"/>
    <mergeCell ref="Z9:AJ9"/>
    <mergeCell ref="AL9:AV9"/>
    <mergeCell ref="AX9:BH9"/>
    <mergeCell ref="BJ9:BT9"/>
    <mergeCell ref="BX6:BX7"/>
    <mergeCell ref="BY6:CE6"/>
    <mergeCell ref="BV9:CF9"/>
    <mergeCell ref="A17:B17"/>
    <mergeCell ref="N17:O17"/>
    <mergeCell ref="Z17:AA17"/>
    <mergeCell ref="AL17:AM17"/>
    <mergeCell ref="AX17:AY17"/>
    <mergeCell ref="BJ17:BK17"/>
    <mergeCell ref="BV17:BW17"/>
    <mergeCell ref="CF6:CF7"/>
    <mergeCell ref="BA6:BG6"/>
    <mergeCell ref="BH6:BH7"/>
    <mergeCell ref="BJ6:BJ7"/>
    <mergeCell ref="BK6:BK7"/>
    <mergeCell ref="BL6:BL7"/>
    <mergeCell ref="BM6:BS6"/>
    <mergeCell ref="BT6:BT7"/>
    <mergeCell ref="BV6:BV7"/>
    <mergeCell ref="BW6:BW7"/>
    <mergeCell ref="AM6:AM7"/>
    <mergeCell ref="AN6:AN7"/>
    <mergeCell ref="AO6:AU6"/>
    <mergeCell ref="AV6:AV7"/>
    <mergeCell ref="AX6:AX7"/>
    <mergeCell ref="AY6:AY7"/>
    <mergeCell ref="O6:O7"/>
    <mergeCell ref="P6:P7"/>
    <mergeCell ref="Q6:W6"/>
    <mergeCell ref="X6:X7"/>
    <mergeCell ref="AZ6:AZ7"/>
    <mergeCell ref="AA6:AA7"/>
    <mergeCell ref="AB6:AB7"/>
    <mergeCell ref="AC6:AI6"/>
    <mergeCell ref="AJ6:AJ7"/>
    <mergeCell ref="AL6:AL7"/>
    <mergeCell ref="Z6:Z7"/>
    <mergeCell ref="J1:K1"/>
    <mergeCell ref="A3:K3"/>
    <mergeCell ref="A4:K4"/>
    <mergeCell ref="A6:A7"/>
    <mergeCell ref="B6:B7"/>
    <mergeCell ref="C6:C7"/>
    <mergeCell ref="D6:J6"/>
    <mergeCell ref="K6:K7"/>
    <mergeCell ref="N6:N7"/>
  </mergeCells>
  <conditionalFormatting sqref="C10:I16 C19:I20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26"/>
  <sheetViews>
    <sheetView zoomScaleNormal="100" workbookViewId="0"/>
  </sheetViews>
  <sheetFormatPr defaultRowHeight="12.75"/>
  <cols>
    <col min="1" max="1" width="6" style="1649" bestFit="1" customWidth="1"/>
    <col min="2" max="2" width="30.5703125" style="1649" bestFit="1" customWidth="1"/>
    <col min="3" max="3" width="26.85546875" style="1649" customWidth="1"/>
    <col min="4" max="5" width="13.7109375" style="1649" customWidth="1"/>
    <col min="6" max="6" width="12" style="1649" customWidth="1"/>
    <col min="7" max="7" width="12" style="1650" customWidth="1"/>
    <col min="8" max="8" width="12" style="1649" customWidth="1"/>
    <col min="9" max="9" width="12" style="1651" customWidth="1"/>
    <col min="10" max="10" width="12" style="1650" customWidth="1"/>
    <col min="11" max="11" width="12" style="1649" customWidth="1"/>
    <col min="12" max="12" width="10.28515625" style="1649" customWidth="1"/>
    <col min="13" max="16384" width="9.140625" style="1649"/>
  </cols>
  <sheetData>
    <row r="1" spans="1:12" s="1645" customFormat="1" ht="15.75">
      <c r="G1" s="1646"/>
      <c r="I1" s="1647"/>
      <c r="J1" s="1910" t="s">
        <v>2570</v>
      </c>
      <c r="K1" s="1910"/>
    </row>
    <row r="2" spans="1:12" s="1645" customFormat="1" ht="15.75">
      <c r="G2" s="1646"/>
      <c r="I2" s="1647"/>
      <c r="J2" s="1646"/>
    </row>
    <row r="3" spans="1:12" s="1645" customFormat="1" ht="15.75">
      <c r="A3" s="1944" t="s">
        <v>2571</v>
      </c>
      <c r="B3" s="1944"/>
      <c r="C3" s="1944"/>
      <c r="D3" s="1944"/>
      <c r="E3" s="1944"/>
      <c r="F3" s="1944"/>
      <c r="G3" s="1944"/>
      <c r="H3" s="1944"/>
      <c r="I3" s="1944"/>
      <c r="J3" s="1944"/>
      <c r="K3" s="1944"/>
      <c r="L3" s="1648"/>
    </row>
    <row r="4" spans="1:12" s="1645" customFormat="1" ht="15.75">
      <c r="A4" s="1945">
        <v>44196</v>
      </c>
      <c r="B4" s="1946"/>
      <c r="C4" s="1946"/>
      <c r="D4" s="1946"/>
      <c r="E4" s="1946"/>
      <c r="F4" s="1946"/>
      <c r="G4" s="1946"/>
      <c r="H4" s="1946"/>
      <c r="I4" s="1946"/>
      <c r="J4" s="1946"/>
      <c r="K4" s="1946"/>
    </row>
    <row r="6" spans="1:12" ht="14.25" thickBot="1">
      <c r="K6" s="1652" t="s">
        <v>553</v>
      </c>
    </row>
    <row r="7" spans="1:12" ht="12.75" customHeight="1">
      <c r="A7" s="1947" t="s">
        <v>2572</v>
      </c>
      <c r="B7" s="1950" t="s">
        <v>2573</v>
      </c>
      <c r="C7" s="1950" t="s">
        <v>2574</v>
      </c>
      <c r="D7" s="1950" t="s">
        <v>2575</v>
      </c>
      <c r="E7" s="1950" t="s">
        <v>2576</v>
      </c>
      <c r="F7" s="1953" t="s">
        <v>2577</v>
      </c>
      <c r="G7" s="1956" t="s">
        <v>2578</v>
      </c>
      <c r="H7" s="1959" t="s">
        <v>459</v>
      </c>
      <c r="I7" s="1959"/>
      <c r="J7" s="1956" t="s">
        <v>2797</v>
      </c>
      <c r="K7" s="1956" t="s">
        <v>2798</v>
      </c>
    </row>
    <row r="8" spans="1:12" ht="12.75" customHeight="1">
      <c r="A8" s="1948"/>
      <c r="B8" s="1951"/>
      <c r="C8" s="1951"/>
      <c r="D8" s="1951"/>
      <c r="E8" s="1951"/>
      <c r="F8" s="1954"/>
      <c r="G8" s="1957"/>
      <c r="H8" s="1960" t="s">
        <v>2579</v>
      </c>
      <c r="I8" s="1961" t="s">
        <v>2580</v>
      </c>
      <c r="J8" s="1957"/>
      <c r="K8" s="1957"/>
    </row>
    <row r="9" spans="1:12" ht="12.75" customHeight="1">
      <c r="A9" s="1948"/>
      <c r="B9" s="1951"/>
      <c r="C9" s="1951"/>
      <c r="D9" s="1951"/>
      <c r="E9" s="1951"/>
      <c r="F9" s="1954"/>
      <c r="G9" s="1957"/>
      <c r="H9" s="1951"/>
      <c r="I9" s="1962"/>
      <c r="J9" s="1957"/>
      <c r="K9" s="1957"/>
    </row>
    <row r="10" spans="1:12" ht="13.5" thickBot="1">
      <c r="A10" s="1949"/>
      <c r="B10" s="1952"/>
      <c r="C10" s="1952"/>
      <c r="D10" s="1952"/>
      <c r="E10" s="1952"/>
      <c r="F10" s="1955"/>
      <c r="G10" s="1958"/>
      <c r="H10" s="1952"/>
      <c r="I10" s="1963"/>
      <c r="J10" s="1958"/>
      <c r="K10" s="1958"/>
    </row>
    <row r="11" spans="1:12">
      <c r="A11" s="1653" t="s">
        <v>4</v>
      </c>
      <c r="B11" s="1654" t="s">
        <v>19</v>
      </c>
      <c r="C11" s="1654" t="s">
        <v>19</v>
      </c>
      <c r="D11" s="1655"/>
      <c r="E11" s="1655"/>
      <c r="F11" s="1547"/>
      <c r="G11" s="1555"/>
      <c r="H11" s="1548"/>
      <c r="I11" s="1656"/>
      <c r="J11" s="1555">
        <f>+G11-H11</f>
        <v>0</v>
      </c>
      <c r="K11" s="1549"/>
    </row>
    <row r="12" spans="1:12" ht="13.5" thickBot="1">
      <c r="A12" s="1653"/>
      <c r="B12" s="1654"/>
      <c r="C12" s="1657"/>
      <c r="D12" s="1655"/>
      <c r="E12" s="1655"/>
      <c r="F12" s="1547"/>
      <c r="G12" s="1555"/>
      <c r="H12" s="1548"/>
      <c r="I12" s="1656"/>
      <c r="J12" s="1555"/>
      <c r="K12" s="1549"/>
    </row>
    <row r="13" spans="1:12" ht="14.25" thickBot="1">
      <c r="A13" s="1658"/>
      <c r="B13" s="1659" t="s">
        <v>2581</v>
      </c>
      <c r="C13" s="1660" t="s">
        <v>19</v>
      </c>
      <c r="D13" s="1661" t="s">
        <v>19</v>
      </c>
      <c r="E13" s="1661" t="s">
        <v>19</v>
      </c>
      <c r="F13" s="1662">
        <f t="shared" ref="F13:K13" si="0">SUM(F11:F12)</f>
        <v>0</v>
      </c>
      <c r="G13" s="1588">
        <f t="shared" si="0"/>
        <v>0</v>
      </c>
      <c r="H13" s="1586">
        <f t="shared" si="0"/>
        <v>0</v>
      </c>
      <c r="I13" s="1663">
        <f t="shared" si="0"/>
        <v>0</v>
      </c>
      <c r="J13" s="1588">
        <f t="shared" si="0"/>
        <v>0</v>
      </c>
      <c r="K13" s="1588">
        <f t="shared" si="0"/>
        <v>0</v>
      </c>
    </row>
    <row r="14" spans="1:12">
      <c r="A14" s="1653" t="s">
        <v>5</v>
      </c>
      <c r="B14" s="1654" t="s">
        <v>2799</v>
      </c>
      <c r="C14" s="1664" t="s">
        <v>2801</v>
      </c>
      <c r="D14" s="1665">
        <v>44111</v>
      </c>
      <c r="E14" s="1665">
        <v>44469</v>
      </c>
      <c r="F14" s="1547">
        <v>9321914</v>
      </c>
      <c r="G14" s="1555">
        <f>+F14</f>
        <v>9321914</v>
      </c>
      <c r="H14" s="1666"/>
      <c r="I14" s="1667"/>
      <c r="J14" s="1555">
        <f>+G14-H14</f>
        <v>9321914</v>
      </c>
      <c r="K14" s="1549">
        <v>9321914</v>
      </c>
    </row>
    <row r="15" spans="1:12" ht="13.5" thickBot="1">
      <c r="A15" s="1653"/>
      <c r="B15" s="1654"/>
      <c r="C15" s="1664"/>
      <c r="D15" s="1655"/>
      <c r="E15" s="1655"/>
      <c r="F15" s="1547"/>
      <c r="G15" s="1555"/>
      <c r="H15" s="1666"/>
      <c r="I15" s="1667"/>
      <c r="J15" s="1555"/>
      <c r="K15" s="1549"/>
    </row>
    <row r="16" spans="1:12" ht="14.25" thickBot="1">
      <c r="A16" s="1658"/>
      <c r="B16" s="1659" t="s">
        <v>2582</v>
      </c>
      <c r="C16" s="1660" t="s">
        <v>19</v>
      </c>
      <c r="D16" s="1661" t="s">
        <v>19</v>
      </c>
      <c r="E16" s="1661" t="s">
        <v>19</v>
      </c>
      <c r="F16" s="1662">
        <f t="shared" ref="F16:K16" si="1">SUM(F14:F15)</f>
        <v>9321914</v>
      </c>
      <c r="G16" s="1588">
        <f t="shared" si="1"/>
        <v>9321914</v>
      </c>
      <c r="H16" s="1586">
        <f t="shared" si="1"/>
        <v>0</v>
      </c>
      <c r="I16" s="1663">
        <f t="shared" si="1"/>
        <v>0</v>
      </c>
      <c r="J16" s="1588">
        <f t="shared" si="1"/>
        <v>9321914</v>
      </c>
      <c r="K16" s="1588">
        <f t="shared" si="1"/>
        <v>9321914</v>
      </c>
    </row>
    <row r="17" spans="1:13" ht="13.5" thickBot="1">
      <c r="A17" s="1668"/>
      <c r="B17" s="1669"/>
      <c r="C17" s="1669"/>
      <c r="D17" s="1670"/>
      <c r="E17" s="1670"/>
      <c r="F17" s="1671"/>
      <c r="G17" s="1672"/>
      <c r="H17" s="1673"/>
      <c r="I17" s="1674"/>
      <c r="J17" s="1555"/>
      <c r="K17" s="1549"/>
    </row>
    <row r="18" spans="1:13" ht="14.25" thickBot="1">
      <c r="A18" s="1658"/>
      <c r="B18" s="1659" t="s">
        <v>18</v>
      </c>
      <c r="C18" s="1660" t="s">
        <v>19</v>
      </c>
      <c r="D18" s="1661" t="s">
        <v>19</v>
      </c>
      <c r="E18" s="1661" t="s">
        <v>19</v>
      </c>
      <c r="F18" s="1662">
        <f t="shared" ref="F18:K18" si="2">+F13+F16</f>
        <v>9321914</v>
      </c>
      <c r="G18" s="1588">
        <f t="shared" si="2"/>
        <v>9321914</v>
      </c>
      <c r="H18" s="1586">
        <f t="shared" si="2"/>
        <v>0</v>
      </c>
      <c r="I18" s="1663">
        <f t="shared" si="2"/>
        <v>0</v>
      </c>
      <c r="J18" s="1588">
        <f t="shared" si="2"/>
        <v>9321914</v>
      </c>
      <c r="K18" s="1588">
        <f t="shared" si="2"/>
        <v>9321914</v>
      </c>
    </row>
    <row r="23" spans="1:13">
      <c r="C23" s="1675"/>
    </row>
    <row r="25" spans="1:13" ht="13.5">
      <c r="D25" s="1675"/>
      <c r="E25" s="1675"/>
      <c r="F25" s="1675"/>
      <c r="G25" s="1675"/>
      <c r="H25" s="1675"/>
      <c r="I25" s="1676"/>
      <c r="J25" s="1675"/>
      <c r="K25" s="1675"/>
      <c r="L25" s="1675"/>
      <c r="M25" s="1675"/>
    </row>
    <row r="26" spans="1:13">
      <c r="C26" s="1677"/>
      <c r="D26" s="1677"/>
      <c r="E26" s="1677"/>
      <c r="F26" s="1677"/>
      <c r="G26" s="1675"/>
      <c r="H26" s="1677"/>
      <c r="I26" s="1678"/>
      <c r="J26" s="1675"/>
      <c r="K26" s="1677"/>
      <c r="L26" s="1677"/>
      <c r="M26" s="1677"/>
    </row>
  </sheetData>
  <mergeCells count="15">
    <mergeCell ref="H7:I7"/>
    <mergeCell ref="J7:J10"/>
    <mergeCell ref="K7:K10"/>
    <mergeCell ref="H8:H10"/>
    <mergeCell ref="I8:I10"/>
    <mergeCell ref="J1:K1"/>
    <mergeCell ref="A3:K3"/>
    <mergeCell ref="A4:K4"/>
    <mergeCell ref="A7:A10"/>
    <mergeCell ref="B7:B10"/>
    <mergeCell ref="C7:C10"/>
    <mergeCell ref="D7:D10"/>
    <mergeCell ref="E7:E10"/>
    <mergeCell ref="F7:F10"/>
    <mergeCell ref="G7:G10"/>
  </mergeCells>
  <pageMargins left="0.23622047244094491" right="0.23622047244094491" top="0.51181102362204722" bottom="0.74803149606299213" header="0.31496062992125984" footer="0.31496062992125984"/>
  <pageSetup paperSize="9" scale="8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O33"/>
  <sheetViews>
    <sheetView zoomScaleNormal="100" workbookViewId="0">
      <pane ySplit="5" topLeftCell="A6" activePane="bottomLeft" state="frozen"/>
      <selection activeCell="T58" sqref="T58"/>
      <selection pane="bottomLeft" activeCell="A6" sqref="A6"/>
    </sheetView>
  </sheetViews>
  <sheetFormatPr defaultRowHeight="12"/>
  <cols>
    <col min="1" max="1" width="8.140625" style="864" customWidth="1"/>
    <col min="2" max="2" width="82" style="864" customWidth="1"/>
    <col min="3" max="8" width="10.7109375" style="864" customWidth="1"/>
    <col min="9" max="9" width="12.140625" style="864" customWidth="1"/>
    <col min="10" max="10" width="9.140625" style="864"/>
    <col min="11" max="15" width="9.140625" style="864" hidden="1" customWidth="1"/>
    <col min="16" max="16384" width="9.140625" style="864"/>
  </cols>
  <sheetData>
    <row r="1" spans="1:15" ht="15.75">
      <c r="I1" s="188" t="s">
        <v>2583</v>
      </c>
    </row>
    <row r="2" spans="1:15" s="1755" customFormat="1" ht="15.75" customHeight="1">
      <c r="A2" s="1904" t="s">
        <v>2584</v>
      </c>
      <c r="B2" s="1904"/>
      <c r="C2" s="1904"/>
      <c r="D2" s="1904"/>
      <c r="E2" s="1904"/>
      <c r="F2" s="1904"/>
      <c r="G2" s="1904"/>
      <c r="H2" s="1904"/>
      <c r="I2" s="1904"/>
    </row>
    <row r="3" spans="1:15" ht="14.25" thickBot="1">
      <c r="A3" s="1503"/>
      <c r="I3" s="1593" t="s">
        <v>457</v>
      </c>
    </row>
    <row r="4" spans="1:15" s="859" customFormat="1">
      <c r="A4" s="1465" t="s">
        <v>1561</v>
      </c>
      <c r="B4" s="1679" t="s">
        <v>7</v>
      </c>
      <c r="C4" s="1680" t="s">
        <v>18</v>
      </c>
      <c r="D4" s="1681" t="s">
        <v>2585</v>
      </c>
      <c r="E4" s="1682" t="s">
        <v>2586</v>
      </c>
      <c r="F4" s="1683" t="s">
        <v>2587</v>
      </c>
      <c r="G4" s="1683" t="s">
        <v>2588</v>
      </c>
      <c r="H4" s="1683" t="s">
        <v>2589</v>
      </c>
      <c r="I4" s="1684" t="s">
        <v>2590</v>
      </c>
    </row>
    <row r="5" spans="1:15" ht="12.75" thickBot="1">
      <c r="A5" s="1504">
        <v>1</v>
      </c>
      <c r="B5" s="1685">
        <v>2</v>
      </c>
      <c r="C5" s="1686">
        <v>3</v>
      </c>
      <c r="D5" s="1687" t="s">
        <v>2591</v>
      </c>
      <c r="E5" s="1688" t="s">
        <v>2592</v>
      </c>
      <c r="F5" s="1689" t="s">
        <v>2593</v>
      </c>
      <c r="G5" s="1689" t="s">
        <v>2594</v>
      </c>
      <c r="H5" s="1689" t="s">
        <v>2595</v>
      </c>
      <c r="I5" s="1690" t="s">
        <v>2596</v>
      </c>
    </row>
    <row r="6" spans="1:15">
      <c r="A6" s="1488" t="s">
        <v>1565</v>
      </c>
      <c r="B6" s="1691" t="s">
        <v>2597</v>
      </c>
      <c r="C6" s="1692">
        <f>SUM(D6:I6)</f>
        <v>2138080</v>
      </c>
      <c r="D6" s="1693">
        <v>2036746</v>
      </c>
      <c r="E6" s="1475">
        <v>85539</v>
      </c>
      <c r="F6" s="1475">
        <v>10133</v>
      </c>
      <c r="G6" s="1475">
        <v>5660</v>
      </c>
      <c r="H6" s="1475">
        <f>+'[5]1.5._mell._MŐSZ_Mérleg2018'!E70</f>
        <v>0</v>
      </c>
      <c r="I6" s="1476">
        <v>2</v>
      </c>
      <c r="K6" s="118">
        <f>+'1.mell._Össz_Mérleg2020'!E70</f>
        <v>2138080</v>
      </c>
      <c r="L6" s="118">
        <f>+K6-C6</f>
        <v>0</v>
      </c>
    </row>
    <row r="7" spans="1:15" ht="12.75" thickBot="1">
      <c r="A7" s="1470" t="s">
        <v>1567</v>
      </c>
      <c r="B7" s="1694" t="s">
        <v>2598</v>
      </c>
      <c r="C7" s="1695">
        <f>SUM(D7:I7)</f>
        <v>3081648</v>
      </c>
      <c r="D7" s="1696">
        <v>2050562</v>
      </c>
      <c r="E7" s="1482">
        <v>454505</v>
      </c>
      <c r="F7" s="1482">
        <v>413532</v>
      </c>
      <c r="G7" s="1482">
        <v>40245</v>
      </c>
      <c r="H7" s="1482">
        <v>10669</v>
      </c>
      <c r="I7" s="1483">
        <v>112135</v>
      </c>
      <c r="K7" s="118">
        <f>+'1.mell._Össz_Mérleg2020'!E176</f>
        <v>3081648</v>
      </c>
      <c r="L7" s="118">
        <f>+K7-C7</f>
        <v>0</v>
      </c>
    </row>
    <row r="8" spans="1:15" ht="12.75" thickBot="1">
      <c r="A8" s="1484" t="s">
        <v>1569</v>
      </c>
      <c r="B8" s="1697" t="s">
        <v>2599</v>
      </c>
      <c r="C8" s="1698">
        <f t="shared" ref="C8:I8" si="0">+C6-C7</f>
        <v>-943568</v>
      </c>
      <c r="D8" s="1699">
        <f t="shared" si="0"/>
        <v>-13816</v>
      </c>
      <c r="E8" s="1486">
        <f t="shared" si="0"/>
        <v>-368966</v>
      </c>
      <c r="F8" s="1486">
        <f t="shared" si="0"/>
        <v>-403399</v>
      </c>
      <c r="G8" s="1486">
        <f t="shared" si="0"/>
        <v>-34585</v>
      </c>
      <c r="H8" s="1486">
        <f t="shared" si="0"/>
        <v>-10669</v>
      </c>
      <c r="I8" s="1487">
        <f t="shared" si="0"/>
        <v>-112133</v>
      </c>
      <c r="L8" s="118"/>
    </row>
    <row r="9" spans="1:15">
      <c r="A9" s="1488" t="s">
        <v>1571</v>
      </c>
      <c r="B9" s="1691" t="s">
        <v>2600</v>
      </c>
      <c r="C9" s="1692">
        <f>SUM(D9:I9)</f>
        <v>4383965</v>
      </c>
      <c r="D9" s="1700">
        <v>3427628</v>
      </c>
      <c r="E9" s="1490">
        <v>391993</v>
      </c>
      <c r="F9" s="1490">
        <v>403942</v>
      </c>
      <c r="G9" s="1490">
        <v>37481</v>
      </c>
      <c r="H9" s="1490">
        <v>10701</v>
      </c>
      <c r="I9" s="1491">
        <v>112220</v>
      </c>
      <c r="K9" s="118">
        <f>+'1.mell._Össz_Mérleg2020'!E101+'1.2.mell._HKÖH_Mérleg2020'!E79+'1.2.mell._HKÖH_Mérleg2020'!E94+'1.3.mell._HVÓBKI_Mérleg2020'!E79+'1.3.mell._HVÓBKI_Mérleg2020'!E94+'1.4.mell._HKK_Mérleg2020'!E79+'1.4.mell._HKK_Mérleg2020'!E94+'1.5._mell._MŐSZ_Mérleg2020'!E79+'1.5._mell._MŐSZ_Mérleg2020'!E94+'1.6._mell._HVGYKCSSZ_Mérleg2020'!E79+'1.6._mell._HVGYKCSSZ_Mérleg2020'!E94</f>
        <v>4383965</v>
      </c>
      <c r="L9" s="118">
        <f>+K9-C9</f>
        <v>0</v>
      </c>
      <c r="N9" s="118">
        <f>+'1.2.mell._HKÖH_Mérleg2020'!D79+'1.2.mell._HKÖH_Mérleg2020'!D94+'1.3.mell._HVÓBKI_Mérleg2020'!D79+'1.3.mell._HVÓBKI_Mérleg2020'!D94+'1.4.mell._HKK_Mérleg2020'!D79+'1.4.mell._HKK_Mérleg2020'!D94+'1.5._mell._MŐSZ_Mérleg2020'!D79+'1.5._mell._MŐSZ_Mérleg2020'!D94+'1.6._mell._HVGYKCSSZ_Mérleg2020'!D79+'1.6._mell._HVGYKCSSZ_Mérleg2020'!D94</f>
        <v>939307</v>
      </c>
      <c r="O9" s="118">
        <f>+'1.2.mell._HKÖH_Mérleg2020'!E79+'1.2.mell._HKÖH_Mérleg2020'!E94+'1.3.mell._HVÓBKI_Mérleg2020'!E79+'1.3.mell._HVÓBKI_Mérleg2020'!E94+'1.4.mell._HKK_Mérleg2020'!E79+'1.4.mell._HKK_Mérleg2020'!E94+'1.5._mell._MŐSZ_Mérleg2020'!E79+'1.5._mell._MŐSZ_Mérleg2020'!E94+'1.6._mell._HVGYKCSSZ_Mérleg2020'!E79+'1.6._mell._HVGYKCSSZ_Mérleg2020'!E94</f>
        <v>932989</v>
      </c>
    </row>
    <row r="10" spans="1:15" ht="12.75" thickBot="1">
      <c r="A10" s="1470" t="s">
        <v>1573</v>
      </c>
      <c r="B10" s="1694" t="s">
        <v>2601</v>
      </c>
      <c r="C10" s="1695">
        <f>SUM(D10:I10)</f>
        <v>1042115</v>
      </c>
      <c r="D10" s="1696">
        <v>1042115</v>
      </c>
      <c r="E10" s="1482"/>
      <c r="F10" s="1482"/>
      <c r="G10" s="1482"/>
      <c r="H10" s="1482"/>
      <c r="I10" s="1483"/>
      <c r="K10" s="118">
        <f>+'1.mell._Össz_Mérleg2020'!E207+'1.1.mell._ÖNK_Mérleg2020'!E184+'1.1.mell._ÖNK_Mérleg2020'!E199</f>
        <v>1042115</v>
      </c>
      <c r="L10" s="118">
        <f>+K10-C10</f>
        <v>0</v>
      </c>
      <c r="M10" s="118"/>
      <c r="N10" s="118">
        <f>+'1.1.mell._ÖNK_Mérleg2020'!D184+'1.1.mell._ÖNK_Mérleg2020'!D199</f>
        <v>939307</v>
      </c>
      <c r="O10" s="118">
        <f>+'1.1.mell._ÖNK_Mérleg2020'!E184+'1.1.mell._ÖNK_Mérleg2020'!E199</f>
        <v>932989</v>
      </c>
    </row>
    <row r="11" spans="1:15" ht="12.75" thickBot="1">
      <c r="A11" s="1484" t="s">
        <v>1575</v>
      </c>
      <c r="B11" s="1697" t="s">
        <v>2602</v>
      </c>
      <c r="C11" s="1698">
        <f t="shared" ref="C11:I11" si="1">+C9-C10</f>
        <v>3341850</v>
      </c>
      <c r="D11" s="1699">
        <f t="shared" si="1"/>
        <v>2385513</v>
      </c>
      <c r="E11" s="1486">
        <f t="shared" si="1"/>
        <v>391993</v>
      </c>
      <c r="F11" s="1486">
        <f t="shared" si="1"/>
        <v>403942</v>
      </c>
      <c r="G11" s="1486">
        <f t="shared" si="1"/>
        <v>37481</v>
      </c>
      <c r="H11" s="1486">
        <f t="shared" si="1"/>
        <v>10701</v>
      </c>
      <c r="I11" s="1487">
        <f t="shared" si="1"/>
        <v>112220</v>
      </c>
    </row>
    <row r="12" spans="1:15" ht="12.75" thickBot="1">
      <c r="A12" s="1484" t="s">
        <v>1577</v>
      </c>
      <c r="B12" s="1697" t="s">
        <v>2603</v>
      </c>
      <c r="C12" s="1698">
        <f t="shared" ref="C12:I12" si="2">+C8+C11</f>
        <v>2398282</v>
      </c>
      <c r="D12" s="1699">
        <f t="shared" si="2"/>
        <v>2371697</v>
      </c>
      <c r="E12" s="1486">
        <f t="shared" si="2"/>
        <v>23027</v>
      </c>
      <c r="F12" s="1486">
        <f t="shared" si="2"/>
        <v>543</v>
      </c>
      <c r="G12" s="1486">
        <f t="shared" si="2"/>
        <v>2896</v>
      </c>
      <c r="H12" s="1486">
        <f t="shared" si="2"/>
        <v>32</v>
      </c>
      <c r="I12" s="1487">
        <f t="shared" si="2"/>
        <v>87</v>
      </c>
    </row>
    <row r="13" spans="1:15">
      <c r="A13" s="1488" t="s">
        <v>1579</v>
      </c>
      <c r="B13" s="1691" t="s">
        <v>2604</v>
      </c>
      <c r="C13" s="1692">
        <f>SUM(D13:I13)</f>
        <v>0</v>
      </c>
      <c r="D13" s="1700"/>
      <c r="E13" s="1490"/>
      <c r="F13" s="1490"/>
      <c r="G13" s="1490"/>
      <c r="H13" s="1490"/>
      <c r="I13" s="1491"/>
    </row>
    <row r="14" spans="1:15" ht="12.75" thickBot="1">
      <c r="A14" s="1470" t="s">
        <v>1581</v>
      </c>
      <c r="B14" s="1694" t="s">
        <v>2605</v>
      </c>
      <c r="C14" s="1695">
        <f>SUM(D14:I14)</f>
        <v>0</v>
      </c>
      <c r="D14" s="1696"/>
      <c r="E14" s="1482"/>
      <c r="F14" s="1482"/>
      <c r="G14" s="1482"/>
      <c r="H14" s="1482"/>
      <c r="I14" s="1483"/>
    </row>
    <row r="15" spans="1:15" ht="12.75" thickBot="1">
      <c r="A15" s="1484" t="s">
        <v>1583</v>
      </c>
      <c r="B15" s="1697" t="s">
        <v>2606</v>
      </c>
      <c r="C15" s="1698">
        <f t="shared" ref="C15:I15" si="3">+C13-C14</f>
        <v>0</v>
      </c>
      <c r="D15" s="1699">
        <f t="shared" si="3"/>
        <v>0</v>
      </c>
      <c r="E15" s="1486">
        <f t="shared" si="3"/>
        <v>0</v>
      </c>
      <c r="F15" s="1486">
        <f t="shared" si="3"/>
        <v>0</v>
      </c>
      <c r="G15" s="1486">
        <f t="shared" si="3"/>
        <v>0</v>
      </c>
      <c r="H15" s="1486">
        <f t="shared" si="3"/>
        <v>0</v>
      </c>
      <c r="I15" s="1487">
        <f t="shared" si="3"/>
        <v>0</v>
      </c>
    </row>
    <row r="16" spans="1:15">
      <c r="A16" s="1488" t="s">
        <v>1585</v>
      </c>
      <c r="B16" s="1691" t="s">
        <v>2607</v>
      </c>
      <c r="C16" s="1692">
        <f>SUM(D16:I16)</f>
        <v>0</v>
      </c>
      <c r="D16" s="1700"/>
      <c r="E16" s="1490"/>
      <c r="F16" s="1490"/>
      <c r="G16" s="1490"/>
      <c r="H16" s="1490"/>
      <c r="I16" s="1491"/>
    </row>
    <row r="17" spans="1:9" ht="12.75" thickBot="1">
      <c r="A17" s="1470" t="s">
        <v>1587</v>
      </c>
      <c r="B17" s="1694" t="s">
        <v>2608</v>
      </c>
      <c r="C17" s="1695">
        <f>SUM(D17:I17)</f>
        <v>0</v>
      </c>
      <c r="D17" s="1696"/>
      <c r="E17" s="1482"/>
      <c r="F17" s="1482"/>
      <c r="G17" s="1482"/>
      <c r="H17" s="1482"/>
      <c r="I17" s="1483"/>
    </row>
    <row r="18" spans="1:9" ht="12.75" thickBot="1">
      <c r="A18" s="1484" t="s">
        <v>1589</v>
      </c>
      <c r="B18" s="1697" t="s">
        <v>2609</v>
      </c>
      <c r="C18" s="1698">
        <f t="shared" ref="C18:I18" si="4">+C16-C17</f>
        <v>0</v>
      </c>
      <c r="D18" s="1699">
        <f t="shared" si="4"/>
        <v>0</v>
      </c>
      <c r="E18" s="1486">
        <f t="shared" si="4"/>
        <v>0</v>
      </c>
      <c r="F18" s="1486">
        <f t="shared" si="4"/>
        <v>0</v>
      </c>
      <c r="G18" s="1486">
        <f t="shared" si="4"/>
        <v>0</v>
      </c>
      <c r="H18" s="1486">
        <f t="shared" si="4"/>
        <v>0</v>
      </c>
      <c r="I18" s="1487">
        <f t="shared" si="4"/>
        <v>0</v>
      </c>
    </row>
    <row r="19" spans="1:9" ht="12.75" thickBot="1">
      <c r="A19" s="1492" t="s">
        <v>1591</v>
      </c>
      <c r="B19" s="1701" t="s">
        <v>2610</v>
      </c>
      <c r="C19" s="1702">
        <f t="shared" ref="C19:I19" si="5">+C15+C18</f>
        <v>0</v>
      </c>
      <c r="D19" s="1703">
        <f t="shared" si="5"/>
        <v>0</v>
      </c>
      <c r="E19" s="1494">
        <f t="shared" si="5"/>
        <v>0</v>
      </c>
      <c r="F19" s="1494">
        <f t="shared" si="5"/>
        <v>0</v>
      </c>
      <c r="G19" s="1494">
        <f t="shared" si="5"/>
        <v>0</v>
      </c>
      <c r="H19" s="1494">
        <f t="shared" si="5"/>
        <v>0</v>
      </c>
      <c r="I19" s="1495">
        <f t="shared" si="5"/>
        <v>0</v>
      </c>
    </row>
    <row r="20" spans="1:9" ht="12.75" thickBot="1">
      <c r="A20" s="1484" t="s">
        <v>1593</v>
      </c>
      <c r="B20" s="1697" t="s">
        <v>2611</v>
      </c>
      <c r="C20" s="1698">
        <f t="shared" ref="C20:I20" si="6">+C12+C19</f>
        <v>2398282</v>
      </c>
      <c r="D20" s="1699">
        <f t="shared" si="6"/>
        <v>2371697</v>
      </c>
      <c r="E20" s="1486">
        <f t="shared" si="6"/>
        <v>23027</v>
      </c>
      <c r="F20" s="1486">
        <f t="shared" si="6"/>
        <v>543</v>
      </c>
      <c r="G20" s="1486">
        <f t="shared" si="6"/>
        <v>2896</v>
      </c>
      <c r="H20" s="1486">
        <f t="shared" si="6"/>
        <v>32</v>
      </c>
      <c r="I20" s="1487">
        <f t="shared" si="6"/>
        <v>87</v>
      </c>
    </row>
    <row r="21" spans="1:9" ht="12.75" thickBot="1">
      <c r="A21" s="1492" t="s">
        <v>1595</v>
      </c>
      <c r="B21" s="1701" t="s">
        <v>2612</v>
      </c>
      <c r="C21" s="1702">
        <f>SUM(D21:I21)</f>
        <v>0</v>
      </c>
      <c r="D21" s="1703"/>
      <c r="E21" s="1494"/>
      <c r="F21" s="1494"/>
      <c r="G21" s="1494"/>
      <c r="H21" s="1494"/>
      <c r="I21" s="1495"/>
    </row>
    <row r="22" spans="1:9" ht="12.75" thickBot="1">
      <c r="A22" s="1484" t="s">
        <v>1597</v>
      </c>
      <c r="B22" s="1697" t="s">
        <v>2613</v>
      </c>
      <c r="C22" s="1698">
        <f>SUM(D22:I22)</f>
        <v>2398282</v>
      </c>
      <c r="D22" s="1699">
        <f t="shared" ref="D22:I22" si="7">+D20-D21</f>
        <v>2371697</v>
      </c>
      <c r="E22" s="1486">
        <f t="shared" si="7"/>
        <v>23027</v>
      </c>
      <c r="F22" s="1486">
        <f t="shared" si="7"/>
        <v>543</v>
      </c>
      <c r="G22" s="1486">
        <f t="shared" si="7"/>
        <v>2896</v>
      </c>
      <c r="H22" s="1486">
        <f t="shared" si="7"/>
        <v>32</v>
      </c>
      <c r="I22" s="1487">
        <f t="shared" si="7"/>
        <v>87</v>
      </c>
    </row>
    <row r="23" spans="1:9" ht="12.75" thickBot="1">
      <c r="A23" s="1492" t="s">
        <v>1599</v>
      </c>
      <c r="B23" s="1701" t="s">
        <v>2614</v>
      </c>
      <c r="C23" s="1702">
        <f>SUM(D23:I23)</f>
        <v>0</v>
      </c>
      <c r="D23" s="1703">
        <f t="shared" ref="D23:I23" si="8">+ROUND(D19*0.1,0)</f>
        <v>0</v>
      </c>
      <c r="E23" s="1494">
        <f t="shared" si="8"/>
        <v>0</v>
      </c>
      <c r="F23" s="1494">
        <f t="shared" si="8"/>
        <v>0</v>
      </c>
      <c r="G23" s="1494">
        <f t="shared" si="8"/>
        <v>0</v>
      </c>
      <c r="H23" s="1494">
        <f t="shared" si="8"/>
        <v>0</v>
      </c>
      <c r="I23" s="1495">
        <f t="shared" si="8"/>
        <v>0</v>
      </c>
    </row>
    <row r="24" spans="1:9" ht="12.75" thickBot="1">
      <c r="A24" s="1484" t="s">
        <v>1601</v>
      </c>
      <c r="B24" s="1697" t="s">
        <v>2615</v>
      </c>
      <c r="C24" s="1698">
        <f t="shared" ref="C24:I24" si="9">+C19-C23</f>
        <v>0</v>
      </c>
      <c r="D24" s="1699">
        <f t="shared" si="9"/>
        <v>0</v>
      </c>
      <c r="E24" s="1486">
        <f t="shared" si="9"/>
        <v>0</v>
      </c>
      <c r="F24" s="1486">
        <f t="shared" si="9"/>
        <v>0</v>
      </c>
      <c r="G24" s="1486">
        <f t="shared" si="9"/>
        <v>0</v>
      </c>
      <c r="H24" s="1486">
        <f t="shared" si="9"/>
        <v>0</v>
      </c>
      <c r="I24" s="1487">
        <f t="shared" si="9"/>
        <v>0</v>
      </c>
    </row>
    <row r="26" spans="1:9" hidden="1">
      <c r="D26" s="118">
        <f>+'[6]1.1.mell._ÖNK_Mérleg2014'!E65</f>
        <v>2608911</v>
      </c>
      <c r="E26" s="118">
        <f>+'[6]1.2.mell._PH_Mérleg2014'!E65</f>
        <v>42075</v>
      </c>
      <c r="F26" s="118">
        <f>+'[6]1.3.mell._HVÓBKI_Mérleg2014'!E65</f>
        <v>31566</v>
      </c>
      <c r="G26" s="118" t="e">
        <f>+'[6]1.4.mell._HKK_Mérleg2014'!D65</f>
        <v>#REF!</v>
      </c>
      <c r="H26" s="118">
        <f>+'[6]1.4.mell._HKK_Mérleg2014'!E65</f>
        <v>7274</v>
      </c>
      <c r="I26" s="118">
        <f>+'[6]1.5.mell._MŐSZ_Mérleg2014'!E65</f>
        <v>0</v>
      </c>
    </row>
    <row r="27" spans="1:9" hidden="1">
      <c r="D27" s="118">
        <f>+'[6]1.1.mell._ÖNK_Mérleg2014'!E165</f>
        <v>1511926</v>
      </c>
      <c r="E27" s="118">
        <f>+'[6]1.2.mell._PH_Mérleg2014'!E165</f>
        <v>299391</v>
      </c>
      <c r="F27" s="118">
        <f>+'[6]1.3.mell._HVÓBKI_Mérleg2014'!E165</f>
        <v>400777</v>
      </c>
      <c r="G27" s="118" t="e">
        <f>+'[6]1.4.mell._HKK_Mérleg2014'!D165</f>
        <v>#REF!</v>
      </c>
      <c r="H27" s="118">
        <f>+'[6]1.4.mell._HKK_Mérleg2014'!E165</f>
        <v>78096</v>
      </c>
      <c r="I27" s="118">
        <f>+'[6]1.5.mell._MŐSZ_Mérleg2014'!E165</f>
        <v>4890</v>
      </c>
    </row>
    <row r="28" spans="1:9" hidden="1">
      <c r="D28" s="118">
        <f>+'[6]1.1.mell._ÖNK_Mérleg2014'!E92</f>
        <v>355925</v>
      </c>
      <c r="E28" s="118">
        <f>+'[6]1.2.mell._PH_Mérleg2014'!E92</f>
        <v>258886</v>
      </c>
      <c r="F28" s="118">
        <f>+'[6]1.3.mell._HVÓBKI_Mérleg2014'!E92</f>
        <v>369677</v>
      </c>
      <c r="G28" s="118" t="e">
        <f>+'[6]1.4.mell._HKK_Mérleg2014'!D92</f>
        <v>#REF!</v>
      </c>
      <c r="H28" s="118">
        <f>+'[6]1.4.mell._HKK_Mérleg2014'!E92</f>
        <v>71386</v>
      </c>
      <c r="I28" s="118">
        <f>+'[6]1.5.mell._MŐSZ_Mérleg2014'!E92</f>
        <v>4894</v>
      </c>
    </row>
    <row r="29" spans="1:9" hidden="1">
      <c r="D29" s="118">
        <f>+'[6]1.1.mell._ÖNK_Mérleg2014'!E192</f>
        <v>841906</v>
      </c>
    </row>
    <row r="30" spans="1:9" hidden="1">
      <c r="D30" s="118">
        <f t="shared" ref="D30:I31" si="10">+D26-D6</f>
        <v>572165</v>
      </c>
      <c r="E30" s="118">
        <f t="shared" si="10"/>
        <v>-43464</v>
      </c>
      <c r="F30" s="118">
        <f t="shared" si="10"/>
        <v>21433</v>
      </c>
      <c r="G30" s="118" t="e">
        <f t="shared" si="10"/>
        <v>#REF!</v>
      </c>
      <c r="H30" s="118">
        <f t="shared" si="10"/>
        <v>7274</v>
      </c>
      <c r="I30" s="118">
        <f t="shared" si="10"/>
        <v>-2</v>
      </c>
    </row>
    <row r="31" spans="1:9" hidden="1">
      <c r="D31" s="118">
        <f t="shared" si="10"/>
        <v>-538636</v>
      </c>
      <c r="E31" s="118">
        <f t="shared" si="10"/>
        <v>-155114</v>
      </c>
      <c r="F31" s="118">
        <f t="shared" si="10"/>
        <v>-12755</v>
      </c>
      <c r="G31" s="118" t="e">
        <f t="shared" si="10"/>
        <v>#REF!</v>
      </c>
      <c r="H31" s="118">
        <f t="shared" si="10"/>
        <v>67427</v>
      </c>
      <c r="I31" s="118">
        <f t="shared" si="10"/>
        <v>-107245</v>
      </c>
    </row>
    <row r="32" spans="1:9" hidden="1">
      <c r="D32" s="118">
        <f t="shared" ref="D32:I33" si="11">+D28-D9</f>
        <v>-3071703</v>
      </c>
      <c r="E32" s="118">
        <f t="shared" si="11"/>
        <v>-133107</v>
      </c>
      <c r="F32" s="118">
        <f t="shared" si="11"/>
        <v>-34265</v>
      </c>
      <c r="G32" s="118" t="e">
        <f t="shared" si="11"/>
        <v>#REF!</v>
      </c>
      <c r="H32" s="118">
        <f t="shared" si="11"/>
        <v>60685</v>
      </c>
      <c r="I32" s="118">
        <f t="shared" si="11"/>
        <v>-107326</v>
      </c>
    </row>
    <row r="33" spans="4:9" hidden="1">
      <c r="D33" s="118">
        <f t="shared" si="11"/>
        <v>-200209</v>
      </c>
      <c r="E33" s="118">
        <f t="shared" si="11"/>
        <v>0</v>
      </c>
      <c r="F33" s="118">
        <f t="shared" si="11"/>
        <v>0</v>
      </c>
      <c r="G33" s="118">
        <f t="shared" si="11"/>
        <v>0</v>
      </c>
      <c r="H33" s="118">
        <f t="shared" si="11"/>
        <v>0</v>
      </c>
      <c r="I33" s="118">
        <f t="shared" si="11"/>
        <v>0</v>
      </c>
    </row>
  </sheetData>
  <mergeCells count="1">
    <mergeCell ref="A2:I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64"/>
  <sheetViews>
    <sheetView zoomScaleNormal="100" workbookViewId="0"/>
  </sheetViews>
  <sheetFormatPr defaultRowHeight="12.75"/>
  <cols>
    <col min="1" max="1" width="5.140625" style="1649" customWidth="1"/>
    <col min="2" max="3" width="9.140625" style="1649"/>
    <col min="4" max="4" width="6.28515625" style="1649" customWidth="1"/>
    <col min="5" max="5" width="63.28515625" style="1649" customWidth="1"/>
    <col min="6" max="6" width="9.42578125" style="1649" bestFit="1" customWidth="1"/>
    <col min="7" max="7" width="8" style="1649" customWidth="1"/>
    <col min="8" max="8" width="8.5703125" style="1589" customWidth="1"/>
    <col min="9" max="9" width="5.85546875" style="1649" customWidth="1"/>
    <col min="10" max="10" width="10.5703125" style="1589" customWidth="1"/>
    <col min="11" max="11" width="11.140625" style="1649" customWidth="1"/>
    <col min="12" max="13" width="9.140625" style="1649"/>
    <col min="14" max="18" width="0" style="1649" hidden="1" customWidth="1"/>
    <col min="19" max="254" width="9.140625" style="1649"/>
    <col min="255" max="255" width="5.140625" style="1649" customWidth="1"/>
    <col min="256" max="16384" width="9.140625" style="1649"/>
  </cols>
  <sheetData>
    <row r="1" spans="1:11" s="1645" customFormat="1" ht="15.75">
      <c r="H1" s="1704"/>
      <c r="J1" s="1910" t="s">
        <v>2616</v>
      </c>
      <c r="K1" s="1910"/>
    </row>
    <row r="2" spans="1:11" s="1645" customFormat="1" ht="15.75">
      <c r="A2" s="1965" t="s">
        <v>2653</v>
      </c>
      <c r="B2" s="1965"/>
      <c r="C2" s="1965"/>
      <c r="D2" s="1965"/>
      <c r="E2" s="1965"/>
      <c r="F2" s="1965"/>
      <c r="G2" s="1965"/>
      <c r="H2" s="1965"/>
      <c r="I2" s="1965"/>
      <c r="J2" s="1965"/>
      <c r="K2" s="1965"/>
    </row>
    <row r="3" spans="1:11" s="1645" customFormat="1" ht="15.75">
      <c r="H3" s="1704"/>
      <c r="J3" s="1704"/>
    </row>
    <row r="4" spans="1:11">
      <c r="F4" s="1966" t="s">
        <v>2617</v>
      </c>
      <c r="G4" s="1966"/>
      <c r="H4" s="1967" t="s">
        <v>2618</v>
      </c>
      <c r="I4" s="1967"/>
      <c r="J4" s="1967" t="s">
        <v>2802</v>
      </c>
      <c r="K4" s="1967"/>
    </row>
    <row r="5" spans="1:11">
      <c r="A5" s="1650" t="s">
        <v>2619</v>
      </c>
    </row>
    <row r="6" spans="1:11">
      <c r="A6" s="1649" t="s">
        <v>2620</v>
      </c>
      <c r="F6" s="1705">
        <f>+F44+F10</f>
        <v>2398282</v>
      </c>
      <c r="G6" s="1650" t="s">
        <v>2494</v>
      </c>
      <c r="H6" s="1649"/>
      <c r="J6" s="1573"/>
      <c r="K6" s="1650"/>
    </row>
    <row r="7" spans="1:11">
      <c r="B7" s="1649" t="s">
        <v>2621</v>
      </c>
      <c r="H7" s="1705">
        <f>+H44+H10</f>
        <v>2398282</v>
      </c>
      <c r="I7" s="1650" t="s">
        <v>2494</v>
      </c>
      <c r="J7" s="1573"/>
      <c r="K7" s="1650"/>
    </row>
    <row r="8" spans="1:11">
      <c r="C8" s="1649" t="s">
        <v>2803</v>
      </c>
      <c r="H8" s="1573"/>
      <c r="I8" s="1650"/>
      <c r="J8" s="1705">
        <f>+J54+J51</f>
        <v>2375923</v>
      </c>
      <c r="K8" s="1650" t="s">
        <v>2494</v>
      </c>
    </row>
    <row r="9" spans="1:11">
      <c r="H9" s="1706"/>
      <c r="I9" s="1650"/>
      <c r="J9" s="1573"/>
      <c r="K9" s="1650"/>
    </row>
    <row r="10" spans="1:11" s="1650" customFormat="1">
      <c r="A10" s="1650" t="s">
        <v>2622</v>
      </c>
      <c r="F10" s="1705">
        <f>F24+F28+F32+F12+F36+F40</f>
        <v>690744</v>
      </c>
      <c r="G10" s="1650" t="s">
        <v>2494</v>
      </c>
      <c r="H10" s="1705">
        <f>H26+H30+H34+H18+H38+H42</f>
        <v>690744</v>
      </c>
      <c r="I10" s="1650" t="s">
        <v>2494</v>
      </c>
      <c r="J10" s="1573"/>
    </row>
    <row r="11" spans="1:11">
      <c r="A11" s="1649" t="s">
        <v>2623</v>
      </c>
      <c r="H11" s="1573"/>
    </row>
    <row r="12" spans="1:11" s="1651" customFormat="1" ht="13.5">
      <c r="A12" s="1651" t="s">
        <v>2624</v>
      </c>
      <c r="F12" s="1707">
        <f>2371697-F46</f>
        <v>664159</v>
      </c>
      <c r="G12" s="1708" t="s">
        <v>2494</v>
      </c>
      <c r="H12" s="1590"/>
      <c r="J12" s="1590"/>
    </row>
    <row r="13" spans="1:11" s="1651" customFormat="1">
      <c r="A13" s="1651" t="s">
        <v>2625</v>
      </c>
      <c r="F13" s="1590">
        <f>-F25</f>
        <v>23027</v>
      </c>
      <c r="G13" s="1651" t="s">
        <v>2494</v>
      </c>
      <c r="H13" s="1590"/>
      <c r="J13" s="1590"/>
    </row>
    <row r="14" spans="1:11" s="1651" customFormat="1">
      <c r="A14" s="1651" t="s">
        <v>2626</v>
      </c>
      <c r="F14" s="1590">
        <f>-F29</f>
        <v>543</v>
      </c>
      <c r="G14" s="1651" t="s">
        <v>2494</v>
      </c>
      <c r="H14" s="1590"/>
      <c r="J14" s="1590"/>
    </row>
    <row r="15" spans="1:11" s="1651" customFormat="1">
      <c r="A15" s="1651" t="s">
        <v>2627</v>
      </c>
      <c r="F15" s="1590">
        <f>-F33</f>
        <v>2896</v>
      </c>
      <c r="G15" s="1651" t="s">
        <v>2494</v>
      </c>
      <c r="H15" s="1590"/>
      <c r="J15" s="1590"/>
    </row>
    <row r="16" spans="1:11" s="1651" customFormat="1">
      <c r="A16" s="1651" t="s">
        <v>2628</v>
      </c>
      <c r="F16" s="1590">
        <f>-F37</f>
        <v>32</v>
      </c>
      <c r="G16" s="1651" t="s">
        <v>2494</v>
      </c>
      <c r="H16" s="1590"/>
      <c r="J16" s="1590"/>
    </row>
    <row r="17" spans="1:12" s="1651" customFormat="1">
      <c r="A17" s="1651" t="s">
        <v>2629</v>
      </c>
      <c r="F17" s="1590">
        <f>-F41</f>
        <v>87</v>
      </c>
      <c r="G17" s="1651" t="s">
        <v>2494</v>
      </c>
      <c r="H17" s="1590"/>
      <c r="J17" s="1590"/>
    </row>
    <row r="18" spans="1:12" s="1650" customFormat="1">
      <c r="B18" s="1650" t="s">
        <v>2630</v>
      </c>
      <c r="F18" s="1573">
        <f>SUM(F12:F17)</f>
        <v>690744</v>
      </c>
      <c r="G18" s="1650" t="s">
        <v>2494</v>
      </c>
      <c r="H18" s="1573">
        <f>SUM(H19:H22)</f>
        <v>690744</v>
      </c>
      <c r="I18" s="1650" t="s">
        <v>2494</v>
      </c>
      <c r="J18" s="1573"/>
      <c r="L18" s="1573"/>
    </row>
    <row r="19" spans="1:12">
      <c r="B19" s="1649" t="s">
        <v>2631</v>
      </c>
      <c r="H19" s="1589">
        <v>3339</v>
      </c>
      <c r="I19" s="1649" t="s">
        <v>2494</v>
      </c>
    </row>
    <row r="20" spans="1:12">
      <c r="B20" s="1649" t="s">
        <v>2811</v>
      </c>
      <c r="H20" s="1589">
        <f>11224+36296</f>
        <v>47520</v>
      </c>
      <c r="I20" s="1649" t="s">
        <v>2494</v>
      </c>
    </row>
    <row r="21" spans="1:12">
      <c r="B21" s="1649" t="s">
        <v>2808</v>
      </c>
      <c r="H21" s="1589">
        <f>71518+13476</f>
        <v>84994</v>
      </c>
      <c r="I21" s="1649" t="s">
        <v>2494</v>
      </c>
      <c r="K21" s="1589"/>
    </row>
    <row r="22" spans="1:12">
      <c r="B22" s="1649" t="s">
        <v>2632</v>
      </c>
      <c r="H22" s="1589">
        <f>+F18-H19-H20-H21</f>
        <v>554891</v>
      </c>
      <c r="I22" s="1649" t="s">
        <v>2494</v>
      </c>
    </row>
    <row r="23" spans="1:12">
      <c r="F23" s="1589"/>
    </row>
    <row r="24" spans="1:12" s="1651" customFormat="1" ht="13.5">
      <c r="A24" s="1651" t="s">
        <v>2633</v>
      </c>
      <c r="F24" s="1707">
        <v>23027</v>
      </c>
      <c r="G24" s="1708" t="s">
        <v>2494</v>
      </c>
      <c r="H24" s="1590"/>
      <c r="J24" s="1590"/>
    </row>
    <row r="25" spans="1:12" s="1651" customFormat="1">
      <c r="A25" s="1651" t="s">
        <v>2634</v>
      </c>
      <c r="F25" s="1590">
        <f>-F24</f>
        <v>-23027</v>
      </c>
      <c r="G25" s="1651" t="s">
        <v>2494</v>
      </c>
      <c r="H25" s="1590"/>
      <c r="J25" s="1590"/>
    </row>
    <row r="26" spans="1:12" s="1708" customFormat="1" ht="13.5">
      <c r="B26" s="1650" t="s">
        <v>2635</v>
      </c>
      <c r="F26" s="1573">
        <f>+F24+F25</f>
        <v>0</v>
      </c>
      <c r="G26" s="1650" t="s">
        <v>2494</v>
      </c>
      <c r="H26" s="1573">
        <f>+F26</f>
        <v>0</v>
      </c>
      <c r="I26" s="1650" t="s">
        <v>2494</v>
      </c>
      <c r="J26" s="1707"/>
    </row>
    <row r="27" spans="1:12">
      <c r="F27" s="1573"/>
    </row>
    <row r="28" spans="1:12" s="1651" customFormat="1" ht="13.5">
      <c r="A28" s="1651" t="s">
        <v>2636</v>
      </c>
      <c r="F28" s="1707">
        <v>543</v>
      </c>
      <c r="G28" s="1708" t="s">
        <v>2494</v>
      </c>
      <c r="H28" s="1590"/>
      <c r="J28" s="1590"/>
    </row>
    <row r="29" spans="1:12" s="1651" customFormat="1">
      <c r="A29" s="1651" t="s">
        <v>2634</v>
      </c>
      <c r="F29" s="1590">
        <f>-F28</f>
        <v>-543</v>
      </c>
      <c r="G29" s="1651" t="s">
        <v>2494</v>
      </c>
      <c r="H29" s="1590"/>
      <c r="J29" s="1590"/>
    </row>
    <row r="30" spans="1:12" s="1708" customFormat="1" ht="13.5">
      <c r="B30" s="1650" t="s">
        <v>2637</v>
      </c>
      <c r="F30" s="1573">
        <f>+F28+F29</f>
        <v>0</v>
      </c>
      <c r="G30" s="1650" t="s">
        <v>2494</v>
      </c>
      <c r="H30" s="1573">
        <v>0</v>
      </c>
      <c r="I30" s="1650" t="s">
        <v>2494</v>
      </c>
      <c r="J30" s="1707"/>
    </row>
    <row r="31" spans="1:12">
      <c r="F31" s="1573"/>
    </row>
    <row r="32" spans="1:12" s="1651" customFormat="1" ht="13.5">
      <c r="A32" s="1651" t="s">
        <v>2638</v>
      </c>
      <c r="F32" s="1707">
        <v>2896</v>
      </c>
      <c r="G32" s="1708" t="s">
        <v>2494</v>
      </c>
      <c r="H32" s="1590"/>
      <c r="J32" s="1590"/>
    </row>
    <row r="33" spans="1:12" s="1651" customFormat="1">
      <c r="A33" s="1651" t="s">
        <v>2634</v>
      </c>
      <c r="F33" s="1590">
        <f>-F32</f>
        <v>-2896</v>
      </c>
      <c r="G33" s="1651" t="s">
        <v>2494</v>
      </c>
      <c r="H33" s="1590"/>
      <c r="J33" s="1590"/>
    </row>
    <row r="34" spans="1:12" s="1708" customFormat="1" ht="13.5">
      <c r="B34" s="1650" t="s">
        <v>2639</v>
      </c>
      <c r="F34" s="1573">
        <f>+F32+F33</f>
        <v>0</v>
      </c>
      <c r="G34" s="1650" t="s">
        <v>2494</v>
      </c>
      <c r="H34" s="1573">
        <v>0</v>
      </c>
      <c r="I34" s="1650" t="s">
        <v>2494</v>
      </c>
      <c r="J34" s="1707"/>
    </row>
    <row r="35" spans="1:12">
      <c r="F35" s="1573"/>
    </row>
    <row r="36" spans="1:12" s="1651" customFormat="1" ht="13.5">
      <c r="A36" s="1651" t="s">
        <v>2640</v>
      </c>
      <c r="F36" s="1707">
        <v>32</v>
      </c>
      <c r="G36" s="1708" t="s">
        <v>2494</v>
      </c>
      <c r="H36" s="1590"/>
      <c r="J36" s="1590"/>
    </row>
    <row r="37" spans="1:12" s="1651" customFormat="1">
      <c r="A37" s="1651" t="s">
        <v>2634</v>
      </c>
      <c r="F37" s="1590">
        <f>-F36</f>
        <v>-32</v>
      </c>
      <c r="G37" s="1651" t="s">
        <v>2494</v>
      </c>
      <c r="H37" s="1590"/>
      <c r="J37" s="1590"/>
    </row>
    <row r="38" spans="1:12" s="1708" customFormat="1" ht="13.5">
      <c r="B38" s="1650" t="s">
        <v>2641</v>
      </c>
      <c r="F38" s="1573">
        <f>+F36+F37</f>
        <v>0</v>
      </c>
      <c r="G38" s="1650" t="s">
        <v>2494</v>
      </c>
      <c r="H38" s="1573">
        <v>0</v>
      </c>
      <c r="I38" s="1650" t="s">
        <v>2494</v>
      </c>
      <c r="J38" s="1707"/>
    </row>
    <row r="39" spans="1:12" s="1708" customFormat="1" ht="13.5">
      <c r="B39" s="1650"/>
      <c r="F39" s="1573"/>
      <c r="G39" s="1650"/>
      <c r="H39" s="1573"/>
      <c r="I39" s="1650"/>
      <c r="J39" s="1707"/>
    </row>
    <row r="40" spans="1:12" s="1651" customFormat="1" ht="13.5">
      <c r="A40" s="1651" t="s">
        <v>2642</v>
      </c>
      <c r="F40" s="1707">
        <v>87</v>
      </c>
      <c r="G40" s="1708" t="s">
        <v>2494</v>
      </c>
      <c r="H40" s="1590"/>
      <c r="J40" s="1590"/>
    </row>
    <row r="41" spans="1:12" s="1651" customFormat="1">
      <c r="A41" s="1651" t="s">
        <v>2634</v>
      </c>
      <c r="F41" s="1590">
        <f>-F40</f>
        <v>-87</v>
      </c>
      <c r="G41" s="1651" t="s">
        <v>2494</v>
      </c>
      <c r="H41" s="1590"/>
      <c r="J41" s="1590"/>
    </row>
    <row r="42" spans="1:12" s="1708" customFormat="1" ht="13.5">
      <c r="B42" s="1650" t="s">
        <v>2641</v>
      </c>
      <c r="F42" s="1573">
        <f>+F40+F41</f>
        <v>0</v>
      </c>
      <c r="G42" s="1650" t="s">
        <v>2494</v>
      </c>
      <c r="H42" s="1573">
        <v>0</v>
      </c>
      <c r="I42" s="1650" t="s">
        <v>2494</v>
      </c>
      <c r="J42" s="1707"/>
    </row>
    <row r="43" spans="1:12" s="1708" customFormat="1" ht="13.5">
      <c r="B43" s="1650"/>
      <c r="F43" s="1573"/>
      <c r="G43" s="1650"/>
      <c r="H43" s="1573"/>
      <c r="I43" s="1650"/>
      <c r="J43" s="1707"/>
    </row>
    <row r="44" spans="1:12" s="1650" customFormat="1">
      <c r="A44" s="1650" t="s">
        <v>2643</v>
      </c>
      <c r="F44" s="1705">
        <f>+F46</f>
        <v>1707538</v>
      </c>
      <c r="G44" s="1650" t="s">
        <v>2494</v>
      </c>
      <c r="H44" s="1705">
        <f>+H47</f>
        <v>1707538</v>
      </c>
      <c r="I44" s="1650" t="s">
        <v>2494</v>
      </c>
      <c r="J44" s="1573"/>
    </row>
    <row r="45" spans="1:12">
      <c r="A45" s="1649" t="s">
        <v>2623</v>
      </c>
      <c r="F45" s="1589"/>
    </row>
    <row r="46" spans="1:12" s="1651" customFormat="1" ht="13.5">
      <c r="A46" s="1651" t="s">
        <v>2624</v>
      </c>
      <c r="F46" s="1707">
        <v>1707538</v>
      </c>
      <c r="G46" s="1708" t="s">
        <v>2494</v>
      </c>
      <c r="H46" s="1590"/>
      <c r="J46" s="1590"/>
    </row>
    <row r="47" spans="1:12" s="1650" customFormat="1" ht="13.5">
      <c r="B47" s="1650" t="s">
        <v>2644</v>
      </c>
      <c r="F47" s="1573">
        <f>SUM(F46:F46)</f>
        <v>1707538</v>
      </c>
      <c r="G47" s="1708" t="s">
        <v>2494</v>
      </c>
      <c r="H47" s="1573">
        <f>+H49+H48</f>
        <v>1707538</v>
      </c>
      <c r="I47" s="1650" t="s">
        <v>2494</v>
      </c>
      <c r="J47" s="1573"/>
    </row>
    <row r="48" spans="1:12">
      <c r="B48" s="1649" t="s">
        <v>2809</v>
      </c>
      <c r="H48" s="1589">
        <f>28153+(2307+279552+37000)+47506</f>
        <v>394518</v>
      </c>
      <c r="I48" s="1649" t="s">
        <v>2494</v>
      </c>
      <c r="L48" s="1589"/>
    </row>
    <row r="49" spans="1:18">
      <c r="B49" s="1649" t="s">
        <v>2645</v>
      </c>
      <c r="H49" s="1589">
        <f>MIN(2053776,F47-H48)</f>
        <v>1313020</v>
      </c>
      <c r="I49" s="1649" t="s">
        <v>2494</v>
      </c>
      <c r="L49" s="1589"/>
    </row>
    <row r="50" spans="1:18">
      <c r="F50" s="1589"/>
    </row>
    <row r="51" spans="1:18" s="1708" customFormat="1" ht="13.5">
      <c r="C51" s="1708" t="s">
        <v>2804</v>
      </c>
      <c r="F51" s="1707"/>
      <c r="H51" s="1707"/>
      <c r="J51" s="1709">
        <v>2375923</v>
      </c>
      <c r="K51" s="1708" t="s">
        <v>2494</v>
      </c>
    </row>
    <row r="52" spans="1:18" s="1708" customFormat="1" ht="13.5">
      <c r="C52" s="1708" t="s">
        <v>2805</v>
      </c>
      <c r="F52" s="1707"/>
      <c r="H52" s="1707"/>
      <c r="J52" s="1709">
        <f>+H10-J51</f>
        <v>-1685179</v>
      </c>
      <c r="K52" s="1708" t="s">
        <v>2494</v>
      </c>
    </row>
    <row r="53" spans="1:18">
      <c r="F53" s="1589"/>
    </row>
    <row r="54" spans="1:18" s="1708" customFormat="1" ht="13.5">
      <c r="C54" s="1708" t="s">
        <v>2806</v>
      </c>
      <c r="F54" s="1707"/>
      <c r="H54" s="1707"/>
      <c r="J54" s="1709">
        <v>0</v>
      </c>
      <c r="K54" s="1708" t="s">
        <v>2494</v>
      </c>
    </row>
    <row r="55" spans="1:18" s="1708" customFormat="1" ht="13.5">
      <c r="C55" s="1708" t="s">
        <v>2807</v>
      </c>
      <c r="F55" s="1707"/>
      <c r="H55" s="1707"/>
      <c r="J55" s="1709">
        <f>+H47-J54</f>
        <v>1707538</v>
      </c>
      <c r="K55" s="1708" t="s">
        <v>2494</v>
      </c>
    </row>
    <row r="56" spans="1:18">
      <c r="F56" s="1589"/>
      <c r="J56" s="1573"/>
    </row>
    <row r="57" spans="1:18">
      <c r="A57" s="1964" t="s">
        <v>2646</v>
      </c>
      <c r="B57" s="1964"/>
      <c r="C57" s="1964"/>
      <c r="D57" s="1964"/>
      <c r="E57" s="1964"/>
      <c r="F57" s="1964"/>
      <c r="G57" s="1964"/>
      <c r="H57" s="1964"/>
      <c r="I57" s="1964"/>
      <c r="J57" s="1964"/>
      <c r="K57" s="1964"/>
    </row>
    <row r="59" spans="1:18">
      <c r="A59" s="1649" t="s">
        <v>2810</v>
      </c>
      <c r="M59" s="1589"/>
      <c r="N59" s="1589">
        <f>2697474-62557</f>
        <v>2634917</v>
      </c>
      <c r="P59" s="1589"/>
    </row>
    <row r="60" spans="1:18">
      <c r="M60" s="1589"/>
      <c r="N60" s="1589">
        <f>+H49+H22</f>
        <v>1867911</v>
      </c>
      <c r="P60" s="1589"/>
    </row>
    <row r="61" spans="1:18">
      <c r="M61" s="1589"/>
      <c r="N61" s="1589">
        <f>+N60-N59</f>
        <v>-767006</v>
      </c>
      <c r="P61" s="1589">
        <f>+J55+J52</f>
        <v>22359</v>
      </c>
      <c r="Q61" s="1589">
        <f>+P61-321642</f>
        <v>-299283</v>
      </c>
    </row>
    <row r="62" spans="1:18">
      <c r="M62" s="1589"/>
      <c r="N62" s="1589"/>
      <c r="O62" s="1649">
        <v>0</v>
      </c>
      <c r="P62" s="1589">
        <v>20000</v>
      </c>
      <c r="Q62" s="1589">
        <f>+P62-O62</f>
        <v>20000</v>
      </c>
      <c r="R62" s="1649" t="s">
        <v>2647</v>
      </c>
    </row>
    <row r="63" spans="1:18">
      <c r="O63" s="1589">
        <f>78139+4579+8500+1000</f>
        <v>92218</v>
      </c>
      <c r="P63" s="1589">
        <v>94127</v>
      </c>
      <c r="Q63" s="1589">
        <f>+P63-O63</f>
        <v>1909</v>
      </c>
    </row>
    <row r="64" spans="1:18">
      <c r="O64" s="1589">
        <v>2634917</v>
      </c>
      <c r="P64" s="1589">
        <v>2481158</v>
      </c>
      <c r="Q64" s="1589">
        <f>+P64-O64</f>
        <v>-153759</v>
      </c>
    </row>
  </sheetData>
  <mergeCells count="6">
    <mergeCell ref="A57:K57"/>
    <mergeCell ref="J1:K1"/>
    <mergeCell ref="A2:K2"/>
    <mergeCell ref="F4:G4"/>
    <mergeCell ref="H4:I4"/>
    <mergeCell ref="J4:K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RowHeight="12.75"/>
  <cols>
    <col min="1" max="1" width="4.7109375" style="578" customWidth="1"/>
    <col min="2" max="2" width="28.42578125" style="578" customWidth="1"/>
    <col min="3" max="8" width="10.140625" style="578" customWidth="1"/>
    <col min="9" max="16384" width="9.140625" style="578"/>
  </cols>
  <sheetData>
    <row r="1" spans="1:8" ht="15.75">
      <c r="A1" s="576"/>
      <c r="B1" s="577"/>
      <c r="C1" s="577"/>
      <c r="D1" s="577"/>
      <c r="E1" s="577"/>
      <c r="F1" s="577"/>
      <c r="G1" s="577"/>
      <c r="H1" s="188" t="s">
        <v>781</v>
      </c>
    </row>
    <row r="2" spans="1:8" ht="15.75">
      <c r="A2" s="576"/>
      <c r="B2" s="577"/>
      <c r="C2" s="577"/>
      <c r="D2" s="577"/>
      <c r="E2" s="577"/>
      <c r="F2" s="577"/>
      <c r="G2" s="577"/>
      <c r="H2" s="577"/>
    </row>
    <row r="3" spans="1:8" ht="15.75">
      <c r="A3" s="1929" t="s">
        <v>782</v>
      </c>
      <c r="B3" s="1929"/>
      <c r="C3" s="1929"/>
      <c r="D3" s="1929"/>
      <c r="E3" s="1929"/>
      <c r="F3" s="1929"/>
      <c r="G3" s="1929"/>
      <c r="H3" s="1929"/>
    </row>
    <row r="4" spans="1:8" ht="15.75">
      <c r="A4" s="1929"/>
      <c r="B4" s="1929"/>
      <c r="C4" s="1929"/>
      <c r="D4" s="1929"/>
      <c r="E4" s="1929"/>
      <c r="F4" s="1929"/>
      <c r="G4" s="1929"/>
      <c r="H4" s="1929"/>
    </row>
    <row r="6" spans="1:8" s="576" customFormat="1" ht="27" customHeight="1">
      <c r="A6" s="579" t="s">
        <v>783</v>
      </c>
      <c r="B6" s="580"/>
      <c r="C6" s="1968" t="s">
        <v>784</v>
      </c>
      <c r="D6" s="1968"/>
      <c r="E6" s="1968"/>
      <c r="F6" s="1968"/>
      <c r="G6" s="1968"/>
      <c r="H6" s="1968"/>
    </row>
    <row r="7" spans="1:8" s="576" customFormat="1" ht="15.75"/>
    <row r="8" spans="1:8" s="576" customFormat="1" ht="24.75" customHeight="1">
      <c r="A8" s="579" t="s">
        <v>785</v>
      </c>
      <c r="B8" s="580"/>
      <c r="C8" s="1968" t="s">
        <v>784</v>
      </c>
      <c r="D8" s="1968"/>
      <c r="E8" s="1968"/>
      <c r="F8" s="1968"/>
      <c r="G8" s="1968"/>
      <c r="H8" s="580"/>
    </row>
    <row r="9" spans="1:8" s="581" customFormat="1"/>
    <row r="10" spans="1:8" s="583" customFormat="1" ht="15" customHeight="1">
      <c r="A10" s="582" t="s">
        <v>786</v>
      </c>
    </row>
    <row r="11" spans="1:8" s="583" customFormat="1" ht="15" customHeight="1" thickBot="1">
      <c r="A11" s="582" t="s">
        <v>787</v>
      </c>
    </row>
    <row r="12" spans="1:8" s="587" customFormat="1" ht="42" customHeight="1" thickBot="1">
      <c r="A12" s="584" t="s">
        <v>17</v>
      </c>
      <c r="B12" s="585" t="s">
        <v>788</v>
      </c>
      <c r="C12" s="585" t="s">
        <v>789</v>
      </c>
      <c r="D12" s="585" t="s">
        <v>790</v>
      </c>
      <c r="E12" s="585" t="s">
        <v>791</v>
      </c>
      <c r="F12" s="585" t="s">
        <v>792</v>
      </c>
      <c r="G12" s="585" t="s">
        <v>793</v>
      </c>
      <c r="H12" s="586" t="s">
        <v>440</v>
      </c>
    </row>
    <row r="13" spans="1:8" ht="24" customHeight="1">
      <c r="A13" s="588" t="s">
        <v>4</v>
      </c>
      <c r="B13" s="589" t="s">
        <v>794</v>
      </c>
      <c r="C13" s="590"/>
      <c r="D13" s="590"/>
      <c r="E13" s="590"/>
      <c r="F13" s="590"/>
      <c r="G13" s="590"/>
      <c r="H13" s="591">
        <f>SUM(C13:G13)</f>
        <v>0</v>
      </c>
    </row>
    <row r="14" spans="1:8" ht="24" customHeight="1">
      <c r="A14" s="592" t="s">
        <v>5</v>
      </c>
      <c r="B14" s="593" t="s">
        <v>795</v>
      </c>
      <c r="C14" s="594"/>
      <c r="D14" s="594"/>
      <c r="E14" s="594"/>
      <c r="F14" s="594"/>
      <c r="G14" s="594"/>
      <c r="H14" s="595">
        <f t="shared" ref="H14:H19" si="0">SUM(C14:G14)</f>
        <v>0</v>
      </c>
    </row>
    <row r="15" spans="1:8" ht="24" customHeight="1">
      <c r="A15" s="592" t="s">
        <v>6</v>
      </c>
      <c r="B15" s="593" t="s">
        <v>796</v>
      </c>
      <c r="C15" s="594"/>
      <c r="D15" s="594"/>
      <c r="E15" s="594"/>
      <c r="F15" s="594"/>
      <c r="G15" s="594"/>
      <c r="H15" s="595">
        <f t="shared" si="0"/>
        <v>0</v>
      </c>
    </row>
    <row r="16" spans="1:8" ht="24" customHeight="1">
      <c r="A16" s="592" t="s">
        <v>3</v>
      </c>
      <c r="B16" s="593" t="s">
        <v>797</v>
      </c>
      <c r="C16" s="594"/>
      <c r="D16" s="594"/>
      <c r="E16" s="594"/>
      <c r="F16" s="594"/>
      <c r="G16" s="594"/>
      <c r="H16" s="595">
        <f t="shared" si="0"/>
        <v>0</v>
      </c>
    </row>
    <row r="17" spans="1:8" ht="24" customHeight="1">
      <c r="A17" s="592" t="s">
        <v>16</v>
      </c>
      <c r="B17" s="593" t="s">
        <v>798</v>
      </c>
      <c r="C17" s="594"/>
      <c r="D17" s="594"/>
      <c r="E17" s="594"/>
      <c r="F17" s="594"/>
      <c r="G17" s="594"/>
      <c r="H17" s="595">
        <f t="shared" si="0"/>
        <v>0</v>
      </c>
    </row>
    <row r="18" spans="1:8" ht="24" customHeight="1" thickBot="1">
      <c r="A18" s="596" t="s">
        <v>15</v>
      </c>
      <c r="B18" s="597" t="s">
        <v>799</v>
      </c>
      <c r="C18" s="598"/>
      <c r="D18" s="598"/>
      <c r="E18" s="598"/>
      <c r="F18" s="598"/>
      <c r="G18" s="598"/>
      <c r="H18" s="599">
        <f t="shared" si="0"/>
        <v>0</v>
      </c>
    </row>
    <row r="19" spans="1:8" s="603" customFormat="1" ht="24" customHeight="1" thickBot="1">
      <c r="A19" s="600" t="s">
        <v>14</v>
      </c>
      <c r="B19" s="355" t="s">
        <v>440</v>
      </c>
      <c r="C19" s="601">
        <f>SUM(C13:C18)</f>
        <v>0</v>
      </c>
      <c r="D19" s="601">
        <f>SUM(D13:D18)</f>
        <v>0</v>
      </c>
      <c r="E19" s="601">
        <f>SUM(E13:E18)</f>
        <v>0</v>
      </c>
      <c r="F19" s="601">
        <f>SUM(F13:F18)</f>
        <v>0</v>
      </c>
      <c r="G19" s="601">
        <f>SUM(G13:G18)</f>
        <v>0</v>
      </c>
      <c r="H19" s="602">
        <f t="shared" si="0"/>
        <v>0</v>
      </c>
    </row>
    <row r="20" spans="1:8" s="581" customFormat="1"/>
    <row r="21" spans="1:8" s="581" customFormat="1"/>
    <row r="22" spans="1:8" s="581" customFormat="1"/>
    <row r="23" spans="1:8" s="581" customFormat="1" ht="15.75">
      <c r="A23" s="576" t="s">
        <v>1482</v>
      </c>
    </row>
    <row r="24" spans="1:8" s="581" customFormat="1"/>
    <row r="26" spans="1:8">
      <c r="C26" s="604"/>
      <c r="D26" s="604"/>
      <c r="E26" s="604"/>
      <c r="F26" s="604"/>
      <c r="G26" s="604"/>
    </row>
    <row r="27" spans="1:8" ht="13.5">
      <c r="C27" s="605"/>
      <c r="D27" s="606" t="s">
        <v>800</v>
      </c>
      <c r="E27" s="606"/>
      <c r="F27" s="606"/>
      <c r="G27" s="605"/>
    </row>
    <row r="28" spans="1:8" ht="13.5">
      <c r="C28" s="607"/>
      <c r="D28" s="608"/>
      <c r="E28" s="608"/>
      <c r="F28" s="608"/>
      <c r="G28" s="607"/>
    </row>
    <row r="29" spans="1:8" ht="13.5">
      <c r="C29" s="607"/>
      <c r="D29" s="608"/>
      <c r="E29" s="608"/>
      <c r="F29" s="608"/>
      <c r="G29" s="607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P25"/>
  <sheetViews>
    <sheetView zoomScaleNormal="100" workbookViewId="0"/>
  </sheetViews>
  <sheetFormatPr defaultRowHeight="12.75"/>
  <cols>
    <col min="1" max="1" width="16" style="609" bestFit="1" customWidth="1"/>
    <col min="2" max="2" width="35.42578125" style="609" customWidth="1"/>
    <col min="3" max="6" width="14.7109375" style="609" customWidth="1"/>
    <col min="7" max="7" width="9.140625" style="609"/>
    <col min="8" max="17" width="0" style="609" hidden="1" customWidth="1"/>
    <col min="18" max="16384" width="9.140625" style="609"/>
  </cols>
  <sheetData>
    <row r="1" spans="1:16" ht="15.75">
      <c r="F1" s="188" t="s">
        <v>836</v>
      </c>
    </row>
    <row r="3" spans="1:16" ht="14.25">
      <c r="A3" s="1993" t="s">
        <v>1413</v>
      </c>
      <c r="B3" s="1993"/>
      <c r="C3" s="1993"/>
      <c r="D3" s="1993"/>
      <c r="E3" s="1993"/>
      <c r="F3" s="1993"/>
    </row>
    <row r="4" spans="1:16" ht="14.25">
      <c r="A4" s="1034"/>
      <c r="B4" s="1034"/>
      <c r="C4" s="1034"/>
      <c r="D4" s="1034"/>
      <c r="E4" s="1034"/>
      <c r="F4" s="1034"/>
    </row>
    <row r="5" spans="1:16" ht="12.75" customHeight="1" thickBot="1">
      <c r="A5" s="1035"/>
      <c r="B5" s="1035"/>
      <c r="C5" s="1035"/>
      <c r="D5" s="1035"/>
      <c r="E5" s="1036"/>
      <c r="F5" s="1037" t="s">
        <v>973</v>
      </c>
    </row>
    <row r="6" spans="1:16" ht="14.25">
      <c r="A6" s="1985" t="s">
        <v>801</v>
      </c>
      <c r="B6" s="1986"/>
      <c r="C6" s="1989" t="s">
        <v>802</v>
      </c>
      <c r="D6" s="1990"/>
      <c r="E6" s="1989" t="s">
        <v>818</v>
      </c>
      <c r="F6" s="1990"/>
    </row>
    <row r="7" spans="1:16" ht="15.75" thickBot="1">
      <c r="A7" s="1987"/>
      <c r="B7" s="1988"/>
      <c r="C7" s="689" t="s">
        <v>803</v>
      </c>
      <c r="D7" s="690" t="s">
        <v>804</v>
      </c>
      <c r="E7" s="691">
        <v>1</v>
      </c>
      <c r="F7" s="692">
        <v>0.5</v>
      </c>
    </row>
    <row r="8" spans="1:16" ht="15">
      <c r="A8" s="1991" t="s">
        <v>805</v>
      </c>
      <c r="B8" s="1992"/>
      <c r="C8" s="659">
        <v>30</v>
      </c>
      <c r="D8" s="912">
        <f>+ROUND(C8*1.27,0)</f>
        <v>38</v>
      </c>
      <c r="E8" s="659">
        <f>+D8</f>
        <v>38</v>
      </c>
      <c r="F8" s="913">
        <f>+ROUND(E8*0.5,0)</f>
        <v>19</v>
      </c>
      <c r="I8" s="609">
        <v>27</v>
      </c>
      <c r="J8" s="609">
        <f>34+1</f>
        <v>35</v>
      </c>
      <c r="K8" s="609">
        <f>+I8*1.27</f>
        <v>34.29</v>
      </c>
      <c r="L8" s="609">
        <f>+O8*1.1</f>
        <v>29.700000000000003</v>
      </c>
      <c r="M8" s="609">
        <f>+P8*1.1</f>
        <v>38.5</v>
      </c>
      <c r="O8" s="609">
        <v>27</v>
      </c>
      <c r="P8" s="609">
        <v>35</v>
      </c>
    </row>
    <row r="9" spans="1:16" ht="15">
      <c r="A9" s="1971" t="s">
        <v>806</v>
      </c>
      <c r="B9" s="1972"/>
      <c r="C9" s="660">
        <v>54</v>
      </c>
      <c r="D9" s="667">
        <f>+ROUND(C9*1.27,0)</f>
        <v>69</v>
      </c>
      <c r="E9" s="660">
        <f>+D9</f>
        <v>69</v>
      </c>
      <c r="F9" s="661">
        <f>+ROUND(E9*0.5,0)</f>
        <v>35</v>
      </c>
      <c r="I9" s="609">
        <v>49</v>
      </c>
      <c r="J9" s="609">
        <v>62</v>
      </c>
      <c r="K9" s="609">
        <f>+I9*1.27</f>
        <v>62.230000000000004</v>
      </c>
      <c r="L9" s="609">
        <f t="shared" ref="L9:L20" si="0">+O9*1.1</f>
        <v>53.900000000000006</v>
      </c>
      <c r="M9" s="609">
        <f t="shared" ref="M9:M20" si="1">+P9*1.1</f>
        <v>68.2</v>
      </c>
      <c r="O9" s="609">
        <v>49</v>
      </c>
      <c r="P9" s="609">
        <v>62</v>
      </c>
    </row>
    <row r="10" spans="1:16" ht="15">
      <c r="A10" s="1971" t="s">
        <v>807</v>
      </c>
      <c r="B10" s="1972"/>
      <c r="C10" s="660">
        <v>158</v>
      </c>
      <c r="D10" s="667">
        <f>+ROUND(C10*1.27,0)-1</f>
        <v>200</v>
      </c>
      <c r="E10" s="660">
        <f>+D10</f>
        <v>200</v>
      </c>
      <c r="F10" s="661">
        <f>+ROUND(E10*0.5,0)</f>
        <v>100</v>
      </c>
      <c r="I10" s="609">
        <v>144</v>
      </c>
      <c r="J10" s="609">
        <v>183</v>
      </c>
      <c r="K10" s="609">
        <f>+I10*1.27</f>
        <v>182.88</v>
      </c>
      <c r="L10" s="609">
        <f t="shared" si="0"/>
        <v>158.4</v>
      </c>
      <c r="M10" s="609">
        <f t="shared" si="1"/>
        <v>201.3</v>
      </c>
      <c r="O10" s="609">
        <v>144</v>
      </c>
      <c r="P10" s="609">
        <v>183</v>
      </c>
    </row>
    <row r="11" spans="1:16" ht="15.75" thickBot="1">
      <c r="A11" s="1971" t="s">
        <v>808</v>
      </c>
      <c r="B11" s="1972"/>
      <c r="C11" s="660">
        <v>54</v>
      </c>
      <c r="D11" s="693">
        <f>+ROUND(C11*1.27,0)</f>
        <v>69</v>
      </c>
      <c r="E11" s="660">
        <f>+D11</f>
        <v>69</v>
      </c>
      <c r="F11" s="661">
        <f>+ROUND(E11*0.5,0)-1</f>
        <v>34</v>
      </c>
      <c r="I11" s="609">
        <v>49</v>
      </c>
      <c r="J11" s="609">
        <v>62</v>
      </c>
      <c r="K11" s="609">
        <f>+I11*1.27</f>
        <v>62.230000000000004</v>
      </c>
      <c r="L11" s="609">
        <f t="shared" si="0"/>
        <v>53.900000000000006</v>
      </c>
      <c r="M11" s="609">
        <f t="shared" si="1"/>
        <v>68.2</v>
      </c>
      <c r="O11" s="609">
        <v>49</v>
      </c>
      <c r="P11" s="609">
        <v>62</v>
      </c>
    </row>
    <row r="12" spans="1:16" ht="15" thickBot="1">
      <c r="A12" s="1979" t="s">
        <v>817</v>
      </c>
      <c r="B12" s="1980"/>
      <c r="C12" s="662">
        <f>SUM(C8:C11)</f>
        <v>296</v>
      </c>
      <c r="D12" s="663">
        <f>SUM(D8:D11)</f>
        <v>376</v>
      </c>
      <c r="E12" s="662">
        <f>SUM(E8:E11)</f>
        <v>376</v>
      </c>
      <c r="F12" s="663">
        <f>SUM(F8:F11)</f>
        <v>188</v>
      </c>
      <c r="I12" s="609">
        <f>SUM(I8:I11)</f>
        <v>269</v>
      </c>
      <c r="J12" s="609">
        <f>SUM(J8:J11)</f>
        <v>342</v>
      </c>
      <c r="K12" s="609">
        <f>+I12*1.27</f>
        <v>341.63</v>
      </c>
      <c r="L12" s="609">
        <f t="shared" si="0"/>
        <v>295.90000000000003</v>
      </c>
      <c r="M12" s="609">
        <f t="shared" si="1"/>
        <v>376.20000000000005</v>
      </c>
      <c r="O12" s="609">
        <v>269</v>
      </c>
      <c r="P12" s="609">
        <v>342</v>
      </c>
    </row>
    <row r="13" spans="1:16" ht="15">
      <c r="A13" s="1971" t="s">
        <v>806</v>
      </c>
      <c r="B13" s="1972"/>
      <c r="C13" s="664">
        <v>54</v>
      </c>
      <c r="D13" s="665">
        <f>+ROUND(C13*1.27,0)</f>
        <v>69</v>
      </c>
      <c r="E13" s="664">
        <f>+D13</f>
        <v>69</v>
      </c>
      <c r="F13" s="665">
        <f>+ROUND(E13*0.5,0)</f>
        <v>35</v>
      </c>
      <c r="I13" s="609">
        <v>49</v>
      </c>
      <c r="J13" s="609">
        <v>62</v>
      </c>
      <c r="K13" s="609">
        <f t="shared" ref="K13:K19" si="2">+I13*1.27</f>
        <v>62.230000000000004</v>
      </c>
      <c r="L13" s="609">
        <f t="shared" si="0"/>
        <v>53.900000000000006</v>
      </c>
      <c r="M13" s="609">
        <f t="shared" si="1"/>
        <v>68.2</v>
      </c>
      <c r="O13" s="609">
        <v>49</v>
      </c>
      <c r="P13" s="609">
        <v>62</v>
      </c>
    </row>
    <row r="14" spans="1:16" ht="15">
      <c r="A14" s="1971" t="s">
        <v>807</v>
      </c>
      <c r="B14" s="1972"/>
      <c r="C14" s="666">
        <v>158</v>
      </c>
      <c r="D14" s="667">
        <f>+ROUND(C14*1.27,0)-1</f>
        <v>200</v>
      </c>
      <c r="E14" s="666">
        <f>+D14</f>
        <v>200</v>
      </c>
      <c r="F14" s="667">
        <f>+ROUND(E14*0.5,0)</f>
        <v>100</v>
      </c>
      <c r="I14" s="609">
        <v>144</v>
      </c>
      <c r="J14" s="609">
        <v>183</v>
      </c>
      <c r="K14" s="609">
        <f t="shared" si="2"/>
        <v>182.88</v>
      </c>
      <c r="L14" s="609">
        <f t="shared" si="0"/>
        <v>158.4</v>
      </c>
      <c r="M14" s="609">
        <f t="shared" si="1"/>
        <v>201.3</v>
      </c>
      <c r="O14" s="609">
        <v>144</v>
      </c>
      <c r="P14" s="609">
        <v>183</v>
      </c>
    </row>
    <row r="15" spans="1:16" ht="15.75" thickBot="1">
      <c r="A15" s="1971" t="s">
        <v>808</v>
      </c>
      <c r="B15" s="1972"/>
      <c r="C15" s="660">
        <v>54</v>
      </c>
      <c r="D15" s="668">
        <f>+ROUND(C15*1.27,0)</f>
        <v>69</v>
      </c>
      <c r="E15" s="660">
        <f>+D15</f>
        <v>69</v>
      </c>
      <c r="F15" s="661">
        <f>+ROUND(E15*0.5,0)-1</f>
        <v>34</v>
      </c>
      <c r="I15" s="609">
        <v>49</v>
      </c>
      <c r="J15" s="609">
        <v>62</v>
      </c>
      <c r="K15" s="609">
        <f t="shared" si="2"/>
        <v>62.230000000000004</v>
      </c>
      <c r="L15" s="609">
        <f t="shared" si="0"/>
        <v>53.900000000000006</v>
      </c>
      <c r="M15" s="609">
        <f t="shared" si="1"/>
        <v>68.2</v>
      </c>
      <c r="O15" s="609">
        <v>49</v>
      </c>
      <c r="P15" s="609">
        <v>62</v>
      </c>
    </row>
    <row r="16" spans="1:16" ht="15.75" thickBot="1">
      <c r="A16" s="1973" t="s">
        <v>816</v>
      </c>
      <c r="B16" s="1974"/>
      <c r="C16" s="662">
        <f>SUM(C13:C15)</f>
        <v>266</v>
      </c>
      <c r="D16" s="663">
        <f>SUM(D13:D15)</f>
        <v>338</v>
      </c>
      <c r="E16" s="662">
        <f>SUM(E13:E15)</f>
        <v>338</v>
      </c>
      <c r="F16" s="663">
        <f>SUM(F13:F15)</f>
        <v>169</v>
      </c>
      <c r="I16" s="609">
        <f>SUM(I13:I15)</f>
        <v>242</v>
      </c>
      <c r="J16" s="609">
        <f>SUM(J13:J15)</f>
        <v>307</v>
      </c>
      <c r="K16" s="609">
        <f>SUM(K13:K15)</f>
        <v>307.34000000000003</v>
      </c>
      <c r="L16" s="609">
        <f t="shared" si="0"/>
        <v>266.20000000000005</v>
      </c>
      <c r="M16" s="609">
        <f t="shared" si="1"/>
        <v>337.70000000000005</v>
      </c>
      <c r="O16" s="609">
        <v>242</v>
      </c>
      <c r="P16" s="609">
        <v>307</v>
      </c>
    </row>
    <row r="17" spans="1:16" ht="15">
      <c r="A17" s="1975" t="s">
        <v>806</v>
      </c>
      <c r="B17" s="1976"/>
      <c r="C17" s="666">
        <v>62</v>
      </c>
      <c r="D17" s="667">
        <f>+ROUND(C17*1.27,0)</f>
        <v>79</v>
      </c>
      <c r="E17" s="666">
        <f>+D17</f>
        <v>79</v>
      </c>
      <c r="F17" s="667">
        <f>+ROUND(E17*0.5,0)-1</f>
        <v>39</v>
      </c>
      <c r="I17" s="609">
        <v>56</v>
      </c>
      <c r="J17" s="609">
        <v>71</v>
      </c>
      <c r="K17" s="609">
        <f t="shared" si="2"/>
        <v>71.12</v>
      </c>
      <c r="L17" s="609">
        <f t="shared" si="0"/>
        <v>61.600000000000009</v>
      </c>
      <c r="M17" s="609">
        <f t="shared" si="1"/>
        <v>78.100000000000009</v>
      </c>
      <c r="O17" s="609">
        <v>56</v>
      </c>
      <c r="P17" s="609">
        <v>71</v>
      </c>
    </row>
    <row r="18" spans="1:16" ht="15">
      <c r="A18" s="1975" t="s">
        <v>807</v>
      </c>
      <c r="B18" s="1976"/>
      <c r="C18" s="666">
        <v>185</v>
      </c>
      <c r="D18" s="667">
        <f>+ROUND(C18*1.27,0)</f>
        <v>235</v>
      </c>
      <c r="E18" s="666">
        <f>+D18</f>
        <v>235</v>
      </c>
      <c r="F18" s="667">
        <f>+ROUND(E18*0.5,0)</f>
        <v>118</v>
      </c>
      <c r="I18" s="609">
        <v>168</v>
      </c>
      <c r="J18" s="609">
        <f>214-1</f>
        <v>213</v>
      </c>
      <c r="K18" s="609">
        <f t="shared" si="2"/>
        <v>213.36</v>
      </c>
      <c r="L18" s="609">
        <f t="shared" si="0"/>
        <v>184.8</v>
      </c>
      <c r="M18" s="609">
        <f t="shared" si="1"/>
        <v>234.3</v>
      </c>
      <c r="O18" s="609">
        <v>168</v>
      </c>
      <c r="P18" s="609">
        <v>213</v>
      </c>
    </row>
    <row r="19" spans="1:16" ht="15.75" thickBot="1">
      <c r="A19" s="1977" t="s">
        <v>808</v>
      </c>
      <c r="B19" s="1978"/>
      <c r="C19" s="669">
        <v>62</v>
      </c>
      <c r="D19" s="667">
        <f>+ROUND(C19*1.27,0)-1</f>
        <v>78</v>
      </c>
      <c r="E19" s="669">
        <f>+D19</f>
        <v>78</v>
      </c>
      <c r="F19" s="670">
        <f>+ROUND(E19*0.5,0)</f>
        <v>39</v>
      </c>
      <c r="I19" s="609">
        <v>56</v>
      </c>
      <c r="J19" s="609">
        <f>71+1</f>
        <v>72</v>
      </c>
      <c r="K19" s="609">
        <f t="shared" si="2"/>
        <v>71.12</v>
      </c>
      <c r="L19" s="609">
        <f t="shared" si="0"/>
        <v>61.600000000000009</v>
      </c>
      <c r="M19" s="609">
        <f t="shared" si="1"/>
        <v>79.2</v>
      </c>
      <c r="O19" s="609">
        <v>56</v>
      </c>
      <c r="P19" s="609">
        <v>72</v>
      </c>
    </row>
    <row r="20" spans="1:16" ht="15" thickBot="1">
      <c r="A20" s="1979" t="s">
        <v>815</v>
      </c>
      <c r="B20" s="1980"/>
      <c r="C20" s="662">
        <f>SUM(C17:C19)</f>
        <v>309</v>
      </c>
      <c r="D20" s="663">
        <f>SUM(D17:D19)</f>
        <v>392</v>
      </c>
      <c r="E20" s="662">
        <f>SUM(E17:E19)</f>
        <v>392</v>
      </c>
      <c r="F20" s="663">
        <f>SUM(F17:F19)</f>
        <v>196</v>
      </c>
      <c r="I20" s="609">
        <f>SUM(I17:I19)</f>
        <v>280</v>
      </c>
      <c r="J20" s="609">
        <f>SUM(J17:J19)</f>
        <v>356</v>
      </c>
      <c r="K20" s="609">
        <f>SUM(K17:K19)</f>
        <v>355.6</v>
      </c>
      <c r="L20" s="609">
        <f t="shared" si="0"/>
        <v>308</v>
      </c>
      <c r="M20" s="609">
        <f t="shared" si="1"/>
        <v>391.6</v>
      </c>
      <c r="O20" s="609">
        <v>280</v>
      </c>
      <c r="P20" s="609">
        <v>356</v>
      </c>
    </row>
    <row r="21" spans="1:16" ht="15" customHeight="1" thickBot="1">
      <c r="A21" s="1983" t="s">
        <v>1152</v>
      </c>
      <c r="B21" s="1984"/>
      <c r="C21" s="662">
        <v>340</v>
      </c>
      <c r="D21" s="663">
        <f>+ROUND(C21*1.27,0)</f>
        <v>432</v>
      </c>
      <c r="E21" s="662">
        <v>664</v>
      </c>
      <c r="F21" s="845" t="s">
        <v>19</v>
      </c>
      <c r="L21" s="609">
        <f>+O21*1.1</f>
        <v>308</v>
      </c>
      <c r="M21" s="609">
        <f>+P21*1.1</f>
        <v>391.6</v>
      </c>
      <c r="O21" s="609">
        <v>280</v>
      </c>
      <c r="P21" s="609">
        <v>356</v>
      </c>
    </row>
    <row r="22" spans="1:16" ht="15" thickBot="1">
      <c r="A22" s="1981"/>
      <c r="B22" s="1982"/>
      <c r="C22" s="662"/>
      <c r="D22" s="663"/>
      <c r="E22" s="662"/>
      <c r="F22" s="663"/>
    </row>
    <row r="23" spans="1:16" ht="15" customHeight="1" thickBot="1">
      <c r="A23" s="1969" t="s">
        <v>1483</v>
      </c>
      <c r="B23" s="1970"/>
      <c r="C23" s="671">
        <v>329</v>
      </c>
      <c r="D23" s="694">
        <f>+ROUND(C23*1.27,0)</f>
        <v>418</v>
      </c>
      <c r="E23" s="671">
        <v>800</v>
      </c>
      <c r="F23" s="845" t="s">
        <v>19</v>
      </c>
    </row>
    <row r="25" spans="1:16">
      <c r="A25" s="609" t="s">
        <v>1484</v>
      </c>
    </row>
  </sheetData>
  <mergeCells count="20">
    <mergeCell ref="C6:D6"/>
    <mergeCell ref="E6:F6"/>
    <mergeCell ref="A8:B8"/>
    <mergeCell ref="A9:B9"/>
    <mergeCell ref="A3:F3"/>
    <mergeCell ref="A13:B13"/>
    <mergeCell ref="A14:B14"/>
    <mergeCell ref="A22:B22"/>
    <mergeCell ref="A21:B21"/>
    <mergeCell ref="A6:B7"/>
    <mergeCell ref="A10:B10"/>
    <mergeCell ref="A11:B11"/>
    <mergeCell ref="A12:B12"/>
    <mergeCell ref="A23:B23"/>
    <mergeCell ref="A15:B15"/>
    <mergeCell ref="A16:B16"/>
    <mergeCell ref="A17:B17"/>
    <mergeCell ref="A18:B18"/>
    <mergeCell ref="A19:B19"/>
    <mergeCell ref="A20:B20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S126"/>
  <sheetViews>
    <sheetView topLeftCell="A16" zoomScaleNormal="100" workbookViewId="0">
      <selection activeCell="G109" sqref="G109"/>
    </sheetView>
  </sheetViews>
  <sheetFormatPr defaultRowHeight="12"/>
  <cols>
    <col min="1" max="1" width="6" style="620" customWidth="1"/>
    <col min="2" max="2" width="10.5703125" style="611" customWidth="1"/>
    <col min="3" max="3" width="13.28515625" style="611" customWidth="1"/>
    <col min="4" max="4" width="10.5703125" style="611" customWidth="1"/>
    <col min="5" max="5" width="52.5703125" style="611" customWidth="1"/>
    <col min="6" max="8" width="8.28515625" style="612" customWidth="1"/>
    <col min="9" max="9" width="8.28515625" style="778" customWidth="1"/>
    <col min="10" max="11" width="9.140625" style="612" customWidth="1"/>
    <col min="12" max="20" width="9.140625" style="611" customWidth="1"/>
    <col min="21" max="16384" width="9.140625" style="611"/>
  </cols>
  <sheetData>
    <row r="1" spans="1:13" s="616" customFormat="1" ht="15.75">
      <c r="A1" s="617"/>
      <c r="F1" s="610"/>
      <c r="G1" s="610"/>
      <c r="H1" s="610" t="s">
        <v>809</v>
      </c>
      <c r="I1" s="610"/>
      <c r="J1" s="808"/>
      <c r="K1" s="808"/>
    </row>
    <row r="2" spans="1:13" s="616" customFormat="1" ht="15.75">
      <c r="A2" s="617"/>
      <c r="F2" s="610"/>
      <c r="G2" s="610"/>
      <c r="H2" s="610"/>
      <c r="I2" s="610"/>
      <c r="J2" s="808"/>
      <c r="K2" s="808"/>
    </row>
    <row r="3" spans="1:13" s="616" customFormat="1" ht="15.75">
      <c r="A3" s="2000" t="s">
        <v>1504</v>
      </c>
      <c r="B3" s="2000"/>
      <c r="C3" s="2000"/>
      <c r="D3" s="2000"/>
      <c r="E3" s="2000"/>
      <c r="F3" s="2000"/>
      <c r="G3" s="2000"/>
      <c r="H3" s="2000"/>
      <c r="I3" s="774"/>
      <c r="J3" s="808"/>
      <c r="K3" s="808"/>
    </row>
    <row r="4" spans="1:13" ht="12.75" thickBot="1">
      <c r="A4" s="619"/>
      <c r="B4" s="922"/>
      <c r="C4" s="922"/>
      <c r="D4" s="922"/>
      <c r="E4" s="922"/>
      <c r="F4" s="613"/>
      <c r="G4" s="613"/>
      <c r="H4" s="613" t="s">
        <v>457</v>
      </c>
      <c r="I4" s="613"/>
    </row>
    <row r="5" spans="1:13" s="615" customFormat="1" ht="12.75" thickBot="1">
      <c r="A5" s="618" t="s">
        <v>4</v>
      </c>
      <c r="B5" s="615" t="s">
        <v>80</v>
      </c>
      <c r="D5" s="716"/>
      <c r="E5" s="716"/>
      <c r="F5" s="1286">
        <f>+F7+F30+F35+F38+F41+F50+F55+F63</f>
        <v>173051</v>
      </c>
      <c r="G5" s="1287">
        <f>+G7+G30+G35+G38+G41+G50+G55+G63</f>
        <v>-2500</v>
      </c>
      <c r="H5" s="1288">
        <f>+H7+H30+H35+H38+H41+H50+H55+H63</f>
        <v>170551</v>
      </c>
      <c r="I5" s="718"/>
      <c r="J5" s="809"/>
      <c r="K5" s="809"/>
      <c r="L5" s="611"/>
    </row>
    <row r="6" spans="1:13">
      <c r="A6" s="619"/>
      <c r="B6" s="922"/>
      <c r="C6" s="922"/>
      <c r="D6" s="922"/>
      <c r="E6" s="922"/>
      <c r="F6" s="614"/>
      <c r="G6" s="614"/>
      <c r="H6" s="614"/>
      <c r="I6" s="775"/>
    </row>
    <row r="7" spans="1:13" s="615" customFormat="1">
      <c r="A7" s="715" t="s">
        <v>81</v>
      </c>
      <c r="B7" s="673" t="s">
        <v>812</v>
      </c>
      <c r="C7" s="716"/>
      <c r="D7" s="716"/>
      <c r="E7" s="716"/>
      <c r="F7" s="672">
        <f>+F10+F12+F14+F16+F18+F20+F22+F24+F26+F28</f>
        <v>74158</v>
      </c>
      <c r="G7" s="672">
        <f>+G10+G12+G14+G16+G18+G20+G22+G24+G26+G28</f>
        <v>-1000</v>
      </c>
      <c r="H7" s="672">
        <f>+H10+H12+H14+H16+H18+H20+H22+H24+H26+H28</f>
        <v>73158</v>
      </c>
      <c r="I7" s="718"/>
      <c r="J7" s="809"/>
      <c r="K7" s="809"/>
      <c r="L7" s="611"/>
    </row>
    <row r="8" spans="1:13" ht="24.75" customHeight="1">
      <c r="A8" s="619"/>
      <c r="B8" s="2001" t="s">
        <v>1307</v>
      </c>
      <c r="C8" s="2001"/>
      <c r="D8" s="2001"/>
      <c r="E8" s="2001"/>
      <c r="F8" s="614"/>
      <c r="G8" s="614"/>
      <c r="H8" s="614"/>
      <c r="I8" s="775"/>
    </row>
    <row r="9" spans="1:13">
      <c r="A9" s="619"/>
      <c r="B9" s="920"/>
      <c r="C9" s="920"/>
      <c r="D9" s="920"/>
      <c r="E9" s="920"/>
      <c r="F9" s="614"/>
      <c r="G9" s="614"/>
      <c r="H9" s="614"/>
      <c r="I9" s="775"/>
    </row>
    <row r="10" spans="1:13" ht="36.75" customHeight="1">
      <c r="A10" s="619"/>
      <c r="B10" s="1997" t="s">
        <v>1505</v>
      </c>
      <c r="C10" s="1997"/>
      <c r="D10" s="1997"/>
      <c r="E10" s="1997"/>
      <c r="F10" s="614">
        <v>5000</v>
      </c>
      <c r="G10" s="614"/>
      <c r="H10" s="614">
        <f>+F10+G10</f>
        <v>5000</v>
      </c>
      <c r="I10" s="775"/>
      <c r="J10" s="612">
        <f>+ROUND(H10/1.27,0)</f>
        <v>3937</v>
      </c>
      <c r="K10" s="612">
        <f>+H10-J10</f>
        <v>1063</v>
      </c>
      <c r="L10" s="611" t="s">
        <v>1043</v>
      </c>
    </row>
    <row r="11" spans="1:13">
      <c r="A11" s="619"/>
      <c r="B11" s="920"/>
      <c r="C11" s="920"/>
      <c r="D11" s="920"/>
      <c r="E11" s="920"/>
      <c r="F11" s="614"/>
      <c r="G11" s="614"/>
      <c r="H11" s="614"/>
      <c r="I11" s="775"/>
    </row>
    <row r="12" spans="1:13" ht="38.25" customHeight="1">
      <c r="A12" s="619"/>
      <c r="B12" s="2002" t="s">
        <v>1506</v>
      </c>
      <c r="C12" s="2002"/>
      <c r="D12" s="2002"/>
      <c r="E12" s="2002"/>
      <c r="F12" s="775">
        <v>41258</v>
      </c>
      <c r="G12" s="775"/>
      <c r="H12" s="775">
        <f>+F12+G12</f>
        <v>41258</v>
      </c>
      <c r="I12" s="775"/>
      <c r="J12" s="612">
        <f>+ROUND(H12/1.27,0)</f>
        <v>32487</v>
      </c>
      <c r="K12" s="612">
        <f>+H12-J12</f>
        <v>8771</v>
      </c>
      <c r="L12" s="611" t="s">
        <v>1043</v>
      </c>
      <c r="M12" s="611" t="s">
        <v>1059</v>
      </c>
    </row>
    <row r="13" spans="1:13">
      <c r="A13" s="619"/>
      <c r="B13" s="923"/>
      <c r="C13" s="923"/>
      <c r="D13" s="923"/>
      <c r="E13" s="923"/>
      <c r="F13" s="614"/>
      <c r="G13" s="614"/>
      <c r="H13" s="614"/>
      <c r="I13" s="775"/>
    </row>
    <row r="14" spans="1:13">
      <c r="A14" s="619"/>
      <c r="B14" s="2006" t="s">
        <v>1510</v>
      </c>
      <c r="C14" s="2004"/>
      <c r="D14" s="2004"/>
      <c r="E14" s="2004"/>
      <c r="F14" s="614">
        <v>20000</v>
      </c>
      <c r="G14" s="614"/>
      <c r="H14" s="614">
        <f>+F14+G14</f>
        <v>20000</v>
      </c>
      <c r="I14" s="775"/>
      <c r="J14" s="612">
        <f>+ROUND(H14/1.27,0)</f>
        <v>15748</v>
      </c>
      <c r="K14" s="612">
        <f>+H14-J14</f>
        <v>4252</v>
      </c>
      <c r="L14" s="611" t="s">
        <v>1043</v>
      </c>
      <c r="M14" s="611" t="s">
        <v>1059</v>
      </c>
    </row>
    <row r="15" spans="1:13">
      <c r="A15" s="619"/>
      <c r="B15" s="923"/>
      <c r="C15" s="923"/>
      <c r="D15" s="923"/>
      <c r="E15" s="923"/>
      <c r="F15" s="614"/>
      <c r="G15" s="614"/>
      <c r="H15" s="614"/>
      <c r="I15" s="775"/>
    </row>
    <row r="16" spans="1:13" ht="25.5" customHeight="1">
      <c r="A16" s="619"/>
      <c r="B16" s="2003" t="s">
        <v>1507</v>
      </c>
      <c r="C16" s="2004"/>
      <c r="D16" s="2004"/>
      <c r="E16" s="2004"/>
      <c r="F16" s="775">
        <f>1000-1000</f>
        <v>0</v>
      </c>
      <c r="G16" s="775"/>
      <c r="H16" s="775">
        <f>+F16+G16</f>
        <v>0</v>
      </c>
      <c r="I16" s="775"/>
      <c r="J16" s="612">
        <f>+ROUND(H16/1.27,0)</f>
        <v>0</v>
      </c>
      <c r="K16" s="612">
        <f>+H16-J16</f>
        <v>0</v>
      </c>
      <c r="L16" s="611" t="s">
        <v>1043</v>
      </c>
    </row>
    <row r="17" spans="1:19">
      <c r="A17" s="619"/>
      <c r="B17" s="923"/>
      <c r="C17" s="923"/>
      <c r="D17" s="923"/>
      <c r="E17" s="923"/>
      <c r="F17" s="775"/>
      <c r="G17" s="775"/>
      <c r="H17" s="775"/>
      <c r="I17" s="775"/>
    </row>
    <row r="18" spans="1:19" ht="28.5" customHeight="1">
      <c r="A18" s="619"/>
      <c r="B18" s="2002" t="s">
        <v>1320</v>
      </c>
      <c r="C18" s="2002"/>
      <c r="D18" s="2002"/>
      <c r="E18" s="2002"/>
      <c r="F18" s="775">
        <f>2000-1000</f>
        <v>1000</v>
      </c>
      <c r="G18" s="775">
        <v>-1000</v>
      </c>
      <c r="H18" s="775">
        <f>+F18+G18</f>
        <v>0</v>
      </c>
      <c r="I18" s="775"/>
      <c r="J18" s="612">
        <f>+ROUND(H18/1.27,0)</f>
        <v>0</v>
      </c>
      <c r="K18" s="612">
        <f>+H18-J18</f>
        <v>0</v>
      </c>
      <c r="L18" s="611" t="s">
        <v>1043</v>
      </c>
    </row>
    <row r="19" spans="1:19">
      <c r="A19" s="619"/>
      <c r="B19" s="923"/>
      <c r="C19" s="923"/>
      <c r="D19" s="923"/>
      <c r="E19" s="923"/>
      <c r="F19" s="775"/>
      <c r="G19" s="775"/>
      <c r="H19" s="775"/>
      <c r="I19" s="775"/>
    </row>
    <row r="20" spans="1:19">
      <c r="A20" s="619"/>
      <c r="B20" s="2002" t="s">
        <v>1321</v>
      </c>
      <c r="C20" s="2002"/>
      <c r="D20" s="2002"/>
      <c r="E20" s="2002"/>
      <c r="F20" s="775">
        <f>700-300</f>
        <v>400</v>
      </c>
      <c r="G20" s="775"/>
      <c r="H20" s="775">
        <f>+F20+G20</f>
        <v>400</v>
      </c>
      <c r="I20" s="775"/>
      <c r="J20" s="612">
        <f>+ROUND(H20/1.27,0)</f>
        <v>315</v>
      </c>
      <c r="K20" s="612">
        <f>+H20-J20</f>
        <v>85</v>
      </c>
      <c r="L20" s="611" t="s">
        <v>1043</v>
      </c>
    </row>
    <row r="21" spans="1:19">
      <c r="A21" s="619"/>
      <c r="B21" s="923"/>
      <c r="C21" s="923"/>
      <c r="D21" s="923"/>
      <c r="E21" s="923"/>
      <c r="F21" s="775"/>
      <c r="G21" s="775"/>
      <c r="H21" s="775"/>
      <c r="I21" s="775"/>
    </row>
    <row r="22" spans="1:19" ht="25.5" customHeight="1">
      <c r="A22" s="619"/>
      <c r="B22" s="2005" t="s">
        <v>1508</v>
      </c>
      <c r="C22" s="2005"/>
      <c r="D22" s="2005"/>
      <c r="E22" s="2005"/>
      <c r="F22" s="775">
        <v>0</v>
      </c>
      <c r="G22" s="775"/>
      <c r="H22" s="775">
        <f>+F22+G22</f>
        <v>0</v>
      </c>
      <c r="I22" s="775"/>
      <c r="J22" s="612">
        <f>+ROUND(H22/1.27,0)</f>
        <v>0</v>
      </c>
      <c r="K22" s="612">
        <f>+H22-J22</f>
        <v>0</v>
      </c>
      <c r="L22" s="611" t="s">
        <v>1043</v>
      </c>
    </row>
    <row r="23" spans="1:19">
      <c r="A23" s="619"/>
      <c r="B23" s="923"/>
      <c r="C23" s="923"/>
      <c r="D23" s="923"/>
      <c r="E23" s="923"/>
      <c r="F23" s="775"/>
      <c r="G23" s="775"/>
      <c r="H23" s="775"/>
      <c r="I23" s="775"/>
    </row>
    <row r="24" spans="1:19">
      <c r="A24" s="619"/>
      <c r="B24" s="2003" t="s">
        <v>1308</v>
      </c>
      <c r="C24" s="2004"/>
      <c r="D24" s="2004"/>
      <c r="E24" s="2004"/>
      <c r="F24" s="775">
        <f>2000-1000-500</f>
        <v>500</v>
      </c>
      <c r="G24" s="775"/>
      <c r="H24" s="775">
        <f>+F24+G24</f>
        <v>500</v>
      </c>
      <c r="I24" s="775"/>
      <c r="J24" s="612">
        <f>+ROUND(H24/1.27,0)</f>
        <v>394</v>
      </c>
      <c r="K24" s="612">
        <f>+H24-J24</f>
        <v>106</v>
      </c>
      <c r="L24" s="611" t="s">
        <v>1043</v>
      </c>
    </row>
    <row r="25" spans="1:19" s="615" customFormat="1">
      <c r="A25" s="619"/>
      <c r="B25" s="923"/>
      <c r="C25" s="923"/>
      <c r="D25" s="923"/>
      <c r="E25" s="923"/>
      <c r="F25" s="775"/>
      <c r="G25" s="775"/>
      <c r="H25" s="775"/>
      <c r="I25" s="775"/>
      <c r="J25" s="612"/>
      <c r="K25" s="612"/>
      <c r="L25" s="611"/>
      <c r="M25" s="611"/>
      <c r="N25" s="611"/>
      <c r="O25" s="611"/>
      <c r="P25" s="611"/>
      <c r="Q25" s="611"/>
      <c r="R25" s="611"/>
      <c r="S25" s="611"/>
    </row>
    <row r="26" spans="1:19" ht="37.5" customHeight="1">
      <c r="A26" s="619"/>
      <c r="B26" s="2005" t="s">
        <v>1509</v>
      </c>
      <c r="C26" s="2005"/>
      <c r="D26" s="2005"/>
      <c r="E26" s="2005"/>
      <c r="F26" s="775">
        <f>4000-4000</f>
        <v>0</v>
      </c>
      <c r="G26" s="775"/>
      <c r="H26" s="775">
        <f>+F26+G26</f>
        <v>0</v>
      </c>
      <c r="I26" s="775"/>
      <c r="J26" s="612">
        <f>+ROUND(H26/1.27,0)</f>
        <v>0</v>
      </c>
      <c r="K26" s="612">
        <f>+H26-J26</f>
        <v>0</v>
      </c>
      <c r="L26" s="611" t="s">
        <v>1043</v>
      </c>
      <c r="M26" s="611" t="s">
        <v>1059</v>
      </c>
    </row>
    <row r="27" spans="1:19">
      <c r="A27" s="619"/>
      <c r="B27" s="923"/>
      <c r="C27" s="923"/>
      <c r="D27" s="923"/>
      <c r="E27" s="923"/>
      <c r="F27" s="614"/>
      <c r="G27" s="614"/>
      <c r="H27" s="614"/>
      <c r="I27" s="775"/>
    </row>
    <row r="28" spans="1:19">
      <c r="A28" s="619"/>
      <c r="B28" s="2002" t="s">
        <v>1309</v>
      </c>
      <c r="C28" s="2002"/>
      <c r="D28" s="2002"/>
      <c r="E28" s="2002"/>
      <c r="F28" s="614">
        <v>6000</v>
      </c>
      <c r="G28" s="614"/>
      <c r="H28" s="614">
        <f>+F28+G28</f>
        <v>6000</v>
      </c>
      <c r="I28" s="775"/>
      <c r="J28" s="612">
        <f>+ROUND(H28/1.27,0)</f>
        <v>4724</v>
      </c>
      <c r="K28" s="612">
        <f>+H28-J28</f>
        <v>1276</v>
      </c>
      <c r="L28" s="611" t="s">
        <v>1043</v>
      </c>
      <c r="P28" s="611" t="s">
        <v>1310</v>
      </c>
    </row>
    <row r="29" spans="1:19">
      <c r="A29" s="619"/>
      <c r="B29" s="922"/>
      <c r="C29" s="922"/>
      <c r="D29" s="922"/>
      <c r="E29" s="922"/>
      <c r="F29" s="614"/>
      <c r="G29" s="614"/>
      <c r="H29" s="614"/>
      <c r="I29" s="775"/>
    </row>
    <row r="30" spans="1:19" s="615" customFormat="1">
      <c r="A30" s="715" t="s">
        <v>82</v>
      </c>
      <c r="B30" s="673" t="s">
        <v>644</v>
      </c>
      <c r="C30" s="716"/>
      <c r="D30" s="716"/>
      <c r="E30" s="716"/>
      <c r="F30" s="672">
        <f>+F31+F33</f>
        <v>26500</v>
      </c>
      <c r="G30" s="672">
        <f>+G31+G33</f>
        <v>-1500</v>
      </c>
      <c r="H30" s="672">
        <f>+H31+H33</f>
        <v>25000</v>
      </c>
      <c r="I30" s="718"/>
      <c r="J30" s="612"/>
      <c r="K30" s="612"/>
      <c r="L30" s="611"/>
    </row>
    <row r="31" spans="1:19">
      <c r="A31" s="619"/>
      <c r="B31" s="1997" t="s">
        <v>1311</v>
      </c>
      <c r="C31" s="1997"/>
      <c r="D31" s="1997"/>
      <c r="E31" s="1997"/>
      <c r="F31" s="614">
        <v>25000</v>
      </c>
      <c r="G31" s="614"/>
      <c r="H31" s="614">
        <f>+F31+G31</f>
        <v>25000</v>
      </c>
      <c r="I31" s="775"/>
      <c r="J31" s="612">
        <f>+ROUND(H31/1.27,0)</f>
        <v>19685</v>
      </c>
      <c r="K31" s="612">
        <f>+H31-J31</f>
        <v>5315</v>
      </c>
      <c r="L31" s="611" t="s">
        <v>1044</v>
      </c>
    </row>
    <row r="32" spans="1:19">
      <c r="A32" s="619"/>
      <c r="B32" s="920"/>
      <c r="C32" s="920"/>
      <c r="D32" s="920"/>
      <c r="E32" s="920"/>
      <c r="F32" s="614"/>
      <c r="G32" s="614"/>
      <c r="H32" s="614"/>
      <c r="I32" s="775"/>
    </row>
    <row r="33" spans="1:19" s="615" customFormat="1" ht="36.75" customHeight="1">
      <c r="A33" s="619"/>
      <c r="B33" s="1994" t="s">
        <v>1511</v>
      </c>
      <c r="C33" s="1994"/>
      <c r="D33" s="1994"/>
      <c r="E33" s="1994"/>
      <c r="F33" s="775">
        <f>2000-500</f>
        <v>1500</v>
      </c>
      <c r="G33" s="775">
        <v>-1500</v>
      </c>
      <c r="H33" s="775">
        <f>+F33+G33</f>
        <v>0</v>
      </c>
      <c r="I33" s="775"/>
      <c r="J33" s="612">
        <f>+ROUND(H33/1.27,0)</f>
        <v>0</v>
      </c>
      <c r="K33" s="612">
        <f>+H33-J33</f>
        <v>0</v>
      </c>
      <c r="L33" s="611" t="s">
        <v>1044</v>
      </c>
      <c r="M33" s="611" t="s">
        <v>1058</v>
      </c>
      <c r="N33" s="611"/>
      <c r="O33" s="611"/>
      <c r="P33" s="611"/>
      <c r="Q33" s="611"/>
      <c r="R33" s="611"/>
      <c r="S33" s="611"/>
    </row>
    <row r="34" spans="1:19" s="615" customFormat="1">
      <c r="A34" s="619"/>
      <c r="B34" s="1998"/>
      <c r="C34" s="1998"/>
      <c r="D34" s="1998"/>
      <c r="E34" s="1998"/>
      <c r="F34" s="614"/>
      <c r="G34" s="614"/>
      <c r="H34" s="614"/>
      <c r="I34" s="775"/>
      <c r="J34" s="612"/>
      <c r="K34" s="612"/>
      <c r="L34" s="611"/>
      <c r="M34" s="611"/>
      <c r="N34" s="611"/>
      <c r="O34" s="611"/>
      <c r="P34" s="611"/>
      <c r="Q34" s="611"/>
      <c r="R34" s="611"/>
      <c r="S34" s="611"/>
    </row>
    <row r="35" spans="1:19">
      <c r="A35" s="715" t="s">
        <v>820</v>
      </c>
      <c r="B35" s="673" t="s">
        <v>1323</v>
      </c>
      <c r="C35" s="716"/>
      <c r="D35" s="716"/>
      <c r="E35" s="716"/>
      <c r="F35" s="672">
        <v>2500</v>
      </c>
      <c r="G35" s="672"/>
      <c r="H35" s="672">
        <f>+F35+G35</f>
        <v>2500</v>
      </c>
      <c r="I35" s="718"/>
      <c r="J35" s="612">
        <f>+ROUND(H35/1.27,0)</f>
        <v>1969</v>
      </c>
      <c r="K35" s="612">
        <f>+H35-J35</f>
        <v>531</v>
      </c>
      <c r="L35" s="611" t="s">
        <v>1045</v>
      </c>
      <c r="M35" s="615"/>
      <c r="N35" s="615"/>
      <c r="O35" s="615"/>
      <c r="P35" s="615"/>
      <c r="Q35" s="615"/>
      <c r="R35" s="615"/>
      <c r="S35" s="615"/>
    </row>
    <row r="36" spans="1:19" ht="24" customHeight="1">
      <c r="A36" s="619"/>
      <c r="B36" s="1997" t="s">
        <v>1512</v>
      </c>
      <c r="C36" s="1997"/>
      <c r="D36" s="1997"/>
      <c r="E36" s="1997"/>
      <c r="F36" s="614"/>
      <c r="G36" s="614"/>
      <c r="H36" s="614"/>
      <c r="I36" s="775"/>
    </row>
    <row r="37" spans="1:19">
      <c r="A37" s="619"/>
      <c r="B37" s="922"/>
      <c r="C37" s="922"/>
      <c r="D37" s="922"/>
      <c r="E37" s="922"/>
      <c r="F37" s="614"/>
      <c r="G37" s="614"/>
      <c r="H37" s="614"/>
      <c r="I37" s="775"/>
    </row>
    <row r="38" spans="1:19">
      <c r="A38" s="715" t="s">
        <v>821</v>
      </c>
      <c r="B38" s="673" t="s">
        <v>1324</v>
      </c>
      <c r="C38" s="716"/>
      <c r="D38" s="716"/>
      <c r="E38" s="716"/>
      <c r="F38" s="1038">
        <f>7000-5000</f>
        <v>2000</v>
      </c>
      <c r="G38" s="1038"/>
      <c r="H38" s="1038">
        <f>+F38+G38</f>
        <v>2000</v>
      </c>
      <c r="I38" s="718"/>
      <c r="J38" s="612">
        <f>+ROUND(H38/1.27,0)</f>
        <v>1575</v>
      </c>
      <c r="K38" s="612">
        <f>+H38-J38</f>
        <v>425</v>
      </c>
      <c r="L38" s="611" t="s">
        <v>1046</v>
      </c>
      <c r="M38" s="615"/>
      <c r="N38" s="611" t="s">
        <v>1322</v>
      </c>
      <c r="O38" s="615"/>
      <c r="P38" s="611" t="s">
        <v>1310</v>
      </c>
      <c r="S38" s="615"/>
    </row>
    <row r="39" spans="1:19" ht="28.5" customHeight="1">
      <c r="A39" s="619"/>
      <c r="B39" s="1997" t="s">
        <v>1513</v>
      </c>
      <c r="C39" s="1997"/>
      <c r="D39" s="1997"/>
      <c r="E39" s="1997"/>
      <c r="F39" s="614"/>
      <c r="G39" s="614"/>
      <c r="H39" s="614"/>
      <c r="I39" s="775"/>
    </row>
    <row r="40" spans="1:19">
      <c r="A40" s="619"/>
      <c r="B40" s="922"/>
      <c r="C40" s="922"/>
      <c r="D40" s="922"/>
      <c r="E40" s="922"/>
      <c r="F40" s="614"/>
      <c r="G40" s="614"/>
      <c r="H40" s="614"/>
      <c r="I40" s="775"/>
    </row>
    <row r="41" spans="1:19" s="615" customFormat="1">
      <c r="A41" s="715" t="s">
        <v>822</v>
      </c>
      <c r="B41" s="673" t="s">
        <v>1325</v>
      </c>
      <c r="C41" s="716"/>
      <c r="D41" s="716"/>
      <c r="E41" s="716"/>
      <c r="F41" s="672">
        <f>+F43+F44+F45+F46+F47+F48</f>
        <v>7700</v>
      </c>
      <c r="G41" s="672">
        <f>+G43+G44+G45+G46+G47+G48</f>
        <v>0</v>
      </c>
      <c r="H41" s="672">
        <f>+H43+H44+H45+H46+H47+H48</f>
        <v>7700</v>
      </c>
      <c r="I41" s="718"/>
      <c r="J41" s="809"/>
      <c r="K41" s="809"/>
      <c r="L41" s="611"/>
      <c r="P41" s="611" t="s">
        <v>1310</v>
      </c>
      <c r="Q41" s="611"/>
      <c r="R41" s="611"/>
    </row>
    <row r="42" spans="1:19" ht="25.5" customHeight="1">
      <c r="A42" s="619"/>
      <c r="B42" s="1997" t="s">
        <v>1161</v>
      </c>
      <c r="C42" s="1997"/>
      <c r="D42" s="1997"/>
      <c r="E42" s="1997"/>
      <c r="F42" s="614"/>
      <c r="G42" s="614"/>
      <c r="H42" s="614"/>
      <c r="I42" s="775"/>
    </row>
    <row r="43" spans="1:19">
      <c r="A43" s="619"/>
      <c r="B43" s="1994" t="s">
        <v>1040</v>
      </c>
      <c r="C43" s="1994"/>
      <c r="D43" s="1994"/>
      <c r="E43" s="1994"/>
      <c r="F43" s="614">
        <v>500</v>
      </c>
      <c r="G43" s="614"/>
      <c r="H43" s="614">
        <f t="shared" ref="H43:H48" si="0">+F43+G43</f>
        <v>500</v>
      </c>
      <c r="I43" s="775"/>
      <c r="J43" s="612">
        <f t="shared" ref="J43:J48" si="1">+ROUND(H43/1.27,0)</f>
        <v>394</v>
      </c>
      <c r="K43" s="612">
        <f t="shared" ref="K43:K48" si="2">+H43-J43</f>
        <v>106</v>
      </c>
      <c r="L43" s="611" t="s">
        <v>1047</v>
      </c>
      <c r="P43" s="611" t="s">
        <v>1310</v>
      </c>
    </row>
    <row r="44" spans="1:19">
      <c r="A44" s="619"/>
      <c r="B44" s="2007" t="s">
        <v>1312</v>
      </c>
      <c r="C44" s="2007"/>
      <c r="D44" s="2007"/>
      <c r="E44" s="2007"/>
      <c r="F44" s="614">
        <v>500</v>
      </c>
      <c r="G44" s="614"/>
      <c r="H44" s="614">
        <f t="shared" si="0"/>
        <v>500</v>
      </c>
      <c r="I44" s="775"/>
      <c r="J44" s="612">
        <f t="shared" si="1"/>
        <v>394</v>
      </c>
      <c r="K44" s="612">
        <f t="shared" si="2"/>
        <v>106</v>
      </c>
      <c r="L44" s="611" t="s">
        <v>1047</v>
      </c>
      <c r="P44" s="611" t="s">
        <v>1310</v>
      </c>
    </row>
    <row r="45" spans="1:19">
      <c r="A45" s="619"/>
      <c r="B45" s="2007" t="s">
        <v>1313</v>
      </c>
      <c r="C45" s="2007"/>
      <c r="D45" s="2007"/>
      <c r="E45" s="2007"/>
      <c r="F45" s="614">
        <v>3000</v>
      </c>
      <c r="G45" s="614"/>
      <c r="H45" s="614">
        <f t="shared" si="0"/>
        <v>3000</v>
      </c>
      <c r="I45" s="775"/>
      <c r="J45" s="612">
        <f t="shared" si="1"/>
        <v>2362</v>
      </c>
      <c r="K45" s="612">
        <f t="shared" si="2"/>
        <v>638</v>
      </c>
      <c r="L45" s="611" t="s">
        <v>1047</v>
      </c>
      <c r="P45" s="611" t="s">
        <v>1310</v>
      </c>
    </row>
    <row r="46" spans="1:19" s="615" customFormat="1">
      <c r="A46" s="619"/>
      <c r="B46" s="1999" t="s">
        <v>813</v>
      </c>
      <c r="C46" s="1999"/>
      <c r="D46" s="1999"/>
      <c r="E46" s="1999"/>
      <c r="F46" s="614">
        <v>1000</v>
      </c>
      <c r="G46" s="614"/>
      <c r="H46" s="614">
        <f t="shared" si="0"/>
        <v>1000</v>
      </c>
      <c r="I46" s="775"/>
      <c r="J46" s="612">
        <f>+ROUND(H46/1.27,0)</f>
        <v>787</v>
      </c>
      <c r="K46" s="612">
        <f>+H46-J46</f>
        <v>213</v>
      </c>
      <c r="L46" s="611" t="s">
        <v>1047</v>
      </c>
      <c r="M46" s="611"/>
      <c r="N46" s="611"/>
      <c r="O46" s="611"/>
      <c r="P46" s="611" t="s">
        <v>1310</v>
      </c>
      <c r="Q46" s="611"/>
      <c r="R46" s="611"/>
      <c r="S46" s="611"/>
    </row>
    <row r="47" spans="1:19">
      <c r="A47" s="619"/>
      <c r="B47" s="1999" t="s">
        <v>1041</v>
      </c>
      <c r="C47" s="1999"/>
      <c r="D47" s="1999"/>
      <c r="E47" s="1999"/>
      <c r="F47" s="614">
        <v>1200</v>
      </c>
      <c r="G47" s="614"/>
      <c r="H47" s="614">
        <f t="shared" si="0"/>
        <v>1200</v>
      </c>
      <c r="I47" s="775"/>
      <c r="J47" s="612">
        <f t="shared" si="1"/>
        <v>945</v>
      </c>
      <c r="K47" s="612">
        <f t="shared" si="2"/>
        <v>255</v>
      </c>
      <c r="L47" s="611" t="s">
        <v>1047</v>
      </c>
      <c r="P47" s="611" t="s">
        <v>1310</v>
      </c>
    </row>
    <row r="48" spans="1:19">
      <c r="A48" s="619"/>
      <c r="B48" s="1999" t="s">
        <v>1314</v>
      </c>
      <c r="C48" s="1999"/>
      <c r="D48" s="1999"/>
      <c r="E48" s="1999"/>
      <c r="F48" s="614">
        <v>1500</v>
      </c>
      <c r="G48" s="614"/>
      <c r="H48" s="614">
        <f t="shared" si="0"/>
        <v>1500</v>
      </c>
      <c r="I48" s="775"/>
      <c r="J48" s="612">
        <f t="shared" si="1"/>
        <v>1181</v>
      </c>
      <c r="K48" s="612">
        <f t="shared" si="2"/>
        <v>319</v>
      </c>
      <c r="L48" s="611" t="s">
        <v>1047</v>
      </c>
    </row>
    <row r="49" spans="1:19">
      <c r="A49" s="619"/>
      <c r="B49" s="922"/>
      <c r="C49" s="922"/>
      <c r="D49" s="922"/>
      <c r="E49" s="922"/>
      <c r="F49" s="614"/>
      <c r="G49" s="614"/>
      <c r="H49" s="614"/>
      <c r="I49" s="775"/>
    </row>
    <row r="50" spans="1:19">
      <c r="A50" s="715" t="s">
        <v>823</v>
      </c>
      <c r="B50" s="673" t="s">
        <v>1326</v>
      </c>
      <c r="C50" s="716"/>
      <c r="D50" s="716"/>
      <c r="E50" s="716"/>
      <c r="F50" s="672">
        <f>+F51+F53</f>
        <v>3500</v>
      </c>
      <c r="G50" s="672">
        <f>+G51+G53</f>
        <v>0</v>
      </c>
      <c r="H50" s="672">
        <f>+H51+H53</f>
        <v>3500</v>
      </c>
      <c r="I50" s="718"/>
      <c r="M50" s="615"/>
      <c r="N50" s="615"/>
      <c r="O50" s="615"/>
      <c r="P50" s="615"/>
      <c r="Q50" s="615"/>
      <c r="R50" s="615"/>
      <c r="S50" s="615"/>
    </row>
    <row r="51" spans="1:19">
      <c r="A51" s="619"/>
      <c r="B51" s="1997" t="s">
        <v>1327</v>
      </c>
      <c r="C51" s="1997"/>
      <c r="D51" s="1997"/>
      <c r="E51" s="1997"/>
      <c r="F51" s="614">
        <v>3000</v>
      </c>
      <c r="G51" s="614"/>
      <c r="H51" s="614">
        <f>+F51+G51</f>
        <v>3000</v>
      </c>
      <c r="I51" s="775"/>
      <c r="J51" s="612">
        <f>+ROUND(H51/1.27,0)</f>
        <v>2362</v>
      </c>
      <c r="K51" s="612">
        <f>+H51-J51</f>
        <v>638</v>
      </c>
      <c r="L51" s="611" t="s">
        <v>1048</v>
      </c>
    </row>
    <row r="52" spans="1:19" s="615" customFormat="1">
      <c r="A52" s="619"/>
      <c r="B52" s="920"/>
      <c r="C52" s="920"/>
      <c r="D52" s="920"/>
      <c r="E52" s="920"/>
      <c r="F52" s="614"/>
      <c r="G52" s="614"/>
      <c r="H52" s="614"/>
      <c r="I52" s="775"/>
      <c r="J52" s="612"/>
      <c r="K52" s="612"/>
      <c r="L52" s="611"/>
      <c r="M52" s="611"/>
      <c r="N52" s="611"/>
      <c r="O52" s="611"/>
      <c r="P52" s="611"/>
      <c r="Q52" s="611"/>
      <c r="R52" s="611"/>
      <c r="S52" s="611"/>
    </row>
    <row r="53" spans="1:19">
      <c r="A53" s="619"/>
      <c r="B53" s="1994" t="s">
        <v>1514</v>
      </c>
      <c r="C53" s="1994"/>
      <c r="D53" s="1994"/>
      <c r="E53" s="1994"/>
      <c r="F53" s="614">
        <v>500</v>
      </c>
      <c r="G53" s="614"/>
      <c r="H53" s="614">
        <f>+F53+G53</f>
        <v>500</v>
      </c>
      <c r="I53" s="775"/>
      <c r="J53" s="612">
        <f>+ROUND(H53/1.27,0)</f>
        <v>394</v>
      </c>
      <c r="K53" s="612">
        <f>+H53-J53</f>
        <v>106</v>
      </c>
      <c r="L53" s="611" t="s">
        <v>1048</v>
      </c>
    </row>
    <row r="54" spans="1:19">
      <c r="A54" s="619"/>
      <c r="B54" s="922"/>
      <c r="C54" s="922"/>
      <c r="D54" s="922"/>
      <c r="E54" s="922"/>
      <c r="F54" s="614"/>
      <c r="G54" s="614"/>
      <c r="H54" s="614"/>
      <c r="I54" s="775"/>
    </row>
    <row r="55" spans="1:19">
      <c r="A55" s="715" t="s">
        <v>824</v>
      </c>
      <c r="B55" s="673" t="s">
        <v>1335</v>
      </c>
      <c r="C55" s="716"/>
      <c r="D55" s="716"/>
      <c r="E55" s="716"/>
      <c r="F55" s="672">
        <f>+F57+F59+F61</f>
        <v>10000</v>
      </c>
      <c r="G55" s="672">
        <f>+G57+G59+G61</f>
        <v>0</v>
      </c>
      <c r="H55" s="672">
        <f>+H57+H59+H61</f>
        <v>10000</v>
      </c>
      <c r="I55" s="718"/>
      <c r="J55" s="809"/>
      <c r="K55" s="809"/>
      <c r="M55" s="615"/>
      <c r="N55" s="615"/>
      <c r="O55" s="615"/>
      <c r="P55" s="615"/>
      <c r="Q55" s="615"/>
      <c r="R55" s="615"/>
      <c r="S55" s="615"/>
    </row>
    <row r="56" spans="1:19">
      <c r="A56" s="619"/>
      <c r="B56" s="920"/>
      <c r="C56" s="920"/>
      <c r="D56" s="920"/>
      <c r="E56" s="920"/>
      <c r="F56" s="614"/>
      <c r="G56" s="614"/>
      <c r="H56" s="614"/>
      <c r="I56" s="775"/>
    </row>
    <row r="57" spans="1:19">
      <c r="A57" s="619"/>
      <c r="B57" s="1997" t="s">
        <v>1329</v>
      </c>
      <c r="C57" s="1997"/>
      <c r="D57" s="1997"/>
      <c r="E57" s="1997"/>
      <c r="F57" s="775">
        <v>6000</v>
      </c>
      <c r="G57" s="775"/>
      <c r="H57" s="775">
        <f>+F57+G57</f>
        <v>6000</v>
      </c>
      <c r="I57" s="775"/>
      <c r="J57" s="612">
        <f>+ROUND(H57/1.27,0)</f>
        <v>4724</v>
      </c>
      <c r="K57" s="612">
        <f>+H57-J57</f>
        <v>1276</v>
      </c>
      <c r="L57" s="611" t="s">
        <v>970</v>
      </c>
    </row>
    <row r="58" spans="1:19">
      <c r="A58" s="619"/>
      <c r="B58" s="920"/>
      <c r="C58" s="920"/>
      <c r="D58" s="920"/>
      <c r="E58" s="920"/>
      <c r="F58" s="775"/>
      <c r="G58" s="775"/>
      <c r="H58" s="775"/>
      <c r="I58" s="775"/>
    </row>
    <row r="59" spans="1:19" ht="36" customHeight="1">
      <c r="A59" s="619"/>
      <c r="B59" s="1997" t="s">
        <v>1328</v>
      </c>
      <c r="C59" s="1997"/>
      <c r="D59" s="1997"/>
      <c r="E59" s="1997"/>
      <c r="F59" s="775">
        <f>6000-2000</f>
        <v>4000</v>
      </c>
      <c r="G59" s="775"/>
      <c r="H59" s="775">
        <f>+F59+G59</f>
        <v>4000</v>
      </c>
      <c r="I59" s="775"/>
      <c r="J59" s="612">
        <f>+ROUND(H59/1.27,0)</f>
        <v>3150</v>
      </c>
      <c r="K59" s="612">
        <f>+H59-J59</f>
        <v>850</v>
      </c>
      <c r="L59" s="611" t="s">
        <v>970</v>
      </c>
    </row>
    <row r="60" spans="1:19">
      <c r="A60" s="619"/>
      <c r="B60" s="920"/>
      <c r="C60" s="920"/>
      <c r="D60" s="920"/>
      <c r="E60" s="920"/>
      <c r="F60" s="614"/>
      <c r="G60" s="614"/>
      <c r="H60" s="614"/>
      <c r="I60" s="775"/>
    </row>
    <row r="61" spans="1:19">
      <c r="B61" s="1994" t="s">
        <v>1515</v>
      </c>
      <c r="C61" s="1994"/>
      <c r="D61" s="1994"/>
      <c r="E61" s="1994"/>
      <c r="F61" s="612">
        <v>0</v>
      </c>
      <c r="H61" s="612">
        <f>+F61+G61</f>
        <v>0</v>
      </c>
      <c r="J61" s="612">
        <f>+ROUND(H61/1.27,0)</f>
        <v>0</v>
      </c>
      <c r="K61" s="612">
        <f>+H61-J61</f>
        <v>0</v>
      </c>
      <c r="L61" s="611" t="s">
        <v>970</v>
      </c>
    </row>
    <row r="62" spans="1:19">
      <c r="A62" s="619"/>
      <c r="F62" s="614"/>
      <c r="G62" s="614"/>
      <c r="H62" s="614"/>
      <c r="I62" s="775"/>
    </row>
    <row r="63" spans="1:19">
      <c r="A63" s="715" t="s">
        <v>825</v>
      </c>
      <c r="B63" s="673" t="s">
        <v>814</v>
      </c>
      <c r="C63" s="716"/>
      <c r="D63" s="716"/>
      <c r="E63" s="716"/>
      <c r="F63" s="1038">
        <f>+F68+F73</f>
        <v>46693</v>
      </c>
      <c r="G63" s="1038">
        <f>+G68+G73</f>
        <v>0</v>
      </c>
      <c r="H63" s="1038">
        <f>+H68+H73</f>
        <v>46693</v>
      </c>
      <c r="I63" s="718"/>
      <c r="J63" s="809"/>
      <c r="K63" s="809"/>
      <c r="M63" s="615"/>
      <c r="N63" s="615"/>
      <c r="O63" s="615"/>
      <c r="P63" s="615"/>
      <c r="Q63" s="615"/>
      <c r="R63" s="615"/>
      <c r="S63" s="615"/>
    </row>
    <row r="64" spans="1:19" s="615" customFormat="1" ht="12" customHeight="1">
      <c r="A64" s="619"/>
      <c r="B64" s="1994" t="s">
        <v>1518</v>
      </c>
      <c r="C64" s="1994"/>
      <c r="D64" s="1994"/>
      <c r="E64" s="1994"/>
      <c r="F64" s="614"/>
      <c r="G64" s="614"/>
      <c r="H64" s="614"/>
      <c r="I64" s="775"/>
      <c r="J64" s="612"/>
      <c r="K64" s="612"/>
      <c r="L64" s="611"/>
      <c r="M64" s="611"/>
      <c r="N64" s="611"/>
      <c r="O64" s="611"/>
      <c r="P64" s="611" t="s">
        <v>1310</v>
      </c>
      <c r="Q64" s="611"/>
      <c r="R64" s="611"/>
      <c r="S64" s="611"/>
    </row>
    <row r="65" spans="1:19" ht="24.75" customHeight="1">
      <c r="A65" s="619"/>
      <c r="B65" s="2001" t="s">
        <v>1519</v>
      </c>
      <c r="C65" s="2001"/>
      <c r="D65" s="2001"/>
      <c r="E65" s="2001"/>
      <c r="F65" s="614"/>
      <c r="G65" s="614"/>
      <c r="H65" s="614"/>
      <c r="I65" s="775"/>
      <c r="P65" s="611" t="s">
        <v>1310</v>
      </c>
    </row>
    <row r="66" spans="1:19" ht="23.25" customHeight="1">
      <c r="A66" s="619"/>
      <c r="B66" s="2001" t="s">
        <v>1520</v>
      </c>
      <c r="C66" s="2001"/>
      <c r="D66" s="2001"/>
      <c r="E66" s="2001"/>
      <c r="F66" s="614"/>
      <c r="G66" s="614"/>
      <c r="H66" s="614"/>
      <c r="I66" s="775"/>
    </row>
    <row r="67" spans="1:19">
      <c r="A67" s="619"/>
      <c r="D67" s="924"/>
      <c r="E67" s="924"/>
      <c r="F67" s="614"/>
      <c r="G67" s="614"/>
      <c r="H67" s="614"/>
      <c r="I67" s="775"/>
    </row>
    <row r="68" spans="1:19">
      <c r="A68" s="619"/>
      <c r="B68" s="611" t="s">
        <v>1517</v>
      </c>
      <c r="D68" s="924"/>
      <c r="E68" s="924"/>
      <c r="F68" s="717">
        <f>+F69+F70+F71</f>
        <v>36693</v>
      </c>
      <c r="G68" s="717">
        <f>+G69+G70+G71</f>
        <v>0</v>
      </c>
      <c r="H68" s="717">
        <f>+H69+H70+H71</f>
        <v>36693</v>
      </c>
      <c r="I68" s="776"/>
    </row>
    <row r="69" spans="1:19" s="887" customFormat="1" ht="12" customHeight="1">
      <c r="A69" s="886"/>
      <c r="D69" s="888"/>
      <c r="E69" s="888" t="s">
        <v>972</v>
      </c>
      <c r="F69" s="889">
        <v>33433</v>
      </c>
      <c r="G69" s="889"/>
      <c r="H69" s="889">
        <f>+F69+G69</f>
        <v>33433</v>
      </c>
      <c r="I69" s="890"/>
      <c r="J69" s="891">
        <f>+H69</f>
        <v>33433</v>
      </c>
      <c r="K69" s="891"/>
      <c r="L69" s="887" t="s">
        <v>1049</v>
      </c>
    </row>
    <row r="70" spans="1:19" s="887" customFormat="1" ht="12" customHeight="1">
      <c r="A70" s="886"/>
      <c r="D70" s="888"/>
      <c r="E70" s="888" t="s">
        <v>971</v>
      </c>
      <c r="F70" s="889">
        <v>3260</v>
      </c>
      <c r="G70" s="889"/>
      <c r="H70" s="889">
        <f>+F70+G70</f>
        <v>3260</v>
      </c>
      <c r="I70" s="890"/>
      <c r="J70" s="891">
        <f>+H70</f>
        <v>3260</v>
      </c>
      <c r="K70" s="891"/>
      <c r="L70" s="887" t="s">
        <v>1049</v>
      </c>
    </row>
    <row r="71" spans="1:19" s="887" customFormat="1" ht="12" customHeight="1">
      <c r="A71" s="886"/>
      <c r="D71" s="888"/>
      <c r="E71" s="888" t="s">
        <v>1042</v>
      </c>
      <c r="F71" s="889">
        <v>0</v>
      </c>
      <c r="G71" s="889"/>
      <c r="H71" s="889">
        <f>+F71+G71</f>
        <v>0</v>
      </c>
      <c r="I71" s="890"/>
      <c r="J71" s="891">
        <f>+ROUND(H71/1.27,0)</f>
        <v>0</v>
      </c>
      <c r="K71" s="891">
        <f>+H71-J71</f>
        <v>0</v>
      </c>
      <c r="L71" s="887" t="s">
        <v>1049</v>
      </c>
    </row>
    <row r="72" spans="1:19" ht="12" customHeight="1">
      <c r="A72" s="619"/>
      <c r="D72" s="924"/>
      <c r="E72" s="924"/>
      <c r="F72" s="614"/>
      <c r="G72" s="614"/>
      <c r="H72" s="614"/>
      <c r="I72" s="775"/>
    </row>
    <row r="73" spans="1:19" ht="12" customHeight="1">
      <c r="A73" s="619"/>
      <c r="B73" s="1994" t="s">
        <v>1516</v>
      </c>
      <c r="C73" s="1994"/>
      <c r="D73" s="1994"/>
      <c r="E73" s="1994"/>
      <c r="F73" s="885">
        <v>10000</v>
      </c>
      <c r="G73" s="885"/>
      <c r="H73" s="885">
        <f>+F73+G73</f>
        <v>10000</v>
      </c>
      <c r="I73" s="775"/>
      <c r="J73" s="612">
        <f>+ROUND(H73/1.27,0)</f>
        <v>7874</v>
      </c>
      <c r="K73" s="612">
        <f>+H73-J73</f>
        <v>2126</v>
      </c>
      <c r="L73" s="611" t="s">
        <v>1049</v>
      </c>
    </row>
    <row r="74" spans="1:19" ht="12" customHeight="1">
      <c r="A74" s="619"/>
      <c r="B74" s="921"/>
      <c r="C74" s="921"/>
      <c r="D74" s="921"/>
      <c r="E74" s="921"/>
      <c r="F74" s="885"/>
      <c r="G74" s="885"/>
      <c r="H74" s="885"/>
      <c r="I74" s="775"/>
    </row>
    <row r="75" spans="1:19" ht="12.75" thickBot="1">
      <c r="A75" s="619"/>
      <c r="B75" s="924"/>
      <c r="C75" s="924"/>
      <c r="D75" s="924"/>
      <c r="E75" s="924"/>
      <c r="F75" s="614"/>
      <c r="G75" s="614"/>
      <c r="H75" s="614"/>
      <c r="I75" s="775"/>
    </row>
    <row r="76" spans="1:19" ht="12.75" thickBot="1">
      <c r="A76" s="618" t="s">
        <v>5</v>
      </c>
      <c r="B76" s="615" t="s">
        <v>48</v>
      </c>
      <c r="C76" s="615"/>
      <c r="D76" s="716"/>
      <c r="E76" s="716"/>
      <c r="F76" s="1286">
        <f>+F78+F81+F83+F86+F89+F93+F99+F101</f>
        <v>65100.9</v>
      </c>
      <c r="G76" s="1287">
        <f>+G78+G81+G83+G86+G89+G93+G99+G101</f>
        <v>0</v>
      </c>
      <c r="H76" s="1288">
        <f>+H78+H81+H83+H86+H89+H93+H99+H101</f>
        <v>65100.9</v>
      </c>
      <c r="I76" s="718"/>
      <c r="J76" s="809"/>
      <c r="K76" s="809"/>
      <c r="M76" s="615"/>
      <c r="N76" s="615"/>
      <c r="O76" s="615"/>
      <c r="P76" s="615"/>
      <c r="Q76" s="615"/>
      <c r="R76" s="615"/>
      <c r="S76" s="615"/>
    </row>
    <row r="77" spans="1:19">
      <c r="A77" s="619"/>
      <c r="B77" s="924"/>
      <c r="C77" s="924"/>
      <c r="D77" s="924"/>
      <c r="E77" s="924"/>
      <c r="F77" s="614"/>
      <c r="G77" s="614"/>
      <c r="H77" s="614"/>
      <c r="I77" s="775"/>
    </row>
    <row r="78" spans="1:19">
      <c r="A78" s="715" t="s">
        <v>54</v>
      </c>
      <c r="B78" s="673" t="s">
        <v>775</v>
      </c>
      <c r="C78" s="922"/>
      <c r="D78" s="922"/>
      <c r="E78" s="922"/>
      <c r="F78" s="672">
        <v>700</v>
      </c>
      <c r="G78" s="672"/>
      <c r="H78" s="672">
        <f>+F78+G78</f>
        <v>700</v>
      </c>
      <c r="I78" s="718"/>
      <c r="J78" s="612">
        <f>+ROUND(H78/1.27,0)</f>
        <v>551</v>
      </c>
      <c r="K78" s="612">
        <f>+H78-J78</f>
        <v>149</v>
      </c>
      <c r="L78" s="611" t="s">
        <v>970</v>
      </c>
      <c r="N78" s="611" t="s">
        <v>1057</v>
      </c>
    </row>
    <row r="79" spans="1:19">
      <c r="A79" s="715"/>
      <c r="B79" s="1994" t="s">
        <v>1521</v>
      </c>
      <c r="C79" s="1994"/>
      <c r="D79" s="1994"/>
      <c r="E79" s="1994"/>
      <c r="F79" s="717"/>
      <c r="G79" s="717"/>
      <c r="H79" s="717"/>
      <c r="I79" s="718"/>
    </row>
    <row r="80" spans="1:19">
      <c r="A80" s="715"/>
      <c r="B80" s="921"/>
      <c r="C80" s="921"/>
      <c r="D80" s="921"/>
      <c r="E80" s="921"/>
      <c r="F80" s="717"/>
      <c r="G80" s="717"/>
      <c r="H80" s="717"/>
      <c r="I80" s="718"/>
    </row>
    <row r="81" spans="1:14">
      <c r="A81" s="715" t="s">
        <v>55</v>
      </c>
      <c r="B81" s="1995" t="s">
        <v>1315</v>
      </c>
      <c r="C81" s="1995"/>
      <c r="D81" s="1995"/>
      <c r="E81" s="1995"/>
      <c r="F81" s="672">
        <v>0</v>
      </c>
      <c r="G81" s="672"/>
      <c r="H81" s="672">
        <f>+F81+G81</f>
        <v>0</v>
      </c>
      <c r="I81" s="775"/>
      <c r="J81" s="612">
        <f>+H81</f>
        <v>0</v>
      </c>
      <c r="L81" s="611" t="s">
        <v>970</v>
      </c>
    </row>
    <row r="82" spans="1:14">
      <c r="A82" s="715"/>
      <c r="B82" s="921"/>
      <c r="C82" s="921"/>
      <c r="D82" s="921"/>
      <c r="E82" s="921"/>
      <c r="F82" s="614"/>
      <c r="G82" s="614"/>
      <c r="H82" s="614"/>
      <c r="I82" s="775"/>
    </row>
    <row r="83" spans="1:14">
      <c r="A83" s="715" t="s">
        <v>83</v>
      </c>
      <c r="B83" s="673" t="s">
        <v>1334</v>
      </c>
      <c r="C83" s="922"/>
      <c r="D83" s="922"/>
      <c r="E83" s="922"/>
      <c r="F83" s="672">
        <v>4900</v>
      </c>
      <c r="G83" s="672"/>
      <c r="H83" s="672">
        <f>+F83+G83</f>
        <v>4900</v>
      </c>
      <c r="I83" s="718"/>
      <c r="J83" s="612">
        <f>+H83</f>
        <v>4900</v>
      </c>
      <c r="L83" s="611" t="s">
        <v>970</v>
      </c>
    </row>
    <row r="84" spans="1:14" ht="26.25" customHeight="1">
      <c r="A84" s="618"/>
      <c r="B84" s="1996" t="s">
        <v>1522</v>
      </c>
      <c r="C84" s="1996"/>
      <c r="D84" s="1996"/>
      <c r="E84" s="1996"/>
      <c r="F84" s="614"/>
      <c r="G84" s="614"/>
      <c r="H84" s="614"/>
      <c r="I84" s="775"/>
    </row>
    <row r="85" spans="1:14">
      <c r="A85" s="715"/>
      <c r="B85" s="922"/>
      <c r="C85" s="922"/>
      <c r="D85" s="922"/>
      <c r="E85" s="922"/>
      <c r="F85" s="614"/>
      <c r="G85" s="614"/>
      <c r="H85" s="614"/>
      <c r="I85" s="775"/>
    </row>
    <row r="86" spans="1:14">
      <c r="A86" s="715" t="s">
        <v>84</v>
      </c>
      <c r="B86" s="673" t="s">
        <v>1330</v>
      </c>
      <c r="C86" s="922"/>
      <c r="D86" s="922"/>
      <c r="E86" s="922"/>
      <c r="F86" s="672">
        <f>310-10</f>
        <v>300</v>
      </c>
      <c r="G86" s="672"/>
      <c r="H86" s="672">
        <f>+F86+G86</f>
        <v>300</v>
      </c>
      <c r="I86" s="718"/>
      <c r="J86" s="612">
        <f>+ROUND(H86/1.27,0)</f>
        <v>236</v>
      </c>
      <c r="K86" s="612">
        <f>+H86-J86</f>
        <v>64</v>
      </c>
      <c r="L86" s="611" t="s">
        <v>1056</v>
      </c>
      <c r="N86" s="611" t="s">
        <v>1057</v>
      </c>
    </row>
    <row r="87" spans="1:14">
      <c r="A87" s="618"/>
      <c r="B87" s="1997" t="s">
        <v>826</v>
      </c>
      <c r="C87" s="1997"/>
      <c r="D87" s="1997"/>
      <c r="E87" s="1997"/>
      <c r="F87" s="614"/>
      <c r="G87" s="614"/>
      <c r="H87" s="614"/>
      <c r="I87" s="775"/>
    </row>
    <row r="88" spans="1:14">
      <c r="A88" s="715"/>
      <c r="B88" s="922"/>
      <c r="C88" s="922"/>
      <c r="D88" s="922"/>
      <c r="E88" s="922"/>
      <c r="F88" s="614"/>
      <c r="G88" s="614"/>
      <c r="H88" s="614"/>
      <c r="I88" s="775"/>
    </row>
    <row r="89" spans="1:14">
      <c r="A89" s="715" t="s">
        <v>85</v>
      </c>
      <c r="B89" s="673" t="s">
        <v>1331</v>
      </c>
      <c r="C89" s="922"/>
      <c r="D89" s="922"/>
      <c r="E89" s="922"/>
      <c r="F89" s="672">
        <f>+F90+F91</f>
        <v>7557</v>
      </c>
      <c r="G89" s="672">
        <f>+G90+G91</f>
        <v>0</v>
      </c>
      <c r="H89" s="672">
        <f>+H90+H91</f>
        <v>7557</v>
      </c>
      <c r="I89" s="718"/>
    </row>
    <row r="90" spans="1:14">
      <c r="A90" s="715"/>
      <c r="B90" s="893"/>
      <c r="C90" s="611" t="s">
        <v>1336</v>
      </c>
      <c r="D90" s="922"/>
      <c r="E90" s="922"/>
      <c r="F90" s="614">
        <f>3100+837</f>
        <v>3937</v>
      </c>
      <c r="G90" s="614"/>
      <c r="H90" s="614">
        <f>+F90+G90</f>
        <v>3937</v>
      </c>
      <c r="I90" s="775"/>
      <c r="J90" s="612">
        <f>+ROUND(H90/1.27,0)</f>
        <v>3100</v>
      </c>
      <c r="K90" s="612">
        <f>+H90-J90</f>
        <v>837</v>
      </c>
      <c r="L90" s="611" t="s">
        <v>1045</v>
      </c>
      <c r="N90" s="611" t="s">
        <v>1057</v>
      </c>
    </row>
    <row r="91" spans="1:14">
      <c r="A91" s="715"/>
      <c r="B91" s="922"/>
      <c r="C91" s="611" t="s">
        <v>1337</v>
      </c>
      <c r="D91" s="922"/>
      <c r="E91" s="922"/>
      <c r="F91" s="614">
        <f>ROUND((1500+1350)*1.27,0)</f>
        <v>3620</v>
      </c>
      <c r="G91" s="614"/>
      <c r="H91" s="614">
        <f>+F91+G91</f>
        <v>3620</v>
      </c>
      <c r="I91" s="775"/>
      <c r="J91" s="612">
        <f>+ROUND(H91/1.27,0)</f>
        <v>2850</v>
      </c>
      <c r="K91" s="612">
        <f>+H91-J91</f>
        <v>770</v>
      </c>
      <c r="L91" s="611" t="s">
        <v>1045</v>
      </c>
      <c r="N91" s="611" t="s">
        <v>1057</v>
      </c>
    </row>
    <row r="92" spans="1:14">
      <c r="A92" s="715"/>
      <c r="B92" s="922"/>
      <c r="C92" s="922"/>
      <c r="D92" s="922"/>
      <c r="E92" s="922"/>
      <c r="F92" s="614"/>
      <c r="G92" s="614"/>
      <c r="H92" s="614"/>
      <c r="I92" s="775"/>
    </row>
    <row r="93" spans="1:14">
      <c r="A93" s="715" t="s">
        <v>86</v>
      </c>
      <c r="B93" s="673" t="s">
        <v>1333</v>
      </c>
      <c r="C93" s="922"/>
      <c r="D93" s="922"/>
      <c r="E93" s="922"/>
      <c r="F93" s="672">
        <f>+F94+F95+F96+F97</f>
        <v>20143.900000000001</v>
      </c>
      <c r="G93" s="672">
        <f>+G94+G95+G96+G97</f>
        <v>0</v>
      </c>
      <c r="H93" s="672">
        <f>+H94+H95+H96+H97</f>
        <v>20143.900000000001</v>
      </c>
      <c r="I93" s="718"/>
    </row>
    <row r="94" spans="1:14">
      <c r="A94" s="715"/>
      <c r="B94" s="922"/>
      <c r="C94" s="611" t="s">
        <v>1523</v>
      </c>
      <c r="D94" s="922"/>
      <c r="E94" s="922"/>
      <c r="F94" s="614">
        <f>300*12*1.27</f>
        <v>4572</v>
      </c>
      <c r="G94" s="614"/>
      <c r="H94" s="614">
        <f>+F94+G94</f>
        <v>4572</v>
      </c>
      <c r="I94" s="775"/>
      <c r="J94" s="612">
        <f>+ROUND(H94/1.27,0)</f>
        <v>3600</v>
      </c>
      <c r="K94" s="612">
        <f>+H94-J94</f>
        <v>972</v>
      </c>
      <c r="L94" s="611" t="s">
        <v>1056</v>
      </c>
      <c r="N94" s="611" t="s">
        <v>1057</v>
      </c>
    </row>
    <row r="95" spans="1:14">
      <c r="A95" s="715"/>
      <c r="B95" s="922"/>
      <c r="C95" s="611" t="s">
        <v>1524</v>
      </c>
      <c r="D95" s="922"/>
      <c r="E95" s="922"/>
      <c r="F95" s="614">
        <f>12*750*0.33*1.27</f>
        <v>3771.9</v>
      </c>
      <c r="G95" s="614"/>
      <c r="H95" s="614">
        <f>+F95+G95</f>
        <v>3771.9</v>
      </c>
      <c r="I95" s="775"/>
      <c r="J95" s="612">
        <f>+ROUND(H95/1.27,0)</f>
        <v>2970</v>
      </c>
      <c r="K95" s="612">
        <f>+H95-J95</f>
        <v>801.90000000000009</v>
      </c>
      <c r="L95" s="611" t="s">
        <v>1056</v>
      </c>
    </row>
    <row r="96" spans="1:14">
      <c r="A96" s="715"/>
      <c r="B96" s="922"/>
      <c r="C96" s="611" t="s">
        <v>1525</v>
      </c>
      <c r="D96" s="922"/>
      <c r="E96" s="922"/>
      <c r="F96" s="614">
        <f>9000+300</f>
        <v>9300</v>
      </c>
      <c r="G96" s="614"/>
      <c r="H96" s="614">
        <f>+F96+G96</f>
        <v>9300</v>
      </c>
      <c r="I96" s="775"/>
      <c r="J96" s="612">
        <f>+ROUND(H96/1.27,0)</f>
        <v>7323</v>
      </c>
      <c r="K96" s="612">
        <f>+H96-J96</f>
        <v>1977</v>
      </c>
      <c r="L96" s="611" t="s">
        <v>1056</v>
      </c>
      <c r="N96" s="611" t="s">
        <v>1057</v>
      </c>
    </row>
    <row r="97" spans="1:14">
      <c r="A97" s="715"/>
      <c r="B97" s="922"/>
      <c r="C97" s="611" t="s">
        <v>1526</v>
      </c>
      <c r="D97" s="922"/>
      <c r="E97" s="922"/>
      <c r="F97" s="614">
        <v>2500</v>
      </c>
      <c r="G97" s="614"/>
      <c r="H97" s="614">
        <f>+F97+G97</f>
        <v>2500</v>
      </c>
      <c r="I97" s="775"/>
      <c r="J97" s="612">
        <f>+ROUND(H97/1.27,0)</f>
        <v>1969</v>
      </c>
      <c r="K97" s="612">
        <f>+H97-J97</f>
        <v>531</v>
      </c>
      <c r="L97" s="611" t="s">
        <v>1051</v>
      </c>
      <c r="N97" s="611" t="s">
        <v>1057</v>
      </c>
    </row>
    <row r="98" spans="1:14">
      <c r="A98" s="715"/>
      <c r="B98" s="922"/>
      <c r="C98" s="922"/>
      <c r="D98" s="922"/>
      <c r="E98" s="922"/>
      <c r="F98" s="614"/>
      <c r="G98" s="614"/>
      <c r="H98" s="614"/>
      <c r="I98" s="775"/>
    </row>
    <row r="99" spans="1:14">
      <c r="A99" s="715" t="s">
        <v>1066</v>
      </c>
      <c r="B99" s="673" t="s">
        <v>1316</v>
      </c>
      <c r="C99" s="922"/>
      <c r="D99" s="922"/>
      <c r="E99" s="922"/>
      <c r="F99" s="672">
        <v>30000</v>
      </c>
      <c r="G99" s="672"/>
      <c r="H99" s="672">
        <f>+F99+G99</f>
        <v>30000</v>
      </c>
      <c r="I99" s="718"/>
      <c r="J99" s="612">
        <f>+ROUND(H99/1.27,0)</f>
        <v>23622</v>
      </c>
      <c r="K99" s="612">
        <f>+H99-J99</f>
        <v>6378</v>
      </c>
      <c r="L99" s="611" t="s">
        <v>1056</v>
      </c>
    </row>
    <row r="100" spans="1:14">
      <c r="A100" s="715"/>
      <c r="B100" s="615"/>
      <c r="C100" s="922"/>
      <c r="D100" s="922"/>
      <c r="E100" s="922"/>
      <c r="F100" s="717"/>
      <c r="G100" s="717"/>
      <c r="H100" s="717"/>
      <c r="I100" s="718"/>
    </row>
    <row r="101" spans="1:14">
      <c r="A101" s="715" t="s">
        <v>1162</v>
      </c>
      <c r="B101" s="673" t="s">
        <v>1317</v>
      </c>
      <c r="C101" s="922"/>
      <c r="D101" s="922"/>
      <c r="E101" s="922"/>
      <c r="F101" s="672">
        <v>1500</v>
      </c>
      <c r="G101" s="672"/>
      <c r="H101" s="672">
        <f>+F101+G101</f>
        <v>1500</v>
      </c>
      <c r="I101" s="718"/>
      <c r="J101" s="612">
        <f>+ROUND(H101/1.27,0)</f>
        <v>1181</v>
      </c>
      <c r="K101" s="612">
        <f>+H101-J101</f>
        <v>319</v>
      </c>
      <c r="L101" s="611" t="s">
        <v>1332</v>
      </c>
      <c r="N101" s="611" t="s">
        <v>1057</v>
      </c>
    </row>
    <row r="102" spans="1:14">
      <c r="A102" s="619"/>
      <c r="B102" s="922"/>
      <c r="D102" s="922"/>
      <c r="E102" s="922"/>
      <c r="F102" s="614"/>
      <c r="G102" s="614"/>
      <c r="H102" s="614"/>
      <c r="I102" s="775"/>
      <c r="J102" s="611"/>
      <c r="K102" s="611"/>
    </row>
    <row r="103" spans="1:14">
      <c r="A103" s="619"/>
      <c r="B103" s="922"/>
      <c r="D103" s="922"/>
      <c r="E103" s="922"/>
      <c r="F103" s="614"/>
      <c r="G103" s="614"/>
      <c r="H103" s="614"/>
      <c r="I103" s="775"/>
    </row>
    <row r="104" spans="1:14">
      <c r="A104" s="618" t="s">
        <v>6</v>
      </c>
      <c r="B104" s="615" t="s">
        <v>949</v>
      </c>
      <c r="C104" s="673"/>
      <c r="D104" s="922"/>
      <c r="E104" s="922"/>
      <c r="F104" s="674">
        <f>F106+F108+F110+F112+F114+F116+F118+F120+F122+F124+F126</f>
        <v>445097</v>
      </c>
      <c r="G104" s="674">
        <f>G106+G108+G110+G112+G114+G116+G118+G120+G122+G124+G126</f>
        <v>-1500</v>
      </c>
      <c r="H104" s="674">
        <f>H106+H108+H110+H112+H114+H116+H118+H120+H122+H124+H126</f>
        <v>443597</v>
      </c>
      <c r="I104" s="884"/>
      <c r="J104" s="922"/>
    </row>
    <row r="105" spans="1:14">
      <c r="A105" s="618"/>
      <c r="B105" s="615"/>
      <c r="C105" s="673"/>
      <c r="D105" s="922"/>
      <c r="E105" s="922"/>
      <c r="F105" s="777"/>
      <c r="G105" s="777"/>
      <c r="H105" s="777"/>
      <c r="I105" s="884"/>
      <c r="J105" s="922"/>
    </row>
    <row r="106" spans="1:14" ht="36.75" customHeight="1">
      <c r="A106" s="620" t="s">
        <v>58</v>
      </c>
      <c r="B106" s="1994" t="s">
        <v>1527</v>
      </c>
      <c r="C106" s="1994"/>
      <c r="D106" s="1994"/>
      <c r="E106" s="1994"/>
      <c r="F106" s="1039">
        <v>50000</v>
      </c>
      <c r="G106" s="1039"/>
      <c r="H106" s="1039">
        <f>+F106+G106</f>
        <v>50000</v>
      </c>
      <c r="I106" s="612"/>
      <c r="J106" s="612">
        <f>+H106</f>
        <v>50000</v>
      </c>
      <c r="L106" s="611" t="s">
        <v>970</v>
      </c>
      <c r="M106" s="611" t="s">
        <v>1058</v>
      </c>
    </row>
    <row r="107" spans="1:14">
      <c r="I107" s="612"/>
      <c r="J107" s="611"/>
    </row>
    <row r="108" spans="1:14">
      <c r="A108" s="620" t="s">
        <v>59</v>
      </c>
      <c r="B108" s="1994" t="s">
        <v>1318</v>
      </c>
      <c r="C108" s="1994"/>
      <c r="D108" s="1994"/>
      <c r="E108" s="1994"/>
      <c r="F108" s="1039">
        <v>6000</v>
      </c>
      <c r="G108" s="1039">
        <v>-6000</v>
      </c>
      <c r="H108" s="1039">
        <f>+F108+G108</f>
        <v>0</v>
      </c>
      <c r="I108" s="612"/>
      <c r="J108" s="612">
        <f>+ROUND(H108/1.27,0)</f>
        <v>0</v>
      </c>
      <c r="K108" s="612">
        <f>+H108-J108</f>
        <v>0</v>
      </c>
      <c r="L108" s="611" t="s">
        <v>1050</v>
      </c>
      <c r="M108" s="611" t="s">
        <v>1059</v>
      </c>
    </row>
    <row r="109" spans="1:14">
      <c r="I109" s="612"/>
      <c r="J109" s="611"/>
    </row>
    <row r="110" spans="1:14" ht="27" customHeight="1">
      <c r="A110" s="620" t="s">
        <v>60</v>
      </c>
      <c r="B110" s="1994" t="s">
        <v>1528</v>
      </c>
      <c r="C110" s="1994"/>
      <c r="D110" s="1994"/>
      <c r="E110" s="1994"/>
      <c r="F110" s="1040">
        <f>10000-2653</f>
        <v>7347</v>
      </c>
      <c r="G110" s="1040"/>
      <c r="H110" s="1040">
        <f>+F110+G110</f>
        <v>7347</v>
      </c>
      <c r="I110" s="612"/>
      <c r="J110" s="612">
        <f>+ROUND(H110/1.27,0)</f>
        <v>5785</v>
      </c>
      <c r="K110" s="612">
        <f>+H110-J110</f>
        <v>1562</v>
      </c>
      <c r="L110" s="611" t="s">
        <v>819</v>
      </c>
      <c r="M110" s="611" t="s">
        <v>1058</v>
      </c>
    </row>
    <row r="111" spans="1:14">
      <c r="I111" s="612"/>
      <c r="J111" s="611"/>
    </row>
    <row r="112" spans="1:14">
      <c r="A112" s="620" t="s">
        <v>179</v>
      </c>
      <c r="B112" s="1994" t="s">
        <v>1531</v>
      </c>
      <c r="C112" s="1994"/>
      <c r="D112" s="1994"/>
      <c r="E112" s="1994"/>
      <c r="F112" s="1039">
        <v>10000</v>
      </c>
      <c r="G112" s="1039"/>
      <c r="H112" s="1039">
        <f>+F112+G112</f>
        <v>10000</v>
      </c>
      <c r="I112" s="612"/>
      <c r="J112" s="612">
        <f>+ROUND(H112/1.27,0)</f>
        <v>7874</v>
      </c>
      <c r="K112" s="612">
        <f>+H112-J112</f>
        <v>2126</v>
      </c>
      <c r="L112" s="611" t="s">
        <v>970</v>
      </c>
      <c r="M112" s="611" t="s">
        <v>1058</v>
      </c>
    </row>
    <row r="113" spans="1:13">
      <c r="I113" s="612"/>
      <c r="J113" s="611"/>
    </row>
    <row r="114" spans="1:13" ht="24" customHeight="1">
      <c r="A114" s="620" t="s">
        <v>180</v>
      </c>
      <c r="B114" s="1994" t="s">
        <v>1529</v>
      </c>
      <c r="C114" s="1994"/>
      <c r="D114" s="1994"/>
      <c r="E114" s="1994"/>
      <c r="F114" s="1039">
        <v>5000</v>
      </c>
      <c r="G114" s="1039"/>
      <c r="H114" s="1039">
        <f>+F114+G114</f>
        <v>5000</v>
      </c>
      <c r="I114" s="612"/>
      <c r="J114" s="612">
        <f>+ROUND(H114/1.27,0)</f>
        <v>3937</v>
      </c>
      <c r="K114" s="612">
        <f>+H114-J114</f>
        <v>1063</v>
      </c>
      <c r="L114" s="611" t="s">
        <v>970</v>
      </c>
      <c r="M114" s="611" t="s">
        <v>1065</v>
      </c>
    </row>
    <row r="115" spans="1:13">
      <c r="F115" s="892"/>
      <c r="G115" s="892"/>
      <c r="H115" s="892"/>
      <c r="I115" s="612"/>
      <c r="J115" s="611"/>
    </row>
    <row r="116" spans="1:13" ht="24.75" customHeight="1">
      <c r="A116" s="620" t="s">
        <v>777</v>
      </c>
      <c r="B116" s="1994" t="s">
        <v>1534</v>
      </c>
      <c r="C116" s="1994"/>
      <c r="D116" s="1994"/>
      <c r="E116" s="1994"/>
      <c r="F116" s="1040">
        <f>500-500+1000+1500-1500</f>
        <v>1000</v>
      </c>
      <c r="G116" s="1040">
        <v>-1000</v>
      </c>
      <c r="H116" s="1040">
        <f>+F116+G116</f>
        <v>0</v>
      </c>
      <c r="I116" s="612"/>
      <c r="J116" s="612">
        <f>+ROUND(H116/1.27,0)</f>
        <v>0</v>
      </c>
      <c r="K116" s="612">
        <f>+H116-J116</f>
        <v>0</v>
      </c>
      <c r="L116" s="611" t="s">
        <v>1319</v>
      </c>
      <c r="M116" s="611" t="s">
        <v>1065</v>
      </c>
    </row>
    <row r="117" spans="1:13">
      <c r="I117" s="612"/>
    </row>
    <row r="118" spans="1:13">
      <c r="A118" s="620" t="s">
        <v>946</v>
      </c>
      <c r="B118" s="1994" t="s">
        <v>1530</v>
      </c>
      <c r="C118" s="1994"/>
      <c r="D118" s="1994"/>
      <c r="E118" s="1994"/>
      <c r="F118" s="1040">
        <v>8500</v>
      </c>
      <c r="G118" s="1040"/>
      <c r="H118" s="1040">
        <f>+F118+G118</f>
        <v>8500</v>
      </c>
      <c r="J118" s="612">
        <f>+ROUND(H118/1.27,0)</f>
        <v>6693</v>
      </c>
      <c r="K118" s="612">
        <f>+H118-J118</f>
        <v>1807</v>
      </c>
      <c r="L118" s="611" t="s">
        <v>970</v>
      </c>
      <c r="M118" s="611" t="s">
        <v>1065</v>
      </c>
    </row>
    <row r="120" spans="1:13">
      <c r="A120" s="620" t="s">
        <v>947</v>
      </c>
      <c r="B120" s="1994" t="s">
        <v>1532</v>
      </c>
      <c r="C120" s="1994"/>
      <c r="D120" s="1994"/>
      <c r="E120" s="1994"/>
      <c r="F120" s="1039">
        <v>12000</v>
      </c>
      <c r="G120" s="1039">
        <v>-5000</v>
      </c>
      <c r="H120" s="1039">
        <f>+F120+G120</f>
        <v>7000</v>
      </c>
      <c r="J120" s="612">
        <f>+ROUND(H120,0)</f>
        <v>7000</v>
      </c>
      <c r="K120" s="612">
        <f>+H120-J120</f>
        <v>0</v>
      </c>
      <c r="M120" s="611" t="s">
        <v>1533</v>
      </c>
    </row>
    <row r="122" spans="1:13">
      <c r="A122" s="620" t="s">
        <v>948</v>
      </c>
      <c r="B122" s="1994" t="s">
        <v>1344</v>
      </c>
      <c r="C122" s="1994"/>
      <c r="D122" s="1994"/>
      <c r="E122" s="1994"/>
      <c r="F122" s="1040">
        <v>345250</v>
      </c>
      <c r="G122" s="1040"/>
      <c r="H122" s="1040">
        <f>+F122+G122</f>
        <v>345250</v>
      </c>
      <c r="I122" s="612"/>
      <c r="J122" s="612">
        <f>+ROUND(H122/1.27,0)</f>
        <v>271850</v>
      </c>
      <c r="K122" s="612">
        <f>+H122-J122</f>
        <v>73400</v>
      </c>
      <c r="L122" s="611" t="s">
        <v>1343</v>
      </c>
      <c r="M122" s="611" t="s">
        <v>1065</v>
      </c>
    </row>
    <row r="123" spans="1:13">
      <c r="F123" s="611"/>
      <c r="G123" s="611"/>
      <c r="H123" s="611"/>
      <c r="I123" s="612"/>
    </row>
    <row r="124" spans="1:13">
      <c r="A124" s="620" t="s">
        <v>1553</v>
      </c>
      <c r="B124" s="1994" t="s">
        <v>1556</v>
      </c>
      <c r="C124" s="1994"/>
      <c r="D124" s="1994"/>
      <c r="E124" s="1994"/>
      <c r="F124" s="1040"/>
      <c r="G124" s="1040">
        <v>4500</v>
      </c>
      <c r="H124" s="1040">
        <f>+F124+G124</f>
        <v>4500</v>
      </c>
      <c r="I124" s="612"/>
      <c r="J124" s="612">
        <f>+ROUND(H124/1.27,0)</f>
        <v>3543</v>
      </c>
      <c r="K124" s="612">
        <f>+H124-J124</f>
        <v>957</v>
      </c>
      <c r="L124" s="611" t="s">
        <v>1557</v>
      </c>
      <c r="M124" s="611" t="s">
        <v>1065</v>
      </c>
    </row>
    <row r="126" spans="1:13">
      <c r="A126" s="620" t="s">
        <v>1554</v>
      </c>
      <c r="B126" s="1994" t="s">
        <v>1555</v>
      </c>
      <c r="C126" s="1994"/>
      <c r="D126" s="1994"/>
      <c r="E126" s="1994"/>
      <c r="F126" s="1040"/>
      <c r="G126" s="1040">
        <f>3000+3000</f>
        <v>6000</v>
      </c>
      <c r="H126" s="1040">
        <f>+F126+G126</f>
        <v>6000</v>
      </c>
      <c r="I126" s="612"/>
      <c r="J126" s="612">
        <f>+ROUND(H126/1.27,0)</f>
        <v>4724</v>
      </c>
      <c r="K126" s="612">
        <f>+H126-J126</f>
        <v>1276</v>
      </c>
      <c r="L126" s="611" t="s">
        <v>1050</v>
      </c>
      <c r="M126" s="611" t="s">
        <v>1065</v>
      </c>
    </row>
  </sheetData>
  <mergeCells count="48">
    <mergeCell ref="B66:E66"/>
    <mergeCell ref="B39:E39"/>
    <mergeCell ref="B61:E61"/>
    <mergeCell ref="B44:E44"/>
    <mergeCell ref="B53:E53"/>
    <mergeCell ref="B43:E43"/>
    <mergeCell ref="B45:E45"/>
    <mergeCell ref="B46:E46"/>
    <mergeCell ref="B57:E57"/>
    <mergeCell ref="B24:E24"/>
    <mergeCell ref="B14:E14"/>
    <mergeCell ref="B26:E26"/>
    <mergeCell ref="B59:E59"/>
    <mergeCell ref="B64:E64"/>
    <mergeCell ref="B65:E65"/>
    <mergeCell ref="A3:H3"/>
    <mergeCell ref="B31:E31"/>
    <mergeCell ref="B8:E8"/>
    <mergeCell ref="B12:E12"/>
    <mergeCell ref="B10:E10"/>
    <mergeCell ref="B28:E28"/>
    <mergeCell ref="B16:E16"/>
    <mergeCell ref="B18:E18"/>
    <mergeCell ref="B20:E20"/>
    <mergeCell ref="B22:E22"/>
    <mergeCell ref="B33:E33"/>
    <mergeCell ref="B34:E34"/>
    <mergeCell ref="B47:E47"/>
    <mergeCell ref="B51:E51"/>
    <mergeCell ref="B48:E48"/>
    <mergeCell ref="B36:E36"/>
    <mergeCell ref="B42:E42"/>
    <mergeCell ref="B79:E79"/>
    <mergeCell ref="B81:E81"/>
    <mergeCell ref="B84:E84"/>
    <mergeCell ref="B87:E87"/>
    <mergeCell ref="B106:E106"/>
    <mergeCell ref="B108:E108"/>
    <mergeCell ref="B126:E126"/>
    <mergeCell ref="B120:E120"/>
    <mergeCell ref="B122:E122"/>
    <mergeCell ref="B124:E124"/>
    <mergeCell ref="B73:E73"/>
    <mergeCell ref="B116:E116"/>
    <mergeCell ref="B118:E118"/>
    <mergeCell ref="B110:E110"/>
    <mergeCell ref="B112:E112"/>
    <mergeCell ref="B114:E11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fitToHeight="4" orientation="portrait" horizontalDpi="300" verticalDpi="300" r:id="rId1"/>
  <headerFooter>
    <oddHeader>&amp;C 1. függelék - &amp;P. oldal</oddHeader>
  </headerFooter>
  <rowBreaks count="1" manualBreakCount="1">
    <brk id="53" max="7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1" bestFit="1" customWidth="1"/>
    <col min="2" max="2" width="74.42578125" style="141" customWidth="1"/>
    <col min="3" max="3" width="9" style="141" customWidth="1"/>
    <col min="4" max="6" width="8.28515625" style="141" customWidth="1"/>
    <col min="7" max="16384" width="10.28515625" style="141"/>
  </cols>
  <sheetData>
    <row r="1" spans="1:6" s="140" customFormat="1" ht="15.75">
      <c r="F1" s="188" t="s">
        <v>811</v>
      </c>
    </row>
    <row r="2" spans="1:6" s="140" customFormat="1" ht="15.75">
      <c r="F2" s="188"/>
    </row>
    <row r="3" spans="1:6" s="654" customFormat="1" ht="32.25" customHeight="1">
      <c r="A3" s="2008" t="s">
        <v>1414</v>
      </c>
      <c r="B3" s="2008"/>
      <c r="C3" s="2008"/>
      <c r="D3" s="2008"/>
      <c r="E3" s="2008"/>
      <c r="F3" s="2008"/>
    </row>
    <row r="4" spans="1:6" s="196" customFormat="1">
      <c r="A4" s="651"/>
      <c r="B4" s="651"/>
      <c r="C4" s="651"/>
      <c r="D4" s="651"/>
      <c r="E4" s="651"/>
      <c r="F4" s="651"/>
    </row>
    <row r="5" spans="1:6" ht="12.75" thickBot="1">
      <c r="F5" s="238" t="s">
        <v>457</v>
      </c>
    </row>
    <row r="6" spans="1:6">
      <c r="A6" s="2009" t="s">
        <v>17</v>
      </c>
      <c r="B6" s="2011" t="s">
        <v>7</v>
      </c>
      <c r="C6" s="2013" t="s">
        <v>810</v>
      </c>
      <c r="D6" s="2014"/>
      <c r="E6" s="2014"/>
      <c r="F6" s="2015"/>
    </row>
    <row r="7" spans="1:6" s="652" customFormat="1" ht="12.75" thickBot="1">
      <c r="A7" s="2010"/>
      <c r="B7" s="2012"/>
      <c r="C7" s="906" t="s">
        <v>459</v>
      </c>
      <c r="D7" s="634" t="s">
        <v>460</v>
      </c>
      <c r="E7" s="634" t="s">
        <v>461</v>
      </c>
      <c r="F7" s="635" t="s">
        <v>462</v>
      </c>
    </row>
    <row r="8" spans="1:6" s="652" customFormat="1" ht="12.75" thickBot="1">
      <c r="A8" s="236">
        <v>1</v>
      </c>
      <c r="B8" s="235">
        <v>2</v>
      </c>
      <c r="C8" s="236">
        <v>3</v>
      </c>
      <c r="D8" s="239">
        <v>4</v>
      </c>
      <c r="E8" s="239">
        <v>5</v>
      </c>
      <c r="F8" s="235">
        <v>6</v>
      </c>
    </row>
    <row r="9" spans="1:6" s="652" customFormat="1">
      <c r="A9" s="636" t="s">
        <v>4</v>
      </c>
      <c r="B9" s="241" t="s">
        <v>960</v>
      </c>
      <c r="C9" s="637">
        <f>+'5.mell_adósság2020'!F8</f>
        <v>0.99771180761750144</v>
      </c>
      <c r="D9" s="242">
        <f>+'5.mell_adósság2020'!G8</f>
        <v>1</v>
      </c>
      <c r="E9" s="242">
        <f>+'5.mell_adósság2020'!H8</f>
        <v>1</v>
      </c>
      <c r="F9" s="638">
        <f>+'5.mell_adósság2020'!I8</f>
        <v>1</v>
      </c>
    </row>
    <row r="10" spans="1:6" s="652" customFormat="1" ht="24">
      <c r="A10" s="639" t="s">
        <v>5</v>
      </c>
      <c r="B10" s="244" t="s">
        <v>837</v>
      </c>
      <c r="C10" s="637">
        <f>+'5.mell_adósság2020'!F9</f>
        <v>0</v>
      </c>
      <c r="D10" s="242">
        <f>+'5.mell_adósság2020'!G9</f>
        <v>0</v>
      </c>
      <c r="E10" s="242">
        <f>+'5.mell_adósság2020'!H9</f>
        <v>0</v>
      </c>
      <c r="F10" s="638">
        <f>+'5.mell_adósság2020'!I9</f>
        <v>0</v>
      </c>
    </row>
    <row r="11" spans="1:6" s="652" customFormat="1">
      <c r="A11" s="639" t="s">
        <v>6</v>
      </c>
      <c r="B11" s="244" t="s">
        <v>838</v>
      </c>
      <c r="C11" s="637" t="str">
        <f>+'5.mell_adósság2020'!F10</f>
        <v>-</v>
      </c>
      <c r="D11" s="242">
        <f>+'5.mell_adósság2020'!G10</f>
        <v>0</v>
      </c>
      <c r="E11" s="242">
        <f>+'5.mell_adósság2020'!H10</f>
        <v>0</v>
      </c>
      <c r="F11" s="638">
        <f>+'5.mell_adósság2020'!I10</f>
        <v>0</v>
      </c>
    </row>
    <row r="12" spans="1:6" s="652" customFormat="1" ht="24">
      <c r="A12" s="639" t="s">
        <v>3</v>
      </c>
      <c r="B12" s="244" t="s">
        <v>839</v>
      </c>
      <c r="C12" s="637">
        <f>+'5.mell_adósság2020'!F11</f>
        <v>1.0390086741016109</v>
      </c>
      <c r="D12" s="242">
        <f>+'5.mell_adósság2020'!G11</f>
        <v>350</v>
      </c>
      <c r="E12" s="242">
        <f>+'5.mell_adósság2020'!H11</f>
        <v>350</v>
      </c>
      <c r="F12" s="638">
        <f>+'5.mell_adósság2020'!I11</f>
        <v>350</v>
      </c>
    </row>
    <row r="13" spans="1:6" s="652" customFormat="1" ht="12.75">
      <c r="A13" s="639" t="s">
        <v>16</v>
      </c>
      <c r="B13" s="633" t="s">
        <v>840</v>
      </c>
      <c r="C13" s="637">
        <f>+'5.mell_adósság2020'!F12</f>
        <v>0.1673777823471958</v>
      </c>
      <c r="D13" s="242">
        <f>+'5.mell_adósság2020'!G12</f>
        <v>6900</v>
      </c>
      <c r="E13" s="242">
        <f>+'5.mell_adósság2020'!H12</f>
        <v>6900</v>
      </c>
      <c r="F13" s="638">
        <f>+'5.mell_adósság2020'!I12</f>
        <v>6900</v>
      </c>
    </row>
    <row r="14" spans="1:6" s="652" customFormat="1" ht="12.75" thickBot="1">
      <c r="A14" s="639" t="s">
        <v>15</v>
      </c>
      <c r="B14" s="247" t="s">
        <v>961</v>
      </c>
      <c r="C14" s="637" t="str">
        <f>+'5.mell_adósság2020'!F13</f>
        <v>-</v>
      </c>
      <c r="D14" s="242">
        <f>+'5.mell_adósság2020'!G13</f>
        <v>0</v>
      </c>
      <c r="E14" s="242">
        <f>+'5.mell_adósság2020'!H13</f>
        <v>0</v>
      </c>
      <c r="F14" s="638">
        <f>+'5.mell_adósság2020'!I13</f>
        <v>0</v>
      </c>
    </row>
    <row r="15" spans="1:6" s="653" customFormat="1" ht="12.75" thickBot="1">
      <c r="A15" s="640" t="s">
        <v>14</v>
      </c>
      <c r="B15" s="250" t="s">
        <v>844</v>
      </c>
      <c r="C15" s="641" t="e">
        <f>+C9+C10+C11+C12+C13+C14</f>
        <v>#VALUE!</v>
      </c>
      <c r="D15" s="252">
        <f>+D9+D10+D11+D12+D13+D14</f>
        <v>7251</v>
      </c>
      <c r="E15" s="252">
        <f>+E9+E10+E11+E12+E13+E14</f>
        <v>7251</v>
      </c>
      <c r="F15" s="642">
        <f>+F9+F10+F11+F12+F13+F14</f>
        <v>7251</v>
      </c>
    </row>
    <row r="16" spans="1:6" s="653" customFormat="1" ht="12.75" thickBot="1">
      <c r="A16" s="640" t="s">
        <v>13</v>
      </c>
      <c r="B16" s="250" t="s">
        <v>843</v>
      </c>
      <c r="C16" s="641" t="e">
        <f>+ROUNDDOWN(C15*0.5,0)</f>
        <v>#VALUE!</v>
      </c>
      <c r="D16" s="252">
        <f>+ROUNDDOWN(D15*0.5,0)</f>
        <v>3625</v>
      </c>
      <c r="E16" s="252">
        <f>+ROUNDDOWN(E15*0.5,0)</f>
        <v>3625</v>
      </c>
      <c r="F16" s="642">
        <f>+ROUNDDOWN(F15*0.5,0)</f>
        <v>3625</v>
      </c>
    </row>
    <row r="17" spans="1:6" s="653" customFormat="1" ht="12.75" thickBot="1">
      <c r="A17" s="640" t="s">
        <v>12</v>
      </c>
      <c r="B17" s="250" t="s">
        <v>852</v>
      </c>
      <c r="C17" s="641" t="e">
        <f>+C18+C19+C20+C21+C22+C23+C24+C25+C26</f>
        <v>#VALUE!</v>
      </c>
      <c r="D17" s="252">
        <f>+D18+D19+D20+D21+D22+D23+D24+D25+D26</f>
        <v>28308</v>
      </c>
      <c r="E17" s="252">
        <f>+E18+E19+E20+E21+E22+E23+E24+E25+E26</f>
        <v>2000</v>
      </c>
      <c r="F17" s="642">
        <f>+F18+F19+F20+F21+F22+F23+F24+F25+F26</f>
        <v>2000</v>
      </c>
    </row>
    <row r="18" spans="1:6" s="652" customFormat="1">
      <c r="A18" s="636" t="s">
        <v>11</v>
      </c>
      <c r="B18" s="241" t="s">
        <v>465</v>
      </c>
      <c r="C18" s="643" t="str">
        <f>+'5.mell_adósság2020'!F17</f>
        <v>-</v>
      </c>
      <c r="D18" s="245">
        <f>+'5.mell_adósság2020'!G17</f>
        <v>0</v>
      </c>
      <c r="E18" s="245">
        <f>+'5.mell_adósság2020'!H17</f>
        <v>0</v>
      </c>
      <c r="F18" s="644">
        <f>+'5.mell_adósság2020'!I17</f>
        <v>0</v>
      </c>
    </row>
    <row r="19" spans="1:6" s="652" customFormat="1">
      <c r="A19" s="639" t="s">
        <v>10</v>
      </c>
      <c r="B19" s="244" t="s">
        <v>466</v>
      </c>
      <c r="C19" s="643" t="str">
        <f>+'5.mell_adósság2020'!F18</f>
        <v>-</v>
      </c>
      <c r="D19" s="245">
        <f>+'5.mell_adósság2020'!G18</f>
        <v>0</v>
      </c>
      <c r="E19" s="245">
        <f>+'5.mell_adósság2020'!H18</f>
        <v>0</v>
      </c>
      <c r="F19" s="644">
        <f>+'5.mell_adósság2020'!I18</f>
        <v>0</v>
      </c>
    </row>
    <row r="20" spans="1:6" s="652" customFormat="1">
      <c r="A20" s="639" t="s">
        <v>9</v>
      </c>
      <c r="B20" s="244" t="s">
        <v>467</v>
      </c>
      <c r="C20" s="643" t="str">
        <f>+'5.mell_adósság2020'!F19</f>
        <v>-</v>
      </c>
      <c r="D20" s="245">
        <f>+'5.mell_adósság2020'!G19</f>
        <v>0</v>
      </c>
      <c r="E20" s="245">
        <f>+'5.mell_adósság2020'!H19</f>
        <v>0</v>
      </c>
      <c r="F20" s="644">
        <f>+'5.mell_adósság2020'!I19</f>
        <v>0</v>
      </c>
    </row>
    <row r="21" spans="1:6" s="652" customFormat="1">
      <c r="A21" s="639" t="s">
        <v>45</v>
      </c>
      <c r="B21" s="244" t="s">
        <v>468</v>
      </c>
      <c r="C21" s="643" t="str">
        <f>+'5.mell_adósság2020'!F20</f>
        <v>-</v>
      </c>
      <c r="D21" s="245">
        <f>+'5.mell_adósság2020'!G20</f>
        <v>0</v>
      </c>
      <c r="E21" s="245">
        <f>+'5.mell_adósság2020'!H20</f>
        <v>0</v>
      </c>
      <c r="F21" s="644">
        <f>+'5.mell_adósság2020'!I20</f>
        <v>0</v>
      </c>
    </row>
    <row r="22" spans="1:6" s="652" customFormat="1">
      <c r="A22" s="639" t="s">
        <v>44</v>
      </c>
      <c r="B22" s="244" t="s">
        <v>469</v>
      </c>
      <c r="C22" s="643" t="str">
        <f>+'5.mell_adósság2020'!F21</f>
        <v>-</v>
      </c>
      <c r="D22" s="245">
        <f>+'5.mell_adósság2020'!G21</f>
        <v>0</v>
      </c>
      <c r="E22" s="245">
        <f>+'5.mell_adósság2020'!H21</f>
        <v>0</v>
      </c>
      <c r="F22" s="644">
        <f>+'5.mell_adósság2020'!I21</f>
        <v>0</v>
      </c>
    </row>
    <row r="23" spans="1:6" s="652" customFormat="1" ht="24">
      <c r="A23" s="639" t="s">
        <v>43</v>
      </c>
      <c r="B23" s="244" t="s">
        <v>846</v>
      </c>
      <c r="C23" s="643" t="str">
        <f>+'5.mell_adósság2020'!F22</f>
        <v>-</v>
      </c>
      <c r="D23" s="245">
        <f>+'5.mell_adósság2020'!G22</f>
        <v>0</v>
      </c>
      <c r="E23" s="245">
        <f>+'5.mell_adósság2020'!H22</f>
        <v>0</v>
      </c>
      <c r="F23" s="644">
        <f>+'5.mell_adósság2020'!I22</f>
        <v>0</v>
      </c>
    </row>
    <row r="24" spans="1:6" s="652" customFormat="1">
      <c r="A24" s="639" t="s">
        <v>40</v>
      </c>
      <c r="B24" s="244" t="s">
        <v>845</v>
      </c>
      <c r="C24" s="643">
        <f>+'5.mell_adósság2020'!F23</f>
        <v>0.25194611920934135</v>
      </c>
      <c r="D24" s="245">
        <f>+'5.mell_adósság2020'!G23</f>
        <v>28308</v>
      </c>
      <c r="E24" s="245">
        <f>+'5.mell_adósság2020'!H23</f>
        <v>2000</v>
      </c>
      <c r="F24" s="644">
        <f>+'5.mell_adósság2020'!I23</f>
        <v>2000</v>
      </c>
    </row>
    <row r="25" spans="1:6" s="652" customFormat="1" ht="24">
      <c r="A25" s="639" t="s">
        <v>39</v>
      </c>
      <c r="B25" s="254" t="s">
        <v>847</v>
      </c>
      <c r="C25" s="643" t="str">
        <f>+'5.mell_adósság2020'!F24</f>
        <v>-</v>
      </c>
      <c r="D25" s="245">
        <f>+'5.mell_adósság2020'!G24</f>
        <v>0</v>
      </c>
      <c r="E25" s="245">
        <f>+'5.mell_adósság2020'!H24</f>
        <v>0</v>
      </c>
      <c r="F25" s="644">
        <f>+'5.mell_adósság2020'!I24</f>
        <v>0</v>
      </c>
    </row>
    <row r="26" spans="1:6" s="652" customFormat="1" ht="12.75" thickBot="1">
      <c r="A26" s="645" t="s">
        <v>38</v>
      </c>
      <c r="B26" s="254" t="s">
        <v>962</v>
      </c>
      <c r="C26" s="643" t="str">
        <f>+'5.mell_adósság2020'!F25</f>
        <v>-</v>
      </c>
      <c r="D26" s="245">
        <f>+'5.mell_adósság2020'!G25</f>
        <v>0</v>
      </c>
      <c r="E26" s="245">
        <f>+'5.mell_adósság2020'!H25</f>
        <v>0</v>
      </c>
      <c r="F26" s="644">
        <f>+'5.mell_adósság2020'!I25</f>
        <v>0</v>
      </c>
    </row>
    <row r="27" spans="1:6" s="653" customFormat="1" ht="15" customHeight="1" thickBot="1">
      <c r="A27" s="640" t="s">
        <v>36</v>
      </c>
      <c r="B27" s="250" t="s">
        <v>853</v>
      </c>
      <c r="C27" s="641" t="e">
        <f>+C28+C29+C30+C31+C32+C33+C34+C35+C36</f>
        <v>#VALUE!</v>
      </c>
      <c r="D27" s="252">
        <f>+D28+D29+D30+D31+D32+D33+D34+D35+D36</f>
        <v>10000</v>
      </c>
      <c r="E27" s="252">
        <f>+E28+E29+E30+E31+E32+E33+E34+E35+E36</f>
        <v>0</v>
      </c>
      <c r="F27" s="642">
        <f>+F28+F29+F30+F31+F32+F33+F34+F35+F36</f>
        <v>0</v>
      </c>
    </row>
    <row r="28" spans="1:6" s="652" customFormat="1">
      <c r="A28" s="636" t="s">
        <v>35</v>
      </c>
      <c r="B28" s="241" t="s">
        <v>465</v>
      </c>
      <c r="C28" s="637" t="str">
        <f>+'5.mell_adósság2020'!F27</f>
        <v>-</v>
      </c>
      <c r="D28" s="242">
        <f>+'5.mell_adósság2020'!G27</f>
        <v>10000</v>
      </c>
      <c r="E28" s="242">
        <f>+'5.mell_adósság2020'!H27</f>
        <v>0</v>
      </c>
      <c r="F28" s="638">
        <f>+'5.mell_adósság2020'!I27</f>
        <v>0</v>
      </c>
    </row>
    <row r="29" spans="1:6">
      <c r="A29" s="639" t="s">
        <v>34</v>
      </c>
      <c r="B29" s="244" t="s">
        <v>466</v>
      </c>
      <c r="C29" s="643" t="str">
        <f>+'5.mell_adósság2020'!F28</f>
        <v>-</v>
      </c>
      <c r="D29" s="245">
        <f>+'5.mell_adósság2020'!G28</f>
        <v>0</v>
      </c>
      <c r="E29" s="245">
        <f>+'5.mell_adósság2020'!H28</f>
        <v>0</v>
      </c>
      <c r="F29" s="644">
        <f>+'5.mell_adósság2020'!I28</f>
        <v>0</v>
      </c>
    </row>
    <row r="30" spans="1:6">
      <c r="A30" s="639" t="s">
        <v>33</v>
      </c>
      <c r="B30" s="244" t="s">
        <v>467</v>
      </c>
      <c r="C30" s="643" t="str">
        <f>+'5.mell_adósság2020'!F29</f>
        <v>-</v>
      </c>
      <c r="D30" s="245">
        <f>+'5.mell_adósság2020'!G29</f>
        <v>0</v>
      </c>
      <c r="E30" s="245">
        <f>+'5.mell_adósság2020'!H29</f>
        <v>0</v>
      </c>
      <c r="F30" s="644">
        <f>+'5.mell_adósság2020'!I29</f>
        <v>0</v>
      </c>
    </row>
    <row r="31" spans="1:6" s="652" customFormat="1">
      <c r="A31" s="639" t="s">
        <v>32</v>
      </c>
      <c r="B31" s="244" t="s">
        <v>468</v>
      </c>
      <c r="C31" s="643" t="str">
        <f>+'5.mell_adósság2020'!F30</f>
        <v>-</v>
      </c>
      <c r="D31" s="245">
        <f>+'5.mell_adósság2020'!G30</f>
        <v>0</v>
      </c>
      <c r="E31" s="245">
        <f>+'5.mell_adósság2020'!H30</f>
        <v>0</v>
      </c>
      <c r="F31" s="644">
        <f>+'5.mell_adósság2020'!I30</f>
        <v>0</v>
      </c>
    </row>
    <row r="32" spans="1:6">
      <c r="A32" s="639" t="s">
        <v>470</v>
      </c>
      <c r="B32" s="244" t="s">
        <v>469</v>
      </c>
      <c r="C32" s="643" t="str">
        <f>+'5.mell_adósság2020'!F31</f>
        <v>-</v>
      </c>
      <c r="D32" s="245">
        <f>+'5.mell_adósság2020'!G31</f>
        <v>0</v>
      </c>
      <c r="E32" s="245">
        <f>+'5.mell_adósság2020'!H31</f>
        <v>0</v>
      </c>
      <c r="F32" s="644">
        <f>+'5.mell_adósság2020'!I31</f>
        <v>0</v>
      </c>
    </row>
    <row r="33" spans="1:6" ht="24">
      <c r="A33" s="639" t="s">
        <v>471</v>
      </c>
      <c r="B33" s="244" t="s">
        <v>846</v>
      </c>
      <c r="C33" s="643" t="str">
        <f>+'5.mell_adósság2020'!F32</f>
        <v>-</v>
      </c>
      <c r="D33" s="245">
        <f>+'5.mell_adósság2020'!G32</f>
        <v>0</v>
      </c>
      <c r="E33" s="245">
        <f>+'5.mell_adósság2020'!H32</f>
        <v>0</v>
      </c>
      <c r="F33" s="644">
        <f>+'5.mell_adósság2020'!I32</f>
        <v>0</v>
      </c>
    </row>
    <row r="34" spans="1:6">
      <c r="A34" s="639" t="s">
        <v>472</v>
      </c>
      <c r="B34" s="244" t="s">
        <v>845</v>
      </c>
      <c r="C34" s="643" t="str">
        <f>+'5.mell_adósság2020'!F33</f>
        <v>-</v>
      </c>
      <c r="D34" s="245">
        <f>+'5.mell_adósság2020'!G33</f>
        <v>0</v>
      </c>
      <c r="E34" s="245">
        <f>+'5.mell_adósság2020'!H33</f>
        <v>0</v>
      </c>
      <c r="F34" s="644">
        <f>+'5.mell_adósság2020'!I33</f>
        <v>0</v>
      </c>
    </row>
    <row r="35" spans="1:6" ht="24">
      <c r="A35" s="639" t="s">
        <v>473</v>
      </c>
      <c r="B35" s="254" t="s">
        <v>847</v>
      </c>
      <c r="C35" s="643" t="str">
        <f>+'5.mell_adósság2020'!F34</f>
        <v>-</v>
      </c>
      <c r="D35" s="245">
        <f>+'5.mell_adósság2020'!G34</f>
        <v>0</v>
      </c>
      <c r="E35" s="245">
        <f>+'5.mell_adósság2020'!H34</f>
        <v>0</v>
      </c>
      <c r="F35" s="644">
        <f>+'5.mell_adósság2020'!I34</f>
        <v>0</v>
      </c>
    </row>
    <row r="36" spans="1:6" ht="12.75" thickBot="1">
      <c r="A36" s="645" t="s">
        <v>486</v>
      </c>
      <c r="B36" s="254" t="s">
        <v>962</v>
      </c>
      <c r="C36" s="647" t="str">
        <f>+'5.mell_adósság2020'!F35</f>
        <v>-</v>
      </c>
      <c r="D36" s="248">
        <f>+'5.mell_adósság2020'!G35</f>
        <v>0</v>
      </c>
      <c r="E36" s="248">
        <f>+'5.mell_adósság2020'!H35</f>
        <v>0</v>
      </c>
      <c r="F36" s="646">
        <f>+'5.mell_adósság2020'!I35</f>
        <v>0</v>
      </c>
    </row>
    <row r="37" spans="1:6" s="196" customFormat="1" ht="12.75" thickBot="1">
      <c r="A37" s="640" t="s">
        <v>487</v>
      </c>
      <c r="B37" s="250" t="s">
        <v>850</v>
      </c>
      <c r="C37" s="641" t="e">
        <f>+C17+C27</f>
        <v>#VALUE!</v>
      </c>
      <c r="D37" s="252">
        <f>+D17+D27</f>
        <v>38308</v>
      </c>
      <c r="E37" s="252">
        <f>+E17+E27</f>
        <v>2000</v>
      </c>
      <c r="F37" s="642">
        <f>+F17+F27</f>
        <v>2000</v>
      </c>
    </row>
    <row r="38" spans="1:6" s="196" customFormat="1" ht="12.75" thickBot="1">
      <c r="A38" s="648" t="s">
        <v>488</v>
      </c>
      <c r="B38" s="255" t="s">
        <v>851</v>
      </c>
      <c r="C38" s="649" t="e">
        <f>+C16-C37</f>
        <v>#VALUE!</v>
      </c>
      <c r="D38" s="256">
        <f>+D16-D37</f>
        <v>-34683</v>
      </c>
      <c r="E38" s="256">
        <f>+E16-E37</f>
        <v>1625</v>
      </c>
      <c r="F38" s="650">
        <f>+F16-F37</f>
        <v>1625</v>
      </c>
    </row>
    <row r="40" spans="1:6" hidden="1">
      <c r="C40" s="261">
        <f>+'5.mell_adósság2020'!F37</f>
        <v>1.1945792328025913</v>
      </c>
      <c r="D40" s="261">
        <f>+'5.mell_adósság2020'!G37</f>
        <v>-34683</v>
      </c>
      <c r="E40" s="261">
        <f>+'5.mell_adósság2020'!H37</f>
        <v>1625</v>
      </c>
      <c r="F40" s="261">
        <f>+'5.mell_adósság2020'!I37</f>
        <v>1625</v>
      </c>
    </row>
    <row r="41" spans="1:6" hidden="1">
      <c r="C41" s="261" t="e">
        <f>+C38-C40</f>
        <v>#VALUE!</v>
      </c>
      <c r="D41" s="261">
        <f>+D38-D40</f>
        <v>0</v>
      </c>
      <c r="E41" s="261">
        <f>+E38-E40</f>
        <v>0</v>
      </c>
      <c r="F41" s="261">
        <f>+F38-F40</f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E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5" width="9.28515625" style="4" customWidth="1"/>
    <col min="6" max="6" width="9.28515625" style="1305" customWidth="1"/>
    <col min="7" max="9" width="9.28515625" style="118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A1" s="1080"/>
      <c r="B1" s="1080"/>
      <c r="F1" s="1289"/>
      <c r="G1" s="1080"/>
      <c r="H1" s="1080"/>
      <c r="I1" s="1086" t="s">
        <v>354</v>
      </c>
    </row>
    <row r="2" spans="1:11" s="50" customFormat="1" ht="15.75">
      <c r="A2" s="1080"/>
      <c r="B2" s="1080"/>
      <c r="F2" s="1289"/>
      <c r="G2" s="1080"/>
      <c r="H2" s="1080"/>
      <c r="I2" s="1080"/>
    </row>
    <row r="3" spans="1:11" s="52" customFormat="1" ht="15.75">
      <c r="A3" s="1774" t="s">
        <v>864</v>
      </c>
      <c r="B3" s="1774"/>
      <c r="C3" s="1774"/>
      <c r="D3" s="1774"/>
      <c r="E3" s="1774"/>
      <c r="F3" s="1774"/>
      <c r="G3" s="1774"/>
      <c r="H3" s="1774"/>
      <c r="I3" s="1774"/>
    </row>
    <row r="4" spans="1:11" s="52" customFormat="1" ht="15.75">
      <c r="A4" s="1774" t="s">
        <v>1417</v>
      </c>
      <c r="B4" s="1774"/>
      <c r="C4" s="1774"/>
      <c r="D4" s="1774"/>
      <c r="E4" s="1774"/>
      <c r="F4" s="1774"/>
      <c r="G4" s="1774"/>
      <c r="H4" s="1774"/>
      <c r="I4" s="1774"/>
    </row>
    <row r="5" spans="1:11" s="50" customFormat="1" ht="15.75">
      <c r="A5" s="1080"/>
      <c r="B5" s="1080"/>
      <c r="F5" s="1289"/>
      <c r="G5" s="1080"/>
      <c r="H5" s="1080"/>
      <c r="I5" s="1080"/>
    </row>
    <row r="6" spans="1:11" s="52" customFormat="1" ht="15.75">
      <c r="A6" s="1774" t="s">
        <v>48</v>
      </c>
      <c r="B6" s="1774"/>
      <c r="C6" s="1774"/>
      <c r="D6" s="1774"/>
      <c r="E6" s="1774"/>
      <c r="F6" s="1774"/>
      <c r="G6" s="1774"/>
      <c r="H6" s="1774"/>
      <c r="I6" s="1774"/>
    </row>
    <row r="7" spans="1:11" s="36" customFormat="1" ht="12.75" thickBot="1">
      <c r="A7" s="1087" t="s">
        <v>279</v>
      </c>
      <c r="B7" s="1081"/>
      <c r="F7" s="1290"/>
      <c r="G7" s="1081"/>
      <c r="H7" s="1081"/>
      <c r="I7" s="1088" t="s">
        <v>280</v>
      </c>
    </row>
    <row r="8" spans="1:11" s="8" customFormat="1" ht="54" customHeight="1" thickBot="1">
      <c r="A8" s="1089" t="s">
        <v>17</v>
      </c>
      <c r="B8" s="1090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1091" t="s">
        <v>51</v>
      </c>
      <c r="H8" s="1092" t="s">
        <v>52</v>
      </c>
      <c r="I8" s="1093" t="s">
        <v>53</v>
      </c>
    </row>
    <row r="9" spans="1:11" s="3" customFormat="1" ht="13.5" customHeight="1" thickBot="1">
      <c r="A9" s="1094" t="s">
        <v>252</v>
      </c>
      <c r="B9" s="1095" t="s">
        <v>253</v>
      </c>
      <c r="C9" s="1775" t="s">
        <v>254</v>
      </c>
      <c r="D9" s="1776"/>
      <c r="E9" s="1776"/>
      <c r="F9" s="1776"/>
      <c r="G9" s="1776"/>
      <c r="H9" s="1776"/>
      <c r="I9" s="1777"/>
    </row>
    <row r="10" spans="1:11" s="3" customFormat="1" ht="12.75" thickBot="1">
      <c r="A10" s="1096" t="s">
        <v>4</v>
      </c>
      <c r="B10" s="1097" t="s">
        <v>296</v>
      </c>
      <c r="C10" s="1098">
        <f>+C11+C25+C32+C44</f>
        <v>41459</v>
      </c>
      <c r="D10" s="131">
        <f>+D11+D25+D32+D44</f>
        <v>86037</v>
      </c>
      <c r="E10" s="131">
        <f>+E11+E25+E32+E44</f>
        <v>85539</v>
      </c>
      <c r="F10" s="1315">
        <f>IF(ISERROR(E10/D10),"-",E10/D10)</f>
        <v>0.99421179260085779</v>
      </c>
      <c r="G10" s="1099">
        <f>+G11+G25+G32+G44</f>
        <v>57425</v>
      </c>
      <c r="H10" s="1100">
        <f>+H11+H25+H32+H44</f>
        <v>28114</v>
      </c>
      <c r="I10" s="1101">
        <f>+I11+I25+I32+I44</f>
        <v>0</v>
      </c>
      <c r="K10" s="3">
        <f t="shared" ref="K10:K41" si="0">+E10-G10-H10-I10</f>
        <v>0</v>
      </c>
    </row>
    <row r="11" spans="1:11" s="3" customFormat="1" ht="12.75" customHeight="1" thickBot="1">
      <c r="A11" s="1094" t="s">
        <v>5</v>
      </c>
      <c r="B11" s="1102" t="s">
        <v>297</v>
      </c>
      <c r="C11" s="1103">
        <f>+C12+C19+C20+C21+C22+C23</f>
        <v>0</v>
      </c>
      <c r="D11" s="28">
        <f>+D12+D19+D20+D21+D22+D23</f>
        <v>37930</v>
      </c>
      <c r="E11" s="28">
        <f>+E12+E19+E20+E21+E22+E23</f>
        <v>37930</v>
      </c>
      <c r="F11" s="1316">
        <f t="shared" ref="F11:F74" si="1">IF(ISERROR(E11/D11),"-",E11/D11)</f>
        <v>1</v>
      </c>
      <c r="G11" s="110">
        <f>+G12+G19+G20+G21+G22+G23</f>
        <v>37930</v>
      </c>
      <c r="H11" s="111">
        <f>+H12+H19+H20+H21+H22+H23</f>
        <v>0</v>
      </c>
      <c r="I11" s="112">
        <f>+I12+I19+I20+I21+I22+I23</f>
        <v>0</v>
      </c>
      <c r="K11" s="3">
        <f t="shared" si="0"/>
        <v>0</v>
      </c>
    </row>
    <row r="12" spans="1:11" s="3" customFormat="1">
      <c r="A12" s="1104" t="s">
        <v>54</v>
      </c>
      <c r="B12" s="113" t="s">
        <v>298</v>
      </c>
      <c r="C12" s="1105">
        <f>+C13+C14+C15+C16+C17+C18</f>
        <v>0</v>
      </c>
      <c r="D12" s="10">
        <f>+D13+D14+D15+D16+D17+D18</f>
        <v>0</v>
      </c>
      <c r="E12" s="10">
        <f>+E13+E14+E15+E16+E17+E18</f>
        <v>0</v>
      </c>
      <c r="F12" s="1317" t="str">
        <f t="shared" si="1"/>
        <v>-</v>
      </c>
      <c r="G12" s="1106">
        <f>+G13+G14+G15+G16+G17+G18</f>
        <v>0</v>
      </c>
      <c r="H12" s="1107">
        <f>+H13+H14+H15+H16+H17+H18</f>
        <v>0</v>
      </c>
      <c r="I12" s="1108">
        <f>+I13+I14+I15+I16+I17+I18</f>
        <v>0</v>
      </c>
      <c r="K12" s="4">
        <f t="shared" si="0"/>
        <v>0</v>
      </c>
    </row>
    <row r="13" spans="1:11" s="13" customFormat="1">
      <c r="A13" s="108" t="s">
        <v>189</v>
      </c>
      <c r="B13" s="109" t="s">
        <v>93</v>
      </c>
      <c r="C13" s="457"/>
      <c r="D13" s="12"/>
      <c r="E13" s="12"/>
      <c r="F13" s="1318" t="str">
        <f t="shared" si="1"/>
        <v>-</v>
      </c>
      <c r="G13" s="686"/>
      <c r="H13" s="687"/>
      <c r="I13" s="688"/>
      <c r="K13" s="13">
        <f t="shared" si="0"/>
        <v>0</v>
      </c>
    </row>
    <row r="14" spans="1:11" s="13" customFormat="1">
      <c r="A14" s="108" t="s">
        <v>190</v>
      </c>
      <c r="B14" s="109" t="s">
        <v>94</v>
      </c>
      <c r="C14" s="457"/>
      <c r="D14" s="12"/>
      <c r="E14" s="12"/>
      <c r="F14" s="1318" t="str">
        <f t="shared" si="1"/>
        <v>-</v>
      </c>
      <c r="G14" s="686"/>
      <c r="H14" s="687"/>
      <c r="I14" s="688"/>
      <c r="K14" s="13">
        <f t="shared" si="0"/>
        <v>0</v>
      </c>
    </row>
    <row r="15" spans="1:11" s="13" customFormat="1">
      <c r="A15" s="108" t="s">
        <v>191</v>
      </c>
      <c r="B15" s="109" t="s">
        <v>95</v>
      </c>
      <c r="C15" s="457"/>
      <c r="D15" s="12"/>
      <c r="E15" s="12"/>
      <c r="F15" s="1318" t="str">
        <f t="shared" si="1"/>
        <v>-</v>
      </c>
      <c r="G15" s="686"/>
      <c r="H15" s="687"/>
      <c r="I15" s="688"/>
      <c r="K15" s="13">
        <f t="shared" si="0"/>
        <v>0</v>
      </c>
    </row>
    <row r="16" spans="1:11" s="13" customFormat="1">
      <c r="A16" s="108" t="s">
        <v>192</v>
      </c>
      <c r="B16" s="109" t="s">
        <v>96</v>
      </c>
      <c r="C16" s="457"/>
      <c r="D16" s="12"/>
      <c r="E16" s="12"/>
      <c r="F16" s="1318" t="str">
        <f t="shared" si="1"/>
        <v>-</v>
      </c>
      <c r="G16" s="686"/>
      <c r="H16" s="687"/>
      <c r="I16" s="688"/>
      <c r="K16" s="13">
        <f t="shared" si="0"/>
        <v>0</v>
      </c>
    </row>
    <row r="17" spans="1:11" s="13" customFormat="1">
      <c r="A17" s="108" t="s">
        <v>193</v>
      </c>
      <c r="B17" s="109" t="s">
        <v>891</v>
      </c>
      <c r="C17" s="457"/>
      <c r="D17" s="12"/>
      <c r="E17" s="12"/>
      <c r="F17" s="1319" t="str">
        <f t="shared" si="1"/>
        <v>-</v>
      </c>
      <c r="G17" s="686"/>
      <c r="H17" s="687"/>
      <c r="I17" s="688"/>
      <c r="K17" s="13">
        <f t="shared" si="0"/>
        <v>0</v>
      </c>
    </row>
    <row r="18" spans="1:11" s="13" customFormat="1">
      <c r="A18" s="108" t="s">
        <v>194</v>
      </c>
      <c r="B18" s="109" t="s">
        <v>892</v>
      </c>
      <c r="C18" s="457"/>
      <c r="D18" s="12"/>
      <c r="E18" s="12"/>
      <c r="F18" s="1319" t="str">
        <f t="shared" si="1"/>
        <v>-</v>
      </c>
      <c r="G18" s="686"/>
      <c r="H18" s="687"/>
      <c r="I18" s="688"/>
      <c r="K18" s="13">
        <f t="shared" si="0"/>
        <v>0</v>
      </c>
    </row>
    <row r="19" spans="1:11">
      <c r="A19" s="1109" t="s">
        <v>55</v>
      </c>
      <c r="B19" s="1110" t="s">
        <v>97</v>
      </c>
      <c r="C19" s="456"/>
      <c r="D19" s="11"/>
      <c r="E19" s="11"/>
      <c r="F19" s="1318" t="str">
        <f t="shared" si="1"/>
        <v>-</v>
      </c>
      <c r="G19" s="925"/>
      <c r="H19" s="926"/>
      <c r="I19" s="927"/>
      <c r="K19" s="4">
        <f t="shared" si="0"/>
        <v>0</v>
      </c>
    </row>
    <row r="20" spans="1:11">
      <c r="A20" s="1109" t="s">
        <v>83</v>
      </c>
      <c r="B20" s="1110" t="s">
        <v>98</v>
      </c>
      <c r="C20" s="456"/>
      <c r="D20" s="11"/>
      <c r="E20" s="11"/>
      <c r="F20" s="1318" t="str">
        <f t="shared" si="1"/>
        <v>-</v>
      </c>
      <c r="G20" s="925"/>
      <c r="H20" s="926"/>
      <c r="I20" s="927"/>
      <c r="K20" s="4">
        <f t="shared" si="0"/>
        <v>0</v>
      </c>
    </row>
    <row r="21" spans="1:11">
      <c r="A21" s="1109" t="s">
        <v>84</v>
      </c>
      <c r="B21" s="1110" t="s">
        <v>99</v>
      </c>
      <c r="C21" s="456"/>
      <c r="D21" s="11"/>
      <c r="E21" s="11"/>
      <c r="F21" s="1318" t="str">
        <f t="shared" si="1"/>
        <v>-</v>
      </c>
      <c r="G21" s="925"/>
      <c r="H21" s="926"/>
      <c r="I21" s="927"/>
      <c r="K21" s="4">
        <f t="shared" si="0"/>
        <v>0</v>
      </c>
    </row>
    <row r="22" spans="1:11">
      <c r="A22" s="1109" t="s">
        <v>85</v>
      </c>
      <c r="B22" s="1110" t="s">
        <v>100</v>
      </c>
      <c r="C22" s="456"/>
      <c r="D22" s="11"/>
      <c r="E22" s="11"/>
      <c r="F22" s="1318" t="str">
        <f t="shared" si="1"/>
        <v>-</v>
      </c>
      <c r="G22" s="925"/>
      <c r="H22" s="926"/>
      <c r="I22" s="927"/>
      <c r="K22" s="4">
        <f t="shared" si="0"/>
        <v>0</v>
      </c>
    </row>
    <row r="23" spans="1:11">
      <c r="A23" s="1111" t="s">
        <v>86</v>
      </c>
      <c r="B23" s="1112" t="s">
        <v>101</v>
      </c>
      <c r="C23" s="455"/>
      <c r="D23" s="22">
        <v>37930</v>
      </c>
      <c r="E23" s="22">
        <v>37930</v>
      </c>
      <c r="F23" s="1320">
        <f t="shared" si="1"/>
        <v>1</v>
      </c>
      <c r="G23" s="928">
        <v>37930</v>
      </c>
      <c r="H23" s="929"/>
      <c r="I23" s="930"/>
      <c r="K23" s="4">
        <f t="shared" si="0"/>
        <v>0</v>
      </c>
    </row>
    <row r="24" spans="1:11" s="13" customFormat="1" ht="12.75" thickBot="1">
      <c r="A24" s="1113" t="s">
        <v>331</v>
      </c>
      <c r="B24" s="1114" t="s">
        <v>332</v>
      </c>
      <c r="C24" s="1115"/>
      <c r="D24" s="43">
        <v>34897</v>
      </c>
      <c r="E24" s="43">
        <v>34897</v>
      </c>
      <c r="F24" s="1320">
        <f t="shared" si="1"/>
        <v>1</v>
      </c>
      <c r="G24" s="1116">
        <v>34897</v>
      </c>
      <c r="H24" s="1117"/>
      <c r="I24" s="978"/>
      <c r="K24" s="13">
        <f t="shared" si="0"/>
        <v>0</v>
      </c>
    </row>
    <row r="25" spans="1:11" s="3" customFormat="1" ht="12.75" customHeight="1" thickBot="1">
      <c r="A25" s="1094" t="s">
        <v>6</v>
      </c>
      <c r="B25" s="1102" t="s">
        <v>778</v>
      </c>
      <c r="C25" s="1103">
        <f>+C26+C27+C28+C29+C30+C31</f>
        <v>0</v>
      </c>
      <c r="D25" s="28">
        <f>+D26+D27+D28+D29+D30+D31</f>
        <v>10</v>
      </c>
      <c r="E25" s="28">
        <f>+E26+E27+E28+E29+E30+E31</f>
        <v>5</v>
      </c>
      <c r="F25" s="1316">
        <f t="shared" si="1"/>
        <v>0.5</v>
      </c>
      <c r="G25" s="110">
        <f>+G26+G27+G28+G29+G30+G31</f>
        <v>5</v>
      </c>
      <c r="H25" s="111">
        <f>+H26+H27+H28+H29+H30+H31</f>
        <v>0</v>
      </c>
      <c r="I25" s="112">
        <f>+I26+I27+I28+I29+I30+I31</f>
        <v>0</v>
      </c>
      <c r="K25" s="3">
        <f t="shared" si="0"/>
        <v>0</v>
      </c>
    </row>
    <row r="26" spans="1:11" ht="12.75" customHeight="1">
      <c r="A26" s="1104" t="s">
        <v>58</v>
      </c>
      <c r="B26" s="113" t="s">
        <v>102</v>
      </c>
      <c r="C26" s="1105"/>
      <c r="D26" s="10"/>
      <c r="E26" s="10"/>
      <c r="F26" s="1317" t="str">
        <f t="shared" si="1"/>
        <v>-</v>
      </c>
      <c r="G26" s="114"/>
      <c r="H26" s="115"/>
      <c r="I26" s="116"/>
      <c r="K26" s="4">
        <f t="shared" si="0"/>
        <v>0</v>
      </c>
    </row>
    <row r="27" spans="1:11" ht="12.75" customHeight="1">
      <c r="A27" s="1109" t="s">
        <v>59</v>
      </c>
      <c r="B27" s="1110" t="s">
        <v>103</v>
      </c>
      <c r="C27" s="456"/>
      <c r="D27" s="11"/>
      <c r="E27" s="11"/>
      <c r="F27" s="1318" t="str">
        <f t="shared" si="1"/>
        <v>-</v>
      </c>
      <c r="G27" s="925"/>
      <c r="H27" s="926"/>
      <c r="I27" s="927"/>
      <c r="K27" s="4">
        <f t="shared" si="0"/>
        <v>0</v>
      </c>
    </row>
    <row r="28" spans="1:11" ht="12.75" customHeight="1">
      <c r="A28" s="1109" t="s">
        <v>60</v>
      </c>
      <c r="B28" s="1110" t="s">
        <v>104</v>
      </c>
      <c r="C28" s="456"/>
      <c r="D28" s="11"/>
      <c r="E28" s="11"/>
      <c r="F28" s="1318" t="str">
        <f t="shared" si="1"/>
        <v>-</v>
      </c>
      <c r="G28" s="925"/>
      <c r="H28" s="926"/>
      <c r="I28" s="927"/>
      <c r="K28" s="4">
        <f t="shared" si="0"/>
        <v>0</v>
      </c>
    </row>
    <row r="29" spans="1:11" ht="12.75" customHeight="1">
      <c r="A29" s="1109" t="s">
        <v>179</v>
      </c>
      <c r="B29" s="1110" t="s">
        <v>105</v>
      </c>
      <c r="C29" s="456"/>
      <c r="D29" s="11"/>
      <c r="E29" s="11"/>
      <c r="F29" s="1318" t="str">
        <f t="shared" si="1"/>
        <v>-</v>
      </c>
      <c r="G29" s="925"/>
      <c r="H29" s="926"/>
      <c r="I29" s="927"/>
      <c r="K29" s="4">
        <f t="shared" si="0"/>
        <v>0</v>
      </c>
    </row>
    <row r="30" spans="1:11" ht="12.75" customHeight="1">
      <c r="A30" s="1111" t="s">
        <v>180</v>
      </c>
      <c r="B30" s="1112" t="s">
        <v>106</v>
      </c>
      <c r="C30" s="455"/>
      <c r="D30" s="22"/>
      <c r="E30" s="22"/>
      <c r="F30" s="1320" t="str">
        <f t="shared" si="1"/>
        <v>-</v>
      </c>
      <c r="G30" s="925"/>
      <c r="H30" s="926"/>
      <c r="I30" s="927"/>
      <c r="K30" s="4">
        <f t="shared" si="0"/>
        <v>0</v>
      </c>
    </row>
    <row r="31" spans="1:11" ht="12.75" customHeight="1" thickBot="1">
      <c r="A31" s="1111" t="s">
        <v>777</v>
      </c>
      <c r="B31" s="1112" t="s">
        <v>779</v>
      </c>
      <c r="C31" s="455"/>
      <c r="D31" s="22">
        <v>10</v>
      </c>
      <c r="E31" s="22">
        <v>5</v>
      </c>
      <c r="F31" s="1320">
        <f t="shared" si="1"/>
        <v>0.5</v>
      </c>
      <c r="G31" s="925">
        <v>5</v>
      </c>
      <c r="H31" s="926"/>
      <c r="I31" s="927"/>
      <c r="K31" s="4">
        <f t="shared" si="0"/>
        <v>0</v>
      </c>
    </row>
    <row r="32" spans="1:11" s="3" customFormat="1" ht="12.75" customHeight="1" thickBot="1">
      <c r="A32" s="1094" t="s">
        <v>3</v>
      </c>
      <c r="B32" s="1102" t="s">
        <v>964</v>
      </c>
      <c r="C32" s="1103">
        <f>+C33+C34+C35+C36+C37+C38+C39+C40+C41+C42+C43</f>
        <v>41459</v>
      </c>
      <c r="D32" s="28">
        <f>+D33+D34+D35+D36+D37+D38+D39+D40+D41+D42+D43</f>
        <v>48097</v>
      </c>
      <c r="E32" s="28">
        <f>+E33+E34+E35+E36+E37+E38+E39+E40+E41+E42+E43</f>
        <v>47604</v>
      </c>
      <c r="F32" s="1316">
        <f t="shared" si="1"/>
        <v>0.98974988044992407</v>
      </c>
      <c r="G32" s="110">
        <f>+G33+G34+G35+G36+G37+G38+G39+G40+G41+G42+G43</f>
        <v>19490</v>
      </c>
      <c r="H32" s="111">
        <f>+H33+H34+H35+H36+H37+H38+H39+H40+H41+H42+H43</f>
        <v>28114</v>
      </c>
      <c r="I32" s="112">
        <f>+I33+I34+I35+I36+I37+I38+I39+I40+I41+I42+I43</f>
        <v>0</v>
      </c>
      <c r="K32" s="3">
        <f t="shared" si="0"/>
        <v>0</v>
      </c>
    </row>
    <row r="33" spans="1:11" ht="12.75" customHeight="1">
      <c r="A33" s="1104" t="s">
        <v>61</v>
      </c>
      <c r="B33" s="113" t="s">
        <v>1539</v>
      </c>
      <c r="C33" s="1105"/>
      <c r="D33" s="10">
        <f>61-1</f>
        <v>60</v>
      </c>
      <c r="E33" s="10">
        <f>61-1</f>
        <v>60</v>
      </c>
      <c r="F33" s="1317">
        <f t="shared" si="1"/>
        <v>1</v>
      </c>
      <c r="G33" s="114">
        <v>60</v>
      </c>
      <c r="H33" s="115"/>
      <c r="I33" s="116"/>
      <c r="K33" s="4">
        <f t="shared" si="0"/>
        <v>0</v>
      </c>
    </row>
    <row r="34" spans="1:11" ht="12.75" customHeight="1">
      <c r="A34" s="1109" t="s">
        <v>62</v>
      </c>
      <c r="B34" s="1110" t="s">
        <v>107</v>
      </c>
      <c r="C34" s="456">
        <v>26326</v>
      </c>
      <c r="D34" s="11">
        <v>26133</v>
      </c>
      <c r="E34" s="11">
        <v>25799</v>
      </c>
      <c r="F34" s="1318">
        <f t="shared" si="1"/>
        <v>0.98721922473500934</v>
      </c>
      <c r="G34" s="925">
        <v>3657</v>
      </c>
      <c r="H34" s="926">
        <v>22142</v>
      </c>
      <c r="I34" s="927"/>
      <c r="K34" s="4">
        <f t="shared" si="0"/>
        <v>0</v>
      </c>
    </row>
    <row r="35" spans="1:11" ht="12.75" customHeight="1">
      <c r="A35" s="1109" t="s">
        <v>63</v>
      </c>
      <c r="B35" s="1110" t="s">
        <v>108</v>
      </c>
      <c r="C35" s="456">
        <v>6541</v>
      </c>
      <c r="D35" s="11">
        <f>6061-1+1-1</f>
        <v>6060</v>
      </c>
      <c r="E35" s="11">
        <v>6004</v>
      </c>
      <c r="F35" s="1318">
        <f t="shared" si="1"/>
        <v>0.99075907590759071</v>
      </c>
      <c r="G35" s="925">
        <v>6004</v>
      </c>
      <c r="H35" s="926"/>
      <c r="I35" s="927"/>
      <c r="K35" s="4">
        <f t="shared" si="0"/>
        <v>0</v>
      </c>
    </row>
    <row r="36" spans="1:11" ht="12.75" customHeight="1">
      <c r="A36" s="1109" t="s">
        <v>64</v>
      </c>
      <c r="B36" s="1110" t="s">
        <v>109</v>
      </c>
      <c r="C36" s="456"/>
      <c r="D36" s="11"/>
      <c r="E36" s="11"/>
      <c r="F36" s="1318" t="str">
        <f t="shared" si="1"/>
        <v>-</v>
      </c>
      <c r="G36" s="925"/>
      <c r="H36" s="926"/>
      <c r="I36" s="927"/>
      <c r="K36" s="4">
        <f t="shared" si="0"/>
        <v>0</v>
      </c>
    </row>
    <row r="37" spans="1:11" ht="12.75" customHeight="1">
      <c r="A37" s="1109" t="s">
        <v>65</v>
      </c>
      <c r="B37" s="1110" t="s">
        <v>110</v>
      </c>
      <c r="C37" s="456"/>
      <c r="D37" s="11"/>
      <c r="E37" s="11"/>
      <c r="F37" s="1318" t="str">
        <f t="shared" si="1"/>
        <v>-</v>
      </c>
      <c r="G37" s="925"/>
      <c r="H37" s="926"/>
      <c r="I37" s="927"/>
      <c r="K37" s="4">
        <f t="shared" si="0"/>
        <v>0</v>
      </c>
    </row>
    <row r="38" spans="1:11" ht="12.75" customHeight="1">
      <c r="A38" s="1109" t="s">
        <v>221</v>
      </c>
      <c r="B38" s="1110" t="s">
        <v>111</v>
      </c>
      <c r="C38" s="456">
        <v>8592</v>
      </c>
      <c r="D38" s="11">
        <v>7835</v>
      </c>
      <c r="E38" s="11">
        <v>7732</v>
      </c>
      <c r="F38" s="1318">
        <f t="shared" si="1"/>
        <v>0.98685386088066374</v>
      </c>
      <c r="G38" s="925">
        <v>1760</v>
      </c>
      <c r="H38" s="926">
        <v>5972</v>
      </c>
      <c r="I38" s="927"/>
      <c r="K38" s="4">
        <f t="shared" si="0"/>
        <v>0</v>
      </c>
    </row>
    <row r="39" spans="1:11" ht="12.75" customHeight="1">
      <c r="A39" s="1109" t="s">
        <v>222</v>
      </c>
      <c r="B39" s="1110" t="s">
        <v>112</v>
      </c>
      <c r="C39" s="456"/>
      <c r="D39" s="11"/>
      <c r="E39" s="11"/>
      <c r="F39" s="1318" t="str">
        <f t="shared" si="1"/>
        <v>-</v>
      </c>
      <c r="G39" s="925"/>
      <c r="H39" s="926"/>
      <c r="I39" s="927"/>
      <c r="K39" s="4">
        <f t="shared" si="0"/>
        <v>0</v>
      </c>
    </row>
    <row r="40" spans="1:11" ht="12.75" customHeight="1">
      <c r="A40" s="1109" t="s">
        <v>223</v>
      </c>
      <c r="B40" s="1110" t="s">
        <v>974</v>
      </c>
      <c r="C40" s="456"/>
      <c r="D40" s="11"/>
      <c r="E40" s="11"/>
      <c r="F40" s="1318" t="str">
        <f t="shared" si="1"/>
        <v>-</v>
      </c>
      <c r="G40" s="925"/>
      <c r="H40" s="926"/>
      <c r="I40" s="927"/>
      <c r="K40" s="4">
        <f t="shared" si="0"/>
        <v>0</v>
      </c>
    </row>
    <row r="41" spans="1:11" ht="12.75" customHeight="1">
      <c r="A41" s="1109" t="s">
        <v>224</v>
      </c>
      <c r="B41" s="1110" t="s">
        <v>113</v>
      </c>
      <c r="C41" s="456"/>
      <c r="D41" s="11"/>
      <c r="E41" s="11"/>
      <c r="F41" s="1318" t="str">
        <f t="shared" si="1"/>
        <v>-</v>
      </c>
      <c r="G41" s="925"/>
      <c r="H41" s="926"/>
      <c r="I41" s="927"/>
      <c r="K41" s="4">
        <f t="shared" si="0"/>
        <v>0</v>
      </c>
    </row>
    <row r="42" spans="1:11" ht="12.75" customHeight="1">
      <c r="A42" s="1111" t="s">
        <v>225</v>
      </c>
      <c r="B42" s="1112" t="s">
        <v>894</v>
      </c>
      <c r="C42" s="456"/>
      <c r="D42" s="11"/>
      <c r="E42" s="11"/>
      <c r="F42" s="1318" t="str">
        <f t="shared" si="1"/>
        <v>-</v>
      </c>
      <c r="G42" s="925"/>
      <c r="H42" s="926"/>
      <c r="I42" s="927"/>
      <c r="K42" s="4">
        <f t="shared" ref="K42:K73" si="2">+E42-G42-H42-I42</f>
        <v>0</v>
      </c>
    </row>
    <row r="43" spans="1:11" ht="12.75" customHeight="1" thickBot="1">
      <c r="A43" s="1111" t="s">
        <v>893</v>
      </c>
      <c r="B43" s="1112" t="s">
        <v>895</v>
      </c>
      <c r="C43" s="455"/>
      <c r="D43" s="22">
        <v>8009</v>
      </c>
      <c r="E43" s="22">
        <v>8009</v>
      </c>
      <c r="F43" s="1320">
        <f t="shared" si="1"/>
        <v>1</v>
      </c>
      <c r="G43" s="928">
        <v>8009</v>
      </c>
      <c r="H43" s="929"/>
      <c r="I43" s="930"/>
      <c r="K43" s="4">
        <f t="shared" si="2"/>
        <v>0</v>
      </c>
    </row>
    <row r="44" spans="1:11" s="3" customFormat="1" ht="12.75" thickBot="1">
      <c r="A44" s="1094" t="s">
        <v>16</v>
      </c>
      <c r="B44" s="1102" t="s">
        <v>965</v>
      </c>
      <c r="C44" s="1103">
        <f>+C45+C46+C47+C48+C49</f>
        <v>0</v>
      </c>
      <c r="D44" s="28">
        <f>+D45+D46+D47+D48+D49</f>
        <v>0</v>
      </c>
      <c r="E44" s="28">
        <f>+E45+E46+E47+E48+E49</f>
        <v>0</v>
      </c>
      <c r="F44" s="1316" t="str">
        <f t="shared" si="1"/>
        <v>-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2"/>
        <v>0</v>
      </c>
    </row>
    <row r="45" spans="1:11" ht="12.75" customHeight="1">
      <c r="A45" s="1104" t="s">
        <v>226</v>
      </c>
      <c r="B45" s="113" t="s">
        <v>114</v>
      </c>
      <c r="C45" s="1105"/>
      <c r="D45" s="10"/>
      <c r="E45" s="10"/>
      <c r="F45" s="1317" t="str">
        <f t="shared" si="1"/>
        <v>-</v>
      </c>
      <c r="G45" s="114"/>
      <c r="H45" s="115"/>
      <c r="I45" s="116"/>
      <c r="K45" s="4">
        <f t="shared" si="2"/>
        <v>0</v>
      </c>
    </row>
    <row r="46" spans="1:11" ht="12.75" customHeight="1">
      <c r="A46" s="1104" t="s">
        <v>227</v>
      </c>
      <c r="B46" s="113" t="s">
        <v>896</v>
      </c>
      <c r="C46" s="1105"/>
      <c r="D46" s="10"/>
      <c r="E46" s="10"/>
      <c r="F46" s="1317" t="str">
        <f t="shared" si="1"/>
        <v>-</v>
      </c>
      <c r="G46" s="114"/>
      <c r="H46" s="115"/>
      <c r="I46" s="116"/>
      <c r="K46" s="4">
        <f t="shared" si="2"/>
        <v>0</v>
      </c>
    </row>
    <row r="47" spans="1:11" ht="12.75" customHeight="1">
      <c r="A47" s="1104" t="s">
        <v>228</v>
      </c>
      <c r="B47" s="113" t="s">
        <v>897</v>
      </c>
      <c r="C47" s="1105"/>
      <c r="D47" s="10"/>
      <c r="E47" s="10"/>
      <c r="F47" s="1317" t="str">
        <f t="shared" si="1"/>
        <v>-</v>
      </c>
      <c r="G47" s="114"/>
      <c r="H47" s="115"/>
      <c r="I47" s="116"/>
      <c r="K47" s="4">
        <f t="shared" si="2"/>
        <v>0</v>
      </c>
    </row>
    <row r="48" spans="1:11" ht="12.75" customHeight="1">
      <c r="A48" s="1109" t="s">
        <v>256</v>
      </c>
      <c r="B48" s="1110" t="s">
        <v>898</v>
      </c>
      <c r="C48" s="456"/>
      <c r="D48" s="11"/>
      <c r="E48" s="11"/>
      <c r="F48" s="1318" t="str">
        <f t="shared" si="1"/>
        <v>-</v>
      </c>
      <c r="G48" s="925"/>
      <c r="H48" s="926"/>
      <c r="I48" s="927"/>
      <c r="K48" s="4">
        <f t="shared" si="2"/>
        <v>0</v>
      </c>
    </row>
    <row r="49" spans="1:11" ht="12.75" customHeight="1" thickBot="1">
      <c r="A49" s="1111" t="s">
        <v>257</v>
      </c>
      <c r="B49" s="1112" t="s">
        <v>899</v>
      </c>
      <c r="C49" s="455"/>
      <c r="D49" s="22"/>
      <c r="E49" s="22"/>
      <c r="F49" s="1320" t="str">
        <f t="shared" si="1"/>
        <v>-</v>
      </c>
      <c r="G49" s="928"/>
      <c r="H49" s="929"/>
      <c r="I49" s="930"/>
      <c r="K49" s="4">
        <f t="shared" si="2"/>
        <v>0</v>
      </c>
    </row>
    <row r="50" spans="1:11" s="3" customFormat="1" ht="12.75" thickBot="1">
      <c r="A50" s="1094" t="s">
        <v>15</v>
      </c>
      <c r="B50" s="1118" t="s">
        <v>299</v>
      </c>
      <c r="C50" s="1103">
        <f>+C51+C58+C64</f>
        <v>0</v>
      </c>
      <c r="D50" s="28">
        <f>+D51+D58+D64</f>
        <v>0</v>
      </c>
      <c r="E50" s="28">
        <f>+E51+E58+E64</f>
        <v>0</v>
      </c>
      <c r="F50" s="1316" t="str">
        <f t="shared" si="1"/>
        <v>-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2"/>
        <v>0</v>
      </c>
    </row>
    <row r="51" spans="1:11" s="3" customFormat="1" ht="12.75" customHeight="1" thickBot="1">
      <c r="A51" s="1094" t="s">
        <v>14</v>
      </c>
      <c r="B51" s="1102" t="s">
        <v>300</v>
      </c>
      <c r="C51" s="1103">
        <f>+C52+C53+C54+C55+C56</f>
        <v>0</v>
      </c>
      <c r="D51" s="28">
        <f>+D52+D53+D54+D55+D56</f>
        <v>0</v>
      </c>
      <c r="E51" s="28">
        <f>+E52+E53+E54+E55+E56</f>
        <v>0</v>
      </c>
      <c r="F51" s="1316" t="str">
        <f t="shared" si="1"/>
        <v>-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2"/>
        <v>0</v>
      </c>
    </row>
    <row r="52" spans="1:11">
      <c r="A52" s="1104" t="s">
        <v>184</v>
      </c>
      <c r="B52" s="113" t="s">
        <v>115</v>
      </c>
      <c r="C52" s="1105"/>
      <c r="D52" s="10"/>
      <c r="E52" s="10"/>
      <c r="F52" s="1317" t="str">
        <f t="shared" si="1"/>
        <v>-</v>
      </c>
      <c r="G52" s="114"/>
      <c r="H52" s="115"/>
      <c r="I52" s="116"/>
      <c r="K52" s="4">
        <f t="shared" si="2"/>
        <v>0</v>
      </c>
    </row>
    <row r="53" spans="1:11">
      <c r="A53" s="1109" t="s">
        <v>185</v>
      </c>
      <c r="B53" s="1110" t="s">
        <v>116</v>
      </c>
      <c r="C53" s="456"/>
      <c r="D53" s="11"/>
      <c r="E53" s="11"/>
      <c r="F53" s="1318" t="str">
        <f t="shared" si="1"/>
        <v>-</v>
      </c>
      <c r="G53" s="925"/>
      <c r="H53" s="926"/>
      <c r="I53" s="927"/>
      <c r="K53" s="4">
        <f t="shared" si="2"/>
        <v>0</v>
      </c>
    </row>
    <row r="54" spans="1:11">
      <c r="A54" s="1109" t="s">
        <v>186</v>
      </c>
      <c r="B54" s="1110" t="s">
        <v>117</v>
      </c>
      <c r="C54" s="456"/>
      <c r="D54" s="11"/>
      <c r="E54" s="11"/>
      <c r="F54" s="1318" t="str">
        <f t="shared" si="1"/>
        <v>-</v>
      </c>
      <c r="G54" s="925"/>
      <c r="H54" s="926"/>
      <c r="I54" s="927"/>
      <c r="K54" s="4">
        <f t="shared" si="2"/>
        <v>0</v>
      </c>
    </row>
    <row r="55" spans="1:11">
      <c r="A55" s="1109" t="s">
        <v>187</v>
      </c>
      <c r="B55" s="1110" t="s">
        <v>118</v>
      </c>
      <c r="C55" s="456"/>
      <c r="D55" s="11"/>
      <c r="E55" s="11"/>
      <c r="F55" s="1318" t="str">
        <f t="shared" si="1"/>
        <v>-</v>
      </c>
      <c r="G55" s="925"/>
      <c r="H55" s="926"/>
      <c r="I55" s="927"/>
      <c r="K55" s="4">
        <f t="shared" si="2"/>
        <v>0</v>
      </c>
    </row>
    <row r="56" spans="1:11">
      <c r="A56" s="1111" t="s">
        <v>188</v>
      </c>
      <c r="B56" s="1112" t="s">
        <v>119</v>
      </c>
      <c r="C56" s="455"/>
      <c r="D56" s="22"/>
      <c r="E56" s="22"/>
      <c r="F56" s="1320" t="str">
        <f t="shared" si="1"/>
        <v>-</v>
      </c>
      <c r="G56" s="928"/>
      <c r="H56" s="929"/>
      <c r="I56" s="930"/>
      <c r="K56" s="4">
        <f t="shared" si="2"/>
        <v>0</v>
      </c>
    </row>
    <row r="57" spans="1:11" s="13" customFormat="1" ht="12.75" thickBot="1">
      <c r="A57" s="1113" t="s">
        <v>333</v>
      </c>
      <c r="B57" s="1114" t="s">
        <v>337</v>
      </c>
      <c r="C57" s="1115"/>
      <c r="D57" s="43"/>
      <c r="E57" s="43"/>
      <c r="F57" s="1320" t="str">
        <f t="shared" si="1"/>
        <v>-</v>
      </c>
      <c r="G57" s="1116"/>
      <c r="H57" s="1117"/>
      <c r="I57" s="978"/>
      <c r="K57" s="13">
        <f t="shared" si="2"/>
        <v>0</v>
      </c>
    </row>
    <row r="58" spans="1:11" s="3" customFormat="1" ht="12.75" customHeight="1" thickBot="1">
      <c r="A58" s="1094" t="s">
        <v>13</v>
      </c>
      <c r="B58" s="1102" t="s">
        <v>301</v>
      </c>
      <c r="C58" s="1103">
        <f>+C59+C60+C61+C62+C63</f>
        <v>0</v>
      </c>
      <c r="D58" s="28">
        <f>+D59+D60+D61+D62+D63</f>
        <v>0</v>
      </c>
      <c r="E58" s="28">
        <f>+E59+E60+E61+E62+E63</f>
        <v>0</v>
      </c>
      <c r="F58" s="1316" t="str">
        <f t="shared" si="1"/>
        <v>-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2"/>
        <v>0</v>
      </c>
    </row>
    <row r="59" spans="1:11" ht="12.75" customHeight="1">
      <c r="A59" s="1104" t="s">
        <v>66</v>
      </c>
      <c r="B59" s="113" t="s">
        <v>120</v>
      </c>
      <c r="C59" s="1105"/>
      <c r="D59" s="10"/>
      <c r="E59" s="10"/>
      <c r="F59" s="1317" t="str">
        <f t="shared" si="1"/>
        <v>-</v>
      </c>
      <c r="G59" s="114"/>
      <c r="H59" s="115"/>
      <c r="I59" s="116"/>
      <c r="K59" s="4">
        <f t="shared" si="2"/>
        <v>0</v>
      </c>
    </row>
    <row r="60" spans="1:11" ht="12.75" customHeight="1">
      <c r="A60" s="1109" t="s">
        <v>67</v>
      </c>
      <c r="B60" s="1110" t="s">
        <v>121</v>
      </c>
      <c r="C60" s="456"/>
      <c r="D60" s="11"/>
      <c r="E60" s="11"/>
      <c r="F60" s="1318" t="str">
        <f t="shared" si="1"/>
        <v>-</v>
      </c>
      <c r="G60" s="925"/>
      <c r="H60" s="926"/>
      <c r="I60" s="927"/>
      <c r="K60" s="4">
        <f t="shared" si="2"/>
        <v>0</v>
      </c>
    </row>
    <row r="61" spans="1:11" ht="12.75" customHeight="1">
      <c r="A61" s="1109" t="s">
        <v>68</v>
      </c>
      <c r="B61" s="1110" t="s">
        <v>122</v>
      </c>
      <c r="C61" s="456"/>
      <c r="D61" s="11"/>
      <c r="E61" s="11"/>
      <c r="F61" s="1318" t="str">
        <f t="shared" si="1"/>
        <v>-</v>
      </c>
      <c r="G61" s="925"/>
      <c r="H61" s="926"/>
      <c r="I61" s="927"/>
      <c r="K61" s="4">
        <f t="shared" si="2"/>
        <v>0</v>
      </c>
    </row>
    <row r="62" spans="1:11" ht="12.75" customHeight="1">
      <c r="A62" s="1109" t="s">
        <v>229</v>
      </c>
      <c r="B62" s="1110" t="s">
        <v>123</v>
      </c>
      <c r="C62" s="456"/>
      <c r="D62" s="11"/>
      <c r="E62" s="11"/>
      <c r="F62" s="1318" t="str">
        <f t="shared" si="1"/>
        <v>-</v>
      </c>
      <c r="G62" s="925"/>
      <c r="H62" s="926"/>
      <c r="I62" s="927"/>
      <c r="K62" s="4">
        <f t="shared" si="2"/>
        <v>0</v>
      </c>
    </row>
    <row r="63" spans="1:11" ht="12.75" customHeight="1" thickBot="1">
      <c r="A63" s="1111" t="s">
        <v>230</v>
      </c>
      <c r="B63" s="1112" t="s">
        <v>124</v>
      </c>
      <c r="C63" s="455"/>
      <c r="D63" s="22"/>
      <c r="E63" s="22"/>
      <c r="F63" s="1320" t="str">
        <f t="shared" si="1"/>
        <v>-</v>
      </c>
      <c r="G63" s="928"/>
      <c r="H63" s="929"/>
      <c r="I63" s="930"/>
      <c r="K63" s="4">
        <f t="shared" si="2"/>
        <v>0</v>
      </c>
    </row>
    <row r="64" spans="1:11" s="3" customFormat="1" ht="12.75" thickBot="1">
      <c r="A64" s="1094" t="s">
        <v>12</v>
      </c>
      <c r="B64" s="1102" t="s">
        <v>903</v>
      </c>
      <c r="C64" s="1103">
        <f>+C65+C66+C67+C68+C69</f>
        <v>0</v>
      </c>
      <c r="D64" s="28">
        <f>+D65+D66+D67+D68+D69</f>
        <v>0</v>
      </c>
      <c r="E64" s="28">
        <f>+E65+E66+E67+E68+E69</f>
        <v>0</v>
      </c>
      <c r="F64" s="1316" t="str">
        <f t="shared" si="1"/>
        <v>-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2"/>
        <v>0</v>
      </c>
    </row>
    <row r="65" spans="1:16">
      <c r="A65" s="1104" t="s">
        <v>69</v>
      </c>
      <c r="B65" s="113" t="s">
        <v>125</v>
      </c>
      <c r="C65" s="1105"/>
      <c r="D65" s="10"/>
      <c r="E65" s="10"/>
      <c r="F65" s="1317" t="str">
        <f t="shared" si="1"/>
        <v>-</v>
      </c>
      <c r="G65" s="114"/>
      <c r="H65" s="115"/>
      <c r="I65" s="116"/>
      <c r="K65" s="4">
        <f t="shared" si="2"/>
        <v>0</v>
      </c>
    </row>
    <row r="66" spans="1:16">
      <c r="A66" s="1104" t="s">
        <v>70</v>
      </c>
      <c r="B66" s="113" t="s">
        <v>904</v>
      </c>
      <c r="C66" s="1105"/>
      <c r="D66" s="10"/>
      <c r="E66" s="10"/>
      <c r="F66" s="1317" t="str">
        <f t="shared" si="1"/>
        <v>-</v>
      </c>
      <c r="G66" s="114"/>
      <c r="H66" s="115"/>
      <c r="I66" s="116"/>
      <c r="K66" s="4">
        <f t="shared" si="2"/>
        <v>0</v>
      </c>
    </row>
    <row r="67" spans="1:16">
      <c r="A67" s="1104" t="s">
        <v>71</v>
      </c>
      <c r="B67" s="113" t="s">
        <v>905</v>
      </c>
      <c r="C67" s="1105"/>
      <c r="D67" s="10"/>
      <c r="E67" s="10"/>
      <c r="F67" s="1317" t="str">
        <f t="shared" si="1"/>
        <v>-</v>
      </c>
      <c r="G67" s="114"/>
      <c r="H67" s="115"/>
      <c r="I67" s="116"/>
      <c r="K67" s="4">
        <f t="shared" si="2"/>
        <v>0</v>
      </c>
    </row>
    <row r="68" spans="1:16">
      <c r="A68" s="1109" t="s">
        <v>72</v>
      </c>
      <c r="B68" s="1110" t="s">
        <v>901</v>
      </c>
      <c r="C68" s="456"/>
      <c r="D68" s="11"/>
      <c r="E68" s="11"/>
      <c r="F68" s="1318" t="str">
        <f t="shared" si="1"/>
        <v>-</v>
      </c>
      <c r="G68" s="925"/>
      <c r="H68" s="926"/>
      <c r="I68" s="927"/>
      <c r="K68" s="4">
        <f t="shared" si="2"/>
        <v>0</v>
      </c>
    </row>
    <row r="69" spans="1:16" ht="12.75" thickBot="1">
      <c r="A69" s="1111" t="s">
        <v>900</v>
      </c>
      <c r="B69" s="1112" t="s">
        <v>902</v>
      </c>
      <c r="C69" s="455"/>
      <c r="D69" s="22"/>
      <c r="E69" s="22"/>
      <c r="F69" s="1320" t="str">
        <f t="shared" si="1"/>
        <v>-</v>
      </c>
      <c r="G69" s="928"/>
      <c r="H69" s="929"/>
      <c r="I69" s="930"/>
      <c r="K69" s="4">
        <f t="shared" si="2"/>
        <v>0</v>
      </c>
    </row>
    <row r="70" spans="1:16" s="3" customFormat="1" ht="12.75" thickBot="1">
      <c r="A70" s="1094" t="s">
        <v>11</v>
      </c>
      <c r="B70" s="1118" t="s">
        <v>302</v>
      </c>
      <c r="C70" s="1103">
        <f>+C10+C50</f>
        <v>41459</v>
      </c>
      <c r="D70" s="28">
        <f>+D10+D50</f>
        <v>86037</v>
      </c>
      <c r="E70" s="28">
        <f>+E10+E50</f>
        <v>85539</v>
      </c>
      <c r="F70" s="1316">
        <f t="shared" si="1"/>
        <v>0.99421179260085779</v>
      </c>
      <c r="G70" s="110">
        <f>+G10+G50</f>
        <v>57425</v>
      </c>
      <c r="H70" s="111">
        <f>+H10+H50</f>
        <v>28114</v>
      </c>
      <c r="I70" s="112">
        <f>+I10+I50</f>
        <v>0</v>
      </c>
      <c r="K70" s="3">
        <f t="shared" si="2"/>
        <v>0</v>
      </c>
    </row>
    <row r="71" spans="1:16" s="3" customFormat="1" ht="12.75" thickBot="1">
      <c r="A71" s="1094" t="s">
        <v>10</v>
      </c>
      <c r="B71" s="1119" t="s">
        <v>303</v>
      </c>
      <c r="C71" s="1103">
        <f>+C72</f>
        <v>360861</v>
      </c>
      <c r="D71" s="28">
        <f>+D72</f>
        <v>368781</v>
      </c>
      <c r="E71" s="28">
        <f>+E72</f>
        <v>385194</v>
      </c>
      <c r="F71" s="1316">
        <f t="shared" si="1"/>
        <v>1.0445060889796383</v>
      </c>
      <c r="G71" s="110">
        <f>+G72</f>
        <v>374131</v>
      </c>
      <c r="H71" s="111">
        <f>+H72</f>
        <v>11063</v>
      </c>
      <c r="I71" s="112">
        <f>+I72</f>
        <v>0</v>
      </c>
      <c r="K71" s="3">
        <f t="shared" si="2"/>
        <v>0</v>
      </c>
    </row>
    <row r="72" spans="1:16" s="3" customFormat="1" ht="12.75" thickBot="1">
      <c r="A72" s="1094" t="s">
        <v>9</v>
      </c>
      <c r="B72" s="1102" t="s">
        <v>912</v>
      </c>
      <c r="C72" s="1103">
        <f>+C73+C83+C84+C85</f>
        <v>360861</v>
      </c>
      <c r="D72" s="28">
        <f>+D73+D83+D84+D85</f>
        <v>368781</v>
      </c>
      <c r="E72" s="28">
        <f>+E73+E83+E84+E85</f>
        <v>385194</v>
      </c>
      <c r="F72" s="1316">
        <f t="shared" si="1"/>
        <v>1.0445060889796383</v>
      </c>
      <c r="G72" s="110">
        <f>+G73+G83+G84+G85</f>
        <v>374131</v>
      </c>
      <c r="H72" s="111">
        <f>+H73+H83+H84+H85</f>
        <v>11063</v>
      </c>
      <c r="I72" s="112">
        <f>+I73+I83+I84+I85</f>
        <v>0</v>
      </c>
      <c r="K72" s="3">
        <f t="shared" si="2"/>
        <v>0</v>
      </c>
    </row>
    <row r="73" spans="1:16">
      <c r="A73" s="1104" t="s">
        <v>73</v>
      </c>
      <c r="B73" s="113" t="s">
        <v>907</v>
      </c>
      <c r="C73" s="1105">
        <f>+C74+C75+C76+C77+C78+C79+C80+C81+C82</f>
        <v>360861</v>
      </c>
      <c r="D73" s="10">
        <f>+D74+D75+D76+D77+D78+D79+D80+D81+D82</f>
        <v>368781</v>
      </c>
      <c r="E73" s="10">
        <f>+E74+E75+E76+E77+E78+E79+E80+E81+E82</f>
        <v>385194</v>
      </c>
      <c r="F73" s="1317">
        <f t="shared" si="1"/>
        <v>1.0445060889796383</v>
      </c>
      <c r="G73" s="114">
        <f>+G74+G75+G76+G77+G78+G79+G80+G81+G82</f>
        <v>374131</v>
      </c>
      <c r="H73" s="115">
        <f>+H74+H75+H76+H77+H78+H79+H80+H81+H82</f>
        <v>11063</v>
      </c>
      <c r="I73" s="116">
        <f>+I74+I75+I76+I77+I78+I79+I80+I81+I82</f>
        <v>0</v>
      </c>
      <c r="K73" s="4">
        <f t="shared" si="2"/>
        <v>0</v>
      </c>
    </row>
    <row r="74" spans="1:16" s="13" customFormat="1">
      <c r="A74" s="108" t="s">
        <v>195</v>
      </c>
      <c r="B74" s="109" t="s">
        <v>906</v>
      </c>
      <c r="C74" s="457"/>
      <c r="D74" s="12"/>
      <c r="E74" s="12"/>
      <c r="F74" s="1318" t="str">
        <f t="shared" si="1"/>
        <v>-</v>
      </c>
      <c r="G74" s="686"/>
      <c r="H74" s="687"/>
      <c r="I74" s="688"/>
      <c r="K74" s="13">
        <f t="shared" ref="K74:K102" si="3">+E74-G74-H74-I74</f>
        <v>0</v>
      </c>
    </row>
    <row r="75" spans="1:16" s="13" customFormat="1">
      <c r="A75" s="108" t="s">
        <v>196</v>
      </c>
      <c r="B75" s="109" t="s">
        <v>246</v>
      </c>
      <c r="C75" s="457"/>
      <c r="D75" s="12"/>
      <c r="E75" s="12"/>
      <c r="F75" s="1318" t="str">
        <f t="shared" ref="F75:F102" si="4">IF(ISERROR(E75/D75),"-",E75/D75)</f>
        <v>-</v>
      </c>
      <c r="G75" s="686"/>
      <c r="H75" s="687"/>
      <c r="I75" s="688"/>
      <c r="K75" s="13">
        <f t="shared" si="3"/>
        <v>0</v>
      </c>
    </row>
    <row r="76" spans="1:16" s="13" customFormat="1">
      <c r="A76" s="108" t="s">
        <v>197</v>
      </c>
      <c r="B76" s="109" t="s">
        <v>247</v>
      </c>
      <c r="C76" s="457"/>
      <c r="D76" s="12">
        <v>22636</v>
      </c>
      <c r="E76" s="12">
        <v>22636</v>
      </c>
      <c r="F76" s="1318">
        <f t="shared" si="4"/>
        <v>1</v>
      </c>
      <c r="G76" s="686">
        <v>22636</v>
      </c>
      <c r="H76" s="687"/>
      <c r="I76" s="688"/>
      <c r="K76" s="13">
        <f t="shared" si="3"/>
        <v>0</v>
      </c>
    </row>
    <row r="77" spans="1:16" s="13" customFormat="1">
      <c r="A77" s="108" t="s">
        <v>198</v>
      </c>
      <c r="B77" s="109" t="s">
        <v>248</v>
      </c>
      <c r="C77" s="457"/>
      <c r="D77" s="12"/>
      <c r="E77" s="12"/>
      <c r="F77" s="1318" t="str">
        <f t="shared" si="4"/>
        <v>-</v>
      </c>
      <c r="G77" s="686"/>
      <c r="H77" s="687"/>
      <c r="I77" s="688"/>
      <c r="K77" s="13">
        <f t="shared" si="3"/>
        <v>0</v>
      </c>
    </row>
    <row r="78" spans="1:16" s="13" customFormat="1">
      <c r="A78" s="108" t="s">
        <v>199</v>
      </c>
      <c r="B78" s="109" t="s">
        <v>249</v>
      </c>
      <c r="C78" s="457"/>
      <c r="D78" s="12"/>
      <c r="E78" s="12"/>
      <c r="F78" s="1318" t="str">
        <f t="shared" si="4"/>
        <v>-</v>
      </c>
      <c r="G78" s="686"/>
      <c r="H78" s="687"/>
      <c r="I78" s="688"/>
      <c r="K78" s="13">
        <f t="shared" si="3"/>
        <v>0</v>
      </c>
    </row>
    <row r="79" spans="1:16" s="13" customFormat="1">
      <c r="A79" s="108" t="s">
        <v>200</v>
      </c>
      <c r="B79" s="109" t="s">
        <v>250</v>
      </c>
      <c r="C79" s="457">
        <f>+C109-C10+C178-C74-C75-C76-C77-C78-C80-C81-C83-C84-C85</f>
        <v>360861</v>
      </c>
      <c r="D79" s="12">
        <f>+D109-D10+D178-D74-D75-D76-D77-D78-D80-D81-D83-D84-D85</f>
        <v>346145</v>
      </c>
      <c r="E79" s="12">
        <f>369357-E94</f>
        <v>362558</v>
      </c>
      <c r="F79" s="1318">
        <f t="shared" si="4"/>
        <v>1.0474165450894857</v>
      </c>
      <c r="G79" s="686">
        <v>351495</v>
      </c>
      <c r="H79" s="687">
        <f>+H109-H10+H178-H74-H75-H76-H77-H78-H80-H81-H83-H84-H85</f>
        <v>11063</v>
      </c>
      <c r="I79" s="688">
        <f>+I109-I10+I178-I74-I75-I76-I77-I78-I80-I81-I83-I84-I85</f>
        <v>0</v>
      </c>
      <c r="K79" s="117">
        <f t="shared" si="3"/>
        <v>0</v>
      </c>
      <c r="M79" s="13">
        <v>352943</v>
      </c>
      <c r="N79" s="13">
        <f>+M79-D79-D94</f>
        <v>-1</v>
      </c>
      <c r="O79" s="13">
        <v>369357</v>
      </c>
      <c r="P79" s="13">
        <f>+O79-E79-E94</f>
        <v>0</v>
      </c>
    </row>
    <row r="80" spans="1:16" s="13" customFormat="1">
      <c r="A80" s="108" t="s">
        <v>203</v>
      </c>
      <c r="B80" s="109" t="s">
        <v>251</v>
      </c>
      <c r="C80" s="457"/>
      <c r="D80" s="12"/>
      <c r="E80" s="12"/>
      <c r="F80" s="1318" t="str">
        <f t="shared" si="4"/>
        <v>-</v>
      </c>
      <c r="G80" s="686"/>
      <c r="H80" s="687"/>
      <c r="I80" s="688"/>
      <c r="K80" s="117">
        <f t="shared" si="3"/>
        <v>0</v>
      </c>
    </row>
    <row r="81" spans="1:11" s="13" customFormat="1">
      <c r="A81" s="108" t="s">
        <v>201</v>
      </c>
      <c r="B81" s="109" t="s">
        <v>244</v>
      </c>
      <c r="C81" s="457"/>
      <c r="D81" s="12"/>
      <c r="E81" s="12"/>
      <c r="F81" s="1318" t="str">
        <f t="shared" si="4"/>
        <v>-</v>
      </c>
      <c r="G81" s="686"/>
      <c r="H81" s="687"/>
      <c r="I81" s="688"/>
      <c r="K81" s="117">
        <f t="shared" si="3"/>
        <v>0</v>
      </c>
    </row>
    <row r="82" spans="1:11" s="13" customFormat="1">
      <c r="A82" s="108" t="s">
        <v>908</v>
      </c>
      <c r="B82" s="109" t="s">
        <v>909</v>
      </c>
      <c r="C82" s="457"/>
      <c r="D82" s="12"/>
      <c r="E82" s="12"/>
      <c r="F82" s="1318" t="str">
        <f t="shared" si="4"/>
        <v>-</v>
      </c>
      <c r="G82" s="686"/>
      <c r="H82" s="687"/>
      <c r="I82" s="688"/>
      <c r="K82" s="117">
        <f t="shared" si="3"/>
        <v>0</v>
      </c>
    </row>
    <row r="83" spans="1:11">
      <c r="A83" s="1109" t="s">
        <v>74</v>
      </c>
      <c r="B83" s="1110" t="s">
        <v>242</v>
      </c>
      <c r="C83" s="456"/>
      <c r="D83" s="11"/>
      <c r="E83" s="11"/>
      <c r="F83" s="1318" t="str">
        <f t="shared" si="4"/>
        <v>-</v>
      </c>
      <c r="G83" s="925"/>
      <c r="H83" s="926"/>
      <c r="I83" s="927"/>
      <c r="K83" s="118">
        <f t="shared" si="3"/>
        <v>0</v>
      </c>
    </row>
    <row r="84" spans="1:11">
      <c r="A84" s="1111" t="s">
        <v>202</v>
      </c>
      <c r="B84" s="1112" t="s">
        <v>243</v>
      </c>
      <c r="C84" s="455"/>
      <c r="D84" s="22"/>
      <c r="E84" s="22"/>
      <c r="F84" s="1320" t="str">
        <f t="shared" si="4"/>
        <v>-</v>
      </c>
      <c r="G84" s="928"/>
      <c r="H84" s="929"/>
      <c r="I84" s="930"/>
      <c r="K84" s="118">
        <f t="shared" si="3"/>
        <v>0</v>
      </c>
    </row>
    <row r="85" spans="1:11" ht="12.75" thickBot="1">
      <c r="A85" s="1111" t="s">
        <v>910</v>
      </c>
      <c r="B85" s="1112" t="s">
        <v>911</v>
      </c>
      <c r="C85" s="455"/>
      <c r="D85" s="22"/>
      <c r="E85" s="22"/>
      <c r="F85" s="1320" t="str">
        <f t="shared" si="4"/>
        <v>-</v>
      </c>
      <c r="G85" s="928"/>
      <c r="H85" s="929"/>
      <c r="I85" s="930"/>
      <c r="K85" s="118">
        <f t="shared" si="3"/>
        <v>0</v>
      </c>
    </row>
    <row r="86" spans="1:11" s="3" customFormat="1" ht="12.75" thickBot="1">
      <c r="A86" s="1094" t="s">
        <v>45</v>
      </c>
      <c r="B86" s="1119" t="s">
        <v>304</v>
      </c>
      <c r="C86" s="1103">
        <f>+C87</f>
        <v>4000</v>
      </c>
      <c r="D86" s="28">
        <f>+D87</f>
        <v>6799</v>
      </c>
      <c r="E86" s="28">
        <f>+E87</f>
        <v>6799</v>
      </c>
      <c r="F86" s="1316">
        <f t="shared" si="4"/>
        <v>1</v>
      </c>
      <c r="G86" s="110">
        <f>+G87</f>
        <v>4005</v>
      </c>
      <c r="H86" s="111">
        <f>+H87</f>
        <v>2794</v>
      </c>
      <c r="I86" s="112">
        <f>+I87</f>
        <v>0</v>
      </c>
      <c r="K86" s="119">
        <f t="shared" si="3"/>
        <v>0</v>
      </c>
    </row>
    <row r="87" spans="1:11" s="3" customFormat="1" ht="12.75" thickBot="1">
      <c r="A87" s="1094" t="s">
        <v>44</v>
      </c>
      <c r="B87" s="1102" t="s">
        <v>914</v>
      </c>
      <c r="C87" s="1103">
        <f>+C88+C98+C99+C100</f>
        <v>4000</v>
      </c>
      <c r="D87" s="28">
        <f>+D88+D98+D99+D100</f>
        <v>6799</v>
      </c>
      <c r="E87" s="28">
        <f>+E88+E98+E99+E100</f>
        <v>6799</v>
      </c>
      <c r="F87" s="1316">
        <f t="shared" si="4"/>
        <v>1</v>
      </c>
      <c r="G87" s="110">
        <f>+G88+G98+G99+G100</f>
        <v>4005</v>
      </c>
      <c r="H87" s="111">
        <f>+H88+H98+H99+H100</f>
        <v>2794</v>
      </c>
      <c r="I87" s="112">
        <f>+I88+I98+I99+I100</f>
        <v>0</v>
      </c>
      <c r="K87" s="119">
        <f t="shared" si="3"/>
        <v>0</v>
      </c>
    </row>
    <row r="88" spans="1:11">
      <c r="A88" s="1104" t="s">
        <v>231</v>
      </c>
      <c r="B88" s="113" t="s">
        <v>966</v>
      </c>
      <c r="C88" s="1105">
        <f>+C89+C90+C91+C92+C93+C94+C95+C96+C97</f>
        <v>4000</v>
      </c>
      <c r="D88" s="10">
        <f>+D89+D90+D91+D92+D93+D94+D95+D96+D97</f>
        <v>6799</v>
      </c>
      <c r="E88" s="10">
        <f>+E89+E90+E91+E92+E93+E94+E95+E96+E97</f>
        <v>6799</v>
      </c>
      <c r="F88" s="1317">
        <f t="shared" si="4"/>
        <v>1</v>
      </c>
      <c r="G88" s="114">
        <f>+G89+G90+G91+G92+G93+G94+G95+G96+G97</f>
        <v>4005</v>
      </c>
      <c r="H88" s="115">
        <f>+H89+H90+H91+H92+H93+H94+H95+H96+H97</f>
        <v>2794</v>
      </c>
      <c r="I88" s="116">
        <f>+I89+I90+I91+I92+I93+I94+I95+I96+I97</f>
        <v>0</v>
      </c>
      <c r="K88" s="118">
        <f t="shared" si="3"/>
        <v>0</v>
      </c>
    </row>
    <row r="89" spans="1:11" s="13" customFormat="1">
      <c r="A89" s="108" t="s">
        <v>232</v>
      </c>
      <c r="B89" s="109" t="s">
        <v>906</v>
      </c>
      <c r="C89" s="457"/>
      <c r="D89" s="12"/>
      <c r="E89" s="12"/>
      <c r="F89" s="1318" t="str">
        <f t="shared" si="4"/>
        <v>-</v>
      </c>
      <c r="G89" s="686"/>
      <c r="H89" s="687"/>
      <c r="I89" s="688"/>
      <c r="K89" s="117">
        <f t="shared" si="3"/>
        <v>0</v>
      </c>
    </row>
    <row r="90" spans="1:11" s="13" customFormat="1">
      <c r="A90" s="108" t="s">
        <v>233</v>
      </c>
      <c r="B90" s="109" t="s">
        <v>246</v>
      </c>
      <c r="C90" s="457"/>
      <c r="D90" s="12"/>
      <c r="E90" s="12"/>
      <c r="F90" s="1318" t="str">
        <f t="shared" si="4"/>
        <v>-</v>
      </c>
      <c r="G90" s="686"/>
      <c r="H90" s="687"/>
      <c r="I90" s="688"/>
      <c r="K90" s="117">
        <f t="shared" si="3"/>
        <v>0</v>
      </c>
    </row>
    <row r="91" spans="1:11" s="13" customFormat="1">
      <c r="A91" s="108" t="s">
        <v>234</v>
      </c>
      <c r="B91" s="109" t="s">
        <v>247</v>
      </c>
      <c r="C91" s="457"/>
      <c r="D91" s="12"/>
      <c r="E91" s="12"/>
      <c r="F91" s="1318" t="str">
        <f t="shared" si="4"/>
        <v>-</v>
      </c>
      <c r="G91" s="686"/>
      <c r="H91" s="687"/>
      <c r="I91" s="688"/>
      <c r="K91" s="117">
        <f t="shared" si="3"/>
        <v>0</v>
      </c>
    </row>
    <row r="92" spans="1:11" s="13" customFormat="1">
      <c r="A92" s="108" t="s">
        <v>235</v>
      </c>
      <c r="B92" s="109" t="s">
        <v>248</v>
      </c>
      <c r="C92" s="457"/>
      <c r="D92" s="12"/>
      <c r="E92" s="12"/>
      <c r="F92" s="1318" t="str">
        <f t="shared" si="4"/>
        <v>-</v>
      </c>
      <c r="G92" s="686"/>
      <c r="H92" s="687"/>
      <c r="I92" s="688"/>
      <c r="K92" s="117">
        <f t="shared" si="3"/>
        <v>0</v>
      </c>
    </row>
    <row r="93" spans="1:11" s="13" customFormat="1">
      <c r="A93" s="108" t="s">
        <v>236</v>
      </c>
      <c r="B93" s="109" t="s">
        <v>249</v>
      </c>
      <c r="C93" s="457"/>
      <c r="D93" s="12"/>
      <c r="E93" s="12"/>
      <c r="F93" s="1318" t="str">
        <f t="shared" si="4"/>
        <v>-</v>
      </c>
      <c r="G93" s="686"/>
      <c r="H93" s="687"/>
      <c r="I93" s="688"/>
      <c r="K93" s="117">
        <f t="shared" si="3"/>
        <v>0</v>
      </c>
    </row>
    <row r="94" spans="1:11" s="13" customFormat="1">
      <c r="A94" s="108" t="s">
        <v>237</v>
      </c>
      <c r="B94" s="109" t="s">
        <v>250</v>
      </c>
      <c r="C94" s="457">
        <f>+C149-C50+C192-C89-C90-C91-C92-C93-C95-C96-C98-C99-C100</f>
        <v>4000</v>
      </c>
      <c r="D94" s="12">
        <f>+D149-D50+D192-D89-D90-D91-D92-D93-D95-D96-D98-D99-D100</f>
        <v>6799</v>
      </c>
      <c r="E94" s="12">
        <f>+E149-E50+E192-E89-E90-E91-E92-E93-E95-E96-E98-E99-E100</f>
        <v>6799</v>
      </c>
      <c r="F94" s="1319">
        <f t="shared" si="4"/>
        <v>1</v>
      </c>
      <c r="G94" s="686">
        <f>+G149-G50+G192-G89-G90-G91-G92-G93-G95-G96-G98-G99-G100</f>
        <v>4005</v>
      </c>
      <c r="H94" s="687">
        <f>+H149-H50+H192-H89-H90-H91-H92-H93-H95-H96-H98-H99-H100</f>
        <v>2794</v>
      </c>
      <c r="I94" s="688">
        <f>+I149-I50+I192-I89-I90-I91-I92-I93-I95-I96-I98-I99-I100</f>
        <v>0</v>
      </c>
      <c r="K94" s="117">
        <f t="shared" si="3"/>
        <v>0</v>
      </c>
    </row>
    <row r="95" spans="1:11" s="13" customFormat="1">
      <c r="A95" s="108" t="s">
        <v>238</v>
      </c>
      <c r="B95" s="109" t="s">
        <v>251</v>
      </c>
      <c r="C95" s="457"/>
      <c r="D95" s="12"/>
      <c r="E95" s="12"/>
      <c r="F95" s="1318" t="str">
        <f t="shared" si="4"/>
        <v>-</v>
      </c>
      <c r="G95" s="686"/>
      <c r="H95" s="687"/>
      <c r="I95" s="688"/>
      <c r="K95" s="13">
        <f t="shared" si="3"/>
        <v>0</v>
      </c>
    </row>
    <row r="96" spans="1:11" s="13" customFormat="1">
      <c r="A96" s="108" t="s">
        <v>239</v>
      </c>
      <c r="B96" s="109" t="s">
        <v>244</v>
      </c>
      <c r="C96" s="457"/>
      <c r="D96" s="12"/>
      <c r="E96" s="12"/>
      <c r="F96" s="1318" t="str">
        <f t="shared" si="4"/>
        <v>-</v>
      </c>
      <c r="G96" s="686"/>
      <c r="H96" s="687"/>
      <c r="I96" s="688"/>
      <c r="K96" s="13">
        <f t="shared" si="3"/>
        <v>0</v>
      </c>
    </row>
    <row r="97" spans="1:11" s="13" customFormat="1">
      <c r="A97" s="108" t="s">
        <v>913</v>
      </c>
      <c r="B97" s="109" t="s">
        <v>909</v>
      </c>
      <c r="C97" s="457"/>
      <c r="D97" s="12"/>
      <c r="E97" s="12"/>
      <c r="F97" s="1318" t="str">
        <f t="shared" si="4"/>
        <v>-</v>
      </c>
      <c r="G97" s="686"/>
      <c r="H97" s="687"/>
      <c r="I97" s="688"/>
      <c r="K97" s="13">
        <f t="shared" si="3"/>
        <v>0</v>
      </c>
    </row>
    <row r="98" spans="1:11">
      <c r="A98" s="1109" t="s">
        <v>240</v>
      </c>
      <c r="B98" s="1110" t="s">
        <v>242</v>
      </c>
      <c r="C98" s="456"/>
      <c r="D98" s="11"/>
      <c r="E98" s="11"/>
      <c r="F98" s="1318" t="str">
        <f t="shared" si="4"/>
        <v>-</v>
      </c>
      <c r="G98" s="925"/>
      <c r="H98" s="926"/>
      <c r="I98" s="927"/>
      <c r="K98" s="4">
        <f t="shared" si="3"/>
        <v>0</v>
      </c>
    </row>
    <row r="99" spans="1:11">
      <c r="A99" s="1111" t="s">
        <v>241</v>
      </c>
      <c r="B99" s="1112" t="s">
        <v>243</v>
      </c>
      <c r="C99" s="455"/>
      <c r="D99" s="22"/>
      <c r="E99" s="22"/>
      <c r="F99" s="1320" t="str">
        <f t="shared" si="4"/>
        <v>-</v>
      </c>
      <c r="G99" s="928"/>
      <c r="H99" s="929"/>
      <c r="I99" s="930"/>
      <c r="K99" s="4">
        <f t="shared" si="3"/>
        <v>0</v>
      </c>
    </row>
    <row r="100" spans="1:11" ht="12.75" thickBot="1">
      <c r="A100" s="1111" t="s">
        <v>915</v>
      </c>
      <c r="B100" s="1112" t="s">
        <v>911</v>
      </c>
      <c r="C100" s="455"/>
      <c r="D100" s="22"/>
      <c r="E100" s="22"/>
      <c r="F100" s="1320" t="str">
        <f t="shared" si="4"/>
        <v>-</v>
      </c>
      <c r="G100" s="928"/>
      <c r="H100" s="929"/>
      <c r="I100" s="930"/>
      <c r="K100" s="4">
        <f t="shared" si="3"/>
        <v>0</v>
      </c>
    </row>
    <row r="101" spans="1:11" s="3" customFormat="1" ht="12.75" thickBot="1">
      <c r="A101" s="1094" t="s">
        <v>43</v>
      </c>
      <c r="B101" s="1118" t="s">
        <v>305</v>
      </c>
      <c r="C101" s="1103">
        <f>+C71+C86</f>
        <v>364861</v>
      </c>
      <c r="D101" s="28">
        <f>+D71+D86</f>
        <v>375580</v>
      </c>
      <c r="E101" s="28">
        <f>+E71+E86</f>
        <v>391993</v>
      </c>
      <c r="F101" s="1316">
        <f t="shared" si="4"/>
        <v>1.0437004100324832</v>
      </c>
      <c r="G101" s="110">
        <f>+G71+G86</f>
        <v>378136</v>
      </c>
      <c r="H101" s="111">
        <f>+H71+H86</f>
        <v>13857</v>
      </c>
      <c r="I101" s="112">
        <f>+I71+I86</f>
        <v>0</v>
      </c>
      <c r="K101" s="3">
        <f t="shared" si="3"/>
        <v>0</v>
      </c>
    </row>
    <row r="102" spans="1:11" s="3" customFormat="1" ht="12.75" thickBot="1">
      <c r="A102" s="1120" t="s">
        <v>40</v>
      </c>
      <c r="B102" s="1121" t="s">
        <v>306</v>
      </c>
      <c r="C102" s="1122">
        <f>+C70+C101</f>
        <v>406320</v>
      </c>
      <c r="D102" s="25">
        <f>+D70+D101</f>
        <v>461617</v>
      </c>
      <c r="E102" s="25">
        <f>+E70+E101</f>
        <v>477532</v>
      </c>
      <c r="F102" s="1321">
        <f t="shared" si="4"/>
        <v>1.0344766332262461</v>
      </c>
      <c r="G102" s="1123">
        <f>+G70+G101</f>
        <v>435561</v>
      </c>
      <c r="H102" s="1124">
        <f>+H70+H101</f>
        <v>41971</v>
      </c>
      <c r="I102" s="1082">
        <f>+I70+I101</f>
        <v>0</v>
      </c>
      <c r="K102" s="3">
        <f t="shared" si="3"/>
        <v>0</v>
      </c>
    </row>
    <row r="103" spans="1:11" s="3" customFormat="1">
      <c r="A103" s="1125"/>
      <c r="B103" s="1083"/>
      <c r="C103" s="30"/>
      <c r="D103" s="30"/>
      <c r="E103" s="30"/>
      <c r="F103" s="1290"/>
      <c r="G103" s="1083"/>
      <c r="H103" s="1083"/>
      <c r="I103" s="1083"/>
    </row>
    <row r="104" spans="1:11" s="3" customFormat="1">
      <c r="A104" s="1125"/>
      <c r="B104" s="1083"/>
      <c r="C104" s="30"/>
      <c r="D104" s="30"/>
      <c r="E104" s="30"/>
      <c r="F104" s="1302"/>
      <c r="G104" s="1083"/>
      <c r="H104" s="1083"/>
      <c r="I104" s="1083"/>
    </row>
    <row r="105" spans="1:11" s="52" customFormat="1" ht="15.75">
      <c r="A105" s="1774" t="s">
        <v>80</v>
      </c>
      <c r="B105" s="1774"/>
      <c r="C105" s="1774"/>
      <c r="D105" s="1774"/>
      <c r="E105" s="1774"/>
      <c r="F105" s="1774"/>
      <c r="G105" s="1774"/>
      <c r="H105" s="1774"/>
      <c r="I105" s="1774"/>
    </row>
    <row r="106" spans="1:11" s="36" customFormat="1" ht="12.75" thickBot="1">
      <c r="A106" s="1087" t="s">
        <v>278</v>
      </c>
      <c r="B106" s="1081"/>
      <c r="F106" s="1290"/>
      <c r="G106" s="1081"/>
      <c r="H106" s="1081"/>
      <c r="I106" s="1088" t="s">
        <v>280</v>
      </c>
    </row>
    <row r="107" spans="1:11" s="3" customFormat="1" ht="48.75" thickBot="1">
      <c r="A107" s="1089" t="s">
        <v>17</v>
      </c>
      <c r="B107" s="1126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1091" t="s">
        <v>51</v>
      </c>
      <c r="H107" s="1092" t="s">
        <v>52</v>
      </c>
      <c r="I107" s="1093" t="s">
        <v>53</v>
      </c>
    </row>
    <row r="108" spans="1:11" s="3" customFormat="1" ht="12.75" thickBot="1">
      <c r="A108" s="1127" t="s">
        <v>252</v>
      </c>
      <c r="B108" s="1128" t="s">
        <v>253</v>
      </c>
      <c r="C108" s="1775" t="s">
        <v>254</v>
      </c>
      <c r="D108" s="1776"/>
      <c r="E108" s="1776"/>
      <c r="F108" s="1776" t="s">
        <v>254</v>
      </c>
      <c r="G108" s="1776"/>
      <c r="H108" s="1776"/>
      <c r="I108" s="1777"/>
    </row>
    <row r="109" spans="1:11" s="3" customFormat="1" ht="12.75" thickBot="1">
      <c r="A109" s="1094" t="s">
        <v>4</v>
      </c>
      <c r="B109" s="1118" t="s">
        <v>307</v>
      </c>
      <c r="C109" s="1103">
        <f>+C110+C114+C116+C123+C132</f>
        <v>402320</v>
      </c>
      <c r="D109" s="28">
        <f>+D110+D114+D116+D123+D132</f>
        <v>454818</v>
      </c>
      <c r="E109" s="28">
        <f>+E110+E114+E116+E123+E132</f>
        <v>447706</v>
      </c>
      <c r="F109" s="1294">
        <f t="shared" ref="F109:F172" si="5">IF(ISERROR(E109/D109),"-",E109/D109)</f>
        <v>0.98436297595961464</v>
      </c>
      <c r="G109" s="110">
        <f>+G110+G114+G116+G123+G132</f>
        <v>408529</v>
      </c>
      <c r="H109" s="111">
        <f>+H110+H114+H116+H123+H132</f>
        <v>39177</v>
      </c>
      <c r="I109" s="112">
        <f>+I110+I114+I116+I123+I132</f>
        <v>0</v>
      </c>
      <c r="K109" s="3">
        <f t="shared" ref="K109:K140" si="6">+E109-G109-H109-I109</f>
        <v>0</v>
      </c>
    </row>
    <row r="110" spans="1:11" s="3" customFormat="1" ht="12.75" thickBot="1">
      <c r="A110" s="1094" t="s">
        <v>5</v>
      </c>
      <c r="B110" s="1102" t="s">
        <v>308</v>
      </c>
      <c r="C110" s="1103">
        <f>+C112+C113</f>
        <v>288403</v>
      </c>
      <c r="D110" s="28">
        <f>+D112+D113</f>
        <v>308703</v>
      </c>
      <c r="E110" s="28">
        <f>+E112+E113</f>
        <v>308703</v>
      </c>
      <c r="F110" s="1294">
        <f t="shared" si="5"/>
        <v>1</v>
      </c>
      <c r="G110" s="110">
        <f>+G112+G113</f>
        <v>299471</v>
      </c>
      <c r="H110" s="111">
        <f>+H112+H113</f>
        <v>9232</v>
      </c>
      <c r="I110" s="112">
        <f>+I112+I113</f>
        <v>0</v>
      </c>
      <c r="K110" s="3">
        <f t="shared" si="6"/>
        <v>0</v>
      </c>
    </row>
    <row r="111" spans="1:11" s="36" customFormat="1">
      <c r="A111" s="1129" t="s">
        <v>348</v>
      </c>
      <c r="B111" s="1130" t="s">
        <v>349</v>
      </c>
      <c r="C111" s="1131"/>
      <c r="D111" s="97">
        <v>20842</v>
      </c>
      <c r="E111" s="97">
        <v>20842</v>
      </c>
      <c r="F111" s="1304">
        <f t="shared" si="5"/>
        <v>1</v>
      </c>
      <c r="G111" s="1132">
        <v>20842</v>
      </c>
      <c r="H111" s="1133"/>
      <c r="I111" s="982"/>
      <c r="K111" s="36">
        <f t="shared" si="6"/>
        <v>0</v>
      </c>
    </row>
    <row r="112" spans="1:11">
      <c r="A112" s="1104" t="s">
        <v>54</v>
      </c>
      <c r="B112" s="113" t="s">
        <v>126</v>
      </c>
      <c r="C112" s="1105">
        <v>286863</v>
      </c>
      <c r="D112" s="10">
        <v>304756</v>
      </c>
      <c r="E112" s="10">
        <v>304756</v>
      </c>
      <c r="F112" s="1295">
        <f t="shared" si="5"/>
        <v>1</v>
      </c>
      <c r="G112" s="114">
        <v>295524</v>
      </c>
      <c r="H112" s="115">
        <v>9232</v>
      </c>
      <c r="I112" s="116"/>
      <c r="K112" s="4">
        <f t="shared" si="6"/>
        <v>0</v>
      </c>
    </row>
    <row r="113" spans="1:11" ht="12.75" thickBot="1">
      <c r="A113" s="1111" t="s">
        <v>55</v>
      </c>
      <c r="B113" s="1112" t="s">
        <v>127</v>
      </c>
      <c r="C113" s="455">
        <v>1540</v>
      </c>
      <c r="D113" s="22">
        <v>3947</v>
      </c>
      <c r="E113" s="22">
        <v>3947</v>
      </c>
      <c r="F113" s="1298">
        <f t="shared" si="5"/>
        <v>1</v>
      </c>
      <c r="G113" s="928">
        <v>3947</v>
      </c>
      <c r="H113" s="929"/>
      <c r="I113" s="930"/>
      <c r="K113" s="4">
        <f t="shared" si="6"/>
        <v>0</v>
      </c>
    </row>
    <row r="114" spans="1:11" s="3" customFormat="1" ht="12.75" thickBot="1">
      <c r="A114" s="1094" t="s">
        <v>6</v>
      </c>
      <c r="B114" s="1102" t="s">
        <v>255</v>
      </c>
      <c r="C114" s="1103">
        <v>53891</v>
      </c>
      <c r="D114" s="28">
        <v>56625</v>
      </c>
      <c r="E114" s="28">
        <v>56625</v>
      </c>
      <c r="F114" s="1294">
        <f t="shared" si="5"/>
        <v>1</v>
      </c>
      <c r="G114" s="110">
        <v>55390</v>
      </c>
      <c r="H114" s="111">
        <v>1235</v>
      </c>
      <c r="I114" s="112"/>
      <c r="K114" s="3">
        <f t="shared" si="6"/>
        <v>0</v>
      </c>
    </row>
    <row r="115" spans="1:11" s="36" customFormat="1" ht="12.75" thickBot="1">
      <c r="A115" s="1129" t="s">
        <v>345</v>
      </c>
      <c r="B115" s="1130" t="s">
        <v>346</v>
      </c>
      <c r="C115" s="1131"/>
      <c r="D115" s="97">
        <v>3338</v>
      </c>
      <c r="E115" s="97">
        <v>3338</v>
      </c>
      <c r="F115" s="1304">
        <f t="shared" si="5"/>
        <v>1</v>
      </c>
      <c r="G115" s="1132">
        <v>3338</v>
      </c>
      <c r="H115" s="1133"/>
      <c r="I115" s="982"/>
      <c r="K115" s="36">
        <f t="shared" si="6"/>
        <v>0</v>
      </c>
    </row>
    <row r="116" spans="1:11" s="3" customFormat="1" ht="12.75" thickBot="1">
      <c r="A116" s="1094" t="s">
        <v>3</v>
      </c>
      <c r="B116" s="1102" t="s">
        <v>342</v>
      </c>
      <c r="C116" s="1103">
        <f>+C118+C119+C120+C121+C122</f>
        <v>60026</v>
      </c>
      <c r="D116" s="28">
        <f>+D118+D119+D120+D121+D122</f>
        <v>89026</v>
      </c>
      <c r="E116" s="28">
        <f>+E118+E119+E120+E121+E122</f>
        <v>81914</v>
      </c>
      <c r="F116" s="1294">
        <f t="shared" si="5"/>
        <v>0.92011322534989781</v>
      </c>
      <c r="G116" s="110">
        <f>+G118+G119+G120+G121+G122</f>
        <v>53204</v>
      </c>
      <c r="H116" s="111">
        <f>+H118+H119+H120+H121+H122</f>
        <v>28710</v>
      </c>
      <c r="I116" s="112">
        <f>+I118+I119+I120+I121+I122</f>
        <v>0</v>
      </c>
      <c r="K116" s="3">
        <f t="shared" si="6"/>
        <v>0</v>
      </c>
    </row>
    <row r="117" spans="1:11" s="36" customFormat="1" ht="13.5" customHeight="1">
      <c r="A117" s="1129" t="s">
        <v>340</v>
      </c>
      <c r="B117" s="1130" t="s">
        <v>347</v>
      </c>
      <c r="C117" s="1131"/>
      <c r="D117" s="97">
        <v>8309</v>
      </c>
      <c r="E117" s="97">
        <v>8309</v>
      </c>
      <c r="F117" s="1304">
        <f t="shared" si="5"/>
        <v>1</v>
      </c>
      <c r="G117" s="1132">
        <v>8309</v>
      </c>
      <c r="H117" s="1133"/>
      <c r="I117" s="982"/>
      <c r="K117" s="36">
        <f t="shared" si="6"/>
        <v>0</v>
      </c>
    </row>
    <row r="118" spans="1:11">
      <c r="A118" s="1104" t="s">
        <v>61</v>
      </c>
      <c r="B118" s="113" t="s">
        <v>128</v>
      </c>
      <c r="C118" s="1134">
        <v>17529</v>
      </c>
      <c r="D118" s="114">
        <f>30916+1-1+1</f>
        <v>30917</v>
      </c>
      <c r="E118" s="10">
        <v>28484</v>
      </c>
      <c r="F118" s="1295">
        <f t="shared" si="5"/>
        <v>0.92130543066921111</v>
      </c>
      <c r="G118" s="114">
        <v>6941</v>
      </c>
      <c r="H118" s="115">
        <v>21543</v>
      </c>
      <c r="I118" s="116"/>
      <c r="K118" s="4">
        <f t="shared" si="6"/>
        <v>0</v>
      </c>
    </row>
    <row r="119" spans="1:11">
      <c r="A119" s="1109" t="s">
        <v>62</v>
      </c>
      <c r="B119" s="1110" t="s">
        <v>129</v>
      </c>
      <c r="C119" s="1135">
        <v>5682</v>
      </c>
      <c r="D119" s="925">
        <v>4365</v>
      </c>
      <c r="E119" s="11">
        <v>4096</v>
      </c>
      <c r="F119" s="1296">
        <f t="shared" si="5"/>
        <v>0.93837342497136311</v>
      </c>
      <c r="G119" s="925">
        <v>4086</v>
      </c>
      <c r="H119" s="926">
        <v>10</v>
      </c>
      <c r="I119" s="927"/>
      <c r="K119" s="4">
        <f t="shared" si="6"/>
        <v>0</v>
      </c>
    </row>
    <row r="120" spans="1:11">
      <c r="A120" s="1109" t="s">
        <v>63</v>
      </c>
      <c r="B120" s="1110" t="s">
        <v>130</v>
      </c>
      <c r="C120" s="1135">
        <v>21288</v>
      </c>
      <c r="D120" s="925">
        <v>36148</v>
      </c>
      <c r="E120" s="11">
        <v>32850</v>
      </c>
      <c r="F120" s="1296">
        <f t="shared" si="5"/>
        <v>0.9087639703441408</v>
      </c>
      <c r="G120" s="925">
        <v>30378</v>
      </c>
      <c r="H120" s="926">
        <v>2472</v>
      </c>
      <c r="I120" s="927"/>
      <c r="K120" s="4">
        <f t="shared" si="6"/>
        <v>0</v>
      </c>
    </row>
    <row r="121" spans="1:11">
      <c r="A121" s="1109" t="s">
        <v>64</v>
      </c>
      <c r="B121" s="1110" t="s">
        <v>131</v>
      </c>
      <c r="C121" s="1135">
        <v>200</v>
      </c>
      <c r="D121" s="925">
        <v>183</v>
      </c>
      <c r="E121" s="11">
        <v>183</v>
      </c>
      <c r="F121" s="1296">
        <f t="shared" si="5"/>
        <v>1</v>
      </c>
      <c r="G121" s="925">
        <v>183</v>
      </c>
      <c r="H121" s="926"/>
      <c r="I121" s="927"/>
      <c r="K121" s="4">
        <f t="shared" si="6"/>
        <v>0</v>
      </c>
    </row>
    <row r="122" spans="1:11" ht="12.75" thickBot="1">
      <c r="A122" s="1111" t="s">
        <v>65</v>
      </c>
      <c r="B122" s="1112" t="s">
        <v>132</v>
      </c>
      <c r="C122" s="1136">
        <v>15327</v>
      </c>
      <c r="D122" s="1137">
        <v>17413</v>
      </c>
      <c r="E122" s="17">
        <v>16301</v>
      </c>
      <c r="F122" s="1298">
        <f t="shared" si="5"/>
        <v>0.93613966576695573</v>
      </c>
      <c r="G122" s="928">
        <v>11616</v>
      </c>
      <c r="H122" s="929">
        <v>4685</v>
      </c>
      <c r="I122" s="930"/>
      <c r="K122" s="4">
        <f t="shared" si="6"/>
        <v>0</v>
      </c>
    </row>
    <row r="123" spans="1:11" s="3" customFormat="1" ht="12.75" thickBot="1">
      <c r="A123" s="1094" t="s">
        <v>16</v>
      </c>
      <c r="B123" s="1102" t="s">
        <v>309</v>
      </c>
      <c r="C123" s="1103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1294" t="str">
        <f t="shared" si="5"/>
        <v>-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6"/>
        <v>0</v>
      </c>
    </row>
    <row r="124" spans="1:11">
      <c r="A124" s="1104" t="s">
        <v>226</v>
      </c>
      <c r="B124" s="113" t="s">
        <v>133</v>
      </c>
      <c r="C124" s="1105"/>
      <c r="D124" s="10"/>
      <c r="E124" s="10"/>
      <c r="F124" s="1295" t="str">
        <f t="shared" si="5"/>
        <v>-</v>
      </c>
      <c r="G124" s="114"/>
      <c r="H124" s="115"/>
      <c r="I124" s="116"/>
      <c r="K124" s="4">
        <f t="shared" si="6"/>
        <v>0</v>
      </c>
    </row>
    <row r="125" spans="1:11">
      <c r="A125" s="1109" t="s">
        <v>227</v>
      </c>
      <c r="B125" s="1110" t="s">
        <v>134</v>
      </c>
      <c r="C125" s="456"/>
      <c r="D125" s="11"/>
      <c r="E125" s="11"/>
      <c r="F125" s="1296" t="str">
        <f t="shared" si="5"/>
        <v>-</v>
      </c>
      <c r="G125" s="925"/>
      <c r="H125" s="926"/>
      <c r="I125" s="927"/>
      <c r="K125" s="4">
        <f t="shared" si="6"/>
        <v>0</v>
      </c>
    </row>
    <row r="126" spans="1:11">
      <c r="A126" s="1109" t="s">
        <v>228</v>
      </c>
      <c r="B126" s="1110" t="s">
        <v>135</v>
      </c>
      <c r="C126" s="456"/>
      <c r="D126" s="11"/>
      <c r="E126" s="11"/>
      <c r="F126" s="1296" t="str">
        <f t="shared" si="5"/>
        <v>-</v>
      </c>
      <c r="G126" s="925"/>
      <c r="H126" s="926"/>
      <c r="I126" s="927"/>
      <c r="K126" s="4">
        <f t="shared" si="6"/>
        <v>0</v>
      </c>
    </row>
    <row r="127" spans="1:11">
      <c r="A127" s="1109" t="s">
        <v>256</v>
      </c>
      <c r="B127" s="1110" t="s">
        <v>136</v>
      </c>
      <c r="C127" s="456"/>
      <c r="D127" s="11"/>
      <c r="E127" s="11"/>
      <c r="F127" s="1296" t="str">
        <f t="shared" si="5"/>
        <v>-</v>
      </c>
      <c r="G127" s="925"/>
      <c r="H127" s="926"/>
      <c r="I127" s="927"/>
      <c r="K127" s="4">
        <f t="shared" si="6"/>
        <v>0</v>
      </c>
    </row>
    <row r="128" spans="1:11">
      <c r="A128" s="1109" t="s">
        <v>257</v>
      </c>
      <c r="B128" s="1110" t="s">
        <v>137</v>
      </c>
      <c r="C128" s="456"/>
      <c r="D128" s="11"/>
      <c r="E128" s="11"/>
      <c r="F128" s="1296" t="str">
        <f t="shared" si="5"/>
        <v>-</v>
      </c>
      <c r="G128" s="925"/>
      <c r="H128" s="926"/>
      <c r="I128" s="927"/>
      <c r="K128" s="4">
        <f t="shared" si="6"/>
        <v>0</v>
      </c>
    </row>
    <row r="129" spans="1:11">
      <c r="A129" s="1109" t="s">
        <v>258</v>
      </c>
      <c r="B129" s="1110" t="s">
        <v>138</v>
      </c>
      <c r="C129" s="456"/>
      <c r="D129" s="11"/>
      <c r="E129" s="11"/>
      <c r="F129" s="1296" t="str">
        <f t="shared" si="5"/>
        <v>-</v>
      </c>
      <c r="G129" s="925"/>
      <c r="H129" s="926"/>
      <c r="I129" s="927"/>
      <c r="K129" s="4">
        <f t="shared" si="6"/>
        <v>0</v>
      </c>
    </row>
    <row r="130" spans="1:11">
      <c r="A130" s="1109" t="s">
        <v>259</v>
      </c>
      <c r="B130" s="1110" t="s">
        <v>139</v>
      </c>
      <c r="C130" s="456"/>
      <c r="D130" s="11"/>
      <c r="E130" s="11"/>
      <c r="F130" s="1296" t="str">
        <f t="shared" si="5"/>
        <v>-</v>
      </c>
      <c r="G130" s="925"/>
      <c r="H130" s="926"/>
      <c r="I130" s="927"/>
      <c r="K130" s="4">
        <f t="shared" si="6"/>
        <v>0</v>
      </c>
    </row>
    <row r="131" spans="1:11" ht="12.75" thickBot="1">
      <c r="A131" s="1111" t="s">
        <v>260</v>
      </c>
      <c r="B131" s="1112" t="s">
        <v>140</v>
      </c>
      <c r="C131" s="455"/>
      <c r="D131" s="22"/>
      <c r="E131" s="22"/>
      <c r="F131" s="1298" t="str">
        <f t="shared" si="5"/>
        <v>-</v>
      </c>
      <c r="G131" s="928"/>
      <c r="H131" s="929"/>
      <c r="I131" s="930"/>
      <c r="K131" s="4">
        <f t="shared" si="6"/>
        <v>0</v>
      </c>
    </row>
    <row r="132" spans="1:11" s="3" customFormat="1" ht="12.75" thickBot="1">
      <c r="A132" s="1094" t="s">
        <v>15</v>
      </c>
      <c r="B132" s="1102" t="s">
        <v>919</v>
      </c>
      <c r="C132" s="1103">
        <f>+C133+C134+C135+C136+C137+C138+C140+C141+C142+C143+C144+C145+C146</f>
        <v>0</v>
      </c>
      <c r="D132" s="28">
        <f>+D133+D134+D135+D136+D137+D138+D140+D141+D142+D143+D144+D145+D146</f>
        <v>464</v>
      </c>
      <c r="E132" s="28">
        <f>+E133+E134+E135+E136+E137+E138+E140+E141+E142+E143+E144+E145+E146</f>
        <v>464</v>
      </c>
      <c r="F132" s="1294">
        <f t="shared" si="5"/>
        <v>1</v>
      </c>
      <c r="G132" s="110">
        <f>+G133+G134+G135+G136+G137+G138+G140+G141+G142+G143+G144+G145+G146</f>
        <v>464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6"/>
        <v>0</v>
      </c>
    </row>
    <row r="133" spans="1:11">
      <c r="A133" s="1104" t="s">
        <v>87</v>
      </c>
      <c r="B133" s="113" t="s">
        <v>141</v>
      </c>
      <c r="C133" s="1105"/>
      <c r="D133" s="10"/>
      <c r="E133" s="10"/>
      <c r="F133" s="1295" t="str">
        <f t="shared" si="5"/>
        <v>-</v>
      </c>
      <c r="G133" s="114"/>
      <c r="H133" s="115"/>
      <c r="I133" s="116"/>
      <c r="K133" s="4">
        <f t="shared" si="6"/>
        <v>0</v>
      </c>
    </row>
    <row r="134" spans="1:11">
      <c r="A134" s="1109" t="s">
        <v>88</v>
      </c>
      <c r="B134" s="1110" t="s">
        <v>142</v>
      </c>
      <c r="C134" s="456"/>
      <c r="D134" s="11">
        <f>465-1</f>
        <v>464</v>
      </c>
      <c r="E134" s="11">
        <f>465-1</f>
        <v>464</v>
      </c>
      <c r="F134" s="1296">
        <f t="shared" si="5"/>
        <v>1</v>
      </c>
      <c r="G134" s="925">
        <v>464</v>
      </c>
      <c r="H134" s="926"/>
      <c r="I134" s="927"/>
      <c r="K134" s="4">
        <f t="shared" si="6"/>
        <v>0</v>
      </c>
    </row>
    <row r="135" spans="1:11">
      <c r="A135" s="1109" t="s">
        <v>181</v>
      </c>
      <c r="B135" s="1110" t="s">
        <v>143</v>
      </c>
      <c r="C135" s="456"/>
      <c r="D135" s="11"/>
      <c r="E135" s="11"/>
      <c r="F135" s="1296" t="str">
        <f t="shared" si="5"/>
        <v>-</v>
      </c>
      <c r="G135" s="925"/>
      <c r="H135" s="926"/>
      <c r="I135" s="927"/>
      <c r="K135" s="4">
        <f t="shared" si="6"/>
        <v>0</v>
      </c>
    </row>
    <row r="136" spans="1:11">
      <c r="A136" s="1109" t="s">
        <v>182</v>
      </c>
      <c r="B136" s="1110" t="s">
        <v>144</v>
      </c>
      <c r="C136" s="456"/>
      <c r="D136" s="11"/>
      <c r="E136" s="11"/>
      <c r="F136" s="1296" t="str">
        <f t="shared" si="5"/>
        <v>-</v>
      </c>
      <c r="G136" s="925"/>
      <c r="H136" s="926"/>
      <c r="I136" s="927"/>
      <c r="K136" s="4">
        <f t="shared" si="6"/>
        <v>0</v>
      </c>
    </row>
    <row r="137" spans="1:11">
      <c r="A137" s="1109" t="s">
        <v>183</v>
      </c>
      <c r="B137" s="1110" t="s">
        <v>145</v>
      </c>
      <c r="C137" s="456"/>
      <c r="D137" s="11"/>
      <c r="E137" s="11"/>
      <c r="F137" s="1296" t="str">
        <f t="shared" si="5"/>
        <v>-</v>
      </c>
      <c r="G137" s="925"/>
      <c r="H137" s="926"/>
      <c r="I137" s="927"/>
      <c r="K137" s="4">
        <f t="shared" si="6"/>
        <v>0</v>
      </c>
    </row>
    <row r="138" spans="1:11">
      <c r="A138" s="1109" t="s">
        <v>261</v>
      </c>
      <c r="B138" s="1110" t="s">
        <v>146</v>
      </c>
      <c r="C138" s="456"/>
      <c r="D138" s="11"/>
      <c r="E138" s="11"/>
      <c r="F138" s="1296" t="str">
        <f t="shared" si="5"/>
        <v>-</v>
      </c>
      <c r="G138" s="925"/>
      <c r="H138" s="926"/>
      <c r="I138" s="927"/>
      <c r="K138" s="4">
        <f t="shared" si="6"/>
        <v>0</v>
      </c>
    </row>
    <row r="139" spans="1:11" s="13" customFormat="1">
      <c r="A139" s="1113" t="s">
        <v>335</v>
      </c>
      <c r="B139" s="1114" t="s">
        <v>925</v>
      </c>
      <c r="C139" s="1115"/>
      <c r="D139" s="43"/>
      <c r="E139" s="43"/>
      <c r="F139" s="1298" t="str">
        <f t="shared" si="5"/>
        <v>-</v>
      </c>
      <c r="G139" s="1116"/>
      <c r="H139" s="1117"/>
      <c r="I139" s="978"/>
      <c r="K139" s="13">
        <f t="shared" si="6"/>
        <v>0</v>
      </c>
    </row>
    <row r="140" spans="1:11">
      <c r="A140" s="1109" t="s">
        <v>262</v>
      </c>
      <c r="B140" s="1110" t="s">
        <v>147</v>
      </c>
      <c r="C140" s="456"/>
      <c r="D140" s="11"/>
      <c r="E140" s="11"/>
      <c r="F140" s="1296" t="str">
        <f t="shared" si="5"/>
        <v>-</v>
      </c>
      <c r="G140" s="925"/>
      <c r="H140" s="926"/>
      <c r="I140" s="927"/>
      <c r="K140" s="4">
        <f t="shared" si="6"/>
        <v>0</v>
      </c>
    </row>
    <row r="141" spans="1:11">
      <c r="A141" s="1109" t="s">
        <v>263</v>
      </c>
      <c r="B141" s="1110" t="s">
        <v>148</v>
      </c>
      <c r="C141" s="456"/>
      <c r="D141" s="11"/>
      <c r="E141" s="11"/>
      <c r="F141" s="1296" t="str">
        <f t="shared" si="5"/>
        <v>-</v>
      </c>
      <c r="G141" s="925"/>
      <c r="H141" s="926"/>
      <c r="I141" s="927"/>
      <c r="K141" s="4">
        <f t="shared" ref="K141:K172" si="7">+E141-G141-H141-I141</f>
        <v>0</v>
      </c>
    </row>
    <row r="142" spans="1:11">
      <c r="A142" s="1109" t="s">
        <v>264</v>
      </c>
      <c r="B142" s="1110" t="s">
        <v>149</v>
      </c>
      <c r="C142" s="456"/>
      <c r="D142" s="11"/>
      <c r="E142" s="11"/>
      <c r="F142" s="1296" t="str">
        <f t="shared" si="5"/>
        <v>-</v>
      </c>
      <c r="G142" s="925"/>
      <c r="H142" s="926"/>
      <c r="I142" s="927"/>
      <c r="K142" s="4">
        <f t="shared" si="7"/>
        <v>0</v>
      </c>
    </row>
    <row r="143" spans="1:11">
      <c r="A143" s="1109" t="s">
        <v>265</v>
      </c>
      <c r="B143" s="1110" t="s">
        <v>150</v>
      </c>
      <c r="C143" s="456"/>
      <c r="D143" s="11"/>
      <c r="E143" s="11"/>
      <c r="F143" s="1296" t="str">
        <f t="shared" si="5"/>
        <v>-</v>
      </c>
      <c r="G143" s="925"/>
      <c r="H143" s="926"/>
      <c r="I143" s="927"/>
      <c r="K143" s="4">
        <f t="shared" si="7"/>
        <v>0</v>
      </c>
    </row>
    <row r="144" spans="1:11">
      <c r="A144" s="1109" t="s">
        <v>266</v>
      </c>
      <c r="B144" s="1110" t="s">
        <v>920</v>
      </c>
      <c r="C144" s="456"/>
      <c r="D144" s="11"/>
      <c r="E144" s="11"/>
      <c r="F144" s="1296" t="str">
        <f t="shared" si="5"/>
        <v>-</v>
      </c>
      <c r="G144" s="925"/>
      <c r="H144" s="926"/>
      <c r="I144" s="927"/>
      <c r="K144" s="4">
        <f t="shared" si="7"/>
        <v>0</v>
      </c>
    </row>
    <row r="145" spans="1:11">
      <c r="A145" s="1109" t="s">
        <v>267</v>
      </c>
      <c r="B145" s="1110" t="s">
        <v>921</v>
      </c>
      <c r="C145" s="456"/>
      <c r="D145" s="11"/>
      <c r="E145" s="11"/>
      <c r="F145" s="1296" t="str">
        <f t="shared" si="5"/>
        <v>-</v>
      </c>
      <c r="G145" s="925"/>
      <c r="H145" s="926"/>
      <c r="I145" s="927"/>
      <c r="K145" s="4">
        <f t="shared" si="7"/>
        <v>0</v>
      </c>
    </row>
    <row r="146" spans="1:11">
      <c r="A146" s="1111" t="s">
        <v>916</v>
      </c>
      <c r="B146" s="1112" t="s">
        <v>922</v>
      </c>
      <c r="C146" s="455">
        <f>+C147+C148</f>
        <v>0</v>
      </c>
      <c r="D146" s="22">
        <f>+D147+D148</f>
        <v>0</v>
      </c>
      <c r="E146" s="22">
        <f>+E147+E148</f>
        <v>0</v>
      </c>
      <c r="F146" s="1298" t="str">
        <f t="shared" si="5"/>
        <v>-</v>
      </c>
      <c r="G146" s="928">
        <f>+G147+G148</f>
        <v>0</v>
      </c>
      <c r="H146" s="929">
        <f>+H147+H148</f>
        <v>0</v>
      </c>
      <c r="I146" s="930">
        <f>+I147+I148</f>
        <v>0</v>
      </c>
      <c r="K146" s="4">
        <f t="shared" si="7"/>
        <v>0</v>
      </c>
    </row>
    <row r="147" spans="1:11" s="13" customFormat="1">
      <c r="A147" s="1113" t="s">
        <v>917</v>
      </c>
      <c r="B147" s="1138" t="s">
        <v>923</v>
      </c>
      <c r="C147" s="1115"/>
      <c r="D147" s="43"/>
      <c r="E147" s="43"/>
      <c r="F147" s="1298" t="str">
        <f t="shared" si="5"/>
        <v>-</v>
      </c>
      <c r="G147" s="1116"/>
      <c r="H147" s="1117"/>
      <c r="I147" s="978"/>
      <c r="K147" s="13">
        <f t="shared" si="7"/>
        <v>0</v>
      </c>
    </row>
    <row r="148" spans="1:11" s="13" customFormat="1" ht="12.75" thickBot="1">
      <c r="A148" s="1113" t="s">
        <v>918</v>
      </c>
      <c r="B148" s="1138" t="s">
        <v>924</v>
      </c>
      <c r="C148" s="1115"/>
      <c r="D148" s="43"/>
      <c r="E148" s="43"/>
      <c r="F148" s="1298" t="str">
        <f t="shared" si="5"/>
        <v>-</v>
      </c>
      <c r="G148" s="1116"/>
      <c r="H148" s="1117"/>
      <c r="I148" s="978"/>
      <c r="K148" s="13">
        <f t="shared" si="7"/>
        <v>0</v>
      </c>
    </row>
    <row r="149" spans="1:11" s="3" customFormat="1" ht="12.75" thickBot="1">
      <c r="A149" s="1094" t="s">
        <v>14</v>
      </c>
      <c r="B149" s="1118" t="s">
        <v>310</v>
      </c>
      <c r="C149" s="1103">
        <f>+C150+C159+C165</f>
        <v>4000</v>
      </c>
      <c r="D149" s="28">
        <f>+D150+D159+D165</f>
        <v>6799</v>
      </c>
      <c r="E149" s="28">
        <f>+E150+E159+E165</f>
        <v>6799</v>
      </c>
      <c r="F149" s="1294">
        <f t="shared" si="5"/>
        <v>1</v>
      </c>
      <c r="G149" s="110">
        <f>+G150+G159+G165</f>
        <v>4005</v>
      </c>
      <c r="H149" s="111">
        <f>+H150+H159+H165</f>
        <v>2794</v>
      </c>
      <c r="I149" s="112">
        <f>+I150+I159+I165</f>
        <v>0</v>
      </c>
      <c r="K149" s="3">
        <f t="shared" si="7"/>
        <v>0</v>
      </c>
    </row>
    <row r="150" spans="1:11" s="3" customFormat="1" ht="12.75" thickBot="1">
      <c r="A150" s="1094" t="s">
        <v>13</v>
      </c>
      <c r="B150" s="1102" t="s">
        <v>311</v>
      </c>
      <c r="C150" s="1103">
        <f>+C152+C153+C154+C155+C156+C157+C158</f>
        <v>4000</v>
      </c>
      <c r="D150" s="28">
        <f>+D152+D153+D154+D155+D156+D157+D158</f>
        <v>6799</v>
      </c>
      <c r="E150" s="28">
        <f>+E152+E153+E154+E155+E156+E157+E158</f>
        <v>6799</v>
      </c>
      <c r="F150" s="1294">
        <f t="shared" si="5"/>
        <v>1</v>
      </c>
      <c r="G150" s="110">
        <f>+G152+G153+G154+G155+G156+G157+G158</f>
        <v>4005</v>
      </c>
      <c r="H150" s="111">
        <f>+H152+H153+H154+H155+H156+H157+H158</f>
        <v>2794</v>
      </c>
      <c r="I150" s="112">
        <f>+I152+I153+I154+I155+I156+I157+I158</f>
        <v>0</v>
      </c>
      <c r="K150" s="3">
        <f t="shared" si="7"/>
        <v>0</v>
      </c>
    </row>
    <row r="151" spans="1:11" s="36" customFormat="1">
      <c r="A151" s="1129" t="s">
        <v>926</v>
      </c>
      <c r="B151" s="1130" t="s">
        <v>341</v>
      </c>
      <c r="C151" s="1131"/>
      <c r="D151" s="97"/>
      <c r="E151" s="97"/>
      <c r="F151" s="1304" t="str">
        <f t="shared" si="5"/>
        <v>-</v>
      </c>
      <c r="G151" s="1132"/>
      <c r="H151" s="1133"/>
      <c r="I151" s="982"/>
      <c r="K151" s="36">
        <f t="shared" si="7"/>
        <v>0</v>
      </c>
    </row>
    <row r="152" spans="1:11">
      <c r="A152" s="1104" t="s">
        <v>66</v>
      </c>
      <c r="B152" s="113" t="s">
        <v>151</v>
      </c>
      <c r="C152" s="1105"/>
      <c r="D152" s="10">
        <v>1043</v>
      </c>
      <c r="E152" s="10">
        <v>1043</v>
      </c>
      <c r="F152" s="1295">
        <f t="shared" si="5"/>
        <v>1</v>
      </c>
      <c r="G152" s="114">
        <v>1043</v>
      </c>
      <c r="H152" s="115"/>
      <c r="I152" s="116"/>
      <c r="K152" s="4">
        <f t="shared" si="7"/>
        <v>0</v>
      </c>
    </row>
    <row r="153" spans="1:11">
      <c r="A153" s="1109" t="s">
        <v>67</v>
      </c>
      <c r="B153" s="1110" t="s">
        <v>152</v>
      </c>
      <c r="C153" s="456"/>
      <c r="D153" s="11"/>
      <c r="E153" s="11"/>
      <c r="F153" s="1296" t="str">
        <f t="shared" si="5"/>
        <v>-</v>
      </c>
      <c r="G153" s="925"/>
      <c r="H153" s="926"/>
      <c r="I153" s="927"/>
      <c r="K153" s="4">
        <f t="shared" si="7"/>
        <v>0</v>
      </c>
    </row>
    <row r="154" spans="1:11">
      <c r="A154" s="1109" t="s">
        <v>68</v>
      </c>
      <c r="B154" s="1110" t="s">
        <v>153</v>
      </c>
      <c r="C154" s="456">
        <v>3150</v>
      </c>
      <c r="D154" s="11">
        <v>809</v>
      </c>
      <c r="E154" s="11">
        <v>809</v>
      </c>
      <c r="F154" s="1296">
        <f t="shared" si="5"/>
        <v>1</v>
      </c>
      <c r="G154" s="925">
        <v>809</v>
      </c>
      <c r="H154" s="926"/>
      <c r="I154" s="927"/>
      <c r="K154" s="4">
        <f t="shared" si="7"/>
        <v>0</v>
      </c>
    </row>
    <row r="155" spans="1:11">
      <c r="A155" s="1109" t="s">
        <v>229</v>
      </c>
      <c r="B155" s="1110" t="s">
        <v>154</v>
      </c>
      <c r="C155" s="456"/>
      <c r="D155" s="11">
        <v>3501</v>
      </c>
      <c r="E155" s="11">
        <v>3501</v>
      </c>
      <c r="F155" s="1296">
        <f t="shared" si="5"/>
        <v>1</v>
      </c>
      <c r="G155" s="925">
        <v>1301</v>
      </c>
      <c r="H155" s="926">
        <v>2200</v>
      </c>
      <c r="I155" s="927"/>
      <c r="K155" s="4">
        <f t="shared" si="7"/>
        <v>0</v>
      </c>
    </row>
    <row r="156" spans="1:11">
      <c r="A156" s="1109" t="s">
        <v>230</v>
      </c>
      <c r="B156" s="1110" t="s">
        <v>155</v>
      </c>
      <c r="C156" s="456"/>
      <c r="D156" s="11"/>
      <c r="E156" s="11"/>
      <c r="F156" s="1296" t="str">
        <f t="shared" si="5"/>
        <v>-</v>
      </c>
      <c r="G156" s="925"/>
      <c r="H156" s="926"/>
      <c r="I156" s="927"/>
      <c r="K156" s="4">
        <f t="shared" si="7"/>
        <v>0</v>
      </c>
    </row>
    <row r="157" spans="1:11">
      <c r="A157" s="1109" t="s">
        <v>268</v>
      </c>
      <c r="B157" s="1110" t="s">
        <v>156</v>
      </c>
      <c r="C157" s="456"/>
      <c r="D157" s="11"/>
      <c r="E157" s="11"/>
      <c r="F157" s="1296" t="str">
        <f t="shared" si="5"/>
        <v>-</v>
      </c>
      <c r="G157" s="925"/>
      <c r="H157" s="926"/>
      <c r="I157" s="927"/>
      <c r="K157" s="4">
        <f t="shared" si="7"/>
        <v>0</v>
      </c>
    </row>
    <row r="158" spans="1:11" ht="12.75" thickBot="1">
      <c r="A158" s="1111" t="s">
        <v>269</v>
      </c>
      <c r="B158" s="1112" t="s">
        <v>157</v>
      </c>
      <c r="C158" s="455">
        <v>850</v>
      </c>
      <c r="D158" s="22">
        <f>1445+1</f>
        <v>1446</v>
      </c>
      <c r="E158" s="22">
        <f>1445+1</f>
        <v>1446</v>
      </c>
      <c r="F158" s="1298">
        <f t="shared" si="5"/>
        <v>1</v>
      </c>
      <c r="G158" s="928">
        <v>852</v>
      </c>
      <c r="H158" s="929">
        <v>594</v>
      </c>
      <c r="I158" s="930"/>
      <c r="K158" s="4">
        <f t="shared" si="7"/>
        <v>0</v>
      </c>
    </row>
    <row r="159" spans="1:11" s="3" customFormat="1" ht="12.75" thickBot="1">
      <c r="A159" s="1094" t="s">
        <v>12</v>
      </c>
      <c r="B159" s="1102" t="s">
        <v>312</v>
      </c>
      <c r="C159" s="1103">
        <f>+C161+C162+C163+C164</f>
        <v>0</v>
      </c>
      <c r="D159" s="28">
        <f>+D161+D162+D163+D164</f>
        <v>0</v>
      </c>
      <c r="E159" s="28">
        <f>+E161+E162+E163+E164</f>
        <v>0</v>
      </c>
      <c r="F159" s="1294" t="str">
        <f t="shared" si="5"/>
        <v>-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7"/>
        <v>0</v>
      </c>
    </row>
    <row r="160" spans="1:11" s="36" customFormat="1">
      <c r="A160" s="1129" t="s">
        <v>343</v>
      </c>
      <c r="B160" s="1130" t="s">
        <v>344</v>
      </c>
      <c r="C160" s="1131"/>
      <c r="D160" s="97"/>
      <c r="E160" s="97"/>
      <c r="F160" s="1304" t="str">
        <f t="shared" si="5"/>
        <v>-</v>
      </c>
      <c r="G160" s="1132"/>
      <c r="H160" s="1133"/>
      <c r="I160" s="982"/>
      <c r="K160" s="36">
        <f t="shared" si="7"/>
        <v>0</v>
      </c>
    </row>
    <row r="161" spans="1:11">
      <c r="A161" s="1104" t="s">
        <v>69</v>
      </c>
      <c r="B161" s="113" t="s">
        <v>158</v>
      </c>
      <c r="C161" s="1105"/>
      <c r="D161" s="10"/>
      <c r="E161" s="10"/>
      <c r="F161" s="1295" t="str">
        <f t="shared" si="5"/>
        <v>-</v>
      </c>
      <c r="G161" s="114"/>
      <c r="H161" s="115"/>
      <c r="I161" s="116"/>
      <c r="K161" s="4">
        <f t="shared" si="7"/>
        <v>0</v>
      </c>
    </row>
    <row r="162" spans="1:11">
      <c r="A162" s="1109" t="s">
        <v>70</v>
      </c>
      <c r="B162" s="1110" t="s">
        <v>159</v>
      </c>
      <c r="C162" s="456"/>
      <c r="D162" s="11"/>
      <c r="E162" s="11"/>
      <c r="F162" s="1296" t="str">
        <f t="shared" si="5"/>
        <v>-</v>
      </c>
      <c r="G162" s="925"/>
      <c r="H162" s="926"/>
      <c r="I162" s="927"/>
      <c r="K162" s="4">
        <f t="shared" si="7"/>
        <v>0</v>
      </c>
    </row>
    <row r="163" spans="1:11">
      <c r="A163" s="1109" t="s">
        <v>71</v>
      </c>
      <c r="B163" s="1110" t="s">
        <v>160</v>
      </c>
      <c r="C163" s="456"/>
      <c r="D163" s="11"/>
      <c r="E163" s="11"/>
      <c r="F163" s="1296" t="str">
        <f t="shared" si="5"/>
        <v>-</v>
      </c>
      <c r="G163" s="925"/>
      <c r="H163" s="926"/>
      <c r="I163" s="927"/>
      <c r="K163" s="4">
        <f t="shared" si="7"/>
        <v>0</v>
      </c>
    </row>
    <row r="164" spans="1:11" ht="12.75" thickBot="1">
      <c r="A164" s="1111" t="s">
        <v>72</v>
      </c>
      <c r="B164" s="1112" t="s">
        <v>161</v>
      </c>
      <c r="C164" s="455"/>
      <c r="D164" s="22"/>
      <c r="E164" s="22"/>
      <c r="F164" s="1298" t="str">
        <f t="shared" si="5"/>
        <v>-</v>
      </c>
      <c r="G164" s="928"/>
      <c r="H164" s="929"/>
      <c r="I164" s="930"/>
      <c r="K164" s="4">
        <f t="shared" si="7"/>
        <v>0</v>
      </c>
    </row>
    <row r="165" spans="1:11" s="3" customFormat="1" ht="12.75" thickBot="1">
      <c r="A165" s="1094" t="s">
        <v>11</v>
      </c>
      <c r="B165" s="1102" t="s">
        <v>928</v>
      </c>
      <c r="C165" s="1103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1294" t="str">
        <f t="shared" si="5"/>
        <v>-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7"/>
        <v>0</v>
      </c>
    </row>
    <row r="166" spans="1:11">
      <c r="A166" s="1104" t="s">
        <v>270</v>
      </c>
      <c r="B166" s="113" t="s">
        <v>162</v>
      </c>
      <c r="C166" s="1105"/>
      <c r="D166" s="10"/>
      <c r="E166" s="10"/>
      <c r="F166" s="1295" t="str">
        <f t="shared" si="5"/>
        <v>-</v>
      </c>
      <c r="G166" s="114"/>
      <c r="H166" s="115"/>
      <c r="I166" s="116"/>
      <c r="K166" s="4">
        <f t="shared" si="7"/>
        <v>0</v>
      </c>
    </row>
    <row r="167" spans="1:11">
      <c r="A167" s="1109" t="s">
        <v>271</v>
      </c>
      <c r="B167" s="1110" t="s">
        <v>163</v>
      </c>
      <c r="C167" s="456"/>
      <c r="D167" s="11"/>
      <c r="E167" s="11"/>
      <c r="F167" s="1296" t="str">
        <f t="shared" si="5"/>
        <v>-</v>
      </c>
      <c r="G167" s="925"/>
      <c r="H167" s="926"/>
      <c r="I167" s="927"/>
      <c r="K167" s="4">
        <f t="shared" si="7"/>
        <v>0</v>
      </c>
    </row>
    <row r="168" spans="1:11">
      <c r="A168" s="1109" t="s">
        <v>272</v>
      </c>
      <c r="B168" s="1110" t="s">
        <v>164</v>
      </c>
      <c r="C168" s="456"/>
      <c r="D168" s="11"/>
      <c r="E168" s="11"/>
      <c r="F168" s="1296" t="str">
        <f t="shared" si="5"/>
        <v>-</v>
      </c>
      <c r="G168" s="925"/>
      <c r="H168" s="926"/>
      <c r="I168" s="927"/>
      <c r="K168" s="4">
        <f t="shared" si="7"/>
        <v>0</v>
      </c>
    </row>
    <row r="169" spans="1:11">
      <c r="A169" s="1109" t="s">
        <v>273</v>
      </c>
      <c r="B169" s="1110" t="s">
        <v>165</v>
      </c>
      <c r="C169" s="456"/>
      <c r="D169" s="11"/>
      <c r="E169" s="11"/>
      <c r="F169" s="1296" t="str">
        <f t="shared" si="5"/>
        <v>-</v>
      </c>
      <c r="G169" s="925"/>
      <c r="H169" s="926"/>
      <c r="I169" s="927"/>
      <c r="K169" s="4">
        <f t="shared" si="7"/>
        <v>0</v>
      </c>
    </row>
    <row r="170" spans="1:11" s="13" customFormat="1">
      <c r="A170" s="1113" t="s">
        <v>338</v>
      </c>
      <c r="B170" s="1114" t="s">
        <v>339</v>
      </c>
      <c r="C170" s="1115"/>
      <c r="D170" s="43"/>
      <c r="E170" s="43"/>
      <c r="F170" s="1298" t="str">
        <f t="shared" si="5"/>
        <v>-</v>
      </c>
      <c r="G170" s="1116"/>
      <c r="H170" s="1117"/>
      <c r="I170" s="978"/>
      <c r="K170" s="13">
        <f t="shared" si="7"/>
        <v>0</v>
      </c>
    </row>
    <row r="171" spans="1:11">
      <c r="A171" s="1109" t="s">
        <v>274</v>
      </c>
      <c r="B171" s="1110" t="s">
        <v>166</v>
      </c>
      <c r="C171" s="456"/>
      <c r="D171" s="11"/>
      <c r="E171" s="11"/>
      <c r="F171" s="1296" t="str">
        <f t="shared" si="5"/>
        <v>-</v>
      </c>
      <c r="G171" s="925"/>
      <c r="H171" s="926"/>
      <c r="I171" s="927"/>
      <c r="K171" s="4">
        <f t="shared" si="7"/>
        <v>0</v>
      </c>
    </row>
    <row r="172" spans="1:11">
      <c r="A172" s="1109" t="s">
        <v>275</v>
      </c>
      <c r="B172" s="1110" t="s">
        <v>167</v>
      </c>
      <c r="C172" s="456"/>
      <c r="D172" s="11"/>
      <c r="E172" s="11"/>
      <c r="F172" s="1296" t="str">
        <f t="shared" si="5"/>
        <v>-</v>
      </c>
      <c r="G172" s="925"/>
      <c r="H172" s="926"/>
      <c r="I172" s="927"/>
      <c r="K172" s="4">
        <f t="shared" si="7"/>
        <v>0</v>
      </c>
    </row>
    <row r="173" spans="1:11">
      <c r="A173" s="1109" t="s">
        <v>276</v>
      </c>
      <c r="B173" s="1110" t="s">
        <v>168</v>
      </c>
      <c r="C173" s="456"/>
      <c r="D173" s="11"/>
      <c r="E173" s="11"/>
      <c r="F173" s="1296" t="str">
        <f t="shared" ref="F173:F208" si="8">IF(ISERROR(E173/D173),"-",E173/D173)</f>
        <v>-</v>
      </c>
      <c r="G173" s="925"/>
      <c r="H173" s="926"/>
      <c r="I173" s="927"/>
      <c r="K173" s="4">
        <f t="shared" ref="K173:K208" si="9">+E173-G173-H173-I173</f>
        <v>0</v>
      </c>
    </row>
    <row r="174" spans="1:11">
      <c r="A174" s="1109" t="s">
        <v>277</v>
      </c>
      <c r="B174" s="1110" t="s">
        <v>929</v>
      </c>
      <c r="C174" s="456"/>
      <c r="D174" s="11"/>
      <c r="E174" s="11"/>
      <c r="F174" s="1296" t="str">
        <f t="shared" si="8"/>
        <v>-</v>
      </c>
      <c r="G174" s="925"/>
      <c r="H174" s="926"/>
      <c r="I174" s="927"/>
      <c r="K174" s="4">
        <f t="shared" si="9"/>
        <v>0</v>
      </c>
    </row>
    <row r="175" spans="1:11" ht="12.75" thickBot="1">
      <c r="A175" s="1111" t="s">
        <v>927</v>
      </c>
      <c r="B175" s="1112" t="s">
        <v>930</v>
      </c>
      <c r="C175" s="455"/>
      <c r="D175" s="22"/>
      <c r="E175" s="22"/>
      <c r="F175" s="1298" t="str">
        <f t="shared" si="8"/>
        <v>-</v>
      </c>
      <c r="G175" s="928"/>
      <c r="H175" s="929"/>
      <c r="I175" s="930"/>
      <c r="K175" s="4">
        <f t="shared" si="9"/>
        <v>0</v>
      </c>
    </row>
    <row r="176" spans="1:11" s="3" customFormat="1" ht="12.75" thickBot="1">
      <c r="A176" s="1094" t="s">
        <v>10</v>
      </c>
      <c r="B176" s="1118" t="s">
        <v>313</v>
      </c>
      <c r="C176" s="1103">
        <f>+C109+C149</f>
        <v>406320</v>
      </c>
      <c r="D176" s="28">
        <f>+D109+D149</f>
        <v>461617</v>
      </c>
      <c r="E176" s="28">
        <f>+E109+E149</f>
        <v>454505</v>
      </c>
      <c r="F176" s="1294">
        <f t="shared" si="8"/>
        <v>0.98459328837542814</v>
      </c>
      <c r="G176" s="110">
        <f>+G109+G149</f>
        <v>412534</v>
      </c>
      <c r="H176" s="111">
        <f>+H109+H149</f>
        <v>41971</v>
      </c>
      <c r="I176" s="112">
        <f>+I109+I149</f>
        <v>0</v>
      </c>
      <c r="K176" s="3">
        <f t="shared" si="9"/>
        <v>0</v>
      </c>
    </row>
    <row r="177" spans="1:11" s="3" customFormat="1" ht="12.75" thickBot="1">
      <c r="A177" s="1094" t="s">
        <v>9</v>
      </c>
      <c r="B177" s="1119" t="s">
        <v>314</v>
      </c>
      <c r="C177" s="1103">
        <f>+C178</f>
        <v>0</v>
      </c>
      <c r="D177" s="28">
        <f>+D178</f>
        <v>0</v>
      </c>
      <c r="E177" s="28">
        <f>+E178</f>
        <v>0</v>
      </c>
      <c r="F177" s="1294" t="str">
        <f t="shared" si="8"/>
        <v>-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9"/>
        <v>0</v>
      </c>
    </row>
    <row r="178" spans="1:11" s="3" customFormat="1" ht="12.75" thickBot="1">
      <c r="A178" s="1094" t="s">
        <v>45</v>
      </c>
      <c r="B178" s="1102" t="s">
        <v>937</v>
      </c>
      <c r="C178" s="1103">
        <f>+C179+C189+C190+C191</f>
        <v>0</v>
      </c>
      <c r="D178" s="28">
        <f>+D179+D189+D190+D191</f>
        <v>0</v>
      </c>
      <c r="E178" s="28">
        <f>+E179+E189+E190+E191</f>
        <v>0</v>
      </c>
      <c r="F178" s="1294" t="str">
        <f t="shared" si="8"/>
        <v>-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9"/>
        <v>0</v>
      </c>
    </row>
    <row r="179" spans="1:11">
      <c r="A179" s="1104" t="s">
        <v>75</v>
      </c>
      <c r="B179" s="113" t="s">
        <v>938</v>
      </c>
      <c r="C179" s="1105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1295" t="str">
        <f t="shared" si="8"/>
        <v>-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9"/>
        <v>0</v>
      </c>
    </row>
    <row r="180" spans="1:11" s="13" customFormat="1">
      <c r="A180" s="108" t="s">
        <v>204</v>
      </c>
      <c r="B180" s="109" t="s">
        <v>169</v>
      </c>
      <c r="C180" s="457"/>
      <c r="D180" s="12"/>
      <c r="E180" s="12"/>
      <c r="F180" s="1296" t="str">
        <f t="shared" si="8"/>
        <v>-</v>
      </c>
      <c r="G180" s="686"/>
      <c r="H180" s="687"/>
      <c r="I180" s="688"/>
      <c r="K180" s="13">
        <f t="shared" si="9"/>
        <v>0</v>
      </c>
    </row>
    <row r="181" spans="1:11" s="13" customFormat="1">
      <c r="A181" s="108" t="s">
        <v>205</v>
      </c>
      <c r="B181" s="109" t="s">
        <v>170</v>
      </c>
      <c r="C181" s="457"/>
      <c r="D181" s="12"/>
      <c r="E181" s="12"/>
      <c r="F181" s="1296" t="str">
        <f t="shared" si="8"/>
        <v>-</v>
      </c>
      <c r="G181" s="686"/>
      <c r="H181" s="687"/>
      <c r="I181" s="688"/>
      <c r="K181" s="13">
        <f t="shared" si="9"/>
        <v>0</v>
      </c>
    </row>
    <row r="182" spans="1:11" s="13" customFormat="1">
      <c r="A182" s="108" t="s">
        <v>206</v>
      </c>
      <c r="B182" s="109" t="s">
        <v>171</v>
      </c>
      <c r="C182" s="457"/>
      <c r="D182" s="12"/>
      <c r="E182" s="12"/>
      <c r="F182" s="1296" t="str">
        <f t="shared" si="8"/>
        <v>-</v>
      </c>
      <c r="G182" s="686"/>
      <c r="H182" s="687"/>
      <c r="I182" s="688"/>
      <c r="K182" s="13">
        <f t="shared" si="9"/>
        <v>0</v>
      </c>
    </row>
    <row r="183" spans="1:11" s="13" customFormat="1">
      <c r="A183" s="108" t="s">
        <v>207</v>
      </c>
      <c r="B183" s="109" t="s">
        <v>172</v>
      </c>
      <c r="C183" s="457"/>
      <c r="D183" s="12"/>
      <c r="E183" s="12"/>
      <c r="F183" s="1296" t="str">
        <f t="shared" si="8"/>
        <v>-</v>
      </c>
      <c r="G183" s="686"/>
      <c r="H183" s="687"/>
      <c r="I183" s="688"/>
      <c r="K183" s="13">
        <f t="shared" si="9"/>
        <v>0</v>
      </c>
    </row>
    <row r="184" spans="1:11" s="117" customFormat="1">
      <c r="A184" s="108" t="s">
        <v>208</v>
      </c>
      <c r="B184" s="109" t="s">
        <v>173</v>
      </c>
      <c r="C184" s="457"/>
      <c r="D184" s="12"/>
      <c r="E184" s="12"/>
      <c r="F184" s="1297" t="str">
        <f t="shared" si="8"/>
        <v>-</v>
      </c>
      <c r="G184" s="686"/>
      <c r="H184" s="687"/>
      <c r="I184" s="688"/>
      <c r="K184" s="117">
        <f t="shared" si="9"/>
        <v>0</v>
      </c>
    </row>
    <row r="185" spans="1:11" s="117" customFormat="1">
      <c r="A185" s="108" t="s">
        <v>209</v>
      </c>
      <c r="B185" s="109" t="s">
        <v>178</v>
      </c>
      <c r="C185" s="457"/>
      <c r="D185" s="12"/>
      <c r="E185" s="12"/>
      <c r="F185" s="1296" t="str">
        <f t="shared" si="8"/>
        <v>-</v>
      </c>
      <c r="G185" s="686"/>
      <c r="H185" s="687"/>
      <c r="I185" s="688"/>
      <c r="K185" s="13">
        <f t="shared" si="9"/>
        <v>0</v>
      </c>
    </row>
    <row r="186" spans="1:11" s="117" customFormat="1">
      <c r="A186" s="108" t="s">
        <v>210</v>
      </c>
      <c r="B186" s="109" t="s">
        <v>174</v>
      </c>
      <c r="C186" s="457"/>
      <c r="D186" s="12"/>
      <c r="E186" s="12"/>
      <c r="F186" s="1296" t="str">
        <f t="shared" si="8"/>
        <v>-</v>
      </c>
      <c r="G186" s="686"/>
      <c r="H186" s="687"/>
      <c r="I186" s="688"/>
      <c r="K186" s="13">
        <f t="shared" si="9"/>
        <v>0</v>
      </c>
    </row>
    <row r="187" spans="1:11" s="117" customFormat="1">
      <c r="A187" s="108" t="s">
        <v>211</v>
      </c>
      <c r="B187" s="109" t="s">
        <v>175</v>
      </c>
      <c r="C187" s="457"/>
      <c r="D187" s="12"/>
      <c r="E187" s="12"/>
      <c r="F187" s="1296" t="str">
        <f t="shared" si="8"/>
        <v>-</v>
      </c>
      <c r="G187" s="686"/>
      <c r="H187" s="687"/>
      <c r="I187" s="688"/>
      <c r="K187" s="13">
        <f t="shared" si="9"/>
        <v>0</v>
      </c>
    </row>
    <row r="188" spans="1:11" s="117" customFormat="1">
      <c r="A188" s="108" t="s">
        <v>931</v>
      </c>
      <c r="B188" s="109" t="s">
        <v>933</v>
      </c>
      <c r="C188" s="457"/>
      <c r="D188" s="12"/>
      <c r="E188" s="12"/>
      <c r="F188" s="1296" t="str">
        <f t="shared" si="8"/>
        <v>-</v>
      </c>
      <c r="G188" s="686"/>
      <c r="H188" s="687"/>
      <c r="I188" s="688"/>
      <c r="K188" s="13">
        <f t="shared" si="9"/>
        <v>0</v>
      </c>
    </row>
    <row r="189" spans="1:11" s="118" customFormat="1">
      <c r="A189" s="1109" t="s">
        <v>76</v>
      </c>
      <c r="B189" s="1110" t="s">
        <v>176</v>
      </c>
      <c r="C189" s="456"/>
      <c r="D189" s="11"/>
      <c r="E189" s="11"/>
      <c r="F189" s="1296" t="str">
        <f t="shared" si="8"/>
        <v>-</v>
      </c>
      <c r="G189" s="925"/>
      <c r="H189" s="926"/>
      <c r="I189" s="927"/>
      <c r="K189" s="4">
        <f t="shared" si="9"/>
        <v>0</v>
      </c>
    </row>
    <row r="190" spans="1:11" s="118" customFormat="1">
      <c r="A190" s="1111" t="s">
        <v>77</v>
      </c>
      <c r="B190" s="1112" t="s">
        <v>177</v>
      </c>
      <c r="C190" s="455"/>
      <c r="D190" s="22"/>
      <c r="E190" s="22"/>
      <c r="F190" s="1298" t="str">
        <f t="shared" si="8"/>
        <v>-</v>
      </c>
      <c r="G190" s="928"/>
      <c r="H190" s="929"/>
      <c r="I190" s="930"/>
      <c r="K190" s="4">
        <f t="shared" si="9"/>
        <v>0</v>
      </c>
    </row>
    <row r="191" spans="1:11" s="118" customFormat="1" ht="12.75" thickBot="1">
      <c r="A191" s="1111" t="s">
        <v>936</v>
      </c>
      <c r="B191" s="1112" t="s">
        <v>934</v>
      </c>
      <c r="C191" s="455"/>
      <c r="D191" s="22"/>
      <c r="E191" s="22"/>
      <c r="F191" s="1298" t="str">
        <f t="shared" si="8"/>
        <v>-</v>
      </c>
      <c r="G191" s="928"/>
      <c r="H191" s="929"/>
      <c r="I191" s="930"/>
      <c r="K191" s="4">
        <f t="shared" si="9"/>
        <v>0</v>
      </c>
    </row>
    <row r="192" spans="1:11" s="119" customFormat="1" ht="12.75" thickBot="1">
      <c r="A192" s="1094" t="s">
        <v>44</v>
      </c>
      <c r="B192" s="1118" t="s">
        <v>315</v>
      </c>
      <c r="C192" s="1103">
        <f>+C193</f>
        <v>0</v>
      </c>
      <c r="D192" s="28">
        <f>+D193</f>
        <v>0</v>
      </c>
      <c r="E192" s="28">
        <f>+E193</f>
        <v>0</v>
      </c>
      <c r="F192" s="1294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119" customFormat="1" ht="12.75" thickBot="1">
      <c r="A193" s="1094" t="s">
        <v>43</v>
      </c>
      <c r="B193" s="1102" t="s">
        <v>932</v>
      </c>
      <c r="C193" s="1103">
        <f>+C194+C204+C205+C206</f>
        <v>0</v>
      </c>
      <c r="D193" s="28">
        <f>+D194+D204+D205+D206</f>
        <v>0</v>
      </c>
      <c r="E193" s="28">
        <f>+E194+E204+E205+E206</f>
        <v>0</v>
      </c>
      <c r="F193" s="1294" t="str">
        <f t="shared" si="8"/>
        <v>-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9"/>
        <v>0</v>
      </c>
    </row>
    <row r="194" spans="1:11" s="118" customFormat="1">
      <c r="A194" s="1104" t="s">
        <v>78</v>
      </c>
      <c r="B194" s="113" t="s">
        <v>967</v>
      </c>
      <c r="C194" s="1105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1295" t="str">
        <f t="shared" si="8"/>
        <v>-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9"/>
        <v>0</v>
      </c>
    </row>
    <row r="195" spans="1:11" s="117" customFormat="1">
      <c r="A195" s="108" t="s">
        <v>212</v>
      </c>
      <c r="B195" s="109" t="s">
        <v>169</v>
      </c>
      <c r="C195" s="457"/>
      <c r="D195" s="12"/>
      <c r="E195" s="12"/>
      <c r="F195" s="1296" t="str">
        <f t="shared" si="8"/>
        <v>-</v>
      </c>
      <c r="G195" s="686"/>
      <c r="H195" s="687"/>
      <c r="I195" s="688"/>
      <c r="K195" s="13">
        <f t="shared" si="9"/>
        <v>0</v>
      </c>
    </row>
    <row r="196" spans="1:11" s="117" customFormat="1">
      <c r="A196" s="108" t="s">
        <v>213</v>
      </c>
      <c r="B196" s="109" t="s">
        <v>170</v>
      </c>
      <c r="C196" s="457"/>
      <c r="D196" s="12"/>
      <c r="E196" s="12"/>
      <c r="F196" s="1296" t="str">
        <f t="shared" si="8"/>
        <v>-</v>
      </c>
      <c r="G196" s="686"/>
      <c r="H196" s="687"/>
      <c r="I196" s="688"/>
      <c r="K196" s="13">
        <f t="shared" si="9"/>
        <v>0</v>
      </c>
    </row>
    <row r="197" spans="1:11" s="117" customFormat="1">
      <c r="A197" s="108" t="s">
        <v>214</v>
      </c>
      <c r="B197" s="109" t="s">
        <v>171</v>
      </c>
      <c r="C197" s="457"/>
      <c r="D197" s="12"/>
      <c r="E197" s="12"/>
      <c r="F197" s="1296" t="str">
        <f t="shared" si="8"/>
        <v>-</v>
      </c>
      <c r="G197" s="686"/>
      <c r="H197" s="687"/>
      <c r="I197" s="688"/>
      <c r="K197" s="13">
        <f t="shared" si="9"/>
        <v>0</v>
      </c>
    </row>
    <row r="198" spans="1:11" s="117" customFormat="1">
      <c r="A198" s="108" t="s">
        <v>215</v>
      </c>
      <c r="B198" s="109" t="s">
        <v>172</v>
      </c>
      <c r="C198" s="457"/>
      <c r="D198" s="12"/>
      <c r="E198" s="12"/>
      <c r="F198" s="1296" t="str">
        <f t="shared" si="8"/>
        <v>-</v>
      </c>
      <c r="G198" s="686"/>
      <c r="H198" s="687"/>
      <c r="I198" s="688"/>
      <c r="K198" s="13">
        <f t="shared" si="9"/>
        <v>0</v>
      </c>
    </row>
    <row r="199" spans="1:11" s="117" customFormat="1">
      <c r="A199" s="108" t="s">
        <v>216</v>
      </c>
      <c r="B199" s="109" t="s">
        <v>173</v>
      </c>
      <c r="C199" s="457"/>
      <c r="D199" s="12"/>
      <c r="E199" s="12"/>
      <c r="F199" s="1297" t="str">
        <f t="shared" si="8"/>
        <v>-</v>
      </c>
      <c r="G199" s="686"/>
      <c r="H199" s="687"/>
      <c r="I199" s="688"/>
      <c r="K199" s="117">
        <f t="shared" si="9"/>
        <v>0</v>
      </c>
    </row>
    <row r="200" spans="1:11" s="117" customFormat="1">
      <c r="A200" s="108" t="s">
        <v>217</v>
      </c>
      <c r="B200" s="109" t="s">
        <v>178</v>
      </c>
      <c r="C200" s="457"/>
      <c r="D200" s="12"/>
      <c r="E200" s="12"/>
      <c r="F200" s="1296" t="str">
        <f t="shared" si="8"/>
        <v>-</v>
      </c>
      <c r="G200" s="686"/>
      <c r="H200" s="687"/>
      <c r="I200" s="688"/>
      <c r="K200" s="13">
        <f t="shared" si="9"/>
        <v>0</v>
      </c>
    </row>
    <row r="201" spans="1:11" s="13" customFormat="1">
      <c r="A201" s="108" t="s">
        <v>218</v>
      </c>
      <c r="B201" s="109" t="s">
        <v>174</v>
      </c>
      <c r="C201" s="457"/>
      <c r="D201" s="12"/>
      <c r="E201" s="12"/>
      <c r="F201" s="1296" t="str">
        <f t="shared" si="8"/>
        <v>-</v>
      </c>
      <c r="G201" s="686"/>
      <c r="H201" s="687"/>
      <c r="I201" s="688"/>
      <c r="K201" s="13">
        <f t="shared" si="9"/>
        <v>0</v>
      </c>
    </row>
    <row r="202" spans="1:11" s="13" customFormat="1">
      <c r="A202" s="108" t="s">
        <v>219</v>
      </c>
      <c r="B202" s="109" t="s">
        <v>175</v>
      </c>
      <c r="C202" s="457"/>
      <c r="D202" s="12"/>
      <c r="E202" s="12"/>
      <c r="F202" s="1296" t="str">
        <f t="shared" si="8"/>
        <v>-</v>
      </c>
      <c r="G202" s="686"/>
      <c r="H202" s="687"/>
      <c r="I202" s="688"/>
      <c r="K202" s="13">
        <f t="shared" si="9"/>
        <v>0</v>
      </c>
    </row>
    <row r="203" spans="1:11" s="13" customFormat="1">
      <c r="A203" s="108" t="s">
        <v>931</v>
      </c>
      <c r="B203" s="109" t="s">
        <v>933</v>
      </c>
      <c r="C203" s="457"/>
      <c r="D203" s="12"/>
      <c r="E203" s="12"/>
      <c r="F203" s="1296" t="str">
        <f t="shared" si="8"/>
        <v>-</v>
      </c>
      <c r="G203" s="686"/>
      <c r="H203" s="687"/>
      <c r="I203" s="688"/>
      <c r="K203" s="13">
        <f t="shared" si="9"/>
        <v>0</v>
      </c>
    </row>
    <row r="204" spans="1:11">
      <c r="A204" s="1109" t="s">
        <v>79</v>
      </c>
      <c r="B204" s="1110" t="s">
        <v>176</v>
      </c>
      <c r="C204" s="456"/>
      <c r="D204" s="11"/>
      <c r="E204" s="11"/>
      <c r="F204" s="1296" t="str">
        <f t="shared" si="8"/>
        <v>-</v>
      </c>
      <c r="G204" s="925"/>
      <c r="H204" s="926"/>
      <c r="I204" s="927"/>
      <c r="K204" s="4">
        <f t="shared" si="9"/>
        <v>0</v>
      </c>
    </row>
    <row r="205" spans="1:11">
      <c r="A205" s="1111" t="s">
        <v>220</v>
      </c>
      <c r="B205" s="1112" t="s">
        <v>177</v>
      </c>
      <c r="C205" s="455"/>
      <c r="D205" s="22"/>
      <c r="E205" s="22"/>
      <c r="F205" s="1298" t="str">
        <f t="shared" si="8"/>
        <v>-</v>
      </c>
      <c r="G205" s="928"/>
      <c r="H205" s="929"/>
      <c r="I205" s="930"/>
      <c r="K205" s="4">
        <f t="shared" si="9"/>
        <v>0</v>
      </c>
    </row>
    <row r="206" spans="1:11" ht="12.75" thickBot="1">
      <c r="A206" s="1111" t="s">
        <v>935</v>
      </c>
      <c r="B206" s="1112" t="s">
        <v>934</v>
      </c>
      <c r="C206" s="455"/>
      <c r="D206" s="22"/>
      <c r="E206" s="22"/>
      <c r="F206" s="1298" t="str">
        <f t="shared" si="8"/>
        <v>-</v>
      </c>
      <c r="G206" s="928"/>
      <c r="H206" s="929"/>
      <c r="I206" s="930"/>
      <c r="K206" s="4">
        <f t="shared" si="9"/>
        <v>0</v>
      </c>
    </row>
    <row r="207" spans="1:11" s="3" customFormat="1" ht="12.75" thickBot="1">
      <c r="A207" s="1094" t="s">
        <v>40</v>
      </c>
      <c r="B207" s="1118" t="s">
        <v>316</v>
      </c>
      <c r="C207" s="1103">
        <f>+C177+C192</f>
        <v>0</v>
      </c>
      <c r="D207" s="28">
        <f>+D177+D192</f>
        <v>0</v>
      </c>
      <c r="E207" s="28">
        <f>+E177+E192</f>
        <v>0</v>
      </c>
      <c r="F207" s="1294" t="str">
        <f t="shared" si="8"/>
        <v>-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9"/>
        <v>0</v>
      </c>
    </row>
    <row r="208" spans="1:11" s="3" customFormat="1" ht="12.75" thickBot="1">
      <c r="A208" s="1120" t="s">
        <v>39</v>
      </c>
      <c r="B208" s="1121" t="s">
        <v>334</v>
      </c>
      <c r="C208" s="1122">
        <f>+C176+C207</f>
        <v>406320</v>
      </c>
      <c r="D208" s="25">
        <f>+D176+D207</f>
        <v>461617</v>
      </c>
      <c r="E208" s="25">
        <f>+E176+E207</f>
        <v>454505</v>
      </c>
      <c r="F208" s="1301">
        <f t="shared" si="8"/>
        <v>0.98459328837542814</v>
      </c>
      <c r="G208" s="1123">
        <f>+G176+G207</f>
        <v>412534</v>
      </c>
      <c r="H208" s="1124">
        <f>+H176+H207</f>
        <v>41971</v>
      </c>
      <c r="I208" s="1082">
        <f>+I176+I207</f>
        <v>0</v>
      </c>
      <c r="K208" s="3">
        <f t="shared" si="9"/>
        <v>0</v>
      </c>
    </row>
    <row r="211" spans="1:31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1087" t="s">
        <v>281</v>
      </c>
      <c r="B212" s="1081"/>
      <c r="F212" s="1290"/>
      <c r="G212" s="1081"/>
      <c r="H212" s="1081"/>
      <c r="I212" s="1088" t="s">
        <v>280</v>
      </c>
    </row>
    <row r="213" spans="1:31" s="3" customFormat="1" ht="12.75" thickBot="1">
      <c r="A213" s="1094" t="s">
        <v>4</v>
      </c>
      <c r="B213" s="1118" t="s">
        <v>317</v>
      </c>
      <c r="C213" s="1103">
        <f>+C214+C215</f>
        <v>-364861</v>
      </c>
      <c r="D213" s="28">
        <f>+D214+D215</f>
        <v>-375580</v>
      </c>
      <c r="E213" s="28">
        <f>+E214+E215</f>
        <v>-368966</v>
      </c>
      <c r="F213" s="1294">
        <f>IF(ISERROR(E213/D213),"-",E213/D213)</f>
        <v>0.98238990361574097</v>
      </c>
      <c r="G213" s="110">
        <f>+G214+G215</f>
        <v>-355109</v>
      </c>
      <c r="H213" s="111">
        <f>+H214+H215</f>
        <v>-13857</v>
      </c>
      <c r="I213" s="112">
        <f>+I214+I215</f>
        <v>0</v>
      </c>
      <c r="K213" s="3">
        <f>+E213-G213-H213-I213</f>
        <v>0</v>
      </c>
    </row>
    <row r="214" spans="1:31">
      <c r="A214" s="1104" t="s">
        <v>81</v>
      </c>
      <c r="B214" s="1139" t="s">
        <v>318</v>
      </c>
      <c r="C214" s="1105">
        <f>+C10-C109</f>
        <v>-360861</v>
      </c>
      <c r="D214" s="10">
        <f>+D10-D109</f>
        <v>-368781</v>
      </c>
      <c r="E214" s="10">
        <f>+E10-E109</f>
        <v>-362167</v>
      </c>
      <c r="F214" s="1295">
        <f>IF(ISERROR(E214/D214),"-",E214/D214)</f>
        <v>0.98206523654960531</v>
      </c>
      <c r="G214" s="114">
        <f>+G10-G109</f>
        <v>-351104</v>
      </c>
      <c r="H214" s="115">
        <f>+H10-H109</f>
        <v>-11063</v>
      </c>
      <c r="I214" s="116">
        <f>+I10-I109</f>
        <v>0</v>
      </c>
      <c r="K214" s="4">
        <f>+E214-G214-H214-I214</f>
        <v>0</v>
      </c>
    </row>
    <row r="215" spans="1:31" ht="12.75" thickBot="1">
      <c r="A215" s="1140" t="s">
        <v>82</v>
      </c>
      <c r="B215" s="1141" t="s">
        <v>319</v>
      </c>
      <c r="C215" s="458">
        <f>+C50-C149</f>
        <v>-4000</v>
      </c>
      <c r="D215" s="17">
        <f>+D50-D149</f>
        <v>-6799</v>
      </c>
      <c r="E215" s="17">
        <f>+E50-E149</f>
        <v>-6799</v>
      </c>
      <c r="F215" s="1307">
        <f>IF(ISERROR(E215/D215),"-",E215/D215)</f>
        <v>1</v>
      </c>
      <c r="G215" s="1137">
        <f>+G50-G149</f>
        <v>-4005</v>
      </c>
      <c r="H215" s="1142">
        <f>+H50-H149</f>
        <v>-2794</v>
      </c>
      <c r="I215" s="1084">
        <f>+I50-I149</f>
        <v>0</v>
      </c>
      <c r="K215" s="4">
        <f>+E215-G215-H215-I215</f>
        <v>0</v>
      </c>
    </row>
    <row r="218" spans="1:31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1087" t="s">
        <v>282</v>
      </c>
      <c r="B219" s="1081"/>
      <c r="F219" s="1290"/>
      <c r="G219" s="1081"/>
      <c r="H219" s="1081"/>
      <c r="I219" s="1088" t="s">
        <v>280</v>
      </c>
    </row>
    <row r="220" spans="1:31" s="3" customFormat="1" ht="12.75" thickBot="1">
      <c r="A220" s="1094" t="s">
        <v>4</v>
      </c>
      <c r="B220" s="1118" t="s">
        <v>320</v>
      </c>
      <c r="C220" s="1103">
        <f>+C221+C228</f>
        <v>364861</v>
      </c>
      <c r="D220" s="28">
        <f>+D221+D228</f>
        <v>375580</v>
      </c>
      <c r="E220" s="28">
        <f>+E221+E228</f>
        <v>391993</v>
      </c>
      <c r="F220" s="1294">
        <f t="shared" ref="F220:F234" si="10">IF(ISERROR(E220/D220),"-",E220/D220)</f>
        <v>1.0437004100324832</v>
      </c>
      <c r="G220" s="110">
        <f>+G221+G228</f>
        <v>378136</v>
      </c>
      <c r="H220" s="111">
        <f>+H221+H228</f>
        <v>13857</v>
      </c>
      <c r="I220" s="112">
        <f>+I221+I228</f>
        <v>0</v>
      </c>
      <c r="K220" s="3">
        <f t="shared" ref="K220:K234" si="11">+E220-G220-H220-I220</f>
        <v>0</v>
      </c>
    </row>
    <row r="221" spans="1:31" s="3" customFormat="1" ht="12.75" thickBot="1">
      <c r="A221" s="1094" t="s">
        <v>5</v>
      </c>
      <c r="B221" s="1102" t="s">
        <v>321</v>
      </c>
      <c r="C221" s="1103">
        <f>+C222-C225</f>
        <v>360861</v>
      </c>
      <c r="D221" s="28">
        <f>+D222-D225</f>
        <v>368781</v>
      </c>
      <c r="E221" s="28">
        <f>+E222-E225</f>
        <v>385194</v>
      </c>
      <c r="F221" s="1294">
        <f t="shared" si="10"/>
        <v>1.0445060889796383</v>
      </c>
      <c r="G221" s="110">
        <f>+G222-G225</f>
        <v>374131</v>
      </c>
      <c r="H221" s="111">
        <f>+H222-H225</f>
        <v>11063</v>
      </c>
      <c r="I221" s="112">
        <f>+I222-I225</f>
        <v>0</v>
      </c>
      <c r="K221" s="3">
        <f t="shared" si="11"/>
        <v>0</v>
      </c>
    </row>
    <row r="222" spans="1:31">
      <c r="A222" s="1104" t="s">
        <v>54</v>
      </c>
      <c r="B222" s="113" t="s">
        <v>322</v>
      </c>
      <c r="C222" s="1105">
        <f>+C223+C224</f>
        <v>360861</v>
      </c>
      <c r="D222" s="10">
        <f>+D223+D224</f>
        <v>368781</v>
      </c>
      <c r="E222" s="10">
        <f>+E223+E224</f>
        <v>385194</v>
      </c>
      <c r="F222" s="1295">
        <f t="shared" si="10"/>
        <v>1.0445060889796383</v>
      </c>
      <c r="G222" s="114">
        <f>+G223+G224</f>
        <v>374131</v>
      </c>
      <c r="H222" s="115">
        <f>+H223+H224</f>
        <v>11063</v>
      </c>
      <c r="I222" s="116">
        <f>+I223+I224</f>
        <v>0</v>
      </c>
      <c r="K222" s="4">
        <f t="shared" si="11"/>
        <v>0</v>
      </c>
    </row>
    <row r="223" spans="1:31" s="13" customFormat="1">
      <c r="A223" s="108" t="s">
        <v>189</v>
      </c>
      <c r="B223" s="109" t="s">
        <v>284</v>
      </c>
      <c r="C223" s="457">
        <f>+C76+C80</f>
        <v>0</v>
      </c>
      <c r="D223" s="12">
        <f>+D76+D80</f>
        <v>22636</v>
      </c>
      <c r="E223" s="12">
        <f>+E76+E80</f>
        <v>22636</v>
      </c>
      <c r="F223" s="1296">
        <f t="shared" si="10"/>
        <v>1</v>
      </c>
      <c r="G223" s="686">
        <f>+G76+G80</f>
        <v>22636</v>
      </c>
      <c r="H223" s="687">
        <f>+H76+H80</f>
        <v>0</v>
      </c>
      <c r="I223" s="688">
        <f>+I76+I80</f>
        <v>0</v>
      </c>
      <c r="K223" s="13">
        <f t="shared" si="11"/>
        <v>0</v>
      </c>
    </row>
    <row r="224" spans="1:31" s="13" customFormat="1">
      <c r="A224" s="108" t="s">
        <v>190</v>
      </c>
      <c r="B224" s="109" t="s">
        <v>285</v>
      </c>
      <c r="C224" s="457">
        <f>+C74+C75+C77+C78+C79+C81</f>
        <v>360861</v>
      </c>
      <c r="D224" s="12">
        <f>+D74+D75+D77+D78+D79+D81</f>
        <v>346145</v>
      </c>
      <c r="E224" s="12">
        <f>+E74+E75+E77+E78+E79+E81</f>
        <v>362558</v>
      </c>
      <c r="F224" s="1296">
        <f t="shared" si="10"/>
        <v>1.0474165450894857</v>
      </c>
      <c r="G224" s="686">
        <f>+G74+G75+G77+G78+G79+G81</f>
        <v>351495</v>
      </c>
      <c r="H224" s="687">
        <f>+H74+H75+H77+H78+H79+H81</f>
        <v>11063</v>
      </c>
      <c r="I224" s="688">
        <f>+I74+I75+I77+I78+I79+I81</f>
        <v>0</v>
      </c>
      <c r="K224" s="13">
        <f t="shared" si="11"/>
        <v>0</v>
      </c>
    </row>
    <row r="225" spans="1:31">
      <c r="A225" s="1109" t="s">
        <v>55</v>
      </c>
      <c r="B225" s="1110" t="s">
        <v>323</v>
      </c>
      <c r="C225" s="456">
        <f>+C227</f>
        <v>0</v>
      </c>
      <c r="D225" s="11">
        <f>+D227</f>
        <v>0</v>
      </c>
      <c r="E225" s="11">
        <f>+E227</f>
        <v>0</v>
      </c>
      <c r="F225" s="1296" t="str">
        <f t="shared" si="10"/>
        <v>-</v>
      </c>
      <c r="G225" s="925">
        <f>+G227</f>
        <v>0</v>
      </c>
      <c r="H225" s="926">
        <f>+H227</f>
        <v>0</v>
      </c>
      <c r="I225" s="927">
        <f>+I227</f>
        <v>0</v>
      </c>
      <c r="K225" s="4">
        <f t="shared" si="11"/>
        <v>0</v>
      </c>
    </row>
    <row r="226" spans="1:31" s="13" customFormat="1">
      <c r="A226" s="108" t="s">
        <v>56</v>
      </c>
      <c r="B226" s="109" t="s">
        <v>286</v>
      </c>
      <c r="C226" s="457">
        <f>+C185</f>
        <v>0</v>
      </c>
      <c r="D226" s="12">
        <f>+D185</f>
        <v>0</v>
      </c>
      <c r="E226" s="12">
        <f>+E185</f>
        <v>0</v>
      </c>
      <c r="F226" s="1296" t="str">
        <f t="shared" si="10"/>
        <v>-</v>
      </c>
      <c r="G226" s="686">
        <f>+G185</f>
        <v>0</v>
      </c>
      <c r="H226" s="687">
        <f>+H185</f>
        <v>0</v>
      </c>
      <c r="I226" s="688">
        <f>+I185</f>
        <v>0</v>
      </c>
      <c r="K226" s="13">
        <f t="shared" si="11"/>
        <v>0</v>
      </c>
    </row>
    <row r="227" spans="1:31" s="13" customFormat="1" ht="12.75" thickBot="1">
      <c r="A227" s="1113" t="s">
        <v>57</v>
      </c>
      <c r="B227" s="1138" t="s">
        <v>287</v>
      </c>
      <c r="C227" s="1115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1298" t="str">
        <f t="shared" si="10"/>
        <v>-</v>
      </c>
      <c r="G227" s="1116">
        <f>+G180+G181+G182+G183+G184+G186+G187</f>
        <v>0</v>
      </c>
      <c r="H227" s="1117">
        <f>+H180+H181+H182+H183+H184+H186+H187</f>
        <v>0</v>
      </c>
      <c r="I227" s="978">
        <f>+I180+I181+I182+I183+I184+I186+I187</f>
        <v>0</v>
      </c>
      <c r="K227" s="13">
        <f t="shared" si="11"/>
        <v>0</v>
      </c>
    </row>
    <row r="228" spans="1:31" s="3" customFormat="1" ht="12.75" thickBot="1">
      <c r="A228" s="1094" t="s">
        <v>6</v>
      </c>
      <c r="B228" s="1102" t="s">
        <v>324</v>
      </c>
      <c r="C228" s="1103">
        <f>+C229-C232</f>
        <v>4000</v>
      </c>
      <c r="D228" s="28">
        <f>+D229-D232</f>
        <v>6799</v>
      </c>
      <c r="E228" s="28">
        <f>+E229-E232</f>
        <v>6799</v>
      </c>
      <c r="F228" s="1294">
        <f t="shared" si="10"/>
        <v>1</v>
      </c>
      <c r="G228" s="110">
        <f>+G229-G232</f>
        <v>4005</v>
      </c>
      <c r="H228" s="111">
        <f>+H229-H232</f>
        <v>2794</v>
      </c>
      <c r="I228" s="112">
        <f>+I229-I232</f>
        <v>0</v>
      </c>
      <c r="K228" s="3">
        <f t="shared" si="11"/>
        <v>0</v>
      </c>
    </row>
    <row r="229" spans="1:31">
      <c r="A229" s="1104" t="s">
        <v>58</v>
      </c>
      <c r="B229" s="113" t="s">
        <v>325</v>
      </c>
      <c r="C229" s="1105">
        <f>+C230+C231</f>
        <v>4000</v>
      </c>
      <c r="D229" s="10">
        <f>+D230+D231</f>
        <v>6799</v>
      </c>
      <c r="E229" s="10">
        <f>+E230+E231</f>
        <v>6799</v>
      </c>
      <c r="F229" s="1295">
        <f t="shared" si="10"/>
        <v>1</v>
      </c>
      <c r="G229" s="114">
        <f>+G230+G231</f>
        <v>4005</v>
      </c>
      <c r="H229" s="115">
        <f>+H230+H231</f>
        <v>2794</v>
      </c>
      <c r="I229" s="116">
        <f>+I230+I231</f>
        <v>0</v>
      </c>
      <c r="K229" s="4">
        <f t="shared" si="11"/>
        <v>0</v>
      </c>
    </row>
    <row r="230" spans="1:31" s="13" customFormat="1">
      <c r="A230" s="108" t="s">
        <v>292</v>
      </c>
      <c r="B230" s="109" t="s">
        <v>290</v>
      </c>
      <c r="C230" s="457">
        <f>+C91+C95</f>
        <v>0</v>
      </c>
      <c r="D230" s="12">
        <f>+D91+D95</f>
        <v>0</v>
      </c>
      <c r="E230" s="12">
        <f>+E91+E95</f>
        <v>0</v>
      </c>
      <c r="F230" s="1296" t="str">
        <f t="shared" si="10"/>
        <v>-</v>
      </c>
      <c r="G230" s="686">
        <f>+G91+G95</f>
        <v>0</v>
      </c>
      <c r="H230" s="687">
        <f>+H91+H95</f>
        <v>0</v>
      </c>
      <c r="I230" s="688">
        <f>+I91+I95</f>
        <v>0</v>
      </c>
      <c r="K230" s="13">
        <f t="shared" si="11"/>
        <v>0</v>
      </c>
    </row>
    <row r="231" spans="1:31" s="13" customFormat="1">
      <c r="A231" s="108" t="s">
        <v>293</v>
      </c>
      <c r="B231" s="109" t="s">
        <v>291</v>
      </c>
      <c r="C231" s="457">
        <f>+C89+C90+C92+C93+C94+C96</f>
        <v>4000</v>
      </c>
      <c r="D231" s="12">
        <f>+D89+D90+D92+D93+D94+D96</f>
        <v>6799</v>
      </c>
      <c r="E231" s="12">
        <f>+E89+E90+E92+E93+E94+E96</f>
        <v>6799</v>
      </c>
      <c r="F231" s="1296">
        <f t="shared" si="10"/>
        <v>1</v>
      </c>
      <c r="G231" s="686">
        <f>+G89+G90+G92+G93+G94+G96</f>
        <v>4005</v>
      </c>
      <c r="H231" s="687">
        <f>+H89+H90+H92+H93+H94+H96</f>
        <v>2794</v>
      </c>
      <c r="I231" s="688">
        <f>+I89+I90+I92+I93+I94+I96</f>
        <v>0</v>
      </c>
      <c r="K231" s="13">
        <f t="shared" si="11"/>
        <v>0</v>
      </c>
    </row>
    <row r="232" spans="1:31">
      <c r="A232" s="1109" t="s">
        <v>59</v>
      </c>
      <c r="B232" s="1110" t="s">
        <v>326</v>
      </c>
      <c r="C232" s="456">
        <f>+C233+C234</f>
        <v>0</v>
      </c>
      <c r="D232" s="11">
        <f>+D233+D234</f>
        <v>0</v>
      </c>
      <c r="E232" s="11">
        <f>+E233+E234</f>
        <v>0</v>
      </c>
      <c r="F232" s="1296" t="str">
        <f t="shared" si="10"/>
        <v>-</v>
      </c>
      <c r="G232" s="925">
        <f>+G233+G234</f>
        <v>0</v>
      </c>
      <c r="H232" s="926">
        <f>+H233+H234</f>
        <v>0</v>
      </c>
      <c r="I232" s="927">
        <f>+I233+I234</f>
        <v>0</v>
      </c>
      <c r="K232" s="4">
        <f t="shared" si="11"/>
        <v>0</v>
      </c>
    </row>
    <row r="233" spans="1:31" s="13" customFormat="1">
      <c r="A233" s="108" t="s">
        <v>294</v>
      </c>
      <c r="B233" s="109" t="s">
        <v>288</v>
      </c>
      <c r="C233" s="457">
        <f>+C200</f>
        <v>0</v>
      </c>
      <c r="D233" s="12">
        <f>+D200</f>
        <v>0</v>
      </c>
      <c r="E233" s="12">
        <f>+E200</f>
        <v>0</v>
      </c>
      <c r="F233" s="1296" t="str">
        <f t="shared" si="10"/>
        <v>-</v>
      </c>
      <c r="G233" s="686">
        <f>+G200</f>
        <v>0</v>
      </c>
      <c r="H233" s="687">
        <f>+H200</f>
        <v>0</v>
      </c>
      <c r="I233" s="688">
        <f>+I200</f>
        <v>0</v>
      </c>
      <c r="K233" s="13">
        <f t="shared" si="11"/>
        <v>0</v>
      </c>
    </row>
    <row r="234" spans="1:31" s="13" customFormat="1" ht="12.75" thickBot="1">
      <c r="A234" s="1143" t="s">
        <v>295</v>
      </c>
      <c r="B234" s="1144" t="s">
        <v>289</v>
      </c>
      <c r="C234" s="1145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1307" t="str">
        <f t="shared" si="10"/>
        <v>-</v>
      </c>
      <c r="G234" s="1146">
        <f>+G195+G196+G197+G198+G199+G201+G202</f>
        <v>0</v>
      </c>
      <c r="H234" s="1147">
        <f>+H195+H196+H197+H198+H199+H201+H202</f>
        <v>0</v>
      </c>
      <c r="I234" s="1085">
        <f>+I195+I196+I197+I198+I199+I201+I202</f>
        <v>0</v>
      </c>
      <c r="K234" s="13">
        <f t="shared" si="11"/>
        <v>0</v>
      </c>
    </row>
    <row r="237" spans="1:31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1087" t="s">
        <v>283</v>
      </c>
      <c r="B238" s="1081"/>
      <c r="F238" s="1290"/>
      <c r="G238" s="1081"/>
      <c r="H238" s="1081"/>
      <c r="I238" s="1088"/>
    </row>
    <row r="239" spans="1:31" s="3" customFormat="1">
      <c r="A239" s="1148" t="s">
        <v>4</v>
      </c>
      <c r="B239" s="1149" t="s">
        <v>91</v>
      </c>
      <c r="C239" s="1150">
        <v>92</v>
      </c>
      <c r="D239" s="55">
        <f>92+4</f>
        <v>96</v>
      </c>
      <c r="E239" s="55">
        <f>38+53</f>
        <v>91</v>
      </c>
      <c r="F239" s="1304">
        <f>IF(ISERROR(E239/D239),"-",E239/D239)</f>
        <v>0.94791666666666663</v>
      </c>
      <c r="G239" s="1151">
        <v>87</v>
      </c>
      <c r="H239" s="1152">
        <v>4</v>
      </c>
      <c r="I239" s="984"/>
      <c r="K239" s="3">
        <f>+E239-G239-H239-I239</f>
        <v>0</v>
      </c>
    </row>
    <row r="240" spans="1:31" s="13" customFormat="1">
      <c r="A240" s="1113" t="s">
        <v>350</v>
      </c>
      <c r="B240" s="1457" t="s">
        <v>351</v>
      </c>
      <c r="C240" s="1458"/>
      <c r="D240" s="101">
        <v>4</v>
      </c>
      <c r="E240" s="101">
        <v>4</v>
      </c>
      <c r="F240" s="1298">
        <f>IF(ISERROR(E240/D240),"-",E240/D240)</f>
        <v>1</v>
      </c>
      <c r="G240" s="1459">
        <v>4</v>
      </c>
      <c r="H240" s="1460"/>
      <c r="I240" s="986"/>
      <c r="K240" s="13">
        <f>+E240-G240-H240-I240</f>
        <v>0</v>
      </c>
    </row>
    <row r="241" spans="1:11" s="3" customFormat="1" ht="12.75" thickBot="1">
      <c r="A241" s="1153" t="s">
        <v>5</v>
      </c>
      <c r="B241" s="1154" t="s">
        <v>92</v>
      </c>
      <c r="C241" s="1155">
        <v>0</v>
      </c>
      <c r="D241" s="58">
        <v>0</v>
      </c>
      <c r="E241" s="58"/>
      <c r="F241" s="1312" t="str">
        <f>IF(ISERROR(E241/D241),"-",E241/D241)</f>
        <v>-</v>
      </c>
      <c r="G241" s="1156"/>
      <c r="H241" s="1157"/>
      <c r="I241" s="988"/>
      <c r="K241" s="3">
        <f>+E241-G241-H241-I241</f>
        <v>0</v>
      </c>
    </row>
    <row r="242" spans="1:11" s="3" customFormat="1" ht="12.75" thickBot="1">
      <c r="A242" s="1094" t="s">
        <v>6</v>
      </c>
      <c r="B242" s="1118" t="s">
        <v>329</v>
      </c>
      <c r="C242" s="1158">
        <f>+C239+C241</f>
        <v>92</v>
      </c>
      <c r="D242" s="61">
        <f>+D239+D241</f>
        <v>96</v>
      </c>
      <c r="E242" s="61">
        <f>+E239+E241</f>
        <v>91</v>
      </c>
      <c r="F242" s="1294">
        <f>IF(ISERROR(E242/D242),"-",E242/D242)</f>
        <v>0.94791666666666663</v>
      </c>
      <c r="G242" s="1159">
        <f>+G239+G241</f>
        <v>87</v>
      </c>
      <c r="H242" s="1160">
        <f>+H239+H241</f>
        <v>4</v>
      </c>
      <c r="I242" s="990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10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9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30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289"/>
      <c r="I1" s="51" t="s">
        <v>355</v>
      </c>
    </row>
    <row r="2" spans="1:11" s="50" customFormat="1" ht="15.75">
      <c r="F2" s="1289"/>
    </row>
    <row r="3" spans="1:11" s="52" customFormat="1" ht="15.75">
      <c r="A3" s="1769" t="s">
        <v>356</v>
      </c>
      <c r="B3" s="1769"/>
      <c r="C3" s="1769"/>
      <c r="D3" s="1769"/>
      <c r="E3" s="1769"/>
      <c r="F3" s="1769"/>
      <c r="G3" s="1769"/>
      <c r="H3" s="1769"/>
      <c r="I3" s="1769"/>
    </row>
    <row r="4" spans="1:11" s="52" customFormat="1" ht="15.75">
      <c r="A4" s="1769" t="s">
        <v>1417</v>
      </c>
      <c r="B4" s="1769"/>
      <c r="C4" s="1769"/>
      <c r="D4" s="1769"/>
      <c r="E4" s="1769"/>
      <c r="F4" s="1769"/>
      <c r="G4" s="1769"/>
      <c r="H4" s="1769"/>
      <c r="I4" s="1769"/>
    </row>
    <row r="5" spans="1:11" s="50" customFormat="1" ht="15.75">
      <c r="F5" s="1289"/>
    </row>
    <row r="6" spans="1:11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  <c r="I6" s="1769"/>
    </row>
    <row r="7" spans="1:11" s="36" customFormat="1" ht="12.75" thickBot="1">
      <c r="A7" s="38" t="s">
        <v>279</v>
      </c>
      <c r="F7" s="1290"/>
      <c r="I7" s="37" t="s">
        <v>280</v>
      </c>
    </row>
    <row r="8" spans="1:11" s="8" customFormat="1" ht="48.75" thickBot="1">
      <c r="A8" s="79" t="s">
        <v>17</v>
      </c>
      <c r="B8" s="93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771" t="s">
        <v>254</v>
      </c>
      <c r="D9" s="1772"/>
      <c r="E9" s="1772"/>
      <c r="F9" s="1772"/>
      <c r="G9" s="1772"/>
      <c r="H9" s="1772"/>
      <c r="I9" s="1773"/>
    </row>
    <row r="10" spans="1:11" s="3" customFormat="1" ht="12.75" thickBot="1">
      <c r="A10" s="95" t="s">
        <v>4</v>
      </c>
      <c r="B10" s="63" t="s">
        <v>296</v>
      </c>
      <c r="C10" s="401">
        <f>+C11+C25+C32+C44</f>
        <v>21571</v>
      </c>
      <c r="D10" s="1060">
        <f>+D11+D25+D32+D44</f>
        <v>11346</v>
      </c>
      <c r="E10" s="131">
        <f>+E11+E25+E32+E44</f>
        <v>10133</v>
      </c>
      <c r="F10" s="1315">
        <f>IF(ISERROR(E10/D10),"-",E10/D10)</f>
        <v>0.89309007579763788</v>
      </c>
      <c r="G10" s="31">
        <f>+G11+G25+G32+G44</f>
        <v>10133</v>
      </c>
      <c r="H10" s="32">
        <f>+H11+H25+H32+H44</f>
        <v>0</v>
      </c>
      <c r="I10" s="33">
        <f>+I11+I25+I32+I44</f>
        <v>0</v>
      </c>
      <c r="K10" s="3">
        <f t="shared" ref="K10:K41" si="0">+E10-G10-H10-I10</f>
        <v>0</v>
      </c>
    </row>
    <row r="11" spans="1:11" s="3" customFormat="1" ht="12.75" thickBot="1">
      <c r="A11" s="83" t="s">
        <v>5</v>
      </c>
      <c r="B11" s="64" t="s">
        <v>297</v>
      </c>
      <c r="C11" s="129">
        <f>+C12+C19+C20+C21+C22+C23</f>
        <v>0</v>
      </c>
      <c r="D11" s="1061">
        <f>+D12+D19+D20+D21+D22+D23</f>
        <v>0</v>
      </c>
      <c r="E11" s="28">
        <f>+E12+E19+E20+E21+E22+E23</f>
        <v>0</v>
      </c>
      <c r="F11" s="1316" t="str">
        <f t="shared" ref="F11:F74" si="1">IF(ISERROR(E11/D11),"-",E11/D11)</f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si="0"/>
        <v>0</v>
      </c>
    </row>
    <row r="12" spans="1:11" s="3" customFormat="1">
      <c r="A12" s="84" t="s">
        <v>54</v>
      </c>
      <c r="B12" s="65" t="s">
        <v>298</v>
      </c>
      <c r="C12" s="398">
        <f>+C13+C14+C15+C16+C17+C18</f>
        <v>0</v>
      </c>
      <c r="D12" s="1062">
        <f>+D13+D14+D15+D16+D17+D18</f>
        <v>0</v>
      </c>
      <c r="E12" s="10">
        <f>+E13+E14+E15+E16+E17+E18</f>
        <v>0</v>
      </c>
      <c r="F12" s="1317" t="str">
        <f t="shared" si="1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0"/>
        <v>0</v>
      </c>
    </row>
    <row r="13" spans="1:11" s="13" customFormat="1">
      <c r="A13" s="86" t="s">
        <v>189</v>
      </c>
      <c r="B13" s="66" t="s">
        <v>93</v>
      </c>
      <c r="C13" s="394"/>
      <c r="D13" s="1063"/>
      <c r="E13" s="12"/>
      <c r="F13" s="1318" t="str">
        <f t="shared" si="1"/>
        <v>-</v>
      </c>
      <c r="G13" s="19"/>
      <c r="H13" s="12"/>
      <c r="I13" s="15"/>
      <c r="K13" s="13">
        <f t="shared" si="0"/>
        <v>0</v>
      </c>
    </row>
    <row r="14" spans="1:11" s="13" customFormat="1">
      <c r="A14" s="86" t="s">
        <v>190</v>
      </c>
      <c r="B14" s="66" t="s">
        <v>94</v>
      </c>
      <c r="C14" s="394"/>
      <c r="D14" s="1063"/>
      <c r="E14" s="12"/>
      <c r="F14" s="1318" t="str">
        <f t="shared" si="1"/>
        <v>-</v>
      </c>
      <c r="G14" s="19"/>
      <c r="H14" s="12"/>
      <c r="I14" s="15"/>
      <c r="K14" s="13">
        <f t="shared" si="0"/>
        <v>0</v>
      </c>
    </row>
    <row r="15" spans="1:11" s="13" customFormat="1">
      <c r="A15" s="86" t="s">
        <v>191</v>
      </c>
      <c r="B15" s="66" t="s">
        <v>95</v>
      </c>
      <c r="C15" s="394"/>
      <c r="D15" s="1063"/>
      <c r="E15" s="12"/>
      <c r="F15" s="1318" t="str">
        <f t="shared" si="1"/>
        <v>-</v>
      </c>
      <c r="G15" s="19"/>
      <c r="H15" s="12"/>
      <c r="I15" s="15"/>
      <c r="K15" s="13">
        <f t="shared" si="0"/>
        <v>0</v>
      </c>
    </row>
    <row r="16" spans="1:11" s="13" customFormat="1">
      <c r="A16" s="86" t="s">
        <v>192</v>
      </c>
      <c r="B16" s="66" t="s">
        <v>96</v>
      </c>
      <c r="C16" s="394"/>
      <c r="D16" s="1063"/>
      <c r="E16" s="12"/>
      <c r="F16" s="1318" t="str">
        <f t="shared" si="1"/>
        <v>-</v>
      </c>
      <c r="G16" s="19"/>
      <c r="H16" s="12"/>
      <c r="I16" s="15"/>
      <c r="K16" s="13">
        <f t="shared" si="0"/>
        <v>0</v>
      </c>
    </row>
    <row r="17" spans="1:11" s="13" customFormat="1">
      <c r="A17" s="86" t="s">
        <v>193</v>
      </c>
      <c r="B17" s="66" t="s">
        <v>891</v>
      </c>
      <c r="C17" s="394"/>
      <c r="D17" s="1063"/>
      <c r="E17" s="12"/>
      <c r="F17" s="1319" t="str">
        <f t="shared" si="1"/>
        <v>-</v>
      </c>
      <c r="G17" s="19"/>
      <c r="H17" s="12"/>
      <c r="I17" s="15"/>
      <c r="K17" s="13">
        <f t="shared" si="0"/>
        <v>0</v>
      </c>
    </row>
    <row r="18" spans="1:11" s="13" customFormat="1">
      <c r="A18" s="86" t="s">
        <v>194</v>
      </c>
      <c r="B18" s="66" t="s">
        <v>892</v>
      </c>
      <c r="C18" s="394"/>
      <c r="D18" s="1063"/>
      <c r="E18" s="12"/>
      <c r="F18" s="1319" t="str">
        <f t="shared" si="1"/>
        <v>-</v>
      </c>
      <c r="G18" s="19"/>
      <c r="H18" s="12"/>
      <c r="I18" s="15"/>
      <c r="K18" s="13">
        <f t="shared" si="0"/>
        <v>0</v>
      </c>
    </row>
    <row r="19" spans="1:11">
      <c r="A19" s="85" t="s">
        <v>55</v>
      </c>
      <c r="B19" s="67" t="s">
        <v>97</v>
      </c>
      <c r="C19" s="396"/>
      <c r="D19" s="1064"/>
      <c r="E19" s="11"/>
      <c r="F19" s="1318" t="str">
        <f t="shared" si="1"/>
        <v>-</v>
      </c>
      <c r="G19" s="20"/>
      <c r="H19" s="11"/>
      <c r="I19" s="16"/>
      <c r="K19" s="4">
        <f t="shared" si="0"/>
        <v>0</v>
      </c>
    </row>
    <row r="20" spans="1:11">
      <c r="A20" s="85" t="s">
        <v>83</v>
      </c>
      <c r="B20" s="67" t="s">
        <v>98</v>
      </c>
      <c r="C20" s="396"/>
      <c r="D20" s="1064"/>
      <c r="E20" s="11"/>
      <c r="F20" s="1318" t="str">
        <f t="shared" si="1"/>
        <v>-</v>
      </c>
      <c r="G20" s="20"/>
      <c r="H20" s="11"/>
      <c r="I20" s="16"/>
      <c r="K20" s="4">
        <f t="shared" si="0"/>
        <v>0</v>
      </c>
    </row>
    <row r="21" spans="1:11">
      <c r="A21" s="85" t="s">
        <v>84</v>
      </c>
      <c r="B21" s="67" t="s">
        <v>99</v>
      </c>
      <c r="C21" s="396"/>
      <c r="D21" s="1064"/>
      <c r="E21" s="11"/>
      <c r="F21" s="1318" t="str">
        <f t="shared" si="1"/>
        <v>-</v>
      </c>
      <c r="G21" s="20"/>
      <c r="H21" s="11"/>
      <c r="I21" s="16"/>
      <c r="K21" s="4">
        <f t="shared" si="0"/>
        <v>0</v>
      </c>
    </row>
    <row r="22" spans="1:11">
      <c r="A22" s="85" t="s">
        <v>85</v>
      </c>
      <c r="B22" s="67" t="s">
        <v>100</v>
      </c>
      <c r="C22" s="396"/>
      <c r="D22" s="1064"/>
      <c r="E22" s="11"/>
      <c r="F22" s="1318" t="str">
        <f t="shared" si="1"/>
        <v>-</v>
      </c>
      <c r="G22" s="20"/>
      <c r="H22" s="11"/>
      <c r="I22" s="16"/>
      <c r="K22" s="4">
        <f t="shared" si="0"/>
        <v>0</v>
      </c>
    </row>
    <row r="23" spans="1:11">
      <c r="A23" s="78" t="s">
        <v>86</v>
      </c>
      <c r="B23" s="68" t="s">
        <v>101</v>
      </c>
      <c r="C23" s="397"/>
      <c r="D23" s="1065"/>
      <c r="E23" s="22"/>
      <c r="F23" s="1320" t="str">
        <f t="shared" si="1"/>
        <v>-</v>
      </c>
      <c r="G23" s="21"/>
      <c r="H23" s="22"/>
      <c r="I23" s="23"/>
      <c r="K23" s="4">
        <f t="shared" si="0"/>
        <v>0</v>
      </c>
    </row>
    <row r="24" spans="1:11" s="13" customFormat="1" ht="12.75" thickBot="1">
      <c r="A24" s="89" t="s">
        <v>331</v>
      </c>
      <c r="B24" s="751" t="s">
        <v>332</v>
      </c>
      <c r="C24" s="395"/>
      <c r="D24" s="1066"/>
      <c r="E24" s="43"/>
      <c r="F24" s="1320" t="str">
        <f t="shared" si="1"/>
        <v>-</v>
      </c>
      <c r="G24" s="45"/>
      <c r="H24" s="43"/>
      <c r="I24" s="44"/>
      <c r="K24" s="13">
        <f t="shared" si="0"/>
        <v>0</v>
      </c>
    </row>
    <row r="25" spans="1:11" s="3" customFormat="1" ht="12.75" thickBot="1">
      <c r="A25" s="83" t="s">
        <v>6</v>
      </c>
      <c r="B25" s="64" t="s">
        <v>778</v>
      </c>
      <c r="C25" s="129">
        <f>+C26+C27+C28+C29+C30+C31</f>
        <v>0</v>
      </c>
      <c r="D25" s="1061">
        <f>+D26+D27+D28+D29+D30+D31</f>
        <v>0</v>
      </c>
      <c r="E25" s="28">
        <f>+E26+E27+E28+E29+E30+E31</f>
        <v>0</v>
      </c>
      <c r="F25" s="1316" t="str">
        <f t="shared" si="1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0"/>
        <v>0</v>
      </c>
    </row>
    <row r="26" spans="1:11">
      <c r="A26" s="84" t="s">
        <v>58</v>
      </c>
      <c r="B26" s="65" t="s">
        <v>102</v>
      </c>
      <c r="C26" s="398"/>
      <c r="D26" s="1062"/>
      <c r="E26" s="10"/>
      <c r="F26" s="1317" t="str">
        <f t="shared" si="1"/>
        <v>-</v>
      </c>
      <c r="G26" s="34"/>
      <c r="H26" s="10"/>
      <c r="I26" s="35"/>
      <c r="K26" s="4">
        <f t="shared" si="0"/>
        <v>0</v>
      </c>
    </row>
    <row r="27" spans="1:11">
      <c r="A27" s="85" t="s">
        <v>59</v>
      </c>
      <c r="B27" s="67" t="s">
        <v>103</v>
      </c>
      <c r="C27" s="396"/>
      <c r="D27" s="1064"/>
      <c r="E27" s="11"/>
      <c r="F27" s="1318" t="str">
        <f t="shared" si="1"/>
        <v>-</v>
      </c>
      <c r="G27" s="20"/>
      <c r="H27" s="11"/>
      <c r="I27" s="16"/>
      <c r="K27" s="4">
        <f t="shared" si="0"/>
        <v>0</v>
      </c>
    </row>
    <row r="28" spans="1:11">
      <c r="A28" s="85" t="s">
        <v>60</v>
      </c>
      <c r="B28" s="67" t="s">
        <v>104</v>
      </c>
      <c r="C28" s="396"/>
      <c r="D28" s="1064"/>
      <c r="E28" s="11"/>
      <c r="F28" s="1318" t="str">
        <f t="shared" si="1"/>
        <v>-</v>
      </c>
      <c r="G28" s="20"/>
      <c r="H28" s="11"/>
      <c r="I28" s="16"/>
      <c r="K28" s="4">
        <f t="shared" si="0"/>
        <v>0</v>
      </c>
    </row>
    <row r="29" spans="1:11">
      <c r="A29" s="85" t="s">
        <v>179</v>
      </c>
      <c r="B29" s="67" t="s">
        <v>105</v>
      </c>
      <c r="C29" s="396"/>
      <c r="D29" s="1064"/>
      <c r="E29" s="11"/>
      <c r="F29" s="1318" t="str">
        <f t="shared" si="1"/>
        <v>-</v>
      </c>
      <c r="G29" s="20"/>
      <c r="H29" s="11"/>
      <c r="I29" s="16"/>
      <c r="K29" s="4">
        <f t="shared" si="0"/>
        <v>0</v>
      </c>
    </row>
    <row r="30" spans="1:11">
      <c r="A30" s="78" t="s">
        <v>180</v>
      </c>
      <c r="B30" s="68" t="s">
        <v>106</v>
      </c>
      <c r="C30" s="397"/>
      <c r="D30" s="1065"/>
      <c r="E30" s="22"/>
      <c r="F30" s="1320" t="str">
        <f t="shared" si="1"/>
        <v>-</v>
      </c>
      <c r="G30" s="20"/>
      <c r="H30" s="11"/>
      <c r="I30" s="16"/>
      <c r="K30" s="4">
        <f t="shared" si="0"/>
        <v>0</v>
      </c>
    </row>
    <row r="31" spans="1:11" ht="12.75" thickBot="1">
      <c r="A31" s="78" t="s">
        <v>777</v>
      </c>
      <c r="B31" s="68" t="s">
        <v>779</v>
      </c>
      <c r="C31" s="397"/>
      <c r="D31" s="1065"/>
      <c r="E31" s="22"/>
      <c r="F31" s="1320" t="str">
        <f t="shared" si="1"/>
        <v>-</v>
      </c>
      <c r="G31" s="20"/>
      <c r="H31" s="11"/>
      <c r="I31" s="16"/>
      <c r="K31" s="4">
        <f t="shared" si="0"/>
        <v>0</v>
      </c>
    </row>
    <row r="32" spans="1:11" s="3" customFormat="1" ht="12.75" thickBot="1">
      <c r="A32" s="83" t="s">
        <v>3</v>
      </c>
      <c r="B32" s="64" t="s">
        <v>964</v>
      </c>
      <c r="C32" s="129">
        <f>+C33+C34+C35+C36+C37+C38+C39+C40+C41+C42+C43</f>
        <v>21571</v>
      </c>
      <c r="D32" s="1061">
        <f>+D33+D34+D35+D36+D37+D38+D39+D40+D41+D42+D43</f>
        <v>11346</v>
      </c>
      <c r="E32" s="28">
        <f>+E33+E34+E35+E36+E37+E38+E39+E40+E41+E42+E43</f>
        <v>10133</v>
      </c>
      <c r="F32" s="1316">
        <f t="shared" si="1"/>
        <v>0.89309007579763788</v>
      </c>
      <c r="G32" s="27">
        <f>+G33+G34+G35+G36+G37+G38+G39+G40+G41+G42+G43</f>
        <v>10133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0"/>
        <v>0</v>
      </c>
    </row>
    <row r="33" spans="1:11">
      <c r="A33" s="84" t="s">
        <v>61</v>
      </c>
      <c r="B33" s="65" t="s">
        <v>1539</v>
      </c>
      <c r="C33" s="398"/>
      <c r="D33" s="1062"/>
      <c r="E33" s="10"/>
      <c r="F33" s="1317" t="str">
        <f t="shared" si="1"/>
        <v>-</v>
      </c>
      <c r="G33" s="34"/>
      <c r="H33" s="10"/>
      <c r="I33" s="35"/>
      <c r="K33" s="4">
        <f t="shared" si="0"/>
        <v>0</v>
      </c>
    </row>
    <row r="34" spans="1:11">
      <c r="A34" s="85" t="s">
        <v>62</v>
      </c>
      <c r="B34" s="67" t="s">
        <v>107</v>
      </c>
      <c r="C34" s="396">
        <v>4724</v>
      </c>
      <c r="D34" s="1064">
        <v>28</v>
      </c>
      <c r="E34" s="11"/>
      <c r="F34" s="1318">
        <f t="shared" si="1"/>
        <v>0</v>
      </c>
      <c r="G34" s="20"/>
      <c r="H34" s="11"/>
      <c r="I34" s="16"/>
      <c r="K34" s="4">
        <f t="shared" si="0"/>
        <v>0</v>
      </c>
    </row>
    <row r="35" spans="1:11">
      <c r="A35" s="85" t="s">
        <v>63</v>
      </c>
      <c r="B35" s="67" t="s">
        <v>108</v>
      </c>
      <c r="C35" s="396">
        <v>2000</v>
      </c>
      <c r="D35" s="1064">
        <v>97</v>
      </c>
      <c r="E35" s="11">
        <v>97</v>
      </c>
      <c r="F35" s="1318">
        <f t="shared" si="1"/>
        <v>1</v>
      </c>
      <c r="G35" s="20">
        <v>97</v>
      </c>
      <c r="H35" s="11"/>
      <c r="I35" s="16"/>
      <c r="K35" s="4">
        <f t="shared" si="0"/>
        <v>0</v>
      </c>
    </row>
    <row r="36" spans="1:11">
      <c r="A36" s="85" t="s">
        <v>64</v>
      </c>
      <c r="B36" s="67" t="s">
        <v>109</v>
      </c>
      <c r="C36" s="396"/>
      <c r="D36" s="1064"/>
      <c r="E36" s="11"/>
      <c r="F36" s="1318" t="str">
        <f t="shared" si="1"/>
        <v>-</v>
      </c>
      <c r="G36" s="20"/>
      <c r="H36" s="11"/>
      <c r="I36" s="16"/>
      <c r="K36" s="4">
        <f t="shared" si="0"/>
        <v>0</v>
      </c>
    </row>
    <row r="37" spans="1:11">
      <c r="A37" s="85" t="s">
        <v>65</v>
      </c>
      <c r="B37" s="67" t="s">
        <v>110</v>
      </c>
      <c r="C37" s="396">
        <v>9645</v>
      </c>
      <c r="D37" s="1064">
        <v>6484</v>
      </c>
      <c r="E37" s="11">
        <v>5953</v>
      </c>
      <c r="F37" s="1318">
        <f t="shared" si="1"/>
        <v>0.91810610734114739</v>
      </c>
      <c r="G37" s="20">
        <v>5953</v>
      </c>
      <c r="H37" s="11"/>
      <c r="I37" s="16"/>
      <c r="K37" s="4">
        <f t="shared" si="0"/>
        <v>0</v>
      </c>
    </row>
    <row r="38" spans="1:11">
      <c r="A38" s="85" t="s">
        <v>221</v>
      </c>
      <c r="B38" s="67" t="s">
        <v>111</v>
      </c>
      <c r="C38" s="396">
        <v>4419</v>
      </c>
      <c r="D38" s="1064">
        <v>1777</v>
      </c>
      <c r="E38" s="11">
        <v>1633</v>
      </c>
      <c r="F38" s="1318">
        <f t="shared" si="1"/>
        <v>0.91896454698930785</v>
      </c>
      <c r="G38" s="20">
        <v>1633</v>
      </c>
      <c r="H38" s="11"/>
      <c r="I38" s="16"/>
      <c r="K38" s="4">
        <f t="shared" si="0"/>
        <v>0</v>
      </c>
    </row>
    <row r="39" spans="1:11">
      <c r="A39" s="85" t="s">
        <v>222</v>
      </c>
      <c r="B39" s="67" t="s">
        <v>112</v>
      </c>
      <c r="C39" s="396">
        <v>783</v>
      </c>
      <c r="D39" s="1064">
        <v>2875</v>
      </c>
      <c r="E39" s="11">
        <v>2365</v>
      </c>
      <c r="F39" s="1318">
        <f t="shared" si="1"/>
        <v>0.82260869565217387</v>
      </c>
      <c r="G39" s="20">
        <v>2365</v>
      </c>
      <c r="H39" s="11"/>
      <c r="I39" s="16"/>
      <c r="K39" s="4">
        <f t="shared" si="0"/>
        <v>0</v>
      </c>
    </row>
    <row r="40" spans="1:11">
      <c r="A40" s="85" t="s">
        <v>223</v>
      </c>
      <c r="B40" s="67" t="s">
        <v>974</v>
      </c>
      <c r="C40" s="396"/>
      <c r="D40" s="1064"/>
      <c r="E40" s="11"/>
      <c r="F40" s="1318" t="str">
        <f t="shared" si="1"/>
        <v>-</v>
      </c>
      <c r="G40" s="20"/>
      <c r="H40" s="11"/>
      <c r="I40" s="16"/>
      <c r="K40" s="4">
        <f t="shared" si="0"/>
        <v>0</v>
      </c>
    </row>
    <row r="41" spans="1:11">
      <c r="A41" s="85" t="s">
        <v>224</v>
      </c>
      <c r="B41" s="67" t="s">
        <v>113</v>
      </c>
      <c r="C41" s="396"/>
      <c r="D41" s="1064"/>
      <c r="E41" s="11"/>
      <c r="F41" s="1318" t="str">
        <f t="shared" si="1"/>
        <v>-</v>
      </c>
      <c r="G41" s="20"/>
      <c r="H41" s="11"/>
      <c r="I41" s="16"/>
      <c r="K41" s="4">
        <f t="shared" si="0"/>
        <v>0</v>
      </c>
    </row>
    <row r="42" spans="1:11">
      <c r="A42" s="78" t="s">
        <v>225</v>
      </c>
      <c r="B42" s="68" t="s">
        <v>894</v>
      </c>
      <c r="C42" s="396"/>
      <c r="D42" s="1064"/>
      <c r="E42" s="11"/>
      <c r="F42" s="1318" t="str">
        <f t="shared" si="1"/>
        <v>-</v>
      </c>
      <c r="G42" s="20"/>
      <c r="H42" s="11"/>
      <c r="I42" s="16"/>
      <c r="K42" s="4">
        <f t="shared" ref="K42:K73" si="2">+E42-G42-H42-I42</f>
        <v>0</v>
      </c>
    </row>
    <row r="43" spans="1:11" ht="12.75" thickBot="1">
      <c r="A43" s="78" t="s">
        <v>893</v>
      </c>
      <c r="B43" s="68" t="s">
        <v>895</v>
      </c>
      <c r="C43" s="397"/>
      <c r="D43" s="1065">
        <v>85</v>
      </c>
      <c r="E43" s="22">
        <v>85</v>
      </c>
      <c r="F43" s="1320">
        <f t="shared" si="1"/>
        <v>1</v>
      </c>
      <c r="G43" s="21">
        <v>85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965</v>
      </c>
      <c r="C44" s="129">
        <f>+C45+C46+C47+C48+C49</f>
        <v>0</v>
      </c>
      <c r="D44" s="1061">
        <f>+D45+D46+D47+D48+D49</f>
        <v>0</v>
      </c>
      <c r="E44" s="28">
        <f>+E45+E46+E47+E48+E49</f>
        <v>0</v>
      </c>
      <c r="F44" s="1316" t="str">
        <f t="shared" si="1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>
      <c r="A45" s="84" t="s">
        <v>226</v>
      </c>
      <c r="B45" s="65" t="s">
        <v>114</v>
      </c>
      <c r="C45" s="398"/>
      <c r="D45" s="1062"/>
      <c r="E45" s="10"/>
      <c r="F45" s="1317" t="str">
        <f t="shared" si="1"/>
        <v>-</v>
      </c>
      <c r="G45" s="34"/>
      <c r="H45" s="10"/>
      <c r="I45" s="35"/>
      <c r="K45" s="4">
        <f t="shared" si="2"/>
        <v>0</v>
      </c>
    </row>
    <row r="46" spans="1:11">
      <c r="A46" s="84" t="s">
        <v>227</v>
      </c>
      <c r="B46" s="65" t="s">
        <v>896</v>
      </c>
      <c r="C46" s="398"/>
      <c r="D46" s="1062"/>
      <c r="E46" s="10"/>
      <c r="F46" s="1317" t="str">
        <f t="shared" si="1"/>
        <v>-</v>
      </c>
      <c r="G46" s="34"/>
      <c r="H46" s="10"/>
      <c r="I46" s="35"/>
      <c r="K46" s="4">
        <f t="shared" si="2"/>
        <v>0</v>
      </c>
    </row>
    <row r="47" spans="1:11">
      <c r="A47" s="84" t="s">
        <v>228</v>
      </c>
      <c r="B47" s="65" t="s">
        <v>897</v>
      </c>
      <c r="C47" s="398"/>
      <c r="D47" s="1062"/>
      <c r="E47" s="10"/>
      <c r="F47" s="1317" t="str">
        <f t="shared" si="1"/>
        <v>-</v>
      </c>
      <c r="G47" s="34"/>
      <c r="H47" s="10"/>
      <c r="I47" s="35"/>
      <c r="K47" s="4">
        <f t="shared" si="2"/>
        <v>0</v>
      </c>
    </row>
    <row r="48" spans="1:11">
      <c r="A48" s="85" t="s">
        <v>256</v>
      </c>
      <c r="B48" s="67" t="s">
        <v>898</v>
      </c>
      <c r="C48" s="396"/>
      <c r="D48" s="1064"/>
      <c r="E48" s="11"/>
      <c r="F48" s="1318" t="str">
        <f t="shared" si="1"/>
        <v>-</v>
      </c>
      <c r="G48" s="20"/>
      <c r="H48" s="11"/>
      <c r="I48" s="16"/>
      <c r="K48" s="4">
        <f t="shared" si="2"/>
        <v>0</v>
      </c>
    </row>
    <row r="49" spans="1:11" ht="12.75" thickBot="1">
      <c r="A49" s="78" t="s">
        <v>257</v>
      </c>
      <c r="B49" s="68" t="s">
        <v>899</v>
      </c>
      <c r="C49" s="397"/>
      <c r="D49" s="1065"/>
      <c r="E49" s="22"/>
      <c r="F49" s="1320" t="str">
        <f t="shared" si="1"/>
        <v>-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061">
        <f>+D51+D58+D64</f>
        <v>0</v>
      </c>
      <c r="E50" s="28">
        <f>+E51+E58+E64</f>
        <v>0</v>
      </c>
      <c r="F50" s="1316" t="str">
        <f t="shared" si="1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thickBot="1">
      <c r="A51" s="83" t="s">
        <v>14</v>
      </c>
      <c r="B51" s="64" t="s">
        <v>300</v>
      </c>
      <c r="C51" s="129">
        <f>+C52+C53+C54+C55+C56</f>
        <v>0</v>
      </c>
      <c r="D51" s="1061">
        <f>+D52+D53+D54+D55+D56</f>
        <v>0</v>
      </c>
      <c r="E51" s="28">
        <f>+E52+E53+E54+E55+E56</f>
        <v>0</v>
      </c>
      <c r="F51" s="1316" t="str">
        <f t="shared" si="1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398"/>
      <c r="D52" s="1062"/>
      <c r="E52" s="10"/>
      <c r="F52" s="1317" t="str">
        <f t="shared" si="1"/>
        <v>-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396"/>
      <c r="D53" s="1064"/>
      <c r="E53" s="11"/>
      <c r="F53" s="1318" t="str">
        <f t="shared" si="1"/>
        <v>-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396"/>
      <c r="D54" s="1064"/>
      <c r="E54" s="11"/>
      <c r="F54" s="1318" t="str">
        <f t="shared" si="1"/>
        <v>-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396"/>
      <c r="D55" s="1064"/>
      <c r="E55" s="11"/>
      <c r="F55" s="1318" t="str">
        <f t="shared" si="1"/>
        <v>-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397"/>
      <c r="D56" s="1065"/>
      <c r="E56" s="22"/>
      <c r="F56" s="1320" t="str">
        <f t="shared" si="1"/>
        <v>-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51" t="s">
        <v>337</v>
      </c>
      <c r="C57" s="395"/>
      <c r="D57" s="1066"/>
      <c r="E57" s="43"/>
      <c r="F57" s="1320" t="str">
        <f t="shared" si="1"/>
        <v>-</v>
      </c>
      <c r="G57" s="45"/>
      <c r="H57" s="43"/>
      <c r="I57" s="44"/>
      <c r="K57" s="13">
        <f t="shared" si="2"/>
        <v>0</v>
      </c>
    </row>
    <row r="58" spans="1:11" s="3" customFormat="1" ht="12.75" thickBot="1">
      <c r="A58" s="83" t="s">
        <v>13</v>
      </c>
      <c r="B58" s="64" t="s">
        <v>301</v>
      </c>
      <c r="C58" s="129">
        <f>+C59+C60+C61+C62+C63</f>
        <v>0</v>
      </c>
      <c r="D58" s="1061">
        <f>+D59+D60+D61+D62+D63</f>
        <v>0</v>
      </c>
      <c r="E58" s="28">
        <f>+E59+E60+E61+E62+E63</f>
        <v>0</v>
      </c>
      <c r="F58" s="1316" t="str">
        <f t="shared" si="1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>
      <c r="A59" s="84" t="s">
        <v>66</v>
      </c>
      <c r="B59" s="65" t="s">
        <v>120</v>
      </c>
      <c r="C59" s="398"/>
      <c r="D59" s="1062"/>
      <c r="E59" s="10"/>
      <c r="F59" s="1317" t="str">
        <f t="shared" si="1"/>
        <v>-</v>
      </c>
      <c r="G59" s="34"/>
      <c r="H59" s="10"/>
      <c r="I59" s="35"/>
      <c r="K59" s="4">
        <f t="shared" si="2"/>
        <v>0</v>
      </c>
    </row>
    <row r="60" spans="1:11">
      <c r="A60" s="85" t="s">
        <v>67</v>
      </c>
      <c r="B60" s="67" t="s">
        <v>121</v>
      </c>
      <c r="C60" s="396"/>
      <c r="D60" s="1064"/>
      <c r="E60" s="11"/>
      <c r="F60" s="1318" t="str">
        <f t="shared" si="1"/>
        <v>-</v>
      </c>
      <c r="G60" s="20"/>
      <c r="H60" s="11"/>
      <c r="I60" s="16"/>
      <c r="K60" s="4">
        <f t="shared" si="2"/>
        <v>0</v>
      </c>
    </row>
    <row r="61" spans="1:11">
      <c r="A61" s="85" t="s">
        <v>68</v>
      </c>
      <c r="B61" s="67" t="s">
        <v>122</v>
      </c>
      <c r="C61" s="396"/>
      <c r="D61" s="1064"/>
      <c r="E61" s="11"/>
      <c r="F61" s="1318" t="str">
        <f t="shared" si="1"/>
        <v>-</v>
      </c>
      <c r="G61" s="20"/>
      <c r="H61" s="11"/>
      <c r="I61" s="16"/>
      <c r="K61" s="4">
        <f t="shared" si="2"/>
        <v>0</v>
      </c>
    </row>
    <row r="62" spans="1:11">
      <c r="A62" s="85" t="s">
        <v>229</v>
      </c>
      <c r="B62" s="67" t="s">
        <v>123</v>
      </c>
      <c r="C62" s="396"/>
      <c r="D62" s="1064"/>
      <c r="E62" s="11"/>
      <c r="F62" s="1318" t="str">
        <f t="shared" si="1"/>
        <v>-</v>
      </c>
      <c r="G62" s="20"/>
      <c r="H62" s="11"/>
      <c r="I62" s="16"/>
      <c r="K62" s="4">
        <f t="shared" si="2"/>
        <v>0</v>
      </c>
    </row>
    <row r="63" spans="1:11" ht="12.75" thickBot="1">
      <c r="A63" s="78" t="s">
        <v>230</v>
      </c>
      <c r="B63" s="68" t="s">
        <v>124</v>
      </c>
      <c r="C63" s="397"/>
      <c r="D63" s="1065"/>
      <c r="E63" s="22"/>
      <c r="F63" s="1320" t="str">
        <f t="shared" si="1"/>
        <v>-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903</v>
      </c>
      <c r="C64" s="129">
        <f>+C65+C66+C67+C68+C69</f>
        <v>0</v>
      </c>
      <c r="D64" s="1061">
        <f>+D65+D66+D67+D68+D69</f>
        <v>0</v>
      </c>
      <c r="E64" s="28">
        <f>+E65+E66+E67+E68+E69</f>
        <v>0</v>
      </c>
      <c r="F64" s="1316" t="str">
        <f t="shared" si="1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6">
      <c r="A65" s="84" t="s">
        <v>69</v>
      </c>
      <c r="B65" s="65" t="s">
        <v>125</v>
      </c>
      <c r="C65" s="398"/>
      <c r="D65" s="1062"/>
      <c r="E65" s="10"/>
      <c r="F65" s="1317" t="str">
        <f t="shared" si="1"/>
        <v>-</v>
      </c>
      <c r="G65" s="34"/>
      <c r="H65" s="10"/>
      <c r="I65" s="35"/>
      <c r="K65" s="4">
        <f t="shared" si="2"/>
        <v>0</v>
      </c>
    </row>
    <row r="66" spans="1:16">
      <c r="A66" s="84" t="s">
        <v>70</v>
      </c>
      <c r="B66" s="65" t="s">
        <v>904</v>
      </c>
      <c r="C66" s="398"/>
      <c r="D66" s="1062"/>
      <c r="E66" s="10"/>
      <c r="F66" s="1317" t="str">
        <f t="shared" si="1"/>
        <v>-</v>
      </c>
      <c r="G66" s="34"/>
      <c r="H66" s="10"/>
      <c r="I66" s="35"/>
      <c r="K66" s="4">
        <f t="shared" si="2"/>
        <v>0</v>
      </c>
    </row>
    <row r="67" spans="1:16">
      <c r="A67" s="84" t="s">
        <v>71</v>
      </c>
      <c r="B67" s="65" t="s">
        <v>905</v>
      </c>
      <c r="C67" s="398"/>
      <c r="D67" s="1062"/>
      <c r="E67" s="10"/>
      <c r="F67" s="1317" t="str">
        <f t="shared" si="1"/>
        <v>-</v>
      </c>
      <c r="G67" s="34"/>
      <c r="H67" s="10"/>
      <c r="I67" s="35"/>
      <c r="K67" s="4">
        <f t="shared" si="2"/>
        <v>0</v>
      </c>
    </row>
    <row r="68" spans="1:16">
      <c r="A68" s="85" t="s">
        <v>72</v>
      </c>
      <c r="B68" s="67" t="s">
        <v>901</v>
      </c>
      <c r="C68" s="396"/>
      <c r="D68" s="1064"/>
      <c r="E68" s="11"/>
      <c r="F68" s="1318" t="str">
        <f t="shared" si="1"/>
        <v>-</v>
      </c>
      <c r="G68" s="20"/>
      <c r="H68" s="11"/>
      <c r="I68" s="16"/>
      <c r="K68" s="4">
        <f t="shared" si="2"/>
        <v>0</v>
      </c>
    </row>
    <row r="69" spans="1:16" ht="12.75" thickBot="1">
      <c r="A69" s="78" t="s">
        <v>900</v>
      </c>
      <c r="B69" s="68" t="s">
        <v>902</v>
      </c>
      <c r="C69" s="397"/>
      <c r="D69" s="1065"/>
      <c r="E69" s="22"/>
      <c r="F69" s="1320" t="str">
        <f t="shared" si="1"/>
        <v>-</v>
      </c>
      <c r="G69" s="21"/>
      <c r="H69" s="22"/>
      <c r="I69" s="23"/>
      <c r="K69" s="4">
        <f t="shared" si="2"/>
        <v>0</v>
      </c>
    </row>
    <row r="70" spans="1:16" s="3" customFormat="1" ht="12.75" thickBot="1">
      <c r="A70" s="83" t="s">
        <v>11</v>
      </c>
      <c r="B70" s="69" t="s">
        <v>302</v>
      </c>
      <c r="C70" s="129">
        <f>+C10+C50</f>
        <v>21571</v>
      </c>
      <c r="D70" s="1061">
        <f>+D10+D50</f>
        <v>11346</v>
      </c>
      <c r="E70" s="28">
        <f>+E10+E50</f>
        <v>10133</v>
      </c>
      <c r="F70" s="1316">
        <f t="shared" si="1"/>
        <v>0.89309007579763788</v>
      </c>
      <c r="G70" s="27">
        <f>+G10+G50</f>
        <v>10133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6" s="3" customFormat="1" ht="12.75" thickBot="1">
      <c r="A71" s="83" t="s">
        <v>10</v>
      </c>
      <c r="B71" s="70" t="s">
        <v>303</v>
      </c>
      <c r="C71" s="129">
        <f>+C72</f>
        <v>406646</v>
      </c>
      <c r="D71" s="1061">
        <f>+D72</f>
        <v>425421</v>
      </c>
      <c r="E71" s="28">
        <f>+E72</f>
        <v>403262</v>
      </c>
      <c r="F71" s="1316">
        <f t="shared" si="1"/>
        <v>0.9479127734644035</v>
      </c>
      <c r="G71" s="27">
        <f>+G72</f>
        <v>403262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6" s="3" customFormat="1" ht="12.75" thickBot="1">
      <c r="A72" s="83" t="s">
        <v>9</v>
      </c>
      <c r="B72" s="64" t="s">
        <v>912</v>
      </c>
      <c r="C72" s="129">
        <f>+C73+C83+C84+C85</f>
        <v>406646</v>
      </c>
      <c r="D72" s="1061">
        <f>+D73+D83+D84+D85</f>
        <v>425421</v>
      </c>
      <c r="E72" s="28">
        <f>+E73+E83+E84+E85</f>
        <v>403262</v>
      </c>
      <c r="F72" s="1316">
        <f t="shared" si="1"/>
        <v>0.9479127734644035</v>
      </c>
      <c r="G72" s="27">
        <f>+G73+G83+G84+G85</f>
        <v>403262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6">
      <c r="A73" s="84" t="s">
        <v>73</v>
      </c>
      <c r="B73" s="65" t="s">
        <v>907</v>
      </c>
      <c r="C73" s="398">
        <f>+C74+C75+C76+C77+C78+C79+C80+C81+C82</f>
        <v>406646</v>
      </c>
      <c r="D73" s="1062">
        <f>+D74+D75+D76+D77+D78+D79+D80+D81+D82</f>
        <v>425421</v>
      </c>
      <c r="E73" s="10">
        <f>+E74+E75+E76+E77+E78+E79+E80+E81+E82</f>
        <v>403262</v>
      </c>
      <c r="F73" s="1317">
        <f t="shared" si="1"/>
        <v>0.9479127734644035</v>
      </c>
      <c r="G73" s="34">
        <f>+G74+G75+G76+G77+G78+G79+G80+G81+G82</f>
        <v>403262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6" s="13" customFormat="1">
      <c r="A74" s="86" t="s">
        <v>195</v>
      </c>
      <c r="B74" s="66" t="s">
        <v>906</v>
      </c>
      <c r="C74" s="394"/>
      <c r="D74" s="1063"/>
      <c r="E74" s="12"/>
      <c r="F74" s="1318" t="str">
        <f t="shared" si="1"/>
        <v>-</v>
      </c>
      <c r="G74" s="19"/>
      <c r="H74" s="12"/>
      <c r="I74" s="15"/>
      <c r="K74" s="13">
        <f t="shared" ref="K74:K102" si="3">+E74-G74-H74-I74</f>
        <v>0</v>
      </c>
    </row>
    <row r="75" spans="1:16" s="13" customFormat="1">
      <c r="A75" s="86" t="s">
        <v>196</v>
      </c>
      <c r="B75" s="66" t="s">
        <v>246</v>
      </c>
      <c r="C75" s="394"/>
      <c r="D75" s="1063"/>
      <c r="E75" s="12"/>
      <c r="F75" s="1318" t="str">
        <f t="shared" ref="F75:F102" si="4">IF(ISERROR(E75/D75),"-",E75/D75)</f>
        <v>-</v>
      </c>
      <c r="G75" s="19"/>
      <c r="H75" s="12"/>
      <c r="I75" s="15"/>
      <c r="K75" s="13">
        <f t="shared" si="3"/>
        <v>0</v>
      </c>
    </row>
    <row r="76" spans="1:16" s="13" customFormat="1">
      <c r="A76" s="86" t="s">
        <v>197</v>
      </c>
      <c r="B76" s="66" t="s">
        <v>247</v>
      </c>
      <c r="C76" s="394"/>
      <c r="D76" s="1063">
        <v>315</v>
      </c>
      <c r="E76" s="12">
        <v>315</v>
      </c>
      <c r="F76" s="1318">
        <f t="shared" si="4"/>
        <v>1</v>
      </c>
      <c r="G76" s="19">
        <v>315</v>
      </c>
      <c r="H76" s="12"/>
      <c r="I76" s="15"/>
      <c r="K76" s="13">
        <f t="shared" si="3"/>
        <v>0</v>
      </c>
    </row>
    <row r="77" spans="1:16" s="13" customFormat="1">
      <c r="A77" s="86" t="s">
        <v>198</v>
      </c>
      <c r="B77" s="66" t="s">
        <v>248</v>
      </c>
      <c r="C77" s="394"/>
      <c r="D77" s="1063"/>
      <c r="E77" s="12"/>
      <c r="F77" s="1318" t="str">
        <f t="shared" si="4"/>
        <v>-</v>
      </c>
      <c r="G77" s="19"/>
      <c r="H77" s="12"/>
      <c r="I77" s="15"/>
      <c r="K77" s="13">
        <f t="shared" si="3"/>
        <v>0</v>
      </c>
    </row>
    <row r="78" spans="1:16" s="13" customFormat="1">
      <c r="A78" s="86" t="s">
        <v>199</v>
      </c>
      <c r="B78" s="66" t="s">
        <v>249</v>
      </c>
      <c r="C78" s="394"/>
      <c r="D78" s="1063"/>
      <c r="E78" s="12"/>
      <c r="F78" s="1318" t="str">
        <f t="shared" si="4"/>
        <v>-</v>
      </c>
      <c r="G78" s="19"/>
      <c r="H78" s="12"/>
      <c r="I78" s="15"/>
      <c r="K78" s="13">
        <f t="shared" si="3"/>
        <v>0</v>
      </c>
    </row>
    <row r="79" spans="1:16" s="13" customFormat="1">
      <c r="A79" s="108" t="s">
        <v>200</v>
      </c>
      <c r="B79" s="109" t="s">
        <v>250</v>
      </c>
      <c r="C79" s="394">
        <f>+C109-C10+C178-C74-C75-C76-C77-C78-C80-C81-C83-C84-C85</f>
        <v>406646</v>
      </c>
      <c r="D79" s="1063">
        <f>+D109-D10+D178-D74-D75-D76-D77-D78-D80-D81-D83-D84-D85</f>
        <v>425106</v>
      </c>
      <c r="E79" s="1063">
        <f>403627-E94</f>
        <v>402947</v>
      </c>
      <c r="F79" s="1296">
        <f t="shared" si="4"/>
        <v>0.94787417726402357</v>
      </c>
      <c r="G79" s="19">
        <v>402947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3"/>
        <v>0</v>
      </c>
      <c r="M79" s="13">
        <v>425786</v>
      </c>
      <c r="N79" s="13">
        <f>+M79-D79-D94</f>
        <v>0</v>
      </c>
      <c r="O79" s="13">
        <v>403627</v>
      </c>
      <c r="P79" s="13">
        <f>+O79-E79-E94</f>
        <v>0</v>
      </c>
    </row>
    <row r="80" spans="1:16" s="13" customFormat="1">
      <c r="A80" s="86" t="s">
        <v>203</v>
      </c>
      <c r="B80" s="66" t="s">
        <v>251</v>
      </c>
      <c r="C80" s="394"/>
      <c r="D80" s="1063"/>
      <c r="E80" s="12"/>
      <c r="F80" s="1318" t="str">
        <f t="shared" si="4"/>
        <v>-</v>
      </c>
      <c r="G80" s="19"/>
      <c r="H80" s="12"/>
      <c r="I80" s="15"/>
      <c r="K80" s="117">
        <f t="shared" si="3"/>
        <v>0</v>
      </c>
    </row>
    <row r="81" spans="1:11" s="13" customFormat="1">
      <c r="A81" s="86" t="s">
        <v>201</v>
      </c>
      <c r="B81" s="66" t="s">
        <v>244</v>
      </c>
      <c r="C81" s="394"/>
      <c r="D81" s="1063"/>
      <c r="E81" s="12"/>
      <c r="F81" s="1318" t="str">
        <f t="shared" si="4"/>
        <v>-</v>
      </c>
      <c r="G81" s="19"/>
      <c r="H81" s="12"/>
      <c r="I81" s="15"/>
      <c r="K81" s="117">
        <f t="shared" si="3"/>
        <v>0</v>
      </c>
    </row>
    <row r="82" spans="1:11" s="13" customFormat="1">
      <c r="A82" s="86" t="s">
        <v>908</v>
      </c>
      <c r="B82" s="66" t="s">
        <v>909</v>
      </c>
      <c r="C82" s="394"/>
      <c r="D82" s="1063"/>
      <c r="E82" s="12"/>
      <c r="F82" s="1318" t="str">
        <f t="shared" si="4"/>
        <v>-</v>
      </c>
      <c r="G82" s="19"/>
      <c r="H82" s="12"/>
      <c r="I82" s="15"/>
      <c r="K82" s="117">
        <f t="shared" si="3"/>
        <v>0</v>
      </c>
    </row>
    <row r="83" spans="1:11">
      <c r="A83" s="85" t="s">
        <v>74</v>
      </c>
      <c r="B83" s="67" t="s">
        <v>242</v>
      </c>
      <c r="C83" s="396"/>
      <c r="D83" s="1064"/>
      <c r="E83" s="11"/>
      <c r="F83" s="1318" t="str">
        <f t="shared" si="4"/>
        <v>-</v>
      </c>
      <c r="G83" s="20"/>
      <c r="H83" s="11"/>
      <c r="I83" s="16"/>
      <c r="K83" s="118">
        <f t="shared" si="3"/>
        <v>0</v>
      </c>
    </row>
    <row r="84" spans="1:11">
      <c r="A84" s="78" t="s">
        <v>202</v>
      </c>
      <c r="B84" s="68" t="s">
        <v>243</v>
      </c>
      <c r="C84" s="397"/>
      <c r="D84" s="1065"/>
      <c r="E84" s="22"/>
      <c r="F84" s="1320" t="str">
        <f t="shared" si="4"/>
        <v>-</v>
      </c>
      <c r="G84" s="21"/>
      <c r="H84" s="22"/>
      <c r="I84" s="23"/>
      <c r="K84" s="118">
        <f t="shared" si="3"/>
        <v>0</v>
      </c>
    </row>
    <row r="85" spans="1:11" ht="12.75" thickBot="1">
      <c r="A85" s="78" t="s">
        <v>910</v>
      </c>
      <c r="B85" s="68" t="s">
        <v>911</v>
      </c>
      <c r="C85" s="397"/>
      <c r="D85" s="1065"/>
      <c r="E85" s="22"/>
      <c r="F85" s="1320" t="str">
        <f t="shared" si="4"/>
        <v>-</v>
      </c>
      <c r="G85" s="21"/>
      <c r="H85" s="22"/>
      <c r="I85" s="23"/>
      <c r="K85" s="118">
        <f t="shared" si="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1100</v>
      </c>
      <c r="D86" s="1061">
        <f>+D87</f>
        <v>680</v>
      </c>
      <c r="E86" s="28">
        <f>+E87</f>
        <v>680</v>
      </c>
      <c r="F86" s="1316">
        <f t="shared" si="4"/>
        <v>1</v>
      </c>
      <c r="G86" s="27">
        <f>+G87</f>
        <v>680</v>
      </c>
      <c r="H86" s="28">
        <f>+H87</f>
        <v>0</v>
      </c>
      <c r="I86" s="29">
        <f>+I87</f>
        <v>0</v>
      </c>
      <c r="K86" s="119">
        <f t="shared" si="3"/>
        <v>0</v>
      </c>
    </row>
    <row r="87" spans="1:11" s="3" customFormat="1" ht="12.75" thickBot="1">
      <c r="A87" s="83" t="s">
        <v>44</v>
      </c>
      <c r="B87" s="64" t="s">
        <v>914</v>
      </c>
      <c r="C87" s="129">
        <f>+C88+C98+C99+C100</f>
        <v>1100</v>
      </c>
      <c r="D87" s="1061">
        <f>+D88+D98+D99+D100</f>
        <v>680</v>
      </c>
      <c r="E87" s="28">
        <f>+E88+E98+E99+E100</f>
        <v>680</v>
      </c>
      <c r="F87" s="1316">
        <f t="shared" si="4"/>
        <v>1</v>
      </c>
      <c r="G87" s="27">
        <f>+G88+G98+G99+G100</f>
        <v>680</v>
      </c>
      <c r="H87" s="28">
        <f>+H88+H98+H99+H100</f>
        <v>0</v>
      </c>
      <c r="I87" s="29">
        <f>+I88+I98+I99+I100</f>
        <v>0</v>
      </c>
      <c r="K87" s="119">
        <f t="shared" si="3"/>
        <v>0</v>
      </c>
    </row>
    <row r="88" spans="1:11">
      <c r="A88" s="84" t="s">
        <v>231</v>
      </c>
      <c r="B88" s="65" t="s">
        <v>966</v>
      </c>
      <c r="C88" s="398">
        <f>+C89+C90+C91+C92+C93+C94+C95+C96+C97</f>
        <v>1100</v>
      </c>
      <c r="D88" s="1062">
        <f>+D89+D90+D91+D92+D93+D94+D95+D96+D97</f>
        <v>680</v>
      </c>
      <c r="E88" s="10">
        <f>+E89+E90+E91+E92+E93+E94+E95+E96+E97</f>
        <v>680</v>
      </c>
      <c r="F88" s="1317">
        <f t="shared" si="4"/>
        <v>1</v>
      </c>
      <c r="G88" s="34">
        <f>+G89+G90+G91+G92+G93+G94+G95+G96+G97</f>
        <v>680</v>
      </c>
      <c r="H88" s="10">
        <f>+H89+H90+H91+H92+H93+H94+H95+H96+H97</f>
        <v>0</v>
      </c>
      <c r="I88" s="35">
        <f>+I89+I90+I91+I92+I93+I94+I95+I96+I97</f>
        <v>0</v>
      </c>
      <c r="K88" s="118">
        <f t="shared" si="3"/>
        <v>0</v>
      </c>
    </row>
    <row r="89" spans="1:11" s="13" customFormat="1">
      <c r="A89" s="86" t="s">
        <v>232</v>
      </c>
      <c r="B89" s="66" t="s">
        <v>906</v>
      </c>
      <c r="C89" s="394"/>
      <c r="D89" s="1063"/>
      <c r="E89" s="12"/>
      <c r="F89" s="1318" t="str">
        <f t="shared" si="4"/>
        <v>-</v>
      </c>
      <c r="G89" s="19"/>
      <c r="H89" s="12"/>
      <c r="I89" s="15"/>
      <c r="K89" s="117">
        <f t="shared" si="3"/>
        <v>0</v>
      </c>
    </row>
    <row r="90" spans="1:11" s="13" customFormat="1">
      <c r="A90" s="86" t="s">
        <v>233</v>
      </c>
      <c r="B90" s="66" t="s">
        <v>246</v>
      </c>
      <c r="C90" s="394"/>
      <c r="D90" s="1063"/>
      <c r="E90" s="12"/>
      <c r="F90" s="1318" t="str">
        <f t="shared" si="4"/>
        <v>-</v>
      </c>
      <c r="G90" s="19"/>
      <c r="H90" s="12"/>
      <c r="I90" s="15"/>
      <c r="K90" s="117">
        <f t="shared" si="3"/>
        <v>0</v>
      </c>
    </row>
    <row r="91" spans="1:11" s="13" customFormat="1">
      <c r="A91" s="86" t="s">
        <v>234</v>
      </c>
      <c r="B91" s="66" t="s">
        <v>247</v>
      </c>
      <c r="C91" s="394"/>
      <c r="D91" s="1063"/>
      <c r="E91" s="12"/>
      <c r="F91" s="1318" t="str">
        <f t="shared" si="4"/>
        <v>-</v>
      </c>
      <c r="G91" s="19"/>
      <c r="H91" s="12"/>
      <c r="I91" s="15"/>
      <c r="K91" s="117">
        <f t="shared" si="3"/>
        <v>0</v>
      </c>
    </row>
    <row r="92" spans="1:11" s="13" customFormat="1">
      <c r="A92" s="86" t="s">
        <v>235</v>
      </c>
      <c r="B92" s="66" t="s">
        <v>248</v>
      </c>
      <c r="C92" s="394"/>
      <c r="D92" s="1063"/>
      <c r="E92" s="12"/>
      <c r="F92" s="1318" t="str">
        <f t="shared" si="4"/>
        <v>-</v>
      </c>
      <c r="G92" s="19"/>
      <c r="H92" s="12"/>
      <c r="I92" s="15"/>
      <c r="K92" s="117">
        <f t="shared" si="3"/>
        <v>0</v>
      </c>
    </row>
    <row r="93" spans="1:11" s="13" customFormat="1">
      <c r="A93" s="86" t="s">
        <v>236</v>
      </c>
      <c r="B93" s="66" t="s">
        <v>249</v>
      </c>
      <c r="C93" s="394"/>
      <c r="D93" s="1063"/>
      <c r="E93" s="12"/>
      <c r="F93" s="1318" t="str">
        <f t="shared" si="4"/>
        <v>-</v>
      </c>
      <c r="G93" s="19"/>
      <c r="H93" s="12"/>
      <c r="I93" s="15"/>
      <c r="K93" s="117">
        <f t="shared" si="3"/>
        <v>0</v>
      </c>
    </row>
    <row r="94" spans="1:11" s="13" customFormat="1">
      <c r="A94" s="108" t="s">
        <v>237</v>
      </c>
      <c r="B94" s="109" t="s">
        <v>250</v>
      </c>
      <c r="C94" s="394">
        <f>+C149-C50+C192-C89-C90-C91-C92-C93-C95-C96-C98-C99-C100</f>
        <v>1100</v>
      </c>
      <c r="D94" s="1063">
        <f>+D149-D50+D192-D89-D90-D91-D92-D93-D95-D96-D98-D99-D100</f>
        <v>680</v>
      </c>
      <c r="E94" s="1063">
        <f>+E149-E50+E192-E89-E90-E91-E92-E93-E95-E96-E98-E99-E100</f>
        <v>680</v>
      </c>
      <c r="F94" s="1297">
        <f t="shared" si="4"/>
        <v>1</v>
      </c>
      <c r="G94" s="19">
        <v>680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3"/>
        <v>0</v>
      </c>
    </row>
    <row r="95" spans="1:11" s="13" customFormat="1">
      <c r="A95" s="86" t="s">
        <v>238</v>
      </c>
      <c r="B95" s="66" t="s">
        <v>251</v>
      </c>
      <c r="C95" s="394"/>
      <c r="D95" s="1063"/>
      <c r="E95" s="12"/>
      <c r="F95" s="1318" t="str">
        <f t="shared" si="4"/>
        <v>-</v>
      </c>
      <c r="G95" s="19"/>
      <c r="H95" s="12"/>
      <c r="I95" s="15"/>
      <c r="K95" s="13">
        <f t="shared" si="3"/>
        <v>0</v>
      </c>
    </row>
    <row r="96" spans="1:11" s="13" customFormat="1">
      <c r="A96" s="86" t="s">
        <v>239</v>
      </c>
      <c r="B96" s="66" t="s">
        <v>244</v>
      </c>
      <c r="C96" s="394"/>
      <c r="D96" s="1063"/>
      <c r="E96" s="12"/>
      <c r="F96" s="1318" t="str">
        <f t="shared" si="4"/>
        <v>-</v>
      </c>
      <c r="G96" s="19"/>
      <c r="H96" s="12"/>
      <c r="I96" s="15"/>
      <c r="K96" s="13">
        <f t="shared" si="3"/>
        <v>0</v>
      </c>
    </row>
    <row r="97" spans="1:11" s="13" customFormat="1">
      <c r="A97" s="86" t="s">
        <v>913</v>
      </c>
      <c r="B97" s="66" t="s">
        <v>909</v>
      </c>
      <c r="C97" s="394"/>
      <c r="D97" s="1063"/>
      <c r="E97" s="12"/>
      <c r="F97" s="1318" t="str">
        <f t="shared" si="4"/>
        <v>-</v>
      </c>
      <c r="G97" s="19"/>
      <c r="H97" s="12"/>
      <c r="I97" s="15"/>
      <c r="K97" s="13">
        <f t="shared" si="3"/>
        <v>0</v>
      </c>
    </row>
    <row r="98" spans="1:11">
      <c r="A98" s="85" t="s">
        <v>240</v>
      </c>
      <c r="B98" s="67" t="s">
        <v>242</v>
      </c>
      <c r="C98" s="396"/>
      <c r="D98" s="1064"/>
      <c r="E98" s="11"/>
      <c r="F98" s="1318" t="str">
        <f t="shared" si="4"/>
        <v>-</v>
      </c>
      <c r="G98" s="20"/>
      <c r="H98" s="11"/>
      <c r="I98" s="16"/>
      <c r="K98" s="4">
        <f t="shared" si="3"/>
        <v>0</v>
      </c>
    </row>
    <row r="99" spans="1:11">
      <c r="A99" s="78" t="s">
        <v>241</v>
      </c>
      <c r="B99" s="68" t="s">
        <v>243</v>
      </c>
      <c r="C99" s="397"/>
      <c r="D99" s="1065"/>
      <c r="E99" s="22"/>
      <c r="F99" s="1320" t="str">
        <f t="shared" si="4"/>
        <v>-</v>
      </c>
      <c r="G99" s="21"/>
      <c r="H99" s="22"/>
      <c r="I99" s="23"/>
      <c r="K99" s="4">
        <f t="shared" si="3"/>
        <v>0</v>
      </c>
    </row>
    <row r="100" spans="1:11" ht="12.75" thickBot="1">
      <c r="A100" s="78" t="s">
        <v>915</v>
      </c>
      <c r="B100" s="68" t="s">
        <v>911</v>
      </c>
      <c r="C100" s="397"/>
      <c r="D100" s="1065"/>
      <c r="E100" s="22"/>
      <c r="F100" s="1320" t="str">
        <f t="shared" si="4"/>
        <v>-</v>
      </c>
      <c r="G100" s="21"/>
      <c r="H100" s="22"/>
      <c r="I100" s="23"/>
      <c r="K100" s="4">
        <f t="shared" si="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407746</v>
      </c>
      <c r="D101" s="1061">
        <f>+D71+D86</f>
        <v>426101</v>
      </c>
      <c r="E101" s="28">
        <f>+E71+E86</f>
        <v>403942</v>
      </c>
      <c r="F101" s="1316">
        <f t="shared" si="4"/>
        <v>0.94799589768622927</v>
      </c>
      <c r="G101" s="27">
        <f>+G71+G86</f>
        <v>403942</v>
      </c>
      <c r="H101" s="28">
        <f>+H71+H86</f>
        <v>0</v>
      </c>
      <c r="I101" s="29">
        <f>+I71+I86</f>
        <v>0</v>
      </c>
      <c r="K101" s="3">
        <f t="shared" si="3"/>
        <v>0</v>
      </c>
    </row>
    <row r="102" spans="1:11" s="3" customFormat="1" ht="12.75" thickBot="1">
      <c r="A102" s="87" t="s">
        <v>40</v>
      </c>
      <c r="B102" s="71" t="s">
        <v>306</v>
      </c>
      <c r="C102" s="392">
        <f>+C70+C101</f>
        <v>429317</v>
      </c>
      <c r="D102" s="1072">
        <f>+D70+D101</f>
        <v>437447</v>
      </c>
      <c r="E102" s="25">
        <f>+E70+E101</f>
        <v>414075</v>
      </c>
      <c r="F102" s="1321">
        <f t="shared" si="4"/>
        <v>0.94657181327109341</v>
      </c>
      <c r="G102" s="24">
        <f>+G70+G101</f>
        <v>414075</v>
      </c>
      <c r="H102" s="25">
        <f>+H70+H101</f>
        <v>0</v>
      </c>
      <c r="I102" s="26">
        <f>+I70+I101</f>
        <v>0</v>
      </c>
      <c r="K102" s="3">
        <f t="shared" si="3"/>
        <v>0</v>
      </c>
    </row>
    <row r="103" spans="1:11" s="3" customFormat="1">
      <c r="A103" s="53"/>
      <c r="B103" s="30"/>
      <c r="C103" s="30"/>
      <c r="D103" s="30"/>
      <c r="E103" s="30"/>
      <c r="F103" s="129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302"/>
      <c r="G104" s="30"/>
      <c r="H104" s="30"/>
      <c r="I104" s="30"/>
    </row>
    <row r="105" spans="1:11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I105" s="1769"/>
    </row>
    <row r="106" spans="1:11" s="36" customFormat="1" ht="12.75" thickBot="1">
      <c r="A106" s="38" t="s">
        <v>278</v>
      </c>
      <c r="F106" s="1290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771" t="s">
        <v>254</v>
      </c>
      <c r="D108" s="1772"/>
      <c r="E108" s="1772"/>
      <c r="F108" s="1772"/>
      <c r="G108" s="1772"/>
      <c r="H108" s="1772"/>
      <c r="I108" s="177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428217</v>
      </c>
      <c r="D109" s="1061">
        <f>+D110+D114+D116+D123+D132</f>
        <v>436767</v>
      </c>
      <c r="E109" s="28">
        <f>+E110+E114+E116+E123+E132</f>
        <v>412852</v>
      </c>
      <c r="F109" s="1294">
        <f t="shared" ref="F109:F172" si="5">IF(ISERROR(E109/D109),"-",E109/D109)</f>
        <v>0.94524540544500846</v>
      </c>
      <c r="G109" s="27">
        <f>+G110+G114+G116+G123+G132</f>
        <v>412852</v>
      </c>
      <c r="H109" s="28">
        <f>+H110+H114+H116+H123+H132</f>
        <v>0</v>
      </c>
      <c r="I109" s="29">
        <f>+I110+I114+I116+I123+I132</f>
        <v>0</v>
      </c>
      <c r="K109" s="3">
        <f t="shared" ref="K109:K140" si="6">+E109-G109-H109-I109</f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253934</v>
      </c>
      <c r="D110" s="1061">
        <f>+D112+D113</f>
        <v>265721</v>
      </c>
      <c r="E110" s="28">
        <f>+E112+E113</f>
        <v>254328</v>
      </c>
      <c r="F110" s="1294">
        <f t="shared" si="5"/>
        <v>0.95712420170027956</v>
      </c>
      <c r="G110" s="27">
        <f>+G112+G113</f>
        <v>254328</v>
      </c>
      <c r="H110" s="28">
        <f>+H112+H113</f>
        <v>0</v>
      </c>
      <c r="I110" s="29">
        <f>+I112+I113</f>
        <v>0</v>
      </c>
      <c r="K110" s="3">
        <f t="shared" si="6"/>
        <v>0</v>
      </c>
    </row>
    <row r="111" spans="1:11" s="36" customFormat="1">
      <c r="A111" s="752" t="s">
        <v>348</v>
      </c>
      <c r="B111" s="753" t="s">
        <v>349</v>
      </c>
      <c r="C111" s="1073"/>
      <c r="D111" s="1074"/>
      <c r="E111" s="97"/>
      <c r="F111" s="1304" t="str">
        <f t="shared" si="5"/>
        <v>-</v>
      </c>
      <c r="G111" s="96"/>
      <c r="H111" s="97"/>
      <c r="I111" s="98"/>
      <c r="K111" s="36">
        <f t="shared" si="6"/>
        <v>0</v>
      </c>
    </row>
    <row r="112" spans="1:11">
      <c r="A112" s="84" t="s">
        <v>54</v>
      </c>
      <c r="B112" s="65" t="s">
        <v>126</v>
      </c>
      <c r="C112" s="398">
        <v>253834</v>
      </c>
      <c r="D112" s="1062">
        <v>264621</v>
      </c>
      <c r="E112" s="10">
        <v>254328</v>
      </c>
      <c r="F112" s="1295">
        <f t="shared" si="5"/>
        <v>0.96110286031720837</v>
      </c>
      <c r="G112" s="34">
        <v>254328</v>
      </c>
      <c r="H112" s="10"/>
      <c r="I112" s="35"/>
      <c r="K112" s="4">
        <f t="shared" si="6"/>
        <v>0</v>
      </c>
    </row>
    <row r="113" spans="1:11" ht="12.75" thickBot="1">
      <c r="A113" s="78" t="s">
        <v>55</v>
      </c>
      <c r="B113" s="68" t="s">
        <v>127</v>
      </c>
      <c r="C113" s="397">
        <v>100</v>
      </c>
      <c r="D113" s="1065">
        <v>1100</v>
      </c>
      <c r="E113" s="22"/>
      <c r="F113" s="1298">
        <f t="shared" si="5"/>
        <v>0</v>
      </c>
      <c r="G113" s="21"/>
      <c r="H113" s="22"/>
      <c r="I113" s="23"/>
      <c r="K113" s="4">
        <f t="shared" si="6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49784</v>
      </c>
      <c r="D114" s="1061">
        <v>57502</v>
      </c>
      <c r="E114" s="28">
        <v>49282</v>
      </c>
      <c r="F114" s="1294">
        <f t="shared" si="5"/>
        <v>0.85704845048867861</v>
      </c>
      <c r="G114" s="27">
        <v>49282</v>
      </c>
      <c r="H114" s="28"/>
      <c r="I114" s="29"/>
      <c r="K114" s="3">
        <f t="shared" si="6"/>
        <v>0</v>
      </c>
    </row>
    <row r="115" spans="1:11" s="36" customFormat="1" ht="12.75" thickBot="1">
      <c r="A115" s="752" t="s">
        <v>345</v>
      </c>
      <c r="B115" s="753" t="s">
        <v>346</v>
      </c>
      <c r="C115" s="1073"/>
      <c r="D115" s="1074"/>
      <c r="E115" s="97"/>
      <c r="F115" s="1304" t="str">
        <f t="shared" si="5"/>
        <v>-</v>
      </c>
      <c r="G115" s="96"/>
      <c r="H115" s="97"/>
      <c r="I115" s="98"/>
      <c r="K115" s="36">
        <f t="shared" si="6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124499</v>
      </c>
      <c r="D116" s="1061">
        <f>+D118+D119+D120+D121+D122</f>
        <v>113229</v>
      </c>
      <c r="E116" s="28">
        <f>+E118+E119+E120+E121+E122</f>
        <v>108927</v>
      </c>
      <c r="F116" s="1294">
        <f t="shared" si="5"/>
        <v>0.96200619982513313</v>
      </c>
      <c r="G116" s="27">
        <f>+G118+G119+G120+G121+G122</f>
        <v>108927</v>
      </c>
      <c r="H116" s="28">
        <f>+H118+H119+H120+H121+H122</f>
        <v>0</v>
      </c>
      <c r="I116" s="29">
        <f>+I118+I119+I120+I121+I122</f>
        <v>0</v>
      </c>
      <c r="K116" s="3">
        <f t="shared" si="6"/>
        <v>0</v>
      </c>
    </row>
    <row r="117" spans="1:11" s="36" customFormat="1">
      <c r="A117" s="752" t="s">
        <v>340</v>
      </c>
      <c r="B117" s="753" t="s">
        <v>347</v>
      </c>
      <c r="C117" s="1073"/>
      <c r="D117" s="1074"/>
      <c r="E117" s="97"/>
      <c r="F117" s="1304" t="str">
        <f t="shared" si="5"/>
        <v>-</v>
      </c>
      <c r="G117" s="96"/>
      <c r="H117" s="97"/>
      <c r="I117" s="98"/>
      <c r="K117" s="36">
        <f t="shared" si="6"/>
        <v>0</v>
      </c>
    </row>
    <row r="118" spans="1:11">
      <c r="A118" s="84" t="s">
        <v>61</v>
      </c>
      <c r="B118" s="65" t="s">
        <v>128</v>
      </c>
      <c r="C118" s="398">
        <v>4960</v>
      </c>
      <c r="D118" s="1062">
        <f>6077+1</f>
        <v>6078</v>
      </c>
      <c r="E118" s="10">
        <v>5820</v>
      </c>
      <c r="F118" s="1295">
        <f t="shared" si="5"/>
        <v>0.95755182625863766</v>
      </c>
      <c r="G118" s="34">
        <v>5820</v>
      </c>
      <c r="H118" s="10"/>
      <c r="I118" s="35"/>
      <c r="K118" s="4">
        <f t="shared" si="6"/>
        <v>0</v>
      </c>
    </row>
    <row r="119" spans="1:11">
      <c r="A119" s="85" t="s">
        <v>62</v>
      </c>
      <c r="B119" s="67" t="s">
        <v>129</v>
      </c>
      <c r="C119" s="396">
        <v>1383</v>
      </c>
      <c r="D119" s="1064">
        <v>1932</v>
      </c>
      <c r="E119" s="11">
        <v>1932</v>
      </c>
      <c r="F119" s="1296">
        <f t="shared" si="5"/>
        <v>1</v>
      </c>
      <c r="G119" s="20">
        <v>1932</v>
      </c>
      <c r="H119" s="11"/>
      <c r="I119" s="16"/>
      <c r="K119" s="4">
        <f t="shared" si="6"/>
        <v>0</v>
      </c>
    </row>
    <row r="120" spans="1:11">
      <c r="A120" s="85" t="s">
        <v>63</v>
      </c>
      <c r="B120" s="67" t="s">
        <v>130</v>
      </c>
      <c r="C120" s="396">
        <v>92714</v>
      </c>
      <c r="D120" s="1064">
        <v>82219</v>
      </c>
      <c r="E120" s="11">
        <v>78934</v>
      </c>
      <c r="F120" s="1296">
        <f t="shared" si="5"/>
        <v>0.96004573152191097</v>
      </c>
      <c r="G120" s="20">
        <v>78934</v>
      </c>
      <c r="H120" s="11"/>
      <c r="I120" s="16"/>
      <c r="K120" s="4">
        <f t="shared" si="6"/>
        <v>0</v>
      </c>
    </row>
    <row r="121" spans="1:11">
      <c r="A121" s="85" t="s">
        <v>64</v>
      </c>
      <c r="B121" s="67" t="s">
        <v>131</v>
      </c>
      <c r="C121" s="396"/>
      <c r="D121" s="1064">
        <v>91</v>
      </c>
      <c r="E121" s="11">
        <v>20</v>
      </c>
      <c r="F121" s="1296">
        <f t="shared" si="5"/>
        <v>0.21978021978021978</v>
      </c>
      <c r="G121" s="20">
        <v>20</v>
      </c>
      <c r="H121" s="11"/>
      <c r="I121" s="16"/>
      <c r="K121" s="4">
        <f t="shared" si="6"/>
        <v>0</v>
      </c>
    </row>
    <row r="122" spans="1:11" ht="12.75" thickBot="1">
      <c r="A122" s="78" t="s">
        <v>65</v>
      </c>
      <c r="B122" s="68" t="s">
        <v>132</v>
      </c>
      <c r="C122" s="397">
        <v>25442</v>
      </c>
      <c r="D122" s="1065">
        <v>22909</v>
      </c>
      <c r="E122" s="17">
        <v>22221</v>
      </c>
      <c r="F122" s="1298">
        <f t="shared" si="5"/>
        <v>0.96996813479418564</v>
      </c>
      <c r="G122" s="21">
        <v>22221</v>
      </c>
      <c r="H122" s="22"/>
      <c r="I122" s="23"/>
      <c r="K122" s="4">
        <f t="shared" si="6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061">
        <f>+D124+D125+D126+D127+D128+D129+D130+D131</f>
        <v>0</v>
      </c>
      <c r="E123" s="28">
        <f>+E124+E125+E126+E127+E128+E129+E130+E131</f>
        <v>0</v>
      </c>
      <c r="F123" s="1294" t="str">
        <f t="shared" si="5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6"/>
        <v>0</v>
      </c>
    </row>
    <row r="124" spans="1:11">
      <c r="A124" s="84" t="s">
        <v>226</v>
      </c>
      <c r="B124" s="65" t="s">
        <v>133</v>
      </c>
      <c r="C124" s="398"/>
      <c r="D124" s="1062"/>
      <c r="E124" s="10"/>
      <c r="F124" s="1295" t="str">
        <f t="shared" si="5"/>
        <v>-</v>
      </c>
      <c r="G124" s="34"/>
      <c r="H124" s="10"/>
      <c r="I124" s="35"/>
      <c r="K124" s="4">
        <f t="shared" si="6"/>
        <v>0</v>
      </c>
    </row>
    <row r="125" spans="1:11">
      <c r="A125" s="85" t="s">
        <v>227</v>
      </c>
      <c r="B125" s="67" t="s">
        <v>134</v>
      </c>
      <c r="C125" s="396"/>
      <c r="D125" s="1064"/>
      <c r="E125" s="11"/>
      <c r="F125" s="1296" t="str">
        <f t="shared" si="5"/>
        <v>-</v>
      </c>
      <c r="G125" s="20"/>
      <c r="H125" s="11"/>
      <c r="I125" s="16"/>
      <c r="K125" s="4">
        <f t="shared" si="6"/>
        <v>0</v>
      </c>
    </row>
    <row r="126" spans="1:11">
      <c r="A126" s="85" t="s">
        <v>228</v>
      </c>
      <c r="B126" s="67" t="s">
        <v>135</v>
      </c>
      <c r="C126" s="396"/>
      <c r="D126" s="1064"/>
      <c r="E126" s="11"/>
      <c r="F126" s="1296" t="str">
        <f t="shared" si="5"/>
        <v>-</v>
      </c>
      <c r="G126" s="20"/>
      <c r="H126" s="11"/>
      <c r="I126" s="16"/>
      <c r="K126" s="4">
        <f t="shared" si="6"/>
        <v>0</v>
      </c>
    </row>
    <row r="127" spans="1:11">
      <c r="A127" s="85" t="s">
        <v>256</v>
      </c>
      <c r="B127" s="67" t="s">
        <v>136</v>
      </c>
      <c r="C127" s="396"/>
      <c r="D127" s="1064"/>
      <c r="E127" s="11"/>
      <c r="F127" s="1296" t="str">
        <f t="shared" si="5"/>
        <v>-</v>
      </c>
      <c r="G127" s="20"/>
      <c r="H127" s="11"/>
      <c r="I127" s="16"/>
      <c r="K127" s="4">
        <f t="shared" si="6"/>
        <v>0</v>
      </c>
    </row>
    <row r="128" spans="1:11">
      <c r="A128" s="85" t="s">
        <v>257</v>
      </c>
      <c r="B128" s="67" t="s">
        <v>137</v>
      </c>
      <c r="C128" s="396"/>
      <c r="D128" s="1064"/>
      <c r="E128" s="11"/>
      <c r="F128" s="1296" t="str">
        <f t="shared" si="5"/>
        <v>-</v>
      </c>
      <c r="G128" s="20"/>
      <c r="H128" s="11"/>
      <c r="I128" s="16"/>
      <c r="K128" s="4">
        <f t="shared" si="6"/>
        <v>0</v>
      </c>
    </row>
    <row r="129" spans="1:11">
      <c r="A129" s="85" t="s">
        <v>258</v>
      </c>
      <c r="B129" s="67" t="s">
        <v>138</v>
      </c>
      <c r="C129" s="396"/>
      <c r="D129" s="1064"/>
      <c r="E129" s="11"/>
      <c r="F129" s="1296" t="str">
        <f t="shared" si="5"/>
        <v>-</v>
      </c>
      <c r="G129" s="20"/>
      <c r="H129" s="11"/>
      <c r="I129" s="16"/>
      <c r="K129" s="4">
        <f t="shared" si="6"/>
        <v>0</v>
      </c>
    </row>
    <row r="130" spans="1:11">
      <c r="A130" s="85" t="s">
        <v>259</v>
      </c>
      <c r="B130" s="67" t="s">
        <v>139</v>
      </c>
      <c r="C130" s="396"/>
      <c r="D130" s="1064"/>
      <c r="E130" s="11"/>
      <c r="F130" s="1296" t="str">
        <f t="shared" si="5"/>
        <v>-</v>
      </c>
      <c r="G130" s="20"/>
      <c r="H130" s="11"/>
      <c r="I130" s="16"/>
      <c r="K130" s="4">
        <f t="shared" si="6"/>
        <v>0</v>
      </c>
    </row>
    <row r="131" spans="1:11" ht="12.75" thickBot="1">
      <c r="A131" s="78" t="s">
        <v>260</v>
      </c>
      <c r="B131" s="68" t="s">
        <v>140</v>
      </c>
      <c r="C131" s="397"/>
      <c r="D131" s="1065"/>
      <c r="E131" s="22"/>
      <c r="F131" s="1298" t="str">
        <f t="shared" si="5"/>
        <v>-</v>
      </c>
      <c r="G131" s="21"/>
      <c r="H131" s="22"/>
      <c r="I131" s="23"/>
      <c r="K131" s="4">
        <f t="shared" si="6"/>
        <v>0</v>
      </c>
    </row>
    <row r="132" spans="1:11" s="3" customFormat="1" ht="12.75" thickBot="1">
      <c r="A132" s="83" t="s">
        <v>15</v>
      </c>
      <c r="B132" s="64" t="s">
        <v>919</v>
      </c>
      <c r="C132" s="129">
        <f>+C133+C134+C135+C136+C137+C138+C140+C141+C142+C143+C144+C145+C146</f>
        <v>0</v>
      </c>
      <c r="D132" s="1061">
        <f>+D133+D134+D135+D136+D137+D138+D140+D141+D142+D143+D144+D145+D146</f>
        <v>315</v>
      </c>
      <c r="E132" s="28">
        <f>+E133+E134+E135+E136+E137+E138+E140+E141+E142+E143+E144+E145+E146</f>
        <v>315</v>
      </c>
      <c r="F132" s="1294">
        <f t="shared" si="5"/>
        <v>1</v>
      </c>
      <c r="G132" s="27">
        <f>+G133+G134+G135+G136+G137+G138+G140+G141+G142+G143+G144+G145+G146</f>
        <v>315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6"/>
        <v>0</v>
      </c>
    </row>
    <row r="133" spans="1:11">
      <c r="A133" s="84" t="s">
        <v>87</v>
      </c>
      <c r="B133" s="65" t="s">
        <v>141</v>
      </c>
      <c r="C133" s="398"/>
      <c r="D133" s="1062"/>
      <c r="E133" s="10"/>
      <c r="F133" s="1295" t="str">
        <f t="shared" si="5"/>
        <v>-</v>
      </c>
      <c r="G133" s="34"/>
      <c r="H133" s="10"/>
      <c r="I133" s="35"/>
      <c r="K133" s="4">
        <f t="shared" si="6"/>
        <v>0</v>
      </c>
    </row>
    <row r="134" spans="1:11">
      <c r="A134" s="85" t="s">
        <v>88</v>
      </c>
      <c r="B134" s="67" t="s">
        <v>142</v>
      </c>
      <c r="C134" s="396"/>
      <c r="D134" s="1064">
        <v>315</v>
      </c>
      <c r="E134" s="11">
        <v>315</v>
      </c>
      <c r="F134" s="1296">
        <f t="shared" si="5"/>
        <v>1</v>
      </c>
      <c r="G134" s="20">
        <v>315</v>
      </c>
      <c r="H134" s="11"/>
      <c r="I134" s="16"/>
      <c r="K134" s="4">
        <f t="shared" si="6"/>
        <v>0</v>
      </c>
    </row>
    <row r="135" spans="1:11">
      <c r="A135" s="85" t="s">
        <v>181</v>
      </c>
      <c r="B135" s="67" t="s">
        <v>143</v>
      </c>
      <c r="C135" s="396"/>
      <c r="D135" s="1064"/>
      <c r="E135" s="11"/>
      <c r="F135" s="1296" t="str">
        <f t="shared" si="5"/>
        <v>-</v>
      </c>
      <c r="G135" s="20"/>
      <c r="H135" s="11"/>
      <c r="I135" s="16"/>
      <c r="K135" s="4">
        <f t="shared" si="6"/>
        <v>0</v>
      </c>
    </row>
    <row r="136" spans="1:11">
      <c r="A136" s="85" t="s">
        <v>182</v>
      </c>
      <c r="B136" s="67" t="s">
        <v>144</v>
      </c>
      <c r="C136" s="396"/>
      <c r="D136" s="1064"/>
      <c r="E136" s="11"/>
      <c r="F136" s="1296" t="str">
        <f t="shared" si="5"/>
        <v>-</v>
      </c>
      <c r="G136" s="20"/>
      <c r="H136" s="11"/>
      <c r="I136" s="16"/>
      <c r="K136" s="4">
        <f t="shared" si="6"/>
        <v>0</v>
      </c>
    </row>
    <row r="137" spans="1:11">
      <c r="A137" s="85" t="s">
        <v>183</v>
      </c>
      <c r="B137" s="67" t="s">
        <v>145</v>
      </c>
      <c r="C137" s="396"/>
      <c r="D137" s="1064"/>
      <c r="E137" s="11"/>
      <c r="F137" s="1296" t="str">
        <f t="shared" si="5"/>
        <v>-</v>
      </c>
      <c r="G137" s="20"/>
      <c r="H137" s="11"/>
      <c r="I137" s="16"/>
      <c r="K137" s="4">
        <f t="shared" si="6"/>
        <v>0</v>
      </c>
    </row>
    <row r="138" spans="1:11">
      <c r="A138" s="85" t="s">
        <v>261</v>
      </c>
      <c r="B138" s="67" t="s">
        <v>146</v>
      </c>
      <c r="C138" s="396"/>
      <c r="D138" s="1064"/>
      <c r="E138" s="11"/>
      <c r="F138" s="1296" t="str">
        <f t="shared" si="5"/>
        <v>-</v>
      </c>
      <c r="G138" s="20"/>
      <c r="H138" s="11"/>
      <c r="I138" s="16"/>
      <c r="K138" s="4">
        <f t="shared" si="6"/>
        <v>0</v>
      </c>
    </row>
    <row r="139" spans="1:11" s="13" customFormat="1">
      <c r="A139" s="89" t="s">
        <v>335</v>
      </c>
      <c r="B139" s="751" t="s">
        <v>925</v>
      </c>
      <c r="C139" s="395"/>
      <c r="D139" s="1066"/>
      <c r="E139" s="43"/>
      <c r="F139" s="1298" t="str">
        <f t="shared" si="5"/>
        <v>-</v>
      </c>
      <c r="G139" s="45"/>
      <c r="H139" s="43"/>
      <c r="I139" s="44"/>
      <c r="K139" s="13">
        <f t="shared" si="6"/>
        <v>0</v>
      </c>
    </row>
    <row r="140" spans="1:11">
      <c r="A140" s="85" t="s">
        <v>262</v>
      </c>
      <c r="B140" s="67" t="s">
        <v>147</v>
      </c>
      <c r="C140" s="396"/>
      <c r="D140" s="1064"/>
      <c r="E140" s="11"/>
      <c r="F140" s="1296" t="str">
        <f t="shared" si="5"/>
        <v>-</v>
      </c>
      <c r="G140" s="20"/>
      <c r="H140" s="11"/>
      <c r="I140" s="16"/>
      <c r="K140" s="4">
        <f t="shared" si="6"/>
        <v>0</v>
      </c>
    </row>
    <row r="141" spans="1:11">
      <c r="A141" s="85" t="s">
        <v>263</v>
      </c>
      <c r="B141" s="67" t="s">
        <v>148</v>
      </c>
      <c r="C141" s="396"/>
      <c r="D141" s="1064"/>
      <c r="E141" s="11"/>
      <c r="F141" s="1296" t="str">
        <f t="shared" si="5"/>
        <v>-</v>
      </c>
      <c r="G141" s="20"/>
      <c r="H141" s="11"/>
      <c r="I141" s="16"/>
      <c r="K141" s="4">
        <f t="shared" ref="K141:K172" si="7">+E141-G141-H141-I141</f>
        <v>0</v>
      </c>
    </row>
    <row r="142" spans="1:11">
      <c r="A142" s="85" t="s">
        <v>264</v>
      </c>
      <c r="B142" s="67" t="s">
        <v>149</v>
      </c>
      <c r="C142" s="396"/>
      <c r="D142" s="1064"/>
      <c r="E142" s="11"/>
      <c r="F142" s="1296" t="str">
        <f t="shared" si="5"/>
        <v>-</v>
      </c>
      <c r="G142" s="20"/>
      <c r="H142" s="11"/>
      <c r="I142" s="16"/>
      <c r="K142" s="4">
        <f t="shared" si="7"/>
        <v>0</v>
      </c>
    </row>
    <row r="143" spans="1:11">
      <c r="A143" s="85" t="s">
        <v>265</v>
      </c>
      <c r="B143" s="67" t="s">
        <v>150</v>
      </c>
      <c r="C143" s="396"/>
      <c r="D143" s="1064"/>
      <c r="E143" s="11"/>
      <c r="F143" s="1296" t="str">
        <f t="shared" si="5"/>
        <v>-</v>
      </c>
      <c r="G143" s="20"/>
      <c r="H143" s="11"/>
      <c r="I143" s="16"/>
      <c r="K143" s="4">
        <f t="shared" si="7"/>
        <v>0</v>
      </c>
    </row>
    <row r="144" spans="1:11">
      <c r="A144" s="85" t="s">
        <v>266</v>
      </c>
      <c r="B144" s="67" t="s">
        <v>920</v>
      </c>
      <c r="C144" s="396"/>
      <c r="D144" s="1064"/>
      <c r="E144" s="11"/>
      <c r="F144" s="1296" t="str">
        <f t="shared" si="5"/>
        <v>-</v>
      </c>
      <c r="G144" s="20"/>
      <c r="H144" s="11"/>
      <c r="I144" s="16"/>
      <c r="K144" s="4">
        <f t="shared" si="7"/>
        <v>0</v>
      </c>
    </row>
    <row r="145" spans="1:11">
      <c r="A145" s="85" t="s">
        <v>267</v>
      </c>
      <c r="B145" s="67" t="s">
        <v>921</v>
      </c>
      <c r="C145" s="396"/>
      <c r="D145" s="1064"/>
      <c r="E145" s="11"/>
      <c r="F145" s="1296" t="str">
        <f t="shared" si="5"/>
        <v>-</v>
      </c>
      <c r="G145" s="20"/>
      <c r="H145" s="11"/>
      <c r="I145" s="16"/>
      <c r="K145" s="4">
        <f t="shared" si="7"/>
        <v>0</v>
      </c>
    </row>
    <row r="146" spans="1:11">
      <c r="A146" s="78" t="s">
        <v>916</v>
      </c>
      <c r="B146" s="68" t="s">
        <v>922</v>
      </c>
      <c r="C146" s="397">
        <f>+C147+C148</f>
        <v>0</v>
      </c>
      <c r="D146" s="1065">
        <f>+D147+D148</f>
        <v>0</v>
      </c>
      <c r="E146" s="22">
        <f>+E147+E148</f>
        <v>0</v>
      </c>
      <c r="F146" s="1298" t="str">
        <f t="shared" si="5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7"/>
        <v>0</v>
      </c>
    </row>
    <row r="147" spans="1:11" s="13" customFormat="1">
      <c r="A147" s="89" t="s">
        <v>917</v>
      </c>
      <c r="B147" s="74" t="s">
        <v>923</v>
      </c>
      <c r="C147" s="395"/>
      <c r="D147" s="1066"/>
      <c r="E147" s="43"/>
      <c r="F147" s="1298" t="str">
        <f t="shared" si="5"/>
        <v>-</v>
      </c>
      <c r="G147" s="45"/>
      <c r="H147" s="43"/>
      <c r="I147" s="44"/>
      <c r="K147" s="13">
        <f t="shared" si="7"/>
        <v>0</v>
      </c>
    </row>
    <row r="148" spans="1:11" s="13" customFormat="1" ht="12.75" thickBot="1">
      <c r="A148" s="89" t="s">
        <v>918</v>
      </c>
      <c r="B148" s="74" t="s">
        <v>924</v>
      </c>
      <c r="C148" s="395"/>
      <c r="D148" s="1066"/>
      <c r="E148" s="43"/>
      <c r="F148" s="1298" t="str">
        <f t="shared" si="5"/>
        <v>-</v>
      </c>
      <c r="G148" s="45"/>
      <c r="H148" s="43"/>
      <c r="I148" s="44"/>
      <c r="K148" s="13">
        <f t="shared" si="7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1100</v>
      </c>
      <c r="D149" s="1061">
        <f>+D150+D159+D165</f>
        <v>680</v>
      </c>
      <c r="E149" s="28">
        <f>+E150+E159+E165</f>
        <v>680</v>
      </c>
      <c r="F149" s="1294">
        <f t="shared" si="5"/>
        <v>1</v>
      </c>
      <c r="G149" s="27">
        <f>+G150+G159+G165</f>
        <v>680</v>
      </c>
      <c r="H149" s="28">
        <f>+H150+H159+H165</f>
        <v>0</v>
      </c>
      <c r="I149" s="29">
        <f>+I150+I159+I165</f>
        <v>0</v>
      </c>
      <c r="K149" s="3">
        <f t="shared" si="7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1100</v>
      </c>
      <c r="D150" s="1061">
        <f>+D152+D153+D154+D155+D156+D157+D158</f>
        <v>680</v>
      </c>
      <c r="E150" s="28">
        <f>+E152+E153+E154+E155+E156+E157+E158</f>
        <v>680</v>
      </c>
      <c r="F150" s="1294">
        <f t="shared" si="5"/>
        <v>1</v>
      </c>
      <c r="G150" s="27">
        <f>+G152+G153+G154+G155+G156+G157+G158</f>
        <v>680</v>
      </c>
      <c r="H150" s="28">
        <f>+H152+H153+H154+H155+H156+H157+H158</f>
        <v>0</v>
      </c>
      <c r="I150" s="29">
        <f>+I152+I153+I154+I155+I156+I157+I158</f>
        <v>0</v>
      </c>
      <c r="K150" s="3">
        <f t="shared" si="7"/>
        <v>0</v>
      </c>
    </row>
    <row r="151" spans="1:11" s="36" customFormat="1">
      <c r="A151" s="752" t="s">
        <v>926</v>
      </c>
      <c r="B151" s="753" t="s">
        <v>341</v>
      </c>
      <c r="C151" s="1073"/>
      <c r="D151" s="1074"/>
      <c r="E151" s="97"/>
      <c r="F151" s="1304" t="str">
        <f t="shared" si="5"/>
        <v>-</v>
      </c>
      <c r="G151" s="96"/>
      <c r="H151" s="97"/>
      <c r="I151" s="98"/>
      <c r="K151" s="36">
        <f t="shared" si="7"/>
        <v>0</v>
      </c>
    </row>
    <row r="152" spans="1:11">
      <c r="A152" s="84" t="s">
        <v>66</v>
      </c>
      <c r="B152" s="65" t="s">
        <v>151</v>
      </c>
      <c r="C152" s="398"/>
      <c r="D152" s="1062"/>
      <c r="E152" s="10"/>
      <c r="F152" s="1295" t="str">
        <f t="shared" si="5"/>
        <v>-</v>
      </c>
      <c r="G152" s="34"/>
      <c r="H152" s="10"/>
      <c r="I152" s="35"/>
      <c r="K152" s="4">
        <f t="shared" si="7"/>
        <v>0</v>
      </c>
    </row>
    <row r="153" spans="1:11">
      <c r="A153" s="85" t="s">
        <v>67</v>
      </c>
      <c r="B153" s="67" t="s">
        <v>152</v>
      </c>
      <c r="C153" s="396"/>
      <c r="D153" s="1064"/>
      <c r="E153" s="11"/>
      <c r="F153" s="1296" t="str">
        <f t="shared" si="5"/>
        <v>-</v>
      </c>
      <c r="G153" s="20"/>
      <c r="H153" s="11"/>
      <c r="I153" s="16"/>
      <c r="K153" s="4">
        <f t="shared" si="7"/>
        <v>0</v>
      </c>
    </row>
    <row r="154" spans="1:11">
      <c r="A154" s="85" t="s">
        <v>68</v>
      </c>
      <c r="B154" s="67" t="s">
        <v>153</v>
      </c>
      <c r="C154" s="396"/>
      <c r="D154" s="1064"/>
      <c r="E154" s="11"/>
      <c r="F154" s="1296" t="str">
        <f t="shared" si="5"/>
        <v>-</v>
      </c>
      <c r="G154" s="20"/>
      <c r="H154" s="11"/>
      <c r="I154" s="16"/>
      <c r="K154" s="4">
        <f t="shared" si="7"/>
        <v>0</v>
      </c>
    </row>
    <row r="155" spans="1:11">
      <c r="A155" s="85" t="s">
        <v>229</v>
      </c>
      <c r="B155" s="67" t="s">
        <v>154</v>
      </c>
      <c r="C155" s="396">
        <v>866</v>
      </c>
      <c r="D155" s="1064">
        <v>536</v>
      </c>
      <c r="E155" s="11">
        <v>536</v>
      </c>
      <c r="F155" s="1296">
        <f t="shared" si="5"/>
        <v>1</v>
      </c>
      <c r="G155" s="20">
        <v>536</v>
      </c>
      <c r="H155" s="11"/>
      <c r="I155" s="16"/>
      <c r="K155" s="4">
        <f t="shared" si="7"/>
        <v>0</v>
      </c>
    </row>
    <row r="156" spans="1:11">
      <c r="A156" s="85" t="s">
        <v>230</v>
      </c>
      <c r="B156" s="67" t="s">
        <v>155</v>
      </c>
      <c r="C156" s="396"/>
      <c r="D156" s="1064"/>
      <c r="E156" s="11"/>
      <c r="F156" s="1296" t="str">
        <f t="shared" si="5"/>
        <v>-</v>
      </c>
      <c r="G156" s="20"/>
      <c r="H156" s="11"/>
      <c r="I156" s="16"/>
      <c r="K156" s="4">
        <f t="shared" si="7"/>
        <v>0</v>
      </c>
    </row>
    <row r="157" spans="1:11">
      <c r="A157" s="85" t="s">
        <v>268</v>
      </c>
      <c r="B157" s="67" t="s">
        <v>156</v>
      </c>
      <c r="C157" s="396"/>
      <c r="D157" s="1064"/>
      <c r="E157" s="11"/>
      <c r="F157" s="1296" t="str">
        <f t="shared" si="5"/>
        <v>-</v>
      </c>
      <c r="G157" s="20"/>
      <c r="H157" s="11"/>
      <c r="I157" s="16"/>
      <c r="K157" s="4">
        <f t="shared" si="7"/>
        <v>0</v>
      </c>
    </row>
    <row r="158" spans="1:11" ht="12.75" thickBot="1">
      <c r="A158" s="78" t="s">
        <v>269</v>
      </c>
      <c r="B158" s="68" t="s">
        <v>157</v>
      </c>
      <c r="C158" s="397">
        <v>234</v>
      </c>
      <c r="D158" s="1065">
        <f>145-1</f>
        <v>144</v>
      </c>
      <c r="E158" s="22">
        <f>145-1</f>
        <v>144</v>
      </c>
      <c r="F158" s="1298">
        <f t="shared" si="5"/>
        <v>1</v>
      </c>
      <c r="G158" s="21">
        <v>144</v>
      </c>
      <c r="H158" s="22"/>
      <c r="I158" s="23"/>
      <c r="K158" s="4">
        <f t="shared" si="7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061">
        <f>+D161+D162+D163+D164</f>
        <v>0</v>
      </c>
      <c r="E159" s="28">
        <f>+E161+E162+E163+E164</f>
        <v>0</v>
      </c>
      <c r="F159" s="1294" t="str">
        <f t="shared" si="5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7"/>
        <v>0</v>
      </c>
    </row>
    <row r="160" spans="1:11" s="36" customFormat="1">
      <c r="A160" s="752" t="s">
        <v>343</v>
      </c>
      <c r="B160" s="753" t="s">
        <v>344</v>
      </c>
      <c r="C160" s="1073"/>
      <c r="D160" s="1074"/>
      <c r="E160" s="97"/>
      <c r="F160" s="1304" t="str">
        <f t="shared" si="5"/>
        <v>-</v>
      </c>
      <c r="G160" s="96"/>
      <c r="H160" s="97"/>
      <c r="I160" s="98"/>
      <c r="K160" s="36">
        <f t="shared" si="7"/>
        <v>0</v>
      </c>
    </row>
    <row r="161" spans="1:11">
      <c r="A161" s="84" t="s">
        <v>69</v>
      </c>
      <c r="B161" s="65" t="s">
        <v>158</v>
      </c>
      <c r="C161" s="398"/>
      <c r="D161" s="1062"/>
      <c r="E161" s="10"/>
      <c r="F161" s="1295" t="str">
        <f t="shared" si="5"/>
        <v>-</v>
      </c>
      <c r="G161" s="34"/>
      <c r="H161" s="10"/>
      <c r="I161" s="35"/>
      <c r="K161" s="4">
        <f t="shared" si="7"/>
        <v>0</v>
      </c>
    </row>
    <row r="162" spans="1:11">
      <c r="A162" s="85" t="s">
        <v>70</v>
      </c>
      <c r="B162" s="67" t="s">
        <v>159</v>
      </c>
      <c r="C162" s="396"/>
      <c r="D162" s="1064"/>
      <c r="E162" s="11"/>
      <c r="F162" s="1296" t="str">
        <f t="shared" si="5"/>
        <v>-</v>
      </c>
      <c r="G162" s="20"/>
      <c r="H162" s="11"/>
      <c r="I162" s="16"/>
      <c r="K162" s="4">
        <f t="shared" si="7"/>
        <v>0</v>
      </c>
    </row>
    <row r="163" spans="1:11">
      <c r="A163" s="85" t="s">
        <v>71</v>
      </c>
      <c r="B163" s="67" t="s">
        <v>160</v>
      </c>
      <c r="C163" s="396"/>
      <c r="D163" s="1064"/>
      <c r="E163" s="11"/>
      <c r="F163" s="1296" t="str">
        <f t="shared" si="5"/>
        <v>-</v>
      </c>
      <c r="G163" s="20"/>
      <c r="H163" s="11"/>
      <c r="I163" s="16"/>
      <c r="K163" s="4">
        <f t="shared" si="7"/>
        <v>0</v>
      </c>
    </row>
    <row r="164" spans="1:11" ht="12.75" thickBot="1">
      <c r="A164" s="78" t="s">
        <v>72</v>
      </c>
      <c r="B164" s="68" t="s">
        <v>161</v>
      </c>
      <c r="C164" s="397"/>
      <c r="D164" s="1065"/>
      <c r="E164" s="22"/>
      <c r="F164" s="1298" t="str">
        <f t="shared" si="5"/>
        <v>-</v>
      </c>
      <c r="G164" s="21"/>
      <c r="H164" s="22"/>
      <c r="I164" s="23"/>
      <c r="K164" s="4">
        <f t="shared" si="7"/>
        <v>0</v>
      </c>
    </row>
    <row r="165" spans="1:11" s="3" customFormat="1" ht="12.75" thickBot="1">
      <c r="A165" s="83" t="s">
        <v>11</v>
      </c>
      <c r="B165" s="64" t="s">
        <v>928</v>
      </c>
      <c r="C165" s="129">
        <f>+C166+C167+C168+C169+C171+C172+C173+C174+C175</f>
        <v>0</v>
      </c>
      <c r="D165" s="1061">
        <f>+D166+D167+D168+D169+D171+D172+D173+D174+D175</f>
        <v>0</v>
      </c>
      <c r="E165" s="28">
        <f>+E166+E167+E168+E169+E171+E172+E173+E174+E175</f>
        <v>0</v>
      </c>
      <c r="F165" s="1294" t="str">
        <f t="shared" si="5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7"/>
        <v>0</v>
      </c>
    </row>
    <row r="166" spans="1:11">
      <c r="A166" s="84" t="s">
        <v>270</v>
      </c>
      <c r="B166" s="65" t="s">
        <v>162</v>
      </c>
      <c r="C166" s="398"/>
      <c r="D166" s="1062"/>
      <c r="E166" s="10"/>
      <c r="F166" s="1295" t="str">
        <f t="shared" si="5"/>
        <v>-</v>
      </c>
      <c r="G166" s="34"/>
      <c r="H166" s="10"/>
      <c r="I166" s="35"/>
      <c r="K166" s="4">
        <f t="shared" si="7"/>
        <v>0</v>
      </c>
    </row>
    <row r="167" spans="1:11">
      <c r="A167" s="85" t="s">
        <v>271</v>
      </c>
      <c r="B167" s="67" t="s">
        <v>163</v>
      </c>
      <c r="C167" s="396"/>
      <c r="D167" s="1064"/>
      <c r="E167" s="11"/>
      <c r="F167" s="1296" t="str">
        <f t="shared" si="5"/>
        <v>-</v>
      </c>
      <c r="G167" s="20"/>
      <c r="H167" s="11"/>
      <c r="I167" s="16"/>
      <c r="K167" s="4">
        <f t="shared" si="7"/>
        <v>0</v>
      </c>
    </row>
    <row r="168" spans="1:11">
      <c r="A168" s="85" t="s">
        <v>272</v>
      </c>
      <c r="B168" s="67" t="s">
        <v>164</v>
      </c>
      <c r="C168" s="396"/>
      <c r="D168" s="1064"/>
      <c r="E168" s="11"/>
      <c r="F168" s="1296" t="str">
        <f t="shared" si="5"/>
        <v>-</v>
      </c>
      <c r="G168" s="20"/>
      <c r="H168" s="11"/>
      <c r="I168" s="16"/>
      <c r="K168" s="4">
        <f t="shared" si="7"/>
        <v>0</v>
      </c>
    </row>
    <row r="169" spans="1:11">
      <c r="A169" s="85" t="s">
        <v>273</v>
      </c>
      <c r="B169" s="67" t="s">
        <v>165</v>
      </c>
      <c r="C169" s="396"/>
      <c r="D169" s="1064"/>
      <c r="E169" s="11"/>
      <c r="F169" s="1296" t="str">
        <f t="shared" si="5"/>
        <v>-</v>
      </c>
      <c r="G169" s="20"/>
      <c r="H169" s="11"/>
      <c r="I169" s="16"/>
      <c r="K169" s="4">
        <f t="shared" si="7"/>
        <v>0</v>
      </c>
    </row>
    <row r="170" spans="1:11" s="13" customFormat="1">
      <c r="A170" s="89" t="s">
        <v>338</v>
      </c>
      <c r="B170" s="751" t="s">
        <v>339</v>
      </c>
      <c r="C170" s="395"/>
      <c r="D170" s="1066"/>
      <c r="E170" s="43"/>
      <c r="F170" s="1298" t="str">
        <f t="shared" si="5"/>
        <v>-</v>
      </c>
      <c r="G170" s="45"/>
      <c r="H170" s="43"/>
      <c r="I170" s="44"/>
      <c r="K170" s="13">
        <f t="shared" si="7"/>
        <v>0</v>
      </c>
    </row>
    <row r="171" spans="1:11">
      <c r="A171" s="85" t="s">
        <v>274</v>
      </c>
      <c r="B171" s="67" t="s">
        <v>166</v>
      </c>
      <c r="C171" s="396"/>
      <c r="D171" s="1064"/>
      <c r="E171" s="11"/>
      <c r="F171" s="1296" t="str">
        <f t="shared" si="5"/>
        <v>-</v>
      </c>
      <c r="G171" s="20"/>
      <c r="H171" s="11"/>
      <c r="I171" s="16"/>
      <c r="K171" s="4">
        <f t="shared" si="7"/>
        <v>0</v>
      </c>
    </row>
    <row r="172" spans="1:11">
      <c r="A172" s="85" t="s">
        <v>275</v>
      </c>
      <c r="B172" s="67" t="s">
        <v>167</v>
      </c>
      <c r="C172" s="396"/>
      <c r="D172" s="1064"/>
      <c r="E172" s="11"/>
      <c r="F172" s="1296" t="str">
        <f t="shared" si="5"/>
        <v>-</v>
      </c>
      <c r="G172" s="20"/>
      <c r="H172" s="11"/>
      <c r="I172" s="16"/>
      <c r="K172" s="4">
        <f t="shared" si="7"/>
        <v>0</v>
      </c>
    </row>
    <row r="173" spans="1:11">
      <c r="A173" s="85" t="s">
        <v>276</v>
      </c>
      <c r="B173" s="67" t="s">
        <v>168</v>
      </c>
      <c r="C173" s="396"/>
      <c r="D173" s="1064"/>
      <c r="E173" s="11"/>
      <c r="F173" s="1296" t="str">
        <f t="shared" ref="F173:F208" si="8">IF(ISERROR(E173/D173),"-",E173/D173)</f>
        <v>-</v>
      </c>
      <c r="G173" s="20"/>
      <c r="H173" s="11"/>
      <c r="I173" s="16"/>
      <c r="K173" s="4">
        <f t="shared" ref="K173:K208" si="9">+E173-G173-H173-I173</f>
        <v>0</v>
      </c>
    </row>
    <row r="174" spans="1:11">
      <c r="A174" s="85" t="s">
        <v>277</v>
      </c>
      <c r="B174" s="67" t="s">
        <v>929</v>
      </c>
      <c r="C174" s="396"/>
      <c r="D174" s="1064"/>
      <c r="E174" s="11"/>
      <c r="F174" s="1296" t="str">
        <f t="shared" si="8"/>
        <v>-</v>
      </c>
      <c r="G174" s="20"/>
      <c r="H174" s="11"/>
      <c r="I174" s="16"/>
      <c r="K174" s="4">
        <f t="shared" si="9"/>
        <v>0</v>
      </c>
    </row>
    <row r="175" spans="1:11" ht="12.75" thickBot="1">
      <c r="A175" s="78" t="s">
        <v>927</v>
      </c>
      <c r="B175" s="68" t="s">
        <v>930</v>
      </c>
      <c r="C175" s="397"/>
      <c r="D175" s="1065"/>
      <c r="E175" s="22"/>
      <c r="F175" s="1298" t="str">
        <f t="shared" si="8"/>
        <v>-</v>
      </c>
      <c r="G175" s="21"/>
      <c r="H175" s="22"/>
      <c r="I175" s="23"/>
      <c r="K175" s="4">
        <f t="shared" si="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429317</v>
      </c>
      <c r="D176" s="1061">
        <f>+D109+D149</f>
        <v>437447</v>
      </c>
      <c r="E176" s="28">
        <f>+E109+E149</f>
        <v>413532</v>
      </c>
      <c r="F176" s="1294">
        <f t="shared" si="8"/>
        <v>0.94533052004014195</v>
      </c>
      <c r="G176" s="27">
        <f>+G109+G149</f>
        <v>413532</v>
      </c>
      <c r="H176" s="28">
        <f>+H109+H149</f>
        <v>0</v>
      </c>
      <c r="I176" s="29">
        <f>+I109+I149</f>
        <v>0</v>
      </c>
      <c r="K176" s="3">
        <f t="shared" si="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061">
        <f>+D178</f>
        <v>0</v>
      </c>
      <c r="E177" s="28">
        <f>+E178</f>
        <v>0</v>
      </c>
      <c r="F177" s="1294" t="str">
        <f t="shared" si="8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9"/>
        <v>0</v>
      </c>
    </row>
    <row r="178" spans="1:11" s="3" customFormat="1" ht="12.75" thickBot="1">
      <c r="A178" s="83" t="s">
        <v>45</v>
      </c>
      <c r="B178" s="64" t="s">
        <v>937</v>
      </c>
      <c r="C178" s="129">
        <f>+C179+C189+C190+C191</f>
        <v>0</v>
      </c>
      <c r="D178" s="1061">
        <f>+D179+D189+D190+D191</f>
        <v>0</v>
      </c>
      <c r="E178" s="28">
        <f>+E179+E189+E190+E191</f>
        <v>0</v>
      </c>
      <c r="F178" s="1294" t="str">
        <f t="shared" si="8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9"/>
        <v>0</v>
      </c>
    </row>
    <row r="179" spans="1:11">
      <c r="A179" s="84" t="s">
        <v>75</v>
      </c>
      <c r="B179" s="65" t="s">
        <v>938</v>
      </c>
      <c r="C179" s="398">
        <f>+C180+C181+C182+C183+C184+C185+C186+C187+C188</f>
        <v>0</v>
      </c>
      <c r="D179" s="1062">
        <f>+D180+D181+D182+D183+D184+D185+D186+D187+D188</f>
        <v>0</v>
      </c>
      <c r="E179" s="10">
        <f>+E180+E181+E182+E183+E184+E185+E186+E187+E188</f>
        <v>0</v>
      </c>
      <c r="F179" s="1295" t="str">
        <f t="shared" si="8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9"/>
        <v>0</v>
      </c>
    </row>
    <row r="180" spans="1:11" s="13" customFormat="1">
      <c r="A180" s="86" t="s">
        <v>204</v>
      </c>
      <c r="B180" s="66" t="s">
        <v>169</v>
      </c>
      <c r="C180" s="394"/>
      <c r="D180" s="1063"/>
      <c r="E180" s="12"/>
      <c r="F180" s="1296" t="str">
        <f t="shared" si="8"/>
        <v>-</v>
      </c>
      <c r="G180" s="19"/>
      <c r="H180" s="12"/>
      <c r="I180" s="15"/>
      <c r="K180" s="13">
        <f t="shared" si="9"/>
        <v>0</v>
      </c>
    </row>
    <row r="181" spans="1:11" s="13" customFormat="1">
      <c r="A181" s="86" t="s">
        <v>205</v>
      </c>
      <c r="B181" s="66" t="s">
        <v>170</v>
      </c>
      <c r="C181" s="394"/>
      <c r="D181" s="1063"/>
      <c r="E181" s="12"/>
      <c r="F181" s="1296" t="str">
        <f t="shared" si="8"/>
        <v>-</v>
      </c>
      <c r="G181" s="19"/>
      <c r="H181" s="12"/>
      <c r="I181" s="15"/>
      <c r="K181" s="13">
        <f t="shared" si="9"/>
        <v>0</v>
      </c>
    </row>
    <row r="182" spans="1:11" s="13" customFormat="1">
      <c r="A182" s="86" t="s">
        <v>206</v>
      </c>
      <c r="B182" s="66" t="s">
        <v>171</v>
      </c>
      <c r="C182" s="394"/>
      <c r="D182" s="1063"/>
      <c r="E182" s="12"/>
      <c r="F182" s="1296" t="str">
        <f t="shared" si="8"/>
        <v>-</v>
      </c>
      <c r="G182" s="19"/>
      <c r="H182" s="12"/>
      <c r="I182" s="15"/>
      <c r="K182" s="13">
        <f t="shared" si="9"/>
        <v>0</v>
      </c>
    </row>
    <row r="183" spans="1:11" s="13" customFormat="1">
      <c r="A183" s="86" t="s">
        <v>207</v>
      </c>
      <c r="B183" s="66" t="s">
        <v>172</v>
      </c>
      <c r="C183" s="394"/>
      <c r="D183" s="1063"/>
      <c r="E183" s="12"/>
      <c r="F183" s="1296" t="str">
        <f t="shared" si="8"/>
        <v>-</v>
      </c>
      <c r="G183" s="19"/>
      <c r="H183" s="12"/>
      <c r="I183" s="15"/>
      <c r="K183" s="13">
        <f t="shared" si="9"/>
        <v>0</v>
      </c>
    </row>
    <row r="184" spans="1:11" s="13" customFormat="1">
      <c r="A184" s="108" t="s">
        <v>208</v>
      </c>
      <c r="B184" s="109" t="s">
        <v>173</v>
      </c>
      <c r="C184" s="394"/>
      <c r="D184" s="1063"/>
      <c r="E184" s="12"/>
      <c r="F184" s="1297" t="str">
        <f t="shared" si="8"/>
        <v>-</v>
      </c>
      <c r="G184" s="686"/>
      <c r="H184" s="687"/>
      <c r="I184" s="688"/>
      <c r="K184" s="117">
        <f t="shared" si="9"/>
        <v>0</v>
      </c>
    </row>
    <row r="185" spans="1:11" s="13" customFormat="1">
      <c r="A185" s="86" t="s">
        <v>209</v>
      </c>
      <c r="B185" s="66" t="s">
        <v>178</v>
      </c>
      <c r="C185" s="394"/>
      <c r="D185" s="1063"/>
      <c r="E185" s="12"/>
      <c r="F185" s="1296" t="str">
        <f t="shared" si="8"/>
        <v>-</v>
      </c>
      <c r="G185" s="686"/>
      <c r="H185" s="687"/>
      <c r="I185" s="688"/>
      <c r="K185" s="13">
        <f t="shared" si="9"/>
        <v>0</v>
      </c>
    </row>
    <row r="186" spans="1:11" s="13" customFormat="1">
      <c r="A186" s="86" t="s">
        <v>210</v>
      </c>
      <c r="B186" s="66" t="s">
        <v>174</v>
      </c>
      <c r="C186" s="394"/>
      <c r="D186" s="1063"/>
      <c r="E186" s="12"/>
      <c r="F186" s="1296" t="str">
        <f t="shared" si="8"/>
        <v>-</v>
      </c>
      <c r="G186" s="686"/>
      <c r="H186" s="687"/>
      <c r="I186" s="688"/>
      <c r="K186" s="13">
        <f t="shared" si="9"/>
        <v>0</v>
      </c>
    </row>
    <row r="187" spans="1:11" s="13" customFormat="1">
      <c r="A187" s="86" t="s">
        <v>211</v>
      </c>
      <c r="B187" s="66" t="s">
        <v>175</v>
      </c>
      <c r="C187" s="394"/>
      <c r="D187" s="1063"/>
      <c r="E187" s="12"/>
      <c r="F187" s="1296" t="str">
        <f t="shared" si="8"/>
        <v>-</v>
      </c>
      <c r="G187" s="686"/>
      <c r="H187" s="687"/>
      <c r="I187" s="688"/>
      <c r="K187" s="13">
        <f t="shared" si="9"/>
        <v>0</v>
      </c>
    </row>
    <row r="188" spans="1:11" s="13" customFormat="1">
      <c r="A188" s="86" t="s">
        <v>931</v>
      </c>
      <c r="B188" s="66" t="s">
        <v>933</v>
      </c>
      <c r="C188" s="394"/>
      <c r="D188" s="1063"/>
      <c r="E188" s="12"/>
      <c r="F188" s="1296" t="str">
        <f t="shared" si="8"/>
        <v>-</v>
      </c>
      <c r="G188" s="686"/>
      <c r="H188" s="687"/>
      <c r="I188" s="688"/>
      <c r="K188" s="13">
        <f t="shared" si="9"/>
        <v>0</v>
      </c>
    </row>
    <row r="189" spans="1:11">
      <c r="A189" s="85" t="s">
        <v>76</v>
      </c>
      <c r="B189" s="67" t="s">
        <v>176</v>
      </c>
      <c r="C189" s="396"/>
      <c r="D189" s="1064"/>
      <c r="E189" s="11"/>
      <c r="F189" s="1296" t="str">
        <f t="shared" si="8"/>
        <v>-</v>
      </c>
      <c r="G189" s="925"/>
      <c r="H189" s="926"/>
      <c r="I189" s="927"/>
      <c r="K189" s="4">
        <f t="shared" si="9"/>
        <v>0</v>
      </c>
    </row>
    <row r="190" spans="1:11">
      <c r="A190" s="78" t="s">
        <v>77</v>
      </c>
      <c r="B190" s="68" t="s">
        <v>177</v>
      </c>
      <c r="C190" s="397"/>
      <c r="D190" s="1065"/>
      <c r="E190" s="22"/>
      <c r="F190" s="1298" t="str">
        <f t="shared" si="8"/>
        <v>-</v>
      </c>
      <c r="G190" s="928"/>
      <c r="H190" s="929"/>
      <c r="I190" s="930"/>
      <c r="K190" s="4">
        <f t="shared" si="9"/>
        <v>0</v>
      </c>
    </row>
    <row r="191" spans="1:11" ht="12.75" thickBot="1">
      <c r="A191" s="78" t="s">
        <v>936</v>
      </c>
      <c r="B191" s="68" t="s">
        <v>934</v>
      </c>
      <c r="C191" s="397"/>
      <c r="D191" s="1065"/>
      <c r="E191" s="22"/>
      <c r="F191" s="1298" t="str">
        <f t="shared" si="8"/>
        <v>-</v>
      </c>
      <c r="G191" s="928"/>
      <c r="H191" s="929"/>
      <c r="I191" s="930"/>
      <c r="K191" s="4">
        <f t="shared" si="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061">
        <f>+D193</f>
        <v>0</v>
      </c>
      <c r="E192" s="28">
        <f>+E193</f>
        <v>0</v>
      </c>
      <c r="F192" s="1294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3" customFormat="1" ht="12.75" thickBot="1">
      <c r="A193" s="83" t="s">
        <v>43</v>
      </c>
      <c r="B193" s="64" t="s">
        <v>932</v>
      </c>
      <c r="C193" s="129">
        <f>+C194+C204+C205+C206</f>
        <v>0</v>
      </c>
      <c r="D193" s="1061">
        <f>+D194+D204+D205+D206</f>
        <v>0</v>
      </c>
      <c r="E193" s="28">
        <f>+E194+E204+E205+E206</f>
        <v>0</v>
      </c>
      <c r="F193" s="1294" t="str">
        <f t="shared" si="8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9"/>
        <v>0</v>
      </c>
    </row>
    <row r="194" spans="1:11">
      <c r="A194" s="84" t="s">
        <v>78</v>
      </c>
      <c r="B194" s="65" t="s">
        <v>967</v>
      </c>
      <c r="C194" s="398">
        <f>+C195+C196+C197+C198+C199+C200+C201+C202+C203</f>
        <v>0</v>
      </c>
      <c r="D194" s="1062">
        <f>+D195+D196+D197+D198+D199+D200+D201+D202+D203</f>
        <v>0</v>
      </c>
      <c r="E194" s="10">
        <f>+E195+E196+E197+E198+E199+E200+E201+E202+E203</f>
        <v>0</v>
      </c>
      <c r="F194" s="1295" t="str">
        <f t="shared" si="8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9"/>
        <v>0</v>
      </c>
    </row>
    <row r="195" spans="1:11" s="13" customFormat="1">
      <c r="A195" s="86" t="s">
        <v>212</v>
      </c>
      <c r="B195" s="66" t="s">
        <v>169</v>
      </c>
      <c r="C195" s="394"/>
      <c r="D195" s="1063"/>
      <c r="E195" s="12"/>
      <c r="F195" s="1296" t="str">
        <f t="shared" si="8"/>
        <v>-</v>
      </c>
      <c r="G195" s="686"/>
      <c r="H195" s="687"/>
      <c r="I195" s="688"/>
      <c r="K195" s="13">
        <f t="shared" si="9"/>
        <v>0</v>
      </c>
    </row>
    <row r="196" spans="1:11" s="13" customFormat="1">
      <c r="A196" s="86" t="s">
        <v>213</v>
      </c>
      <c r="B196" s="66" t="s">
        <v>170</v>
      </c>
      <c r="C196" s="394"/>
      <c r="D196" s="1063"/>
      <c r="E196" s="12"/>
      <c r="F196" s="1296" t="str">
        <f t="shared" si="8"/>
        <v>-</v>
      </c>
      <c r="G196" s="686"/>
      <c r="H196" s="687"/>
      <c r="I196" s="688"/>
      <c r="K196" s="13">
        <f t="shared" si="9"/>
        <v>0</v>
      </c>
    </row>
    <row r="197" spans="1:11" s="13" customFormat="1">
      <c r="A197" s="86" t="s">
        <v>214</v>
      </c>
      <c r="B197" s="66" t="s">
        <v>171</v>
      </c>
      <c r="C197" s="394"/>
      <c r="D197" s="1063"/>
      <c r="E197" s="12"/>
      <c r="F197" s="1296" t="str">
        <f t="shared" si="8"/>
        <v>-</v>
      </c>
      <c r="G197" s="686"/>
      <c r="H197" s="687"/>
      <c r="I197" s="688"/>
      <c r="K197" s="13">
        <f t="shared" si="9"/>
        <v>0</v>
      </c>
    </row>
    <row r="198" spans="1:11" s="13" customFormat="1">
      <c r="A198" s="86" t="s">
        <v>215</v>
      </c>
      <c r="B198" s="66" t="s">
        <v>172</v>
      </c>
      <c r="C198" s="394"/>
      <c r="D198" s="1063"/>
      <c r="E198" s="12"/>
      <c r="F198" s="1296" t="str">
        <f t="shared" si="8"/>
        <v>-</v>
      </c>
      <c r="G198" s="686"/>
      <c r="H198" s="687"/>
      <c r="I198" s="688"/>
      <c r="K198" s="13">
        <f t="shared" si="9"/>
        <v>0</v>
      </c>
    </row>
    <row r="199" spans="1:11" s="13" customFormat="1">
      <c r="A199" s="108" t="s">
        <v>216</v>
      </c>
      <c r="B199" s="109" t="s">
        <v>173</v>
      </c>
      <c r="C199" s="394"/>
      <c r="D199" s="1063"/>
      <c r="E199" s="12"/>
      <c r="F199" s="1297" t="str">
        <f t="shared" si="8"/>
        <v>-</v>
      </c>
      <c r="G199" s="686"/>
      <c r="H199" s="687"/>
      <c r="I199" s="688"/>
      <c r="K199" s="117">
        <f t="shared" si="9"/>
        <v>0</v>
      </c>
    </row>
    <row r="200" spans="1:11" s="13" customFormat="1">
      <c r="A200" s="86" t="s">
        <v>217</v>
      </c>
      <c r="B200" s="66" t="s">
        <v>178</v>
      </c>
      <c r="C200" s="394"/>
      <c r="D200" s="1063"/>
      <c r="E200" s="12"/>
      <c r="F200" s="1296" t="str">
        <f t="shared" si="8"/>
        <v>-</v>
      </c>
      <c r="G200" s="686"/>
      <c r="H200" s="687"/>
      <c r="I200" s="688"/>
      <c r="K200" s="13">
        <f t="shared" si="9"/>
        <v>0</v>
      </c>
    </row>
    <row r="201" spans="1:11" s="13" customFormat="1">
      <c r="A201" s="86" t="s">
        <v>218</v>
      </c>
      <c r="B201" s="66" t="s">
        <v>174</v>
      </c>
      <c r="C201" s="394"/>
      <c r="D201" s="1063"/>
      <c r="E201" s="12"/>
      <c r="F201" s="1296" t="str">
        <f t="shared" si="8"/>
        <v>-</v>
      </c>
      <c r="G201" s="19"/>
      <c r="H201" s="12"/>
      <c r="I201" s="15"/>
      <c r="K201" s="13">
        <f t="shared" si="9"/>
        <v>0</v>
      </c>
    </row>
    <row r="202" spans="1:11" s="13" customFormat="1">
      <c r="A202" s="86" t="s">
        <v>219</v>
      </c>
      <c r="B202" s="66" t="s">
        <v>175</v>
      </c>
      <c r="C202" s="394"/>
      <c r="D202" s="1063"/>
      <c r="E202" s="12"/>
      <c r="F202" s="1296" t="str">
        <f t="shared" si="8"/>
        <v>-</v>
      </c>
      <c r="G202" s="19"/>
      <c r="H202" s="12"/>
      <c r="I202" s="15"/>
      <c r="K202" s="13">
        <f t="shared" si="9"/>
        <v>0</v>
      </c>
    </row>
    <row r="203" spans="1:11" s="13" customFormat="1">
      <c r="A203" s="86" t="s">
        <v>931</v>
      </c>
      <c r="B203" s="66" t="s">
        <v>933</v>
      </c>
      <c r="C203" s="394"/>
      <c r="D203" s="1063"/>
      <c r="E203" s="12"/>
      <c r="F203" s="1296" t="str">
        <f t="shared" si="8"/>
        <v>-</v>
      </c>
      <c r="G203" s="19"/>
      <c r="H203" s="12"/>
      <c r="I203" s="15"/>
      <c r="K203" s="13">
        <f t="shared" si="9"/>
        <v>0</v>
      </c>
    </row>
    <row r="204" spans="1:11">
      <c r="A204" s="85" t="s">
        <v>79</v>
      </c>
      <c r="B204" s="67" t="s">
        <v>176</v>
      </c>
      <c r="C204" s="396"/>
      <c r="D204" s="1064"/>
      <c r="E204" s="11"/>
      <c r="F204" s="1296" t="str">
        <f t="shared" si="8"/>
        <v>-</v>
      </c>
      <c r="G204" s="20"/>
      <c r="H204" s="11"/>
      <c r="I204" s="16"/>
      <c r="K204" s="4">
        <f t="shared" si="9"/>
        <v>0</v>
      </c>
    </row>
    <row r="205" spans="1:11">
      <c r="A205" s="78" t="s">
        <v>220</v>
      </c>
      <c r="B205" s="68" t="s">
        <v>177</v>
      </c>
      <c r="C205" s="397"/>
      <c r="D205" s="1065"/>
      <c r="E205" s="22"/>
      <c r="F205" s="1298" t="str">
        <f t="shared" si="8"/>
        <v>-</v>
      </c>
      <c r="G205" s="21"/>
      <c r="H205" s="22"/>
      <c r="I205" s="23"/>
      <c r="K205" s="4">
        <f t="shared" si="9"/>
        <v>0</v>
      </c>
    </row>
    <row r="206" spans="1:11" ht="12.75" thickBot="1">
      <c r="A206" s="78" t="s">
        <v>935</v>
      </c>
      <c r="B206" s="68" t="s">
        <v>934</v>
      </c>
      <c r="C206" s="397"/>
      <c r="D206" s="1065"/>
      <c r="E206" s="22"/>
      <c r="F206" s="1298" t="str">
        <f t="shared" si="8"/>
        <v>-</v>
      </c>
      <c r="G206" s="21"/>
      <c r="H206" s="22"/>
      <c r="I206" s="23"/>
      <c r="K206" s="4">
        <f t="shared" si="9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061">
        <f>+D177+D192</f>
        <v>0</v>
      </c>
      <c r="E207" s="28">
        <f>+E177+E192</f>
        <v>0</v>
      </c>
      <c r="F207" s="1294" t="str">
        <f t="shared" si="8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9"/>
        <v>0</v>
      </c>
    </row>
    <row r="208" spans="1:11" s="3" customFormat="1" ht="12.75" thickBot="1">
      <c r="A208" s="87" t="s">
        <v>39</v>
      </c>
      <c r="B208" s="71" t="s">
        <v>334</v>
      </c>
      <c r="C208" s="392">
        <f>+C176+C207</f>
        <v>429317</v>
      </c>
      <c r="D208" s="1072">
        <f>+D176+D207</f>
        <v>437447</v>
      </c>
      <c r="E208" s="25">
        <f>+E176+E207</f>
        <v>413532</v>
      </c>
      <c r="F208" s="1301">
        <f t="shared" si="8"/>
        <v>0.94533052004014195</v>
      </c>
      <c r="G208" s="24">
        <f>+G176+G207</f>
        <v>413532</v>
      </c>
      <c r="H208" s="25">
        <f>+H176+H207</f>
        <v>0</v>
      </c>
      <c r="I208" s="26">
        <f>+I176+I207</f>
        <v>0</v>
      </c>
      <c r="K208" s="3">
        <f t="shared" si="9"/>
        <v>0</v>
      </c>
    </row>
    <row r="211" spans="1:31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F212" s="1290"/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-407746</v>
      </c>
      <c r="D213" s="1061">
        <f>+D214+D215</f>
        <v>-426101</v>
      </c>
      <c r="E213" s="28">
        <f>+E214+E215</f>
        <v>-403399</v>
      </c>
      <c r="F213" s="1294">
        <f>IF(ISERROR(E213/D213),"-",E213/D213)</f>
        <v>0.94672155193252305</v>
      </c>
      <c r="G213" s="27">
        <f>+G214+G215</f>
        <v>-403399</v>
      </c>
      <c r="H213" s="28">
        <f>+H214+H215</f>
        <v>0</v>
      </c>
      <c r="I213" s="29">
        <f>+I214+I215</f>
        <v>0</v>
      </c>
      <c r="K213" s="3">
        <f>+E213-G213-H213-I213</f>
        <v>0</v>
      </c>
    </row>
    <row r="214" spans="1:31">
      <c r="A214" s="84" t="s">
        <v>81</v>
      </c>
      <c r="B214" s="72" t="s">
        <v>318</v>
      </c>
      <c r="C214" s="398">
        <f>+C10-C109</f>
        <v>-406646</v>
      </c>
      <c r="D214" s="1062">
        <f>+D10-D109</f>
        <v>-425421</v>
      </c>
      <c r="E214" s="10">
        <f>+E10-E109</f>
        <v>-402719</v>
      </c>
      <c r="F214" s="1295">
        <f>IF(ISERROR(E214/D214),"-",E214/D214)</f>
        <v>0.94663639077525552</v>
      </c>
      <c r="G214" s="34">
        <f>+G10-G109</f>
        <v>-402719</v>
      </c>
      <c r="H214" s="10">
        <f>+H10-H109</f>
        <v>0</v>
      </c>
      <c r="I214" s="35">
        <f>+I10-I109</f>
        <v>0</v>
      </c>
      <c r="K214" s="4">
        <f>+E214-G214-H214-I214</f>
        <v>0</v>
      </c>
    </row>
    <row r="215" spans="1:31" ht="12.75" thickBot="1">
      <c r="A215" s="88" t="s">
        <v>82</v>
      </c>
      <c r="B215" s="73" t="s">
        <v>319</v>
      </c>
      <c r="C215" s="391">
        <f>+C50-C149</f>
        <v>-1100</v>
      </c>
      <c r="D215" s="1079">
        <f>+D50-D149</f>
        <v>-680</v>
      </c>
      <c r="E215" s="17">
        <f>+E50-E149</f>
        <v>-680</v>
      </c>
      <c r="F215" s="1307">
        <f>IF(ISERROR(E215/D215),"-",E215/D215)</f>
        <v>1</v>
      </c>
      <c r="G215" s="40">
        <f>+G50-G149</f>
        <v>-680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F219" s="1290"/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407746</v>
      </c>
      <c r="D220" s="1061">
        <f>+D221+D228</f>
        <v>426101</v>
      </c>
      <c r="E220" s="28">
        <f>+E221+E228</f>
        <v>403942</v>
      </c>
      <c r="F220" s="1294">
        <f t="shared" ref="F220:F234" si="10">IF(ISERROR(E220/D220),"-",E220/D220)</f>
        <v>0.94799589768622927</v>
      </c>
      <c r="G220" s="27">
        <f>+G221+G228</f>
        <v>403942</v>
      </c>
      <c r="H220" s="28">
        <f>+H221+H228</f>
        <v>0</v>
      </c>
      <c r="I220" s="29">
        <f>+I221+I228</f>
        <v>0</v>
      </c>
      <c r="K220" s="3">
        <f t="shared" ref="K220:K234" si="11">+E220-G220-H220-I220</f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406646</v>
      </c>
      <c r="D221" s="1061">
        <f>+D222-D225</f>
        <v>425421</v>
      </c>
      <c r="E221" s="28">
        <f>+E222-E225</f>
        <v>403262</v>
      </c>
      <c r="F221" s="1294">
        <f t="shared" si="10"/>
        <v>0.9479127734644035</v>
      </c>
      <c r="G221" s="27">
        <f>+G222-G225</f>
        <v>403262</v>
      </c>
      <c r="H221" s="28">
        <f>+H222-H225</f>
        <v>0</v>
      </c>
      <c r="I221" s="29">
        <f>+I222-I225</f>
        <v>0</v>
      </c>
      <c r="K221" s="3">
        <f t="shared" si="11"/>
        <v>0</v>
      </c>
    </row>
    <row r="222" spans="1:31">
      <c r="A222" s="84" t="s">
        <v>54</v>
      </c>
      <c r="B222" s="65" t="s">
        <v>322</v>
      </c>
      <c r="C222" s="398">
        <f>+C223+C224</f>
        <v>406646</v>
      </c>
      <c r="D222" s="1062">
        <f>+D223+D224</f>
        <v>425421</v>
      </c>
      <c r="E222" s="10">
        <f>+E223+E224</f>
        <v>403262</v>
      </c>
      <c r="F222" s="1295">
        <f t="shared" si="10"/>
        <v>0.9479127734644035</v>
      </c>
      <c r="G222" s="34">
        <f>+G223+G224</f>
        <v>403262</v>
      </c>
      <c r="H222" s="10">
        <f>+H223+H224</f>
        <v>0</v>
      </c>
      <c r="I222" s="35">
        <f>+I223+I224</f>
        <v>0</v>
      </c>
      <c r="K222" s="4">
        <f t="shared" si="11"/>
        <v>0</v>
      </c>
    </row>
    <row r="223" spans="1:31" s="13" customFormat="1">
      <c r="A223" s="86" t="s">
        <v>189</v>
      </c>
      <c r="B223" s="66" t="s">
        <v>284</v>
      </c>
      <c r="C223" s="394">
        <f>+C76+C80</f>
        <v>0</v>
      </c>
      <c r="D223" s="1063">
        <f>+D76+D80</f>
        <v>315</v>
      </c>
      <c r="E223" s="12">
        <f>+E76+E80</f>
        <v>315</v>
      </c>
      <c r="F223" s="1296">
        <f t="shared" si="10"/>
        <v>1</v>
      </c>
      <c r="G223" s="19">
        <f>+G76+G80</f>
        <v>315</v>
      </c>
      <c r="H223" s="12">
        <f>+H76+H80</f>
        <v>0</v>
      </c>
      <c r="I223" s="15">
        <f>+I76+I80</f>
        <v>0</v>
      </c>
      <c r="K223" s="13">
        <f t="shared" si="11"/>
        <v>0</v>
      </c>
    </row>
    <row r="224" spans="1:31" s="13" customFormat="1">
      <c r="A224" s="86" t="s">
        <v>190</v>
      </c>
      <c r="B224" s="66" t="s">
        <v>285</v>
      </c>
      <c r="C224" s="394">
        <f>+C74+C75+C77+C78+C79+C81</f>
        <v>406646</v>
      </c>
      <c r="D224" s="1063">
        <f>+D74+D75+D77+D78+D79+D81</f>
        <v>425106</v>
      </c>
      <c r="E224" s="12">
        <f>+E74+E75+E77+E78+E79+E81</f>
        <v>402947</v>
      </c>
      <c r="F224" s="1296">
        <f t="shared" si="10"/>
        <v>0.94787417726402357</v>
      </c>
      <c r="G224" s="19">
        <f>+G74+G75+G77+G78+G79+G81</f>
        <v>402947</v>
      </c>
      <c r="H224" s="12">
        <f>+H74+H75+H77+H78+H79+H81</f>
        <v>0</v>
      </c>
      <c r="I224" s="15">
        <f>+I74+I75+I77+I78+I79+I81</f>
        <v>0</v>
      </c>
      <c r="K224" s="13">
        <f t="shared" si="11"/>
        <v>0</v>
      </c>
    </row>
    <row r="225" spans="1:31">
      <c r="A225" s="85" t="s">
        <v>55</v>
      </c>
      <c r="B225" s="67" t="s">
        <v>323</v>
      </c>
      <c r="C225" s="396">
        <f>+C227</f>
        <v>0</v>
      </c>
      <c r="D225" s="1064">
        <f>+D227</f>
        <v>0</v>
      </c>
      <c r="E225" s="11">
        <f>+E227</f>
        <v>0</v>
      </c>
      <c r="F225" s="1296" t="str">
        <f t="shared" si="10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11"/>
        <v>0</v>
      </c>
    </row>
    <row r="226" spans="1:31" s="13" customFormat="1">
      <c r="A226" s="86" t="s">
        <v>56</v>
      </c>
      <c r="B226" s="66" t="s">
        <v>286</v>
      </c>
      <c r="C226" s="394">
        <f>+C185</f>
        <v>0</v>
      </c>
      <c r="D226" s="1063">
        <f>+D185</f>
        <v>0</v>
      </c>
      <c r="E226" s="12">
        <f>+E185</f>
        <v>0</v>
      </c>
      <c r="F226" s="1296" t="str">
        <f t="shared" si="10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11"/>
        <v>0</v>
      </c>
    </row>
    <row r="227" spans="1:31" s="13" customFormat="1" ht="12.75" thickBot="1">
      <c r="A227" s="89" t="s">
        <v>57</v>
      </c>
      <c r="B227" s="74" t="s">
        <v>287</v>
      </c>
      <c r="C227" s="395">
        <f>+C180+C181+C182+C183+C184+C186+C187</f>
        <v>0</v>
      </c>
      <c r="D227" s="1066">
        <f>+D180+D181+D182+D183+D184+D186+D187</f>
        <v>0</v>
      </c>
      <c r="E227" s="43">
        <f>+E180+E181+E182+E183+E184+E186+E187</f>
        <v>0</v>
      </c>
      <c r="F227" s="1298" t="str">
        <f t="shared" si="10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11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1100</v>
      </c>
      <c r="D228" s="1061">
        <f>+D229-D232</f>
        <v>680</v>
      </c>
      <c r="E228" s="28">
        <f>+E229-E232</f>
        <v>680</v>
      </c>
      <c r="F228" s="1294">
        <f t="shared" si="10"/>
        <v>1</v>
      </c>
      <c r="G228" s="27">
        <f>+G229-G232</f>
        <v>680</v>
      </c>
      <c r="H228" s="28">
        <f>+H229-H232</f>
        <v>0</v>
      </c>
      <c r="I228" s="29">
        <f>+I229-I232</f>
        <v>0</v>
      </c>
      <c r="K228" s="3">
        <f t="shared" si="11"/>
        <v>0</v>
      </c>
    </row>
    <row r="229" spans="1:31">
      <c r="A229" s="84" t="s">
        <v>58</v>
      </c>
      <c r="B229" s="65" t="s">
        <v>325</v>
      </c>
      <c r="C229" s="398">
        <f>+C230+C231</f>
        <v>1100</v>
      </c>
      <c r="D229" s="1062">
        <f>+D230+D231</f>
        <v>680</v>
      </c>
      <c r="E229" s="10">
        <f>+E230+E231</f>
        <v>680</v>
      </c>
      <c r="F229" s="1295">
        <f t="shared" si="10"/>
        <v>1</v>
      </c>
      <c r="G229" s="34">
        <f>+G230+G231</f>
        <v>680</v>
      </c>
      <c r="H229" s="10">
        <f>+H230+H231</f>
        <v>0</v>
      </c>
      <c r="I229" s="35">
        <f>+I230+I231</f>
        <v>0</v>
      </c>
      <c r="K229" s="4">
        <f t="shared" si="11"/>
        <v>0</v>
      </c>
    </row>
    <row r="230" spans="1:31" s="13" customFormat="1">
      <c r="A230" s="86" t="s">
        <v>292</v>
      </c>
      <c r="B230" s="66" t="s">
        <v>290</v>
      </c>
      <c r="C230" s="394">
        <f>+C91+C95</f>
        <v>0</v>
      </c>
      <c r="D230" s="1063">
        <f>+D91+D95</f>
        <v>0</v>
      </c>
      <c r="E230" s="12">
        <f>+E91+E95</f>
        <v>0</v>
      </c>
      <c r="F230" s="1296" t="str">
        <f t="shared" si="10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11"/>
        <v>0</v>
      </c>
    </row>
    <row r="231" spans="1:31" s="13" customFormat="1">
      <c r="A231" s="86" t="s">
        <v>293</v>
      </c>
      <c r="B231" s="66" t="s">
        <v>291</v>
      </c>
      <c r="C231" s="394">
        <f>+C89+C90+C92+C93+C94+C96</f>
        <v>1100</v>
      </c>
      <c r="D231" s="1063">
        <f>+D89+D90+D92+D93+D94+D96</f>
        <v>680</v>
      </c>
      <c r="E231" s="12">
        <f>+E89+E90+E92+E93+E94+E96</f>
        <v>680</v>
      </c>
      <c r="F231" s="1296">
        <f t="shared" si="10"/>
        <v>1</v>
      </c>
      <c r="G231" s="19">
        <f>+G89+G90+G92+G93+G94+G96</f>
        <v>680</v>
      </c>
      <c r="H231" s="12">
        <f>+H89+H90+H92+H93+H94+H96</f>
        <v>0</v>
      </c>
      <c r="I231" s="15">
        <f>+I89+I90+I92+I93+I94+I96</f>
        <v>0</v>
      </c>
      <c r="K231" s="13">
        <f t="shared" si="11"/>
        <v>0</v>
      </c>
    </row>
    <row r="232" spans="1:31">
      <c r="A232" s="85" t="s">
        <v>59</v>
      </c>
      <c r="B232" s="67" t="s">
        <v>326</v>
      </c>
      <c r="C232" s="396">
        <f>+C233+C234</f>
        <v>0</v>
      </c>
      <c r="D232" s="1064">
        <f>+D233+D234</f>
        <v>0</v>
      </c>
      <c r="E232" s="11">
        <f>+E233+E234</f>
        <v>0</v>
      </c>
      <c r="F232" s="1296" t="str">
        <f t="shared" si="10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11"/>
        <v>0</v>
      </c>
    </row>
    <row r="233" spans="1:31" s="13" customFormat="1">
      <c r="A233" s="86" t="s">
        <v>294</v>
      </c>
      <c r="B233" s="66" t="s">
        <v>288</v>
      </c>
      <c r="C233" s="394">
        <f>+C200</f>
        <v>0</v>
      </c>
      <c r="D233" s="1063">
        <f>+D200</f>
        <v>0</v>
      </c>
      <c r="E233" s="12">
        <f>+E200</f>
        <v>0</v>
      </c>
      <c r="F233" s="1296" t="str">
        <f t="shared" si="10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11"/>
        <v>0</v>
      </c>
    </row>
    <row r="234" spans="1:31" s="13" customFormat="1" ht="12.75" thickBot="1">
      <c r="A234" s="90" t="s">
        <v>295</v>
      </c>
      <c r="B234" s="75" t="s">
        <v>289</v>
      </c>
      <c r="C234" s="390">
        <f>+C195+C196+C197+C198+C199+C201+C202</f>
        <v>0</v>
      </c>
      <c r="D234" s="1161">
        <f>+D195+D196+D197+D198+D199+D201+D202</f>
        <v>0</v>
      </c>
      <c r="E234" s="41">
        <f>+E195+E196+E197+E198+E199+E201+E202</f>
        <v>0</v>
      </c>
      <c r="F234" s="1307" t="str">
        <f t="shared" si="10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11"/>
        <v>0</v>
      </c>
    </row>
    <row r="237" spans="1:31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F238" s="1290"/>
      <c r="I238" s="37"/>
    </row>
    <row r="239" spans="1:31" s="3" customFormat="1">
      <c r="A239" s="91" t="s">
        <v>4</v>
      </c>
      <c r="B239" s="76" t="s">
        <v>91</v>
      </c>
      <c r="C239" s="1075">
        <v>69</v>
      </c>
      <c r="D239" s="1162">
        <f>69+2+2</f>
        <v>73</v>
      </c>
      <c r="E239" s="55">
        <f>59+11</f>
        <v>70</v>
      </c>
      <c r="F239" s="1304">
        <f>IF(ISERROR(E239/D239),"-",E239/D239)</f>
        <v>0.95890410958904104</v>
      </c>
      <c r="G239" s="54">
        <v>70</v>
      </c>
      <c r="H239" s="55"/>
      <c r="I239" s="56"/>
      <c r="K239" s="3">
        <f>+E239-G239-H239-I239</f>
        <v>0</v>
      </c>
    </row>
    <row r="240" spans="1:31" s="13" customFormat="1">
      <c r="A240" s="89" t="s">
        <v>350</v>
      </c>
      <c r="B240" s="99" t="s">
        <v>351</v>
      </c>
      <c r="C240" s="1076">
        <v>0</v>
      </c>
      <c r="D240" s="1163">
        <v>0</v>
      </c>
      <c r="E240" s="101"/>
      <c r="F240" s="1298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77">
        <v>0</v>
      </c>
      <c r="D241" s="1164">
        <v>0</v>
      </c>
      <c r="E241" s="58"/>
      <c r="F241" s="1312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329</v>
      </c>
      <c r="C242" s="1078">
        <f>+C239+C241</f>
        <v>69</v>
      </c>
      <c r="D242" s="1165">
        <f>+D239+D241</f>
        <v>73</v>
      </c>
      <c r="E242" s="61">
        <f>+E239+E241</f>
        <v>70</v>
      </c>
      <c r="F242" s="1294">
        <f>IF(ISERROR(E242/D242),"-",E242/D242)</f>
        <v>0.95890410958904104</v>
      </c>
      <c r="G242" s="60">
        <f>+G239+G241</f>
        <v>70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8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7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E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30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289"/>
      <c r="I1" s="51" t="s">
        <v>357</v>
      </c>
    </row>
    <row r="2" spans="1:11" s="50" customFormat="1" ht="15.75">
      <c r="F2" s="1289"/>
    </row>
    <row r="3" spans="1:11" s="52" customFormat="1" ht="15.75">
      <c r="A3" s="1769" t="s">
        <v>358</v>
      </c>
      <c r="B3" s="1769"/>
      <c r="C3" s="1769"/>
      <c r="D3" s="1769"/>
      <c r="E3" s="1769"/>
      <c r="F3" s="1769"/>
      <c r="G3" s="1769"/>
      <c r="H3" s="1769"/>
      <c r="I3" s="1769"/>
    </row>
    <row r="4" spans="1:11" s="52" customFormat="1" ht="15.75">
      <c r="A4" s="1769" t="s">
        <v>1417</v>
      </c>
      <c r="B4" s="1769"/>
      <c r="C4" s="1769"/>
      <c r="D4" s="1769"/>
      <c r="E4" s="1769"/>
      <c r="F4" s="1769"/>
      <c r="G4" s="1769"/>
      <c r="H4" s="1769"/>
      <c r="I4" s="1769"/>
    </row>
    <row r="5" spans="1:11" s="50" customFormat="1" ht="15.75">
      <c r="F5" s="1289"/>
    </row>
    <row r="6" spans="1:11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  <c r="I6" s="1769"/>
    </row>
    <row r="7" spans="1:11" s="36" customFormat="1" ht="12.75" thickBot="1">
      <c r="A7" s="38" t="s">
        <v>279</v>
      </c>
      <c r="F7" s="1290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771" t="s">
        <v>254</v>
      </c>
      <c r="D9" s="1772"/>
      <c r="E9" s="1772"/>
      <c r="F9" s="1772"/>
      <c r="G9" s="1772"/>
      <c r="H9" s="1772"/>
      <c r="I9" s="1773"/>
    </row>
    <row r="10" spans="1:11" s="3" customFormat="1" ht="12.75" thickBot="1">
      <c r="A10" s="95" t="s">
        <v>4</v>
      </c>
      <c r="B10" s="63" t="s">
        <v>296</v>
      </c>
      <c r="C10" s="401">
        <f>+C11+C25+C32+C44</f>
        <v>600</v>
      </c>
      <c r="D10" s="1060">
        <f>+D11+D25+D32+D44</f>
        <v>5683</v>
      </c>
      <c r="E10" s="131">
        <f>+E11+E25+E32+E44</f>
        <v>5660</v>
      </c>
      <c r="F10" s="1315">
        <f>IF(ISERROR(E10/D10),"-",E10/D10)</f>
        <v>0.99595284180890375</v>
      </c>
      <c r="G10" s="31">
        <f>+G11+G25+G32+G44</f>
        <v>5660</v>
      </c>
      <c r="H10" s="32">
        <f>+H11+H25+H32+H44</f>
        <v>0</v>
      </c>
      <c r="I10" s="33">
        <f>+I11+I25+I32+I44</f>
        <v>0</v>
      </c>
      <c r="K10" s="3">
        <f t="shared" ref="K10:K41" si="0">+E10-G10-H10-I10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061">
        <f>+D12+D19+D20+D21+D22+D23</f>
        <v>3714</v>
      </c>
      <c r="E11" s="28">
        <f>+E12+E19+E20+E21+E22+E23</f>
        <v>3714</v>
      </c>
      <c r="F11" s="1316">
        <f t="shared" ref="F11:F74" si="1">IF(ISERROR(E11/D11),"-",E11/D11)</f>
        <v>1</v>
      </c>
      <c r="G11" s="27">
        <f>+G12+G19+G20+G21+G22+G23</f>
        <v>3714</v>
      </c>
      <c r="H11" s="28">
        <f>+H12+H19+H20+H21+H22+H23</f>
        <v>0</v>
      </c>
      <c r="I11" s="29">
        <f>+I12+I19+I20+I21+I22+I23</f>
        <v>0</v>
      </c>
      <c r="K11" s="3">
        <f t="shared" si="0"/>
        <v>0</v>
      </c>
    </row>
    <row r="12" spans="1:11" s="3" customFormat="1">
      <c r="A12" s="84" t="s">
        <v>54</v>
      </c>
      <c r="B12" s="65" t="s">
        <v>298</v>
      </c>
      <c r="C12" s="398">
        <f>+C13+C14+C15+C16+C17+C18</f>
        <v>0</v>
      </c>
      <c r="D12" s="1062">
        <f>+D13+D14+D15+D16+D17+D18</f>
        <v>0</v>
      </c>
      <c r="E12" s="10">
        <f>+E13+E14+E15+E16+E17+E18</f>
        <v>0</v>
      </c>
      <c r="F12" s="1317" t="str">
        <f t="shared" si="1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0"/>
        <v>0</v>
      </c>
    </row>
    <row r="13" spans="1:11" s="13" customFormat="1">
      <c r="A13" s="86" t="s">
        <v>189</v>
      </c>
      <c r="B13" s="66" t="s">
        <v>93</v>
      </c>
      <c r="C13" s="394"/>
      <c r="D13" s="1063"/>
      <c r="E13" s="12"/>
      <c r="F13" s="1318" t="str">
        <f t="shared" si="1"/>
        <v>-</v>
      </c>
      <c r="G13" s="19"/>
      <c r="H13" s="12"/>
      <c r="I13" s="15"/>
      <c r="K13" s="13">
        <f t="shared" si="0"/>
        <v>0</v>
      </c>
    </row>
    <row r="14" spans="1:11" s="13" customFormat="1">
      <c r="A14" s="86" t="s">
        <v>190</v>
      </c>
      <c r="B14" s="66" t="s">
        <v>94</v>
      </c>
      <c r="C14" s="394"/>
      <c r="D14" s="1063"/>
      <c r="E14" s="12"/>
      <c r="F14" s="1318" t="str">
        <f t="shared" si="1"/>
        <v>-</v>
      </c>
      <c r="G14" s="19"/>
      <c r="H14" s="12"/>
      <c r="I14" s="15"/>
      <c r="K14" s="13">
        <f t="shared" si="0"/>
        <v>0</v>
      </c>
    </row>
    <row r="15" spans="1:11" s="13" customFormat="1">
      <c r="A15" s="86" t="s">
        <v>191</v>
      </c>
      <c r="B15" s="66" t="s">
        <v>95</v>
      </c>
      <c r="C15" s="394"/>
      <c r="D15" s="1063"/>
      <c r="E15" s="12"/>
      <c r="F15" s="1318" t="str">
        <f t="shared" si="1"/>
        <v>-</v>
      </c>
      <c r="G15" s="19"/>
      <c r="H15" s="12"/>
      <c r="I15" s="15"/>
      <c r="K15" s="13">
        <f t="shared" si="0"/>
        <v>0</v>
      </c>
    </row>
    <row r="16" spans="1:11" s="13" customFormat="1">
      <c r="A16" s="86" t="s">
        <v>192</v>
      </c>
      <c r="B16" s="66" t="s">
        <v>96</v>
      </c>
      <c r="C16" s="394"/>
      <c r="D16" s="1063"/>
      <c r="E16" s="12"/>
      <c r="F16" s="1318" t="str">
        <f t="shared" si="1"/>
        <v>-</v>
      </c>
      <c r="G16" s="19"/>
      <c r="H16" s="12"/>
      <c r="I16" s="15"/>
      <c r="K16" s="13">
        <f t="shared" si="0"/>
        <v>0</v>
      </c>
    </row>
    <row r="17" spans="1:11" s="13" customFormat="1">
      <c r="A17" s="86" t="s">
        <v>193</v>
      </c>
      <c r="B17" s="66" t="s">
        <v>891</v>
      </c>
      <c r="C17" s="394"/>
      <c r="D17" s="1063"/>
      <c r="E17" s="12"/>
      <c r="F17" s="1319" t="str">
        <f t="shared" si="1"/>
        <v>-</v>
      </c>
      <c r="G17" s="19"/>
      <c r="H17" s="12"/>
      <c r="I17" s="15"/>
      <c r="K17" s="13">
        <f t="shared" si="0"/>
        <v>0</v>
      </c>
    </row>
    <row r="18" spans="1:11" s="13" customFormat="1">
      <c r="A18" s="86" t="s">
        <v>194</v>
      </c>
      <c r="B18" s="66" t="s">
        <v>892</v>
      </c>
      <c r="C18" s="394"/>
      <c r="D18" s="1063"/>
      <c r="E18" s="12"/>
      <c r="F18" s="1319" t="str">
        <f t="shared" si="1"/>
        <v>-</v>
      </c>
      <c r="G18" s="19"/>
      <c r="H18" s="12"/>
      <c r="I18" s="15"/>
      <c r="K18" s="13">
        <f t="shared" si="0"/>
        <v>0</v>
      </c>
    </row>
    <row r="19" spans="1:11">
      <c r="A19" s="85" t="s">
        <v>55</v>
      </c>
      <c r="B19" s="67" t="s">
        <v>97</v>
      </c>
      <c r="C19" s="396"/>
      <c r="D19" s="1064"/>
      <c r="E19" s="11"/>
      <c r="F19" s="1318" t="str">
        <f t="shared" si="1"/>
        <v>-</v>
      </c>
      <c r="G19" s="20"/>
      <c r="H19" s="11"/>
      <c r="I19" s="16"/>
      <c r="K19" s="4">
        <f t="shared" si="0"/>
        <v>0</v>
      </c>
    </row>
    <row r="20" spans="1:11">
      <c r="A20" s="85" t="s">
        <v>83</v>
      </c>
      <c r="B20" s="67" t="s">
        <v>98</v>
      </c>
      <c r="C20" s="396"/>
      <c r="D20" s="1064"/>
      <c r="E20" s="11"/>
      <c r="F20" s="1318" t="str">
        <f t="shared" si="1"/>
        <v>-</v>
      </c>
      <c r="G20" s="20"/>
      <c r="H20" s="11"/>
      <c r="I20" s="16"/>
      <c r="K20" s="4">
        <f t="shared" si="0"/>
        <v>0</v>
      </c>
    </row>
    <row r="21" spans="1:11">
      <c r="A21" s="85" t="s">
        <v>84</v>
      </c>
      <c r="B21" s="67" t="s">
        <v>99</v>
      </c>
      <c r="C21" s="396"/>
      <c r="D21" s="1064"/>
      <c r="E21" s="11"/>
      <c r="F21" s="1318" t="str">
        <f t="shared" si="1"/>
        <v>-</v>
      </c>
      <c r="G21" s="20"/>
      <c r="H21" s="11"/>
      <c r="I21" s="16"/>
      <c r="K21" s="4">
        <f t="shared" si="0"/>
        <v>0</v>
      </c>
    </row>
    <row r="22" spans="1:11">
      <c r="A22" s="85" t="s">
        <v>85</v>
      </c>
      <c r="B22" s="67" t="s">
        <v>100</v>
      </c>
      <c r="C22" s="396"/>
      <c r="D22" s="1064"/>
      <c r="E22" s="11"/>
      <c r="F22" s="1318" t="str">
        <f t="shared" si="1"/>
        <v>-</v>
      </c>
      <c r="G22" s="20"/>
      <c r="H22" s="11"/>
      <c r="I22" s="16"/>
      <c r="K22" s="4">
        <f t="shared" si="0"/>
        <v>0</v>
      </c>
    </row>
    <row r="23" spans="1:11">
      <c r="A23" s="78" t="s">
        <v>86</v>
      </c>
      <c r="B23" s="68" t="s">
        <v>101</v>
      </c>
      <c r="C23" s="397"/>
      <c r="D23" s="1065">
        <v>3714</v>
      </c>
      <c r="E23" s="22">
        <v>3714</v>
      </c>
      <c r="F23" s="1320">
        <f t="shared" si="1"/>
        <v>1</v>
      </c>
      <c r="G23" s="21">
        <v>3714</v>
      </c>
      <c r="H23" s="22"/>
      <c r="I23" s="23"/>
      <c r="K23" s="4">
        <f t="shared" si="0"/>
        <v>0</v>
      </c>
    </row>
    <row r="24" spans="1:11" s="13" customFormat="1" ht="12.75" thickBot="1">
      <c r="A24" s="89" t="s">
        <v>331</v>
      </c>
      <c r="B24" s="751" t="s">
        <v>332</v>
      </c>
      <c r="C24" s="395"/>
      <c r="D24" s="1066">
        <v>3464</v>
      </c>
      <c r="E24" s="43">
        <v>3464</v>
      </c>
      <c r="F24" s="1320">
        <f t="shared" si="1"/>
        <v>1</v>
      </c>
      <c r="G24" s="45">
        <v>3464</v>
      </c>
      <c r="H24" s="43"/>
      <c r="I24" s="44"/>
      <c r="K24" s="13">
        <f t="shared" si="0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061">
        <f>+D26+D27+D28+D29+D30+D31</f>
        <v>0</v>
      </c>
      <c r="E25" s="28">
        <f>+E26+E27+E28+E29+E30+E31</f>
        <v>0</v>
      </c>
      <c r="F25" s="1316" t="str">
        <f t="shared" si="1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0"/>
        <v>0</v>
      </c>
    </row>
    <row r="26" spans="1:11" ht="12.75" customHeight="1">
      <c r="A26" s="84" t="s">
        <v>58</v>
      </c>
      <c r="B26" s="65" t="s">
        <v>102</v>
      </c>
      <c r="C26" s="398"/>
      <c r="D26" s="1062"/>
      <c r="E26" s="10"/>
      <c r="F26" s="1317" t="str">
        <f t="shared" si="1"/>
        <v>-</v>
      </c>
      <c r="G26" s="34"/>
      <c r="H26" s="10"/>
      <c r="I26" s="35"/>
      <c r="K26" s="4">
        <f t="shared" si="0"/>
        <v>0</v>
      </c>
    </row>
    <row r="27" spans="1:11" ht="12.75" customHeight="1">
      <c r="A27" s="85" t="s">
        <v>59</v>
      </c>
      <c r="B27" s="67" t="s">
        <v>103</v>
      </c>
      <c r="C27" s="396"/>
      <c r="D27" s="1064"/>
      <c r="E27" s="11"/>
      <c r="F27" s="1318" t="str">
        <f t="shared" si="1"/>
        <v>-</v>
      </c>
      <c r="G27" s="20"/>
      <c r="H27" s="11"/>
      <c r="I27" s="16"/>
      <c r="K27" s="4">
        <f t="shared" si="0"/>
        <v>0</v>
      </c>
    </row>
    <row r="28" spans="1:11" ht="12.75" customHeight="1">
      <c r="A28" s="85" t="s">
        <v>60</v>
      </c>
      <c r="B28" s="67" t="s">
        <v>104</v>
      </c>
      <c r="C28" s="396"/>
      <c r="D28" s="1064"/>
      <c r="E28" s="11"/>
      <c r="F28" s="1318" t="str">
        <f t="shared" si="1"/>
        <v>-</v>
      </c>
      <c r="G28" s="20"/>
      <c r="H28" s="11"/>
      <c r="I28" s="16"/>
      <c r="K28" s="4">
        <f t="shared" si="0"/>
        <v>0</v>
      </c>
    </row>
    <row r="29" spans="1:11" ht="12.75" customHeight="1">
      <c r="A29" s="85" t="s">
        <v>179</v>
      </c>
      <c r="B29" s="67" t="s">
        <v>105</v>
      </c>
      <c r="C29" s="396"/>
      <c r="D29" s="1064"/>
      <c r="E29" s="11"/>
      <c r="F29" s="1318" t="str">
        <f t="shared" si="1"/>
        <v>-</v>
      </c>
      <c r="G29" s="20"/>
      <c r="H29" s="11"/>
      <c r="I29" s="16"/>
      <c r="K29" s="4">
        <f t="shared" si="0"/>
        <v>0</v>
      </c>
    </row>
    <row r="30" spans="1:11" ht="12.75" customHeight="1">
      <c r="A30" s="78" t="s">
        <v>180</v>
      </c>
      <c r="B30" s="68" t="s">
        <v>106</v>
      </c>
      <c r="C30" s="397"/>
      <c r="D30" s="1065"/>
      <c r="E30" s="22"/>
      <c r="F30" s="1320" t="str">
        <f t="shared" si="1"/>
        <v>-</v>
      </c>
      <c r="G30" s="20"/>
      <c r="H30" s="11"/>
      <c r="I30" s="16"/>
      <c r="K30" s="4">
        <f t="shared" si="0"/>
        <v>0</v>
      </c>
    </row>
    <row r="31" spans="1:11" ht="12.75" customHeight="1" thickBot="1">
      <c r="A31" s="78" t="s">
        <v>777</v>
      </c>
      <c r="B31" s="68" t="s">
        <v>779</v>
      </c>
      <c r="C31" s="397"/>
      <c r="D31" s="1065"/>
      <c r="E31" s="22"/>
      <c r="F31" s="1320" t="str">
        <f t="shared" si="1"/>
        <v>-</v>
      </c>
      <c r="G31" s="20"/>
      <c r="H31" s="11"/>
      <c r="I31" s="16"/>
      <c r="K31" s="4">
        <f t="shared" si="0"/>
        <v>0</v>
      </c>
    </row>
    <row r="32" spans="1:11" s="3" customFormat="1" ht="12.75" customHeight="1" thickBot="1">
      <c r="A32" s="83" t="s">
        <v>3</v>
      </c>
      <c r="B32" s="64" t="s">
        <v>964</v>
      </c>
      <c r="C32" s="129">
        <f>+C33+C34+C35+C36+C37+C38+C39+C40+C41+C42+C43</f>
        <v>600</v>
      </c>
      <c r="D32" s="1061">
        <f>+D33+D34+D35+D36+D37+D38+D39+D40+D41+D42+D43</f>
        <v>1957</v>
      </c>
      <c r="E32" s="28">
        <f>+E33+E34+E35+E36+E37+E38+E39+E40+E41+E42+E43</f>
        <v>1934</v>
      </c>
      <c r="F32" s="1316">
        <f t="shared" si="1"/>
        <v>0.98824731732243232</v>
      </c>
      <c r="G32" s="27">
        <f>+G33+G34+G35+G36+G37+G38+G39+G40+G41+G42+G43</f>
        <v>1934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0"/>
        <v>0</v>
      </c>
    </row>
    <row r="33" spans="1:11" ht="12.75" customHeight="1">
      <c r="A33" s="84" t="s">
        <v>61</v>
      </c>
      <c r="B33" s="65" t="s">
        <v>1539</v>
      </c>
      <c r="C33" s="398"/>
      <c r="D33" s="1062"/>
      <c r="E33" s="10"/>
      <c r="F33" s="1317" t="str">
        <f t="shared" si="1"/>
        <v>-</v>
      </c>
      <c r="G33" s="34"/>
      <c r="H33" s="10"/>
      <c r="I33" s="35"/>
      <c r="K33" s="4">
        <f t="shared" si="0"/>
        <v>0</v>
      </c>
    </row>
    <row r="34" spans="1:11" ht="12.75" customHeight="1">
      <c r="A34" s="85" t="s">
        <v>62</v>
      </c>
      <c r="B34" s="67" t="s">
        <v>107</v>
      </c>
      <c r="C34" s="396">
        <v>600</v>
      </c>
      <c r="D34" s="1064">
        <v>1947</v>
      </c>
      <c r="E34" s="11">
        <v>1924</v>
      </c>
      <c r="F34" s="1318">
        <f t="shared" si="1"/>
        <v>0.98818695428864922</v>
      </c>
      <c r="G34" s="20">
        <v>1924</v>
      </c>
      <c r="H34" s="11"/>
      <c r="I34" s="16"/>
      <c r="K34" s="4">
        <f t="shared" si="0"/>
        <v>0</v>
      </c>
    </row>
    <row r="35" spans="1:11" ht="12.75" customHeight="1">
      <c r="A35" s="85" t="s">
        <v>63</v>
      </c>
      <c r="B35" s="67" t="s">
        <v>108</v>
      </c>
      <c r="C35" s="396"/>
      <c r="D35" s="1064"/>
      <c r="E35" s="11"/>
      <c r="F35" s="1318" t="str">
        <f t="shared" si="1"/>
        <v>-</v>
      </c>
      <c r="G35" s="20"/>
      <c r="H35" s="11"/>
      <c r="I35" s="16"/>
      <c r="K35" s="4">
        <f t="shared" si="0"/>
        <v>0</v>
      </c>
    </row>
    <row r="36" spans="1:11" ht="12.75" customHeight="1">
      <c r="A36" s="85" t="s">
        <v>64</v>
      </c>
      <c r="B36" s="67" t="s">
        <v>109</v>
      </c>
      <c r="C36" s="396"/>
      <c r="D36" s="1064"/>
      <c r="E36" s="11"/>
      <c r="F36" s="1318" t="str">
        <f t="shared" si="1"/>
        <v>-</v>
      </c>
      <c r="G36" s="20"/>
      <c r="H36" s="11"/>
      <c r="I36" s="16"/>
      <c r="K36" s="4">
        <f t="shared" si="0"/>
        <v>0</v>
      </c>
    </row>
    <row r="37" spans="1:11" ht="12.75" customHeight="1">
      <c r="A37" s="85" t="s">
        <v>65</v>
      </c>
      <c r="B37" s="67" t="s">
        <v>110</v>
      </c>
      <c r="C37" s="396"/>
      <c r="D37" s="1064"/>
      <c r="E37" s="11"/>
      <c r="F37" s="1318" t="str">
        <f t="shared" si="1"/>
        <v>-</v>
      </c>
      <c r="G37" s="20"/>
      <c r="H37" s="11"/>
      <c r="I37" s="16"/>
      <c r="K37" s="4">
        <f t="shared" si="0"/>
        <v>0</v>
      </c>
    </row>
    <row r="38" spans="1:11" ht="12.75" customHeight="1">
      <c r="A38" s="85" t="s">
        <v>221</v>
      </c>
      <c r="B38" s="67" t="s">
        <v>111</v>
      </c>
      <c r="C38" s="396"/>
      <c r="D38" s="1064"/>
      <c r="E38" s="11"/>
      <c r="F38" s="1318" t="str">
        <f t="shared" si="1"/>
        <v>-</v>
      </c>
      <c r="G38" s="20"/>
      <c r="H38" s="11"/>
      <c r="I38" s="16"/>
      <c r="K38" s="4">
        <f t="shared" si="0"/>
        <v>0</v>
      </c>
    </row>
    <row r="39" spans="1:11" ht="12.75" customHeight="1">
      <c r="A39" s="85" t="s">
        <v>222</v>
      </c>
      <c r="B39" s="67" t="s">
        <v>112</v>
      </c>
      <c r="C39" s="396"/>
      <c r="D39" s="1064"/>
      <c r="E39" s="11"/>
      <c r="F39" s="1318" t="str">
        <f t="shared" si="1"/>
        <v>-</v>
      </c>
      <c r="G39" s="20"/>
      <c r="H39" s="11"/>
      <c r="I39" s="16"/>
      <c r="K39" s="4">
        <f t="shared" si="0"/>
        <v>0</v>
      </c>
    </row>
    <row r="40" spans="1:11" ht="12.75" customHeight="1">
      <c r="A40" s="85" t="s">
        <v>223</v>
      </c>
      <c r="B40" s="67" t="s">
        <v>974</v>
      </c>
      <c r="C40" s="396"/>
      <c r="D40" s="1064"/>
      <c r="E40" s="11"/>
      <c r="F40" s="1318" t="str">
        <f t="shared" si="1"/>
        <v>-</v>
      </c>
      <c r="G40" s="20"/>
      <c r="H40" s="11"/>
      <c r="I40" s="16"/>
      <c r="K40" s="4">
        <f t="shared" si="0"/>
        <v>0</v>
      </c>
    </row>
    <row r="41" spans="1:11" ht="12.75" customHeight="1">
      <c r="A41" s="85" t="s">
        <v>224</v>
      </c>
      <c r="B41" s="67" t="s">
        <v>113</v>
      </c>
      <c r="C41" s="396"/>
      <c r="D41" s="1064"/>
      <c r="E41" s="11"/>
      <c r="F41" s="1318" t="str">
        <f t="shared" si="1"/>
        <v>-</v>
      </c>
      <c r="G41" s="20"/>
      <c r="H41" s="11"/>
      <c r="I41" s="16"/>
      <c r="K41" s="4">
        <f t="shared" si="0"/>
        <v>0</v>
      </c>
    </row>
    <row r="42" spans="1:11" ht="12.75" customHeight="1">
      <c r="A42" s="78" t="s">
        <v>225</v>
      </c>
      <c r="B42" s="68" t="s">
        <v>894</v>
      </c>
      <c r="C42" s="396"/>
      <c r="D42" s="1064"/>
      <c r="E42" s="11"/>
      <c r="F42" s="1318" t="str">
        <f t="shared" si="1"/>
        <v>-</v>
      </c>
      <c r="G42" s="20"/>
      <c r="H42" s="11"/>
      <c r="I42" s="16"/>
      <c r="K42" s="4">
        <f t="shared" ref="K42:K73" si="2">+E42-G42-H42-I42</f>
        <v>0</v>
      </c>
    </row>
    <row r="43" spans="1:11" ht="12.75" customHeight="1" thickBot="1">
      <c r="A43" s="78" t="s">
        <v>893</v>
      </c>
      <c r="B43" s="68" t="s">
        <v>895</v>
      </c>
      <c r="C43" s="397"/>
      <c r="D43" s="1065">
        <v>10</v>
      </c>
      <c r="E43" s="22">
        <v>10</v>
      </c>
      <c r="F43" s="1320">
        <f t="shared" si="1"/>
        <v>1</v>
      </c>
      <c r="G43" s="21">
        <v>10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965</v>
      </c>
      <c r="C44" s="129">
        <f>+C45+C46+C47+C48+C49</f>
        <v>0</v>
      </c>
      <c r="D44" s="1061">
        <f>+D45+D46+D47+D48+D49</f>
        <v>12</v>
      </c>
      <c r="E44" s="28">
        <f>+E45+E46+E47+E48+E49</f>
        <v>12</v>
      </c>
      <c r="F44" s="1316">
        <f t="shared" si="1"/>
        <v>1</v>
      </c>
      <c r="G44" s="27">
        <f>+G45+G46+G47+G48+G49</f>
        <v>12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398"/>
      <c r="D45" s="1062"/>
      <c r="E45" s="10"/>
      <c r="F45" s="1317" t="str">
        <f t="shared" si="1"/>
        <v>-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896</v>
      </c>
      <c r="C46" s="398"/>
      <c r="D46" s="1062"/>
      <c r="E46" s="10"/>
      <c r="F46" s="1317" t="str">
        <f t="shared" si="1"/>
        <v>-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897</v>
      </c>
      <c r="C47" s="398"/>
      <c r="D47" s="1062"/>
      <c r="E47" s="10"/>
      <c r="F47" s="1317" t="str">
        <f t="shared" si="1"/>
        <v>-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898</v>
      </c>
      <c r="C48" s="396"/>
      <c r="D48" s="1064"/>
      <c r="E48" s="11"/>
      <c r="F48" s="1318" t="str">
        <f t="shared" si="1"/>
        <v>-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899</v>
      </c>
      <c r="C49" s="397"/>
      <c r="D49" s="1065">
        <v>12</v>
      </c>
      <c r="E49" s="22">
        <v>12</v>
      </c>
      <c r="F49" s="1320">
        <f t="shared" si="1"/>
        <v>1</v>
      </c>
      <c r="G49" s="21">
        <v>12</v>
      </c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061">
        <f>+D51+D58+D64</f>
        <v>0</v>
      </c>
      <c r="E50" s="28">
        <f>+E51+E58+E64</f>
        <v>0</v>
      </c>
      <c r="F50" s="1316" t="str">
        <f t="shared" si="1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061">
        <f>+D52+D53+D54+D55+D56</f>
        <v>0</v>
      </c>
      <c r="E51" s="28">
        <f>+E52+E53+E54+E55+E56</f>
        <v>0</v>
      </c>
      <c r="F51" s="1316" t="str">
        <f t="shared" si="1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398"/>
      <c r="D52" s="1062"/>
      <c r="E52" s="10"/>
      <c r="F52" s="1317" t="str">
        <f t="shared" si="1"/>
        <v>-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396"/>
      <c r="D53" s="1064"/>
      <c r="E53" s="11"/>
      <c r="F53" s="1318" t="str">
        <f t="shared" si="1"/>
        <v>-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396"/>
      <c r="D54" s="1064"/>
      <c r="E54" s="11"/>
      <c r="F54" s="1318" t="str">
        <f t="shared" si="1"/>
        <v>-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396"/>
      <c r="D55" s="1064"/>
      <c r="E55" s="11"/>
      <c r="F55" s="1318" t="str">
        <f t="shared" si="1"/>
        <v>-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397"/>
      <c r="D56" s="1065"/>
      <c r="E56" s="22"/>
      <c r="F56" s="1320" t="str">
        <f t="shared" si="1"/>
        <v>-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51" t="s">
        <v>337</v>
      </c>
      <c r="C57" s="395"/>
      <c r="D57" s="1066"/>
      <c r="E57" s="43"/>
      <c r="F57" s="1320" t="str">
        <f t="shared" si="1"/>
        <v>-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061">
        <f>+D59+D60+D61+D62+D63</f>
        <v>0</v>
      </c>
      <c r="E58" s="28">
        <f>+E59+E60+E61+E62+E63</f>
        <v>0</v>
      </c>
      <c r="F58" s="1316" t="str">
        <f t="shared" si="1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398"/>
      <c r="D59" s="1062"/>
      <c r="E59" s="10"/>
      <c r="F59" s="1317" t="str">
        <f t="shared" si="1"/>
        <v>-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396"/>
      <c r="D60" s="1064"/>
      <c r="E60" s="11"/>
      <c r="F60" s="1318" t="str">
        <f t="shared" si="1"/>
        <v>-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396"/>
      <c r="D61" s="1064"/>
      <c r="E61" s="11"/>
      <c r="F61" s="1318" t="str">
        <f t="shared" si="1"/>
        <v>-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396"/>
      <c r="D62" s="1064"/>
      <c r="E62" s="11"/>
      <c r="F62" s="1318" t="str">
        <f t="shared" si="1"/>
        <v>-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397"/>
      <c r="D63" s="1065"/>
      <c r="E63" s="22"/>
      <c r="F63" s="1320" t="str">
        <f t="shared" si="1"/>
        <v>-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903</v>
      </c>
      <c r="C64" s="129">
        <f>+C65+C66+C67+C68+C69</f>
        <v>0</v>
      </c>
      <c r="D64" s="1061">
        <f>+D65+D66+D67+D68+D69</f>
        <v>0</v>
      </c>
      <c r="E64" s="28">
        <f>+E65+E66+E67+E68+E69</f>
        <v>0</v>
      </c>
      <c r="F64" s="1316" t="str">
        <f t="shared" si="1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4">
      <c r="A65" s="84" t="s">
        <v>69</v>
      </c>
      <c r="B65" s="65" t="s">
        <v>125</v>
      </c>
      <c r="C65" s="398"/>
      <c r="D65" s="1062"/>
      <c r="E65" s="10"/>
      <c r="F65" s="1317" t="str">
        <f t="shared" si="1"/>
        <v>-</v>
      </c>
      <c r="G65" s="34"/>
      <c r="H65" s="10"/>
      <c r="I65" s="35"/>
      <c r="K65" s="4">
        <f t="shared" si="2"/>
        <v>0</v>
      </c>
    </row>
    <row r="66" spans="1:14">
      <c r="A66" s="84" t="s">
        <v>70</v>
      </c>
      <c r="B66" s="65" t="s">
        <v>904</v>
      </c>
      <c r="C66" s="398"/>
      <c r="D66" s="1062"/>
      <c r="E66" s="10"/>
      <c r="F66" s="1317" t="str">
        <f t="shared" si="1"/>
        <v>-</v>
      </c>
      <c r="G66" s="34"/>
      <c r="H66" s="10"/>
      <c r="I66" s="35"/>
      <c r="K66" s="4">
        <f t="shared" si="2"/>
        <v>0</v>
      </c>
    </row>
    <row r="67" spans="1:14">
      <c r="A67" s="84" t="s">
        <v>71</v>
      </c>
      <c r="B67" s="65" t="s">
        <v>905</v>
      </c>
      <c r="C67" s="398"/>
      <c r="D67" s="1062"/>
      <c r="E67" s="10"/>
      <c r="F67" s="1317" t="str">
        <f t="shared" si="1"/>
        <v>-</v>
      </c>
      <c r="G67" s="34"/>
      <c r="H67" s="10"/>
      <c r="I67" s="35"/>
      <c r="K67" s="4">
        <f t="shared" si="2"/>
        <v>0</v>
      </c>
    </row>
    <row r="68" spans="1:14">
      <c r="A68" s="85" t="s">
        <v>72</v>
      </c>
      <c r="B68" s="67" t="s">
        <v>901</v>
      </c>
      <c r="C68" s="396"/>
      <c r="D68" s="1064"/>
      <c r="E68" s="11"/>
      <c r="F68" s="1318" t="str">
        <f t="shared" si="1"/>
        <v>-</v>
      </c>
      <c r="G68" s="20"/>
      <c r="H68" s="11"/>
      <c r="I68" s="16"/>
      <c r="K68" s="4">
        <f t="shared" si="2"/>
        <v>0</v>
      </c>
    </row>
    <row r="69" spans="1:14" ht="12.75" thickBot="1">
      <c r="A69" s="78" t="s">
        <v>900</v>
      </c>
      <c r="B69" s="68" t="s">
        <v>902</v>
      </c>
      <c r="C69" s="397"/>
      <c r="D69" s="1065"/>
      <c r="E69" s="22"/>
      <c r="F69" s="1320" t="str">
        <f t="shared" si="1"/>
        <v>-</v>
      </c>
      <c r="G69" s="21"/>
      <c r="H69" s="22"/>
      <c r="I69" s="23"/>
      <c r="K69" s="4">
        <f t="shared" si="2"/>
        <v>0</v>
      </c>
    </row>
    <row r="70" spans="1:14" s="3" customFormat="1" ht="12.75" thickBot="1">
      <c r="A70" s="83" t="s">
        <v>11</v>
      </c>
      <c r="B70" s="69" t="s">
        <v>302</v>
      </c>
      <c r="C70" s="129">
        <f>+C10+C50</f>
        <v>600</v>
      </c>
      <c r="D70" s="1061">
        <f>+D10+D50</f>
        <v>5683</v>
      </c>
      <c r="E70" s="28">
        <f>+E10+E50</f>
        <v>5660</v>
      </c>
      <c r="F70" s="1316">
        <f t="shared" si="1"/>
        <v>0.99595284180890375</v>
      </c>
      <c r="G70" s="27">
        <f>+G10+G50</f>
        <v>5660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4" s="3" customFormat="1" ht="12.75" thickBot="1">
      <c r="A71" s="83" t="s">
        <v>10</v>
      </c>
      <c r="B71" s="70" t="s">
        <v>303</v>
      </c>
      <c r="C71" s="129">
        <f>+C72</f>
        <v>49158</v>
      </c>
      <c r="D71" s="1061">
        <f>+D72</f>
        <v>35016</v>
      </c>
      <c r="E71" s="28">
        <f>+E72</f>
        <v>37181</v>
      </c>
      <c r="F71" s="1316">
        <f t="shared" si="1"/>
        <v>1.0618288782270962</v>
      </c>
      <c r="G71" s="27">
        <f>+G72</f>
        <v>37181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4" s="3" customFormat="1" ht="12.75" thickBot="1">
      <c r="A72" s="83" t="s">
        <v>9</v>
      </c>
      <c r="B72" s="64" t="s">
        <v>912</v>
      </c>
      <c r="C72" s="129">
        <f>+C73+C83+C84+C85</f>
        <v>49158</v>
      </c>
      <c r="D72" s="1061">
        <f>+D73+D83+D84+D85</f>
        <v>35016</v>
      </c>
      <c r="E72" s="28">
        <f>+E73+E83+E84+E85</f>
        <v>37181</v>
      </c>
      <c r="F72" s="1316">
        <f t="shared" si="1"/>
        <v>1.0618288782270962</v>
      </c>
      <c r="G72" s="27">
        <f>+G73+G83+G84+G85</f>
        <v>37181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4">
      <c r="A73" s="84" t="s">
        <v>73</v>
      </c>
      <c r="B73" s="65" t="s">
        <v>907</v>
      </c>
      <c r="C73" s="398">
        <f>+C74+C75+C76+C77+C78+C79+C80+C81+C82</f>
        <v>49158</v>
      </c>
      <c r="D73" s="1062">
        <f>+D74+D75+D76+D77+D78+D79+D80+D81+D82</f>
        <v>35016</v>
      </c>
      <c r="E73" s="10">
        <f>+E74+E75+E76+E77+E78+E79+E80+E81+E82</f>
        <v>37181</v>
      </c>
      <c r="F73" s="1317">
        <f t="shared" si="1"/>
        <v>1.0618288782270962</v>
      </c>
      <c r="G73" s="34">
        <f>+G74+G75+G76+G77+G78+G79+G80+G81+G82</f>
        <v>37181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4" s="13" customFormat="1">
      <c r="A74" s="86" t="s">
        <v>195</v>
      </c>
      <c r="B74" s="66" t="s">
        <v>906</v>
      </c>
      <c r="C74" s="394"/>
      <c r="D74" s="1063"/>
      <c r="E74" s="12"/>
      <c r="F74" s="1318" t="str">
        <f t="shared" si="1"/>
        <v>-</v>
      </c>
      <c r="G74" s="19"/>
      <c r="H74" s="12"/>
      <c r="I74" s="15"/>
      <c r="K74" s="13">
        <f t="shared" ref="K74:K102" si="3">+E74-G74-H74-I74</f>
        <v>0</v>
      </c>
    </row>
    <row r="75" spans="1:14" s="13" customFormat="1">
      <c r="A75" s="86" t="s">
        <v>196</v>
      </c>
      <c r="B75" s="66" t="s">
        <v>246</v>
      </c>
      <c r="C75" s="394"/>
      <c r="D75" s="1063"/>
      <c r="E75" s="12"/>
      <c r="F75" s="1318" t="str">
        <f t="shared" ref="F75:F102" si="4">IF(ISERROR(E75/D75),"-",E75/D75)</f>
        <v>-</v>
      </c>
      <c r="G75" s="19"/>
      <c r="H75" s="12"/>
      <c r="I75" s="15"/>
      <c r="K75" s="13">
        <f t="shared" si="3"/>
        <v>0</v>
      </c>
    </row>
    <row r="76" spans="1:14" s="13" customFormat="1">
      <c r="A76" s="86" t="s">
        <v>197</v>
      </c>
      <c r="B76" s="66" t="s">
        <v>247</v>
      </c>
      <c r="C76" s="394"/>
      <c r="D76" s="1063">
        <v>332</v>
      </c>
      <c r="E76" s="12">
        <v>332</v>
      </c>
      <c r="F76" s="1318">
        <f t="shared" si="4"/>
        <v>1</v>
      </c>
      <c r="G76" s="19">
        <v>332</v>
      </c>
      <c r="H76" s="12"/>
      <c r="I76" s="15"/>
      <c r="K76" s="13">
        <f t="shared" si="3"/>
        <v>0</v>
      </c>
    </row>
    <row r="77" spans="1:14" s="13" customFormat="1">
      <c r="A77" s="86" t="s">
        <v>198</v>
      </c>
      <c r="B77" s="66" t="s">
        <v>248</v>
      </c>
      <c r="C77" s="394"/>
      <c r="D77" s="1063"/>
      <c r="E77" s="12"/>
      <c r="F77" s="1318" t="str">
        <f t="shared" si="4"/>
        <v>-</v>
      </c>
      <c r="G77" s="19"/>
      <c r="H77" s="12"/>
      <c r="I77" s="15"/>
      <c r="K77" s="13">
        <f t="shared" si="3"/>
        <v>0</v>
      </c>
    </row>
    <row r="78" spans="1:14" s="13" customFormat="1">
      <c r="A78" s="86" t="s">
        <v>199</v>
      </c>
      <c r="B78" s="66" t="s">
        <v>249</v>
      </c>
      <c r="C78" s="394"/>
      <c r="D78" s="1063"/>
      <c r="E78" s="12"/>
      <c r="F78" s="1318" t="str">
        <f t="shared" si="4"/>
        <v>-</v>
      </c>
      <c r="G78" s="19"/>
      <c r="H78" s="12"/>
      <c r="I78" s="15"/>
      <c r="K78" s="13">
        <f t="shared" si="3"/>
        <v>0</v>
      </c>
    </row>
    <row r="79" spans="1:14" s="13" customFormat="1">
      <c r="A79" s="108" t="s">
        <v>200</v>
      </c>
      <c r="B79" s="109" t="s">
        <v>250</v>
      </c>
      <c r="C79" s="394">
        <f>+C109-C10+C178-C74-C75-C76-C77-C78-C80-C81-C83-C84-C85</f>
        <v>49158</v>
      </c>
      <c r="D79" s="1063">
        <f>+D109-D10+D178-D74-D75-D76-D77-D78-D80-D81-D83-D84-D85</f>
        <v>34684</v>
      </c>
      <c r="E79" s="1063">
        <f>37149-E94</f>
        <v>36849</v>
      </c>
      <c r="F79" s="1296">
        <f t="shared" si="4"/>
        <v>1.0624207127205627</v>
      </c>
      <c r="G79" s="19">
        <v>36849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3"/>
        <v>0</v>
      </c>
      <c r="M79" s="13">
        <v>37730</v>
      </c>
      <c r="N79" s="13">
        <v>37149</v>
      </c>
    </row>
    <row r="80" spans="1:14" s="13" customFormat="1">
      <c r="A80" s="86" t="s">
        <v>203</v>
      </c>
      <c r="B80" s="66" t="s">
        <v>251</v>
      </c>
      <c r="C80" s="394"/>
      <c r="D80" s="1063"/>
      <c r="E80" s="12"/>
      <c r="F80" s="1318" t="str">
        <f t="shared" si="4"/>
        <v>-</v>
      </c>
      <c r="G80" s="19"/>
      <c r="H80" s="12"/>
      <c r="I80" s="15"/>
      <c r="K80" s="117">
        <f t="shared" si="3"/>
        <v>0</v>
      </c>
      <c r="M80" s="13">
        <f>+M79-D79-D94</f>
        <v>0</v>
      </c>
      <c r="N80" s="13">
        <f>+N79-E79-E94</f>
        <v>0</v>
      </c>
    </row>
    <row r="81" spans="1:11" s="13" customFormat="1">
      <c r="A81" s="86" t="s">
        <v>201</v>
      </c>
      <c r="B81" s="66" t="s">
        <v>244</v>
      </c>
      <c r="C81" s="394"/>
      <c r="D81" s="1063"/>
      <c r="E81" s="12"/>
      <c r="F81" s="1318" t="str">
        <f t="shared" si="4"/>
        <v>-</v>
      </c>
      <c r="G81" s="19"/>
      <c r="H81" s="12"/>
      <c r="I81" s="15"/>
      <c r="K81" s="117">
        <f t="shared" si="3"/>
        <v>0</v>
      </c>
    </row>
    <row r="82" spans="1:11" s="13" customFormat="1">
      <c r="A82" s="86" t="s">
        <v>908</v>
      </c>
      <c r="B82" s="66" t="s">
        <v>909</v>
      </c>
      <c r="C82" s="394"/>
      <c r="D82" s="1063"/>
      <c r="E82" s="12"/>
      <c r="F82" s="1318" t="str">
        <f t="shared" si="4"/>
        <v>-</v>
      </c>
      <c r="G82" s="19"/>
      <c r="H82" s="12"/>
      <c r="I82" s="15"/>
      <c r="K82" s="117">
        <f t="shared" si="3"/>
        <v>0</v>
      </c>
    </row>
    <row r="83" spans="1:11">
      <c r="A83" s="85" t="s">
        <v>74</v>
      </c>
      <c r="B83" s="67" t="s">
        <v>242</v>
      </c>
      <c r="C83" s="396"/>
      <c r="D83" s="1064"/>
      <c r="E83" s="11"/>
      <c r="F83" s="1318" t="str">
        <f t="shared" si="4"/>
        <v>-</v>
      </c>
      <c r="G83" s="20"/>
      <c r="H83" s="11"/>
      <c r="I83" s="16"/>
      <c r="K83" s="118">
        <f t="shared" si="3"/>
        <v>0</v>
      </c>
    </row>
    <row r="84" spans="1:11">
      <c r="A84" s="78" t="s">
        <v>202</v>
      </c>
      <c r="B84" s="68" t="s">
        <v>243</v>
      </c>
      <c r="C84" s="397"/>
      <c r="D84" s="1065"/>
      <c r="E84" s="22"/>
      <c r="F84" s="1320" t="str">
        <f t="shared" si="4"/>
        <v>-</v>
      </c>
      <c r="G84" s="21"/>
      <c r="H84" s="22"/>
      <c r="I84" s="23"/>
      <c r="K84" s="118">
        <f t="shared" si="3"/>
        <v>0</v>
      </c>
    </row>
    <row r="85" spans="1:11" ht="12.75" thickBot="1">
      <c r="A85" s="78" t="s">
        <v>910</v>
      </c>
      <c r="B85" s="68" t="s">
        <v>911</v>
      </c>
      <c r="C85" s="397"/>
      <c r="D85" s="1065"/>
      <c r="E85" s="22"/>
      <c r="F85" s="1320" t="str">
        <f t="shared" si="4"/>
        <v>-</v>
      </c>
      <c r="G85" s="21"/>
      <c r="H85" s="22"/>
      <c r="I85" s="23"/>
      <c r="K85" s="118">
        <f t="shared" si="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10372</v>
      </c>
      <c r="D86" s="1061">
        <f>+D87</f>
        <v>3046</v>
      </c>
      <c r="E86" s="28">
        <f>+E87</f>
        <v>300</v>
      </c>
      <c r="F86" s="1316">
        <f t="shared" si="4"/>
        <v>9.8489822718319103E-2</v>
      </c>
      <c r="G86" s="27">
        <f>+G87</f>
        <v>300</v>
      </c>
      <c r="H86" s="28">
        <f>+H87</f>
        <v>0</v>
      </c>
      <c r="I86" s="29">
        <f>+I87</f>
        <v>0</v>
      </c>
      <c r="K86" s="119">
        <f t="shared" si="3"/>
        <v>0</v>
      </c>
    </row>
    <row r="87" spans="1:11" s="3" customFormat="1" ht="12.75" thickBot="1">
      <c r="A87" s="83" t="s">
        <v>44</v>
      </c>
      <c r="B87" s="64" t="s">
        <v>914</v>
      </c>
      <c r="C87" s="129">
        <f>+C88+C98+C99+C100</f>
        <v>10372</v>
      </c>
      <c r="D87" s="1061">
        <f>+D88+D98+D99+D100</f>
        <v>3046</v>
      </c>
      <c r="E87" s="28">
        <f>+E88+E98+E99+E100</f>
        <v>300</v>
      </c>
      <c r="F87" s="1316">
        <f t="shared" si="4"/>
        <v>9.8489822718319103E-2</v>
      </c>
      <c r="G87" s="27">
        <f>+G88+G98+G99+G100</f>
        <v>300</v>
      </c>
      <c r="H87" s="28">
        <f>+H88+H98+H99+H100</f>
        <v>0</v>
      </c>
      <c r="I87" s="29">
        <f>+I88+I98+I99+I100</f>
        <v>0</v>
      </c>
      <c r="K87" s="119">
        <f t="shared" si="3"/>
        <v>0</v>
      </c>
    </row>
    <row r="88" spans="1:11">
      <c r="A88" s="84" t="s">
        <v>231</v>
      </c>
      <c r="B88" s="65" t="s">
        <v>966</v>
      </c>
      <c r="C88" s="398">
        <f>+C89+C90+C91+C92+C93+C94+C95+C96+C97</f>
        <v>10372</v>
      </c>
      <c r="D88" s="1062">
        <f>+D89+D90+D91+D92+D93+D94+D95+D96+D97</f>
        <v>3046</v>
      </c>
      <c r="E88" s="10">
        <f>+E89+E90+E91+E92+E93+E94+E95+E96+E97</f>
        <v>300</v>
      </c>
      <c r="F88" s="1317">
        <f t="shared" si="4"/>
        <v>9.8489822718319103E-2</v>
      </c>
      <c r="G88" s="34">
        <f>+G89+G90+G91+G92+G93+G94+G95+G96+G97</f>
        <v>300</v>
      </c>
      <c r="H88" s="10">
        <f>+H89+H90+H91+H92+H93+H94+H95+H96+H97</f>
        <v>0</v>
      </c>
      <c r="I88" s="35">
        <f>+I89+I90+I91+I92+I93+I94+I95+I96+I97</f>
        <v>0</v>
      </c>
      <c r="K88" s="118">
        <f t="shared" si="3"/>
        <v>0</v>
      </c>
    </row>
    <row r="89" spans="1:11" s="13" customFormat="1">
      <c r="A89" s="86" t="s">
        <v>232</v>
      </c>
      <c r="B89" s="66" t="s">
        <v>906</v>
      </c>
      <c r="C89" s="394"/>
      <c r="D89" s="1063"/>
      <c r="E89" s="12"/>
      <c r="F89" s="1318" t="str">
        <f t="shared" si="4"/>
        <v>-</v>
      </c>
      <c r="G89" s="19"/>
      <c r="H89" s="12"/>
      <c r="I89" s="15"/>
      <c r="K89" s="117">
        <f t="shared" si="3"/>
        <v>0</v>
      </c>
    </row>
    <row r="90" spans="1:11" s="13" customFormat="1">
      <c r="A90" s="86" t="s">
        <v>233</v>
      </c>
      <c r="B90" s="66" t="s">
        <v>246</v>
      </c>
      <c r="C90" s="394"/>
      <c r="D90" s="1063"/>
      <c r="E90" s="12"/>
      <c r="F90" s="1318" t="str">
        <f t="shared" si="4"/>
        <v>-</v>
      </c>
      <c r="G90" s="19"/>
      <c r="H90" s="12"/>
      <c r="I90" s="15"/>
      <c r="K90" s="117">
        <f t="shared" si="3"/>
        <v>0</v>
      </c>
    </row>
    <row r="91" spans="1:11" s="13" customFormat="1">
      <c r="A91" s="86" t="s">
        <v>234</v>
      </c>
      <c r="B91" s="66" t="s">
        <v>247</v>
      </c>
      <c r="C91" s="394"/>
      <c r="D91" s="1063"/>
      <c r="E91" s="12"/>
      <c r="F91" s="1318" t="str">
        <f t="shared" si="4"/>
        <v>-</v>
      </c>
      <c r="G91" s="19"/>
      <c r="H91" s="12"/>
      <c r="I91" s="15"/>
      <c r="K91" s="117">
        <f t="shared" si="3"/>
        <v>0</v>
      </c>
    </row>
    <row r="92" spans="1:11" s="13" customFormat="1">
      <c r="A92" s="86" t="s">
        <v>235</v>
      </c>
      <c r="B92" s="66" t="s">
        <v>248</v>
      </c>
      <c r="C92" s="394"/>
      <c r="D92" s="1063"/>
      <c r="E92" s="12"/>
      <c r="F92" s="1318" t="str">
        <f t="shared" si="4"/>
        <v>-</v>
      </c>
      <c r="G92" s="19"/>
      <c r="H92" s="12"/>
      <c r="I92" s="15"/>
      <c r="K92" s="117">
        <f t="shared" si="3"/>
        <v>0</v>
      </c>
    </row>
    <row r="93" spans="1:11" s="13" customFormat="1">
      <c r="A93" s="86" t="s">
        <v>236</v>
      </c>
      <c r="B93" s="66" t="s">
        <v>249</v>
      </c>
      <c r="C93" s="394"/>
      <c r="D93" s="1063"/>
      <c r="E93" s="12"/>
      <c r="F93" s="1318" t="str">
        <f t="shared" si="4"/>
        <v>-</v>
      </c>
      <c r="G93" s="19"/>
      <c r="H93" s="12"/>
      <c r="I93" s="15"/>
      <c r="K93" s="117">
        <f t="shared" si="3"/>
        <v>0</v>
      </c>
    </row>
    <row r="94" spans="1:11" s="13" customFormat="1">
      <c r="A94" s="108" t="s">
        <v>237</v>
      </c>
      <c r="B94" s="109" t="s">
        <v>250</v>
      </c>
      <c r="C94" s="394">
        <f>+C149-C50+C192-C89-C90-C91-C92-C93-C95-C96-C98-C99-C100</f>
        <v>10372</v>
      </c>
      <c r="D94" s="1063">
        <f>+D149-D50+D192-D89-D90-D91-D92-D93-D95-D96-D98-D99-D100</f>
        <v>3046</v>
      </c>
      <c r="E94" s="1063">
        <f>+E149-E50+E192-E89-E90-E91-E92-E93-E95-E96-E98-E99-E100</f>
        <v>300</v>
      </c>
      <c r="F94" s="1297">
        <f t="shared" si="4"/>
        <v>9.8489822718319103E-2</v>
      </c>
      <c r="G94" s="19">
        <v>300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3"/>
        <v>0</v>
      </c>
    </row>
    <row r="95" spans="1:11" s="13" customFormat="1">
      <c r="A95" s="86" t="s">
        <v>238</v>
      </c>
      <c r="B95" s="66" t="s">
        <v>251</v>
      </c>
      <c r="C95" s="394"/>
      <c r="D95" s="1063"/>
      <c r="E95" s="12"/>
      <c r="F95" s="1318" t="str">
        <f t="shared" si="4"/>
        <v>-</v>
      </c>
      <c r="G95" s="19"/>
      <c r="H95" s="12"/>
      <c r="I95" s="15"/>
      <c r="K95" s="13">
        <f t="shared" si="3"/>
        <v>0</v>
      </c>
    </row>
    <row r="96" spans="1:11" s="13" customFormat="1">
      <c r="A96" s="86" t="s">
        <v>239</v>
      </c>
      <c r="B96" s="66" t="s">
        <v>244</v>
      </c>
      <c r="C96" s="394"/>
      <c r="D96" s="1063"/>
      <c r="E96" s="12"/>
      <c r="F96" s="1318" t="str">
        <f t="shared" si="4"/>
        <v>-</v>
      </c>
      <c r="G96" s="19"/>
      <c r="H96" s="12"/>
      <c r="I96" s="15"/>
      <c r="K96" s="13">
        <f t="shared" si="3"/>
        <v>0</v>
      </c>
    </row>
    <row r="97" spans="1:11" s="13" customFormat="1">
      <c r="A97" s="86" t="s">
        <v>913</v>
      </c>
      <c r="B97" s="66" t="s">
        <v>909</v>
      </c>
      <c r="C97" s="394"/>
      <c r="D97" s="1063"/>
      <c r="E97" s="12"/>
      <c r="F97" s="1318" t="str">
        <f t="shared" si="4"/>
        <v>-</v>
      </c>
      <c r="G97" s="19"/>
      <c r="H97" s="12"/>
      <c r="I97" s="15"/>
      <c r="K97" s="13">
        <f t="shared" si="3"/>
        <v>0</v>
      </c>
    </row>
    <row r="98" spans="1:11">
      <c r="A98" s="85" t="s">
        <v>240</v>
      </c>
      <c r="B98" s="67" t="s">
        <v>242</v>
      </c>
      <c r="C98" s="396"/>
      <c r="D98" s="1064"/>
      <c r="E98" s="11"/>
      <c r="F98" s="1318" t="str">
        <f t="shared" si="4"/>
        <v>-</v>
      </c>
      <c r="G98" s="20"/>
      <c r="H98" s="11"/>
      <c r="I98" s="16"/>
      <c r="K98" s="4">
        <f t="shared" si="3"/>
        <v>0</v>
      </c>
    </row>
    <row r="99" spans="1:11">
      <c r="A99" s="78" t="s">
        <v>241</v>
      </c>
      <c r="B99" s="68" t="s">
        <v>243</v>
      </c>
      <c r="C99" s="397"/>
      <c r="D99" s="1065"/>
      <c r="E99" s="22"/>
      <c r="F99" s="1320" t="str">
        <f t="shared" si="4"/>
        <v>-</v>
      </c>
      <c r="G99" s="21"/>
      <c r="H99" s="22"/>
      <c r="I99" s="23"/>
      <c r="K99" s="4">
        <f t="shared" si="3"/>
        <v>0</v>
      </c>
    </row>
    <row r="100" spans="1:11" ht="12.75" thickBot="1">
      <c r="A100" s="78" t="s">
        <v>915</v>
      </c>
      <c r="B100" s="68" t="s">
        <v>911</v>
      </c>
      <c r="C100" s="397"/>
      <c r="D100" s="1065"/>
      <c r="E100" s="22"/>
      <c r="F100" s="1320" t="str">
        <f t="shared" si="4"/>
        <v>-</v>
      </c>
      <c r="G100" s="21"/>
      <c r="H100" s="22"/>
      <c r="I100" s="23"/>
      <c r="K100" s="4">
        <f t="shared" si="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59530</v>
      </c>
      <c r="D101" s="1061">
        <f>+D71+D86</f>
        <v>38062</v>
      </c>
      <c r="E101" s="28">
        <f>+E71+E86</f>
        <v>37481</v>
      </c>
      <c r="F101" s="1316">
        <f t="shared" si="4"/>
        <v>0.98473543166412691</v>
      </c>
      <c r="G101" s="27">
        <f>+G71+G86</f>
        <v>37481</v>
      </c>
      <c r="H101" s="28">
        <f>+H71+H86</f>
        <v>0</v>
      </c>
      <c r="I101" s="29">
        <f>+I71+I86</f>
        <v>0</v>
      </c>
      <c r="K101" s="3">
        <f t="shared" si="3"/>
        <v>0</v>
      </c>
    </row>
    <row r="102" spans="1:11" s="3" customFormat="1" ht="12.75" thickBot="1">
      <c r="A102" s="87" t="s">
        <v>40</v>
      </c>
      <c r="B102" s="71" t="s">
        <v>306</v>
      </c>
      <c r="C102" s="392">
        <f>+C70+C101</f>
        <v>60130</v>
      </c>
      <c r="D102" s="1072">
        <f>+D70+D101</f>
        <v>43745</v>
      </c>
      <c r="E102" s="25">
        <f>+E70+E101</f>
        <v>43141</v>
      </c>
      <c r="F102" s="1321">
        <f t="shared" si="4"/>
        <v>0.98619270773802725</v>
      </c>
      <c r="G102" s="24">
        <f>+G70+G101</f>
        <v>43141</v>
      </c>
      <c r="H102" s="25">
        <f>+H70+H101</f>
        <v>0</v>
      </c>
      <c r="I102" s="26">
        <f>+I70+I101</f>
        <v>0</v>
      </c>
      <c r="K102" s="3">
        <f t="shared" si="3"/>
        <v>0</v>
      </c>
    </row>
    <row r="103" spans="1:11" s="3" customFormat="1">
      <c r="A103" s="53"/>
      <c r="B103" s="30"/>
      <c r="C103" s="30"/>
      <c r="D103" s="30"/>
      <c r="E103" s="30"/>
      <c r="F103" s="129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302"/>
      <c r="G104" s="30"/>
      <c r="H104" s="30"/>
      <c r="I104" s="30"/>
    </row>
    <row r="105" spans="1:11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I105" s="1769"/>
    </row>
    <row r="106" spans="1:11" s="36" customFormat="1" ht="12.75" thickBot="1">
      <c r="A106" s="38" t="s">
        <v>278</v>
      </c>
      <c r="F106" s="1290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771" t="s">
        <v>254</v>
      </c>
      <c r="D108" s="1772"/>
      <c r="E108" s="1772"/>
      <c r="F108" s="1772"/>
      <c r="G108" s="1772"/>
      <c r="H108" s="1772"/>
      <c r="I108" s="177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49758</v>
      </c>
      <c r="D109" s="1061">
        <f>+D110+D114+D116+D123+D132</f>
        <v>40699</v>
      </c>
      <c r="E109" s="28">
        <f>+E110+E114+E116+E123+E132</f>
        <v>39945</v>
      </c>
      <c r="F109" s="1294">
        <f t="shared" ref="F109:F172" si="5">IF(ISERROR(E109/D109),"-",E109/D109)</f>
        <v>0.98147374628369244</v>
      </c>
      <c r="G109" s="27">
        <f>+G110+G114+G116+G123+G132</f>
        <v>39945</v>
      </c>
      <c r="H109" s="28">
        <f>+H110+H114+H116+H123+H132</f>
        <v>0</v>
      </c>
      <c r="I109" s="29">
        <f>+I110+I114+I116+I123+I132</f>
        <v>0</v>
      </c>
      <c r="K109" s="3">
        <f t="shared" ref="K109:K140" si="6">+E109-G109-H109-I109</f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25821</v>
      </c>
      <c r="D110" s="1061">
        <f>+D112+D113</f>
        <v>24227</v>
      </c>
      <c r="E110" s="28">
        <f>+E112+E113</f>
        <v>23872</v>
      </c>
      <c r="F110" s="1294">
        <f t="shared" si="5"/>
        <v>0.98534692698229254</v>
      </c>
      <c r="G110" s="27">
        <f>+G112+G113</f>
        <v>23872</v>
      </c>
      <c r="H110" s="28">
        <f>+H112+H113</f>
        <v>0</v>
      </c>
      <c r="I110" s="29">
        <f>+I112+I113</f>
        <v>0</v>
      </c>
      <c r="K110" s="3">
        <f t="shared" si="6"/>
        <v>0</v>
      </c>
    </row>
    <row r="111" spans="1:11" s="36" customFormat="1">
      <c r="A111" s="752" t="s">
        <v>348</v>
      </c>
      <c r="B111" s="753" t="s">
        <v>349</v>
      </c>
      <c r="C111" s="1073"/>
      <c r="D111" s="1074"/>
      <c r="E111" s="97"/>
      <c r="F111" s="1304" t="str">
        <f t="shared" si="5"/>
        <v>-</v>
      </c>
      <c r="G111" s="96"/>
      <c r="H111" s="97"/>
      <c r="I111" s="98"/>
      <c r="K111" s="36">
        <f t="shared" si="6"/>
        <v>0</v>
      </c>
    </row>
    <row r="112" spans="1:11">
      <c r="A112" s="84" t="s">
        <v>54</v>
      </c>
      <c r="B112" s="65" t="s">
        <v>126</v>
      </c>
      <c r="C112" s="398">
        <v>25821</v>
      </c>
      <c r="D112" s="1062">
        <v>24184</v>
      </c>
      <c r="E112" s="10">
        <v>23829</v>
      </c>
      <c r="F112" s="1295">
        <f t="shared" si="5"/>
        <v>0.98532087330466422</v>
      </c>
      <c r="G112" s="34">
        <v>23829</v>
      </c>
      <c r="H112" s="10"/>
      <c r="I112" s="35"/>
      <c r="K112" s="4">
        <f t="shared" si="6"/>
        <v>0</v>
      </c>
    </row>
    <row r="113" spans="1:11" ht="12.75" thickBot="1">
      <c r="A113" s="78" t="s">
        <v>55</v>
      </c>
      <c r="B113" s="68" t="s">
        <v>127</v>
      </c>
      <c r="C113" s="397"/>
      <c r="D113" s="1065">
        <v>43</v>
      </c>
      <c r="E113" s="22">
        <v>43</v>
      </c>
      <c r="F113" s="1298">
        <f t="shared" si="5"/>
        <v>1</v>
      </c>
      <c r="G113" s="21">
        <v>43</v>
      </c>
      <c r="H113" s="22"/>
      <c r="I113" s="23"/>
      <c r="K113" s="4">
        <f t="shared" si="6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4534</v>
      </c>
      <c r="D114" s="1061">
        <v>4506</v>
      </c>
      <c r="E114" s="28">
        <v>4384</v>
      </c>
      <c r="F114" s="1294">
        <f t="shared" si="5"/>
        <v>0.97292498890368395</v>
      </c>
      <c r="G114" s="27">
        <v>4384</v>
      </c>
      <c r="H114" s="28"/>
      <c r="I114" s="29"/>
      <c r="K114" s="3">
        <f t="shared" si="6"/>
        <v>0</v>
      </c>
    </row>
    <row r="115" spans="1:11" s="36" customFormat="1" ht="12.75" thickBot="1">
      <c r="A115" s="752" t="s">
        <v>345</v>
      </c>
      <c r="B115" s="753" t="s">
        <v>346</v>
      </c>
      <c r="C115" s="1073"/>
      <c r="D115" s="1074"/>
      <c r="E115" s="97"/>
      <c r="F115" s="1304" t="str">
        <f t="shared" si="5"/>
        <v>-</v>
      </c>
      <c r="G115" s="96"/>
      <c r="H115" s="97"/>
      <c r="I115" s="98"/>
      <c r="K115" s="36">
        <f t="shared" si="6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19403</v>
      </c>
      <c r="D116" s="1061">
        <f>+D118+D119+D120+D121+D122</f>
        <v>11634</v>
      </c>
      <c r="E116" s="28">
        <f>+E118+E119+E120+E121+E122</f>
        <v>11357</v>
      </c>
      <c r="F116" s="1294">
        <f t="shared" si="5"/>
        <v>0.97619047619047616</v>
      </c>
      <c r="G116" s="27">
        <f>+G118+G119+G120+G121+G122</f>
        <v>11357</v>
      </c>
      <c r="H116" s="28">
        <f>+H118+H119+H120+H121+H122</f>
        <v>0</v>
      </c>
      <c r="I116" s="29">
        <f>+I118+I119+I120+I121+I122</f>
        <v>0</v>
      </c>
      <c r="K116" s="3">
        <f t="shared" si="6"/>
        <v>0</v>
      </c>
    </row>
    <row r="117" spans="1:11" s="36" customFormat="1">
      <c r="A117" s="752" t="s">
        <v>340</v>
      </c>
      <c r="B117" s="753" t="s">
        <v>347</v>
      </c>
      <c r="C117" s="1073"/>
      <c r="D117" s="1074"/>
      <c r="E117" s="97"/>
      <c r="F117" s="1304" t="str">
        <f t="shared" si="5"/>
        <v>-</v>
      </c>
      <c r="G117" s="96"/>
      <c r="H117" s="97"/>
      <c r="I117" s="98"/>
      <c r="K117" s="36">
        <f t="shared" si="6"/>
        <v>0</v>
      </c>
    </row>
    <row r="118" spans="1:11">
      <c r="A118" s="84" t="s">
        <v>61</v>
      </c>
      <c r="B118" s="65" t="s">
        <v>128</v>
      </c>
      <c r="C118" s="398">
        <v>2770</v>
      </c>
      <c r="D118" s="1062">
        <v>2877</v>
      </c>
      <c r="E118" s="10">
        <v>2698</v>
      </c>
      <c r="F118" s="1295">
        <f t="shared" si="5"/>
        <v>0.93778241223496694</v>
      </c>
      <c r="G118" s="34">
        <v>2698</v>
      </c>
      <c r="H118" s="10"/>
      <c r="I118" s="35"/>
      <c r="K118" s="4">
        <f t="shared" si="6"/>
        <v>0</v>
      </c>
    </row>
    <row r="119" spans="1:11">
      <c r="A119" s="85" t="s">
        <v>62</v>
      </c>
      <c r="B119" s="67" t="s">
        <v>129</v>
      </c>
      <c r="C119" s="396">
        <v>2200</v>
      </c>
      <c r="D119" s="1064">
        <v>462</v>
      </c>
      <c r="E119" s="11">
        <v>462</v>
      </c>
      <c r="F119" s="1296">
        <f t="shared" si="5"/>
        <v>1</v>
      </c>
      <c r="G119" s="20">
        <v>462</v>
      </c>
      <c r="H119" s="11"/>
      <c r="I119" s="16"/>
      <c r="K119" s="4">
        <f t="shared" si="6"/>
        <v>0</v>
      </c>
    </row>
    <row r="120" spans="1:11">
      <c r="A120" s="85" t="s">
        <v>63</v>
      </c>
      <c r="B120" s="67" t="s">
        <v>130</v>
      </c>
      <c r="C120" s="396">
        <v>10260</v>
      </c>
      <c r="D120" s="1064">
        <v>6411</v>
      </c>
      <c r="E120" s="11">
        <v>6373</v>
      </c>
      <c r="F120" s="1296">
        <f t="shared" si="5"/>
        <v>0.99407268756824207</v>
      </c>
      <c r="G120" s="20">
        <v>6373</v>
      </c>
      <c r="H120" s="11"/>
      <c r="I120" s="16"/>
      <c r="K120" s="4">
        <f t="shared" si="6"/>
        <v>0</v>
      </c>
    </row>
    <row r="121" spans="1:11">
      <c r="A121" s="85" t="s">
        <v>64</v>
      </c>
      <c r="B121" s="67" t="s">
        <v>131</v>
      </c>
      <c r="C121" s="396">
        <v>180</v>
      </c>
      <c r="D121" s="1064">
        <v>46</v>
      </c>
      <c r="E121" s="11">
        <v>4</v>
      </c>
      <c r="F121" s="1296">
        <f t="shared" si="5"/>
        <v>8.6956521739130432E-2</v>
      </c>
      <c r="G121" s="20">
        <v>4</v>
      </c>
      <c r="H121" s="11"/>
      <c r="I121" s="16"/>
      <c r="K121" s="4">
        <f t="shared" si="6"/>
        <v>0</v>
      </c>
    </row>
    <row r="122" spans="1:11" ht="12.75" thickBot="1">
      <c r="A122" s="78" t="s">
        <v>65</v>
      </c>
      <c r="B122" s="68" t="s">
        <v>132</v>
      </c>
      <c r="C122" s="397">
        <v>3993</v>
      </c>
      <c r="D122" s="1065">
        <v>1838</v>
      </c>
      <c r="E122" s="17">
        <v>1820</v>
      </c>
      <c r="F122" s="1298">
        <f t="shared" si="5"/>
        <v>0.99020674646354734</v>
      </c>
      <c r="G122" s="21">
        <v>1820</v>
      </c>
      <c r="H122" s="22"/>
      <c r="I122" s="23"/>
      <c r="K122" s="4">
        <f t="shared" si="6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061">
        <f>+D124+D125+D126+D127+D128+D129+D130+D131</f>
        <v>0</v>
      </c>
      <c r="E123" s="28">
        <f>+E124+E125+E126+E127+E128+E129+E130+E131</f>
        <v>0</v>
      </c>
      <c r="F123" s="1294" t="str">
        <f t="shared" si="5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6"/>
        <v>0</v>
      </c>
    </row>
    <row r="124" spans="1:11">
      <c r="A124" s="84" t="s">
        <v>226</v>
      </c>
      <c r="B124" s="65" t="s">
        <v>133</v>
      </c>
      <c r="C124" s="398"/>
      <c r="D124" s="1062"/>
      <c r="E124" s="10"/>
      <c r="F124" s="1295" t="str">
        <f t="shared" si="5"/>
        <v>-</v>
      </c>
      <c r="G124" s="34"/>
      <c r="H124" s="10"/>
      <c r="I124" s="35"/>
      <c r="K124" s="4">
        <f t="shared" si="6"/>
        <v>0</v>
      </c>
    </row>
    <row r="125" spans="1:11">
      <c r="A125" s="85" t="s">
        <v>227</v>
      </c>
      <c r="B125" s="67" t="s">
        <v>134</v>
      </c>
      <c r="C125" s="396"/>
      <c r="D125" s="1064"/>
      <c r="E125" s="11"/>
      <c r="F125" s="1296" t="str">
        <f t="shared" si="5"/>
        <v>-</v>
      </c>
      <c r="G125" s="20"/>
      <c r="H125" s="11"/>
      <c r="I125" s="16"/>
      <c r="K125" s="4">
        <f t="shared" si="6"/>
        <v>0</v>
      </c>
    </row>
    <row r="126" spans="1:11">
      <c r="A126" s="85" t="s">
        <v>228</v>
      </c>
      <c r="B126" s="67" t="s">
        <v>135</v>
      </c>
      <c r="C126" s="396"/>
      <c r="D126" s="1064"/>
      <c r="E126" s="11"/>
      <c r="F126" s="1296" t="str">
        <f t="shared" si="5"/>
        <v>-</v>
      </c>
      <c r="G126" s="20"/>
      <c r="H126" s="11"/>
      <c r="I126" s="16"/>
      <c r="K126" s="4">
        <f t="shared" si="6"/>
        <v>0</v>
      </c>
    </row>
    <row r="127" spans="1:11">
      <c r="A127" s="85" t="s">
        <v>256</v>
      </c>
      <c r="B127" s="67" t="s">
        <v>136</v>
      </c>
      <c r="C127" s="396"/>
      <c r="D127" s="1064"/>
      <c r="E127" s="11"/>
      <c r="F127" s="1296" t="str">
        <f t="shared" si="5"/>
        <v>-</v>
      </c>
      <c r="G127" s="20"/>
      <c r="H127" s="11"/>
      <c r="I127" s="16"/>
      <c r="K127" s="4">
        <f t="shared" si="6"/>
        <v>0</v>
      </c>
    </row>
    <row r="128" spans="1:11">
      <c r="A128" s="85" t="s">
        <v>257</v>
      </c>
      <c r="B128" s="67" t="s">
        <v>137</v>
      </c>
      <c r="C128" s="396"/>
      <c r="D128" s="1064"/>
      <c r="E128" s="11"/>
      <c r="F128" s="1296" t="str">
        <f t="shared" si="5"/>
        <v>-</v>
      </c>
      <c r="G128" s="20"/>
      <c r="H128" s="11"/>
      <c r="I128" s="16"/>
      <c r="K128" s="4">
        <f t="shared" si="6"/>
        <v>0</v>
      </c>
    </row>
    <row r="129" spans="1:11">
      <c r="A129" s="85" t="s">
        <v>258</v>
      </c>
      <c r="B129" s="67" t="s">
        <v>138</v>
      </c>
      <c r="C129" s="396"/>
      <c r="D129" s="1064"/>
      <c r="E129" s="11"/>
      <c r="F129" s="1296" t="str">
        <f t="shared" si="5"/>
        <v>-</v>
      </c>
      <c r="G129" s="20"/>
      <c r="H129" s="11"/>
      <c r="I129" s="16"/>
      <c r="K129" s="4">
        <f t="shared" si="6"/>
        <v>0</v>
      </c>
    </row>
    <row r="130" spans="1:11">
      <c r="A130" s="85" t="s">
        <v>259</v>
      </c>
      <c r="B130" s="67" t="s">
        <v>139</v>
      </c>
      <c r="C130" s="396"/>
      <c r="D130" s="1064"/>
      <c r="E130" s="11"/>
      <c r="F130" s="1296" t="str">
        <f t="shared" si="5"/>
        <v>-</v>
      </c>
      <c r="G130" s="20"/>
      <c r="H130" s="11"/>
      <c r="I130" s="16"/>
      <c r="K130" s="4">
        <f t="shared" si="6"/>
        <v>0</v>
      </c>
    </row>
    <row r="131" spans="1:11" ht="12.75" thickBot="1">
      <c r="A131" s="78" t="s">
        <v>260</v>
      </c>
      <c r="B131" s="68" t="s">
        <v>140</v>
      </c>
      <c r="C131" s="397"/>
      <c r="D131" s="1065"/>
      <c r="E131" s="22"/>
      <c r="F131" s="1298" t="str">
        <f t="shared" si="5"/>
        <v>-</v>
      </c>
      <c r="G131" s="21"/>
      <c r="H131" s="22"/>
      <c r="I131" s="23"/>
      <c r="K131" s="4">
        <f t="shared" si="6"/>
        <v>0</v>
      </c>
    </row>
    <row r="132" spans="1:11" s="3" customFormat="1" ht="12.75" thickBot="1">
      <c r="A132" s="83" t="s">
        <v>15</v>
      </c>
      <c r="B132" s="64" t="s">
        <v>919</v>
      </c>
      <c r="C132" s="129">
        <f>+C133+C134+C135+C136+C137+C138+C140+C141+C142+C143+C144+C145+C146</f>
        <v>0</v>
      </c>
      <c r="D132" s="1061">
        <f>+D133+D134+D135+D136+D137+D138+D140+D141+D142+D143+D144+D145+D146</f>
        <v>332</v>
      </c>
      <c r="E132" s="28">
        <f>+E133+E134+E135+E136+E137+E138+E140+E141+E142+E143+E144+E145+E146</f>
        <v>332</v>
      </c>
      <c r="F132" s="1294">
        <f t="shared" si="5"/>
        <v>1</v>
      </c>
      <c r="G132" s="27">
        <f>+G133+G134+G135+G136+G137+G138+G140+G141+G142+G143+G144+G145+G146</f>
        <v>332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6"/>
        <v>0</v>
      </c>
    </row>
    <row r="133" spans="1:11">
      <c r="A133" s="84" t="s">
        <v>87</v>
      </c>
      <c r="B133" s="65" t="s">
        <v>141</v>
      </c>
      <c r="C133" s="398"/>
      <c r="D133" s="1062"/>
      <c r="E133" s="10"/>
      <c r="F133" s="1295" t="str">
        <f t="shared" si="5"/>
        <v>-</v>
      </c>
      <c r="G133" s="34"/>
      <c r="H133" s="10"/>
      <c r="I133" s="35"/>
      <c r="K133" s="4">
        <f t="shared" si="6"/>
        <v>0</v>
      </c>
    </row>
    <row r="134" spans="1:11">
      <c r="A134" s="85" t="s">
        <v>88</v>
      </c>
      <c r="B134" s="67" t="s">
        <v>142</v>
      </c>
      <c r="C134" s="396"/>
      <c r="D134" s="1064">
        <v>332</v>
      </c>
      <c r="E134" s="11">
        <v>332</v>
      </c>
      <c r="F134" s="1296">
        <f t="shared" si="5"/>
        <v>1</v>
      </c>
      <c r="G134" s="20">
        <v>332</v>
      </c>
      <c r="H134" s="11"/>
      <c r="I134" s="16"/>
      <c r="K134" s="4">
        <f t="shared" si="6"/>
        <v>0</v>
      </c>
    </row>
    <row r="135" spans="1:11">
      <c r="A135" s="85" t="s">
        <v>181</v>
      </c>
      <c r="B135" s="67" t="s">
        <v>143</v>
      </c>
      <c r="C135" s="396"/>
      <c r="D135" s="1064"/>
      <c r="E135" s="11"/>
      <c r="F135" s="1296" t="str">
        <f t="shared" si="5"/>
        <v>-</v>
      </c>
      <c r="G135" s="20"/>
      <c r="H135" s="11"/>
      <c r="I135" s="16"/>
      <c r="K135" s="4">
        <f t="shared" si="6"/>
        <v>0</v>
      </c>
    </row>
    <row r="136" spans="1:11">
      <c r="A136" s="85" t="s">
        <v>182</v>
      </c>
      <c r="B136" s="67" t="s">
        <v>144</v>
      </c>
      <c r="C136" s="396"/>
      <c r="D136" s="1064"/>
      <c r="E136" s="11"/>
      <c r="F136" s="1296" t="str">
        <f t="shared" si="5"/>
        <v>-</v>
      </c>
      <c r="G136" s="20"/>
      <c r="H136" s="11"/>
      <c r="I136" s="16"/>
      <c r="K136" s="4">
        <f t="shared" si="6"/>
        <v>0</v>
      </c>
    </row>
    <row r="137" spans="1:11">
      <c r="A137" s="85" t="s">
        <v>183</v>
      </c>
      <c r="B137" s="67" t="s">
        <v>145</v>
      </c>
      <c r="C137" s="396"/>
      <c r="D137" s="1064"/>
      <c r="E137" s="11"/>
      <c r="F137" s="1296" t="str">
        <f t="shared" si="5"/>
        <v>-</v>
      </c>
      <c r="G137" s="20"/>
      <c r="H137" s="11"/>
      <c r="I137" s="16"/>
      <c r="K137" s="4">
        <f t="shared" si="6"/>
        <v>0</v>
      </c>
    </row>
    <row r="138" spans="1:11">
      <c r="A138" s="85" t="s">
        <v>261</v>
      </c>
      <c r="B138" s="67" t="s">
        <v>146</v>
      </c>
      <c r="C138" s="396"/>
      <c r="D138" s="1064"/>
      <c r="E138" s="11"/>
      <c r="F138" s="1296" t="str">
        <f t="shared" si="5"/>
        <v>-</v>
      </c>
      <c r="G138" s="20"/>
      <c r="H138" s="11"/>
      <c r="I138" s="16"/>
      <c r="K138" s="4">
        <f t="shared" si="6"/>
        <v>0</v>
      </c>
    </row>
    <row r="139" spans="1:11" s="13" customFormat="1">
      <c r="A139" s="89" t="s">
        <v>335</v>
      </c>
      <c r="B139" s="751" t="s">
        <v>925</v>
      </c>
      <c r="C139" s="395"/>
      <c r="D139" s="1066"/>
      <c r="E139" s="43"/>
      <c r="F139" s="1298" t="str">
        <f t="shared" si="5"/>
        <v>-</v>
      </c>
      <c r="G139" s="45"/>
      <c r="H139" s="43"/>
      <c r="I139" s="44"/>
      <c r="K139" s="13">
        <f t="shared" si="6"/>
        <v>0</v>
      </c>
    </row>
    <row r="140" spans="1:11">
      <c r="A140" s="85" t="s">
        <v>262</v>
      </c>
      <c r="B140" s="67" t="s">
        <v>147</v>
      </c>
      <c r="C140" s="396"/>
      <c r="D140" s="1064"/>
      <c r="E140" s="11"/>
      <c r="F140" s="1296" t="str">
        <f t="shared" si="5"/>
        <v>-</v>
      </c>
      <c r="G140" s="20"/>
      <c r="H140" s="11"/>
      <c r="I140" s="16"/>
      <c r="K140" s="4">
        <f t="shared" si="6"/>
        <v>0</v>
      </c>
    </row>
    <row r="141" spans="1:11">
      <c r="A141" s="85" t="s">
        <v>263</v>
      </c>
      <c r="B141" s="67" t="s">
        <v>148</v>
      </c>
      <c r="C141" s="396"/>
      <c r="D141" s="1064"/>
      <c r="E141" s="11"/>
      <c r="F141" s="1296" t="str">
        <f t="shared" si="5"/>
        <v>-</v>
      </c>
      <c r="G141" s="20"/>
      <c r="H141" s="11"/>
      <c r="I141" s="16"/>
      <c r="K141" s="4">
        <f t="shared" ref="K141:K172" si="7">+E141-G141-H141-I141</f>
        <v>0</v>
      </c>
    </row>
    <row r="142" spans="1:11">
      <c r="A142" s="85" t="s">
        <v>264</v>
      </c>
      <c r="B142" s="67" t="s">
        <v>149</v>
      </c>
      <c r="C142" s="396"/>
      <c r="D142" s="1064"/>
      <c r="E142" s="11"/>
      <c r="F142" s="1296" t="str">
        <f t="shared" si="5"/>
        <v>-</v>
      </c>
      <c r="G142" s="20"/>
      <c r="H142" s="11"/>
      <c r="I142" s="16"/>
      <c r="K142" s="4">
        <f t="shared" si="7"/>
        <v>0</v>
      </c>
    </row>
    <row r="143" spans="1:11">
      <c r="A143" s="85" t="s">
        <v>265</v>
      </c>
      <c r="B143" s="67" t="s">
        <v>150</v>
      </c>
      <c r="C143" s="396"/>
      <c r="D143" s="1064"/>
      <c r="E143" s="11"/>
      <c r="F143" s="1296" t="str">
        <f t="shared" si="5"/>
        <v>-</v>
      </c>
      <c r="G143" s="20"/>
      <c r="H143" s="11"/>
      <c r="I143" s="16"/>
      <c r="K143" s="4">
        <f t="shared" si="7"/>
        <v>0</v>
      </c>
    </row>
    <row r="144" spans="1:11">
      <c r="A144" s="85" t="s">
        <v>266</v>
      </c>
      <c r="B144" s="67" t="s">
        <v>920</v>
      </c>
      <c r="C144" s="396"/>
      <c r="D144" s="1064"/>
      <c r="E144" s="11"/>
      <c r="F144" s="1296" t="str">
        <f t="shared" si="5"/>
        <v>-</v>
      </c>
      <c r="G144" s="20"/>
      <c r="H144" s="11"/>
      <c r="I144" s="16"/>
      <c r="K144" s="4">
        <f t="shared" si="7"/>
        <v>0</v>
      </c>
    </row>
    <row r="145" spans="1:11">
      <c r="A145" s="85" t="s">
        <v>267</v>
      </c>
      <c r="B145" s="67" t="s">
        <v>921</v>
      </c>
      <c r="C145" s="396"/>
      <c r="D145" s="1064"/>
      <c r="E145" s="11"/>
      <c r="F145" s="1296" t="str">
        <f t="shared" si="5"/>
        <v>-</v>
      </c>
      <c r="G145" s="20"/>
      <c r="H145" s="11"/>
      <c r="I145" s="16"/>
      <c r="K145" s="4">
        <f t="shared" si="7"/>
        <v>0</v>
      </c>
    </row>
    <row r="146" spans="1:11">
      <c r="A146" s="78" t="s">
        <v>916</v>
      </c>
      <c r="B146" s="68" t="s">
        <v>922</v>
      </c>
      <c r="C146" s="397"/>
      <c r="D146" s="1065"/>
      <c r="E146" s="22">
        <f>+E147+E148</f>
        <v>0</v>
      </c>
      <c r="F146" s="1298" t="str">
        <f t="shared" si="5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7"/>
        <v>0</v>
      </c>
    </row>
    <row r="147" spans="1:11" s="13" customFormat="1">
      <c r="A147" s="89" t="s">
        <v>917</v>
      </c>
      <c r="B147" s="74" t="s">
        <v>923</v>
      </c>
      <c r="C147" s="395"/>
      <c r="D147" s="1066"/>
      <c r="E147" s="43"/>
      <c r="F147" s="1298" t="str">
        <f t="shared" si="5"/>
        <v>-</v>
      </c>
      <c r="G147" s="45"/>
      <c r="H147" s="43"/>
      <c r="I147" s="44"/>
      <c r="K147" s="13">
        <f t="shared" si="7"/>
        <v>0</v>
      </c>
    </row>
    <row r="148" spans="1:11" s="13" customFormat="1" ht="12.75" thickBot="1">
      <c r="A148" s="89" t="s">
        <v>918</v>
      </c>
      <c r="B148" s="74" t="s">
        <v>924</v>
      </c>
      <c r="C148" s="395"/>
      <c r="D148" s="1066"/>
      <c r="E148" s="43"/>
      <c r="F148" s="1298" t="str">
        <f t="shared" si="5"/>
        <v>-</v>
      </c>
      <c r="G148" s="45"/>
      <c r="H148" s="43"/>
      <c r="I148" s="44"/>
      <c r="K148" s="13">
        <f t="shared" si="7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10372</v>
      </c>
      <c r="D149" s="1061">
        <f>+D150+D159+D165</f>
        <v>3046</v>
      </c>
      <c r="E149" s="28">
        <f>+E150+E159+E165</f>
        <v>300</v>
      </c>
      <c r="F149" s="1294">
        <f t="shared" si="5"/>
        <v>9.8489822718319103E-2</v>
      </c>
      <c r="G149" s="27">
        <f>+G150+G159+G165</f>
        <v>300</v>
      </c>
      <c r="H149" s="28">
        <f>+H150+H159+H165</f>
        <v>0</v>
      </c>
      <c r="I149" s="29">
        <f>+I150+I159+I165</f>
        <v>0</v>
      </c>
      <c r="K149" s="3">
        <f t="shared" si="7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10372</v>
      </c>
      <c r="D150" s="1061">
        <f>+D152+D153+D154+D155+D156+D157+D158</f>
        <v>3046</v>
      </c>
      <c r="E150" s="28">
        <f>+E152+E153+E154+E155+E156+E157+E158</f>
        <v>300</v>
      </c>
      <c r="F150" s="1294">
        <f t="shared" si="5"/>
        <v>9.8489822718319103E-2</v>
      </c>
      <c r="G150" s="27">
        <f>+G152+G153+G154+G155+G156+G157+G158</f>
        <v>300</v>
      </c>
      <c r="H150" s="28">
        <f>+H152+H153+H154+H155+H156+H157+H158</f>
        <v>0</v>
      </c>
      <c r="I150" s="29">
        <f>+I152+I153+I154+I155+I156+I157+I158</f>
        <v>0</v>
      </c>
      <c r="K150" s="3">
        <f t="shared" si="7"/>
        <v>0</v>
      </c>
    </row>
    <row r="151" spans="1:11" s="36" customFormat="1">
      <c r="A151" s="752" t="s">
        <v>926</v>
      </c>
      <c r="B151" s="753" t="s">
        <v>341</v>
      </c>
      <c r="C151" s="1073"/>
      <c r="D151" s="1074"/>
      <c r="E151" s="97"/>
      <c r="F151" s="1304" t="str">
        <f t="shared" si="5"/>
        <v>-</v>
      </c>
      <c r="G151" s="96"/>
      <c r="H151" s="97"/>
      <c r="I151" s="98"/>
      <c r="K151" s="36">
        <f t="shared" si="7"/>
        <v>0</v>
      </c>
    </row>
    <row r="152" spans="1:11">
      <c r="A152" s="84" t="s">
        <v>66</v>
      </c>
      <c r="B152" s="65" t="s">
        <v>151</v>
      </c>
      <c r="C152" s="398"/>
      <c r="D152" s="1062"/>
      <c r="E152" s="10"/>
      <c r="F152" s="1295" t="str">
        <f t="shared" si="5"/>
        <v>-</v>
      </c>
      <c r="G152" s="34"/>
      <c r="H152" s="10"/>
      <c r="I152" s="35"/>
      <c r="K152" s="4">
        <f t="shared" si="7"/>
        <v>0</v>
      </c>
    </row>
    <row r="153" spans="1:11">
      <c r="A153" s="85" t="s">
        <v>67</v>
      </c>
      <c r="B153" s="67" t="s">
        <v>152</v>
      </c>
      <c r="C153" s="396"/>
      <c r="D153" s="1064"/>
      <c r="E153" s="11"/>
      <c r="F153" s="1296" t="str">
        <f t="shared" si="5"/>
        <v>-</v>
      </c>
      <c r="G153" s="20"/>
      <c r="H153" s="11"/>
      <c r="I153" s="16"/>
      <c r="K153" s="4">
        <f t="shared" si="7"/>
        <v>0</v>
      </c>
    </row>
    <row r="154" spans="1:11">
      <c r="A154" s="85" t="s">
        <v>68</v>
      </c>
      <c r="B154" s="67" t="s">
        <v>153</v>
      </c>
      <c r="C154" s="396">
        <v>550</v>
      </c>
      <c r="D154" s="1064">
        <v>0</v>
      </c>
      <c r="E154" s="11"/>
      <c r="F154" s="1296" t="str">
        <f t="shared" si="5"/>
        <v>-</v>
      </c>
      <c r="G154" s="20"/>
      <c r="H154" s="11"/>
      <c r="I154" s="16"/>
      <c r="K154" s="4">
        <f t="shared" si="7"/>
        <v>0</v>
      </c>
    </row>
    <row r="155" spans="1:11">
      <c r="A155" s="85" t="s">
        <v>229</v>
      </c>
      <c r="B155" s="67" t="s">
        <v>154</v>
      </c>
      <c r="C155" s="396">
        <v>7615</v>
      </c>
      <c r="D155" s="1064">
        <v>2462</v>
      </c>
      <c r="E155" s="11">
        <v>300</v>
      </c>
      <c r="F155" s="1296">
        <f t="shared" si="5"/>
        <v>0.12185215272136475</v>
      </c>
      <c r="G155" s="20">
        <v>300</v>
      </c>
      <c r="H155" s="11"/>
      <c r="I155" s="16"/>
      <c r="K155" s="4">
        <f t="shared" si="7"/>
        <v>0</v>
      </c>
    </row>
    <row r="156" spans="1:11">
      <c r="A156" s="85" t="s">
        <v>230</v>
      </c>
      <c r="B156" s="67" t="s">
        <v>155</v>
      </c>
      <c r="C156" s="396"/>
      <c r="D156" s="1064"/>
      <c r="E156" s="11"/>
      <c r="F156" s="1296" t="str">
        <f t="shared" si="5"/>
        <v>-</v>
      </c>
      <c r="G156" s="20"/>
      <c r="H156" s="11"/>
      <c r="I156" s="16"/>
      <c r="K156" s="4">
        <f t="shared" si="7"/>
        <v>0</v>
      </c>
    </row>
    <row r="157" spans="1:11">
      <c r="A157" s="85" t="s">
        <v>268</v>
      </c>
      <c r="B157" s="67" t="s">
        <v>156</v>
      </c>
      <c r="C157" s="396"/>
      <c r="D157" s="1064"/>
      <c r="E157" s="11"/>
      <c r="F157" s="1296" t="str">
        <f t="shared" si="5"/>
        <v>-</v>
      </c>
      <c r="G157" s="20"/>
      <c r="H157" s="11"/>
      <c r="I157" s="16"/>
      <c r="K157" s="4">
        <f t="shared" si="7"/>
        <v>0</v>
      </c>
    </row>
    <row r="158" spans="1:11" ht="12.75" thickBot="1">
      <c r="A158" s="78" t="s">
        <v>269</v>
      </c>
      <c r="B158" s="68" t="s">
        <v>157</v>
      </c>
      <c r="C158" s="397">
        <v>2207</v>
      </c>
      <c r="D158" s="1065">
        <v>584</v>
      </c>
      <c r="E158" s="22"/>
      <c r="F158" s="1298">
        <f t="shared" si="5"/>
        <v>0</v>
      </c>
      <c r="G158" s="21"/>
      <c r="H158" s="22"/>
      <c r="I158" s="23"/>
      <c r="K158" s="4">
        <f t="shared" si="7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061">
        <f>+D161+D162+D163+D164</f>
        <v>0</v>
      </c>
      <c r="E159" s="28">
        <f>+E161+E162+E163+E164</f>
        <v>0</v>
      </c>
      <c r="F159" s="1294" t="str">
        <f t="shared" si="5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7"/>
        <v>0</v>
      </c>
    </row>
    <row r="160" spans="1:11" s="36" customFormat="1">
      <c r="A160" s="752" t="s">
        <v>343</v>
      </c>
      <c r="B160" s="753" t="s">
        <v>344</v>
      </c>
      <c r="C160" s="1073"/>
      <c r="D160" s="1074"/>
      <c r="E160" s="97"/>
      <c r="F160" s="1304" t="str">
        <f t="shared" si="5"/>
        <v>-</v>
      </c>
      <c r="G160" s="96"/>
      <c r="H160" s="97"/>
      <c r="I160" s="98"/>
      <c r="K160" s="36">
        <f t="shared" si="7"/>
        <v>0</v>
      </c>
    </row>
    <row r="161" spans="1:11">
      <c r="A161" s="84" t="s">
        <v>69</v>
      </c>
      <c r="B161" s="65" t="s">
        <v>158</v>
      </c>
      <c r="C161" s="398"/>
      <c r="D161" s="1062"/>
      <c r="E161" s="10"/>
      <c r="F161" s="1295" t="str">
        <f t="shared" si="5"/>
        <v>-</v>
      </c>
      <c r="G161" s="34"/>
      <c r="H161" s="10"/>
      <c r="I161" s="35"/>
      <c r="K161" s="4">
        <f t="shared" si="7"/>
        <v>0</v>
      </c>
    </row>
    <row r="162" spans="1:11">
      <c r="A162" s="85" t="s">
        <v>70</v>
      </c>
      <c r="B162" s="67" t="s">
        <v>159</v>
      </c>
      <c r="C162" s="396"/>
      <c r="D162" s="1064"/>
      <c r="E162" s="11"/>
      <c r="F162" s="1296" t="str">
        <f t="shared" si="5"/>
        <v>-</v>
      </c>
      <c r="G162" s="20"/>
      <c r="H162" s="11"/>
      <c r="I162" s="16"/>
      <c r="K162" s="4">
        <f t="shared" si="7"/>
        <v>0</v>
      </c>
    </row>
    <row r="163" spans="1:11">
      <c r="A163" s="85" t="s">
        <v>71</v>
      </c>
      <c r="B163" s="67" t="s">
        <v>160</v>
      </c>
      <c r="C163" s="396"/>
      <c r="D163" s="1064"/>
      <c r="E163" s="11"/>
      <c r="F163" s="1296" t="str">
        <f t="shared" si="5"/>
        <v>-</v>
      </c>
      <c r="G163" s="20"/>
      <c r="H163" s="11"/>
      <c r="I163" s="16"/>
      <c r="K163" s="4">
        <f t="shared" si="7"/>
        <v>0</v>
      </c>
    </row>
    <row r="164" spans="1:11" ht="12.75" thickBot="1">
      <c r="A164" s="78" t="s">
        <v>72</v>
      </c>
      <c r="B164" s="68" t="s">
        <v>161</v>
      </c>
      <c r="C164" s="397"/>
      <c r="D164" s="1065"/>
      <c r="E164" s="22"/>
      <c r="F164" s="1298" t="str">
        <f t="shared" si="5"/>
        <v>-</v>
      </c>
      <c r="G164" s="21"/>
      <c r="H164" s="22"/>
      <c r="I164" s="23"/>
      <c r="K164" s="4">
        <f t="shared" si="7"/>
        <v>0</v>
      </c>
    </row>
    <row r="165" spans="1:11" s="3" customFormat="1" ht="12.75" thickBot="1">
      <c r="A165" s="83" t="s">
        <v>11</v>
      </c>
      <c r="B165" s="64" t="s">
        <v>928</v>
      </c>
      <c r="C165" s="129">
        <f>+C166+C167+C168+C169+C171+C172+C173+C174+C175</f>
        <v>0</v>
      </c>
      <c r="D165" s="1061">
        <f>+D166+D167+D168+D169+D171+D172+D173+D174+D175</f>
        <v>0</v>
      </c>
      <c r="E165" s="28">
        <f>+E166+E167+E168+E169+E171+E172+E173+E174+E175</f>
        <v>0</v>
      </c>
      <c r="F165" s="1294" t="str">
        <f t="shared" si="5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7"/>
        <v>0</v>
      </c>
    </row>
    <row r="166" spans="1:11">
      <c r="A166" s="84" t="s">
        <v>270</v>
      </c>
      <c r="B166" s="65" t="s">
        <v>162</v>
      </c>
      <c r="C166" s="398"/>
      <c r="D166" s="1062"/>
      <c r="E166" s="10"/>
      <c r="F166" s="1295" t="str">
        <f t="shared" si="5"/>
        <v>-</v>
      </c>
      <c r="G166" s="34"/>
      <c r="H166" s="10"/>
      <c r="I166" s="35"/>
      <c r="K166" s="4">
        <f t="shared" si="7"/>
        <v>0</v>
      </c>
    </row>
    <row r="167" spans="1:11">
      <c r="A167" s="85" t="s">
        <v>271</v>
      </c>
      <c r="B167" s="67" t="s">
        <v>163</v>
      </c>
      <c r="C167" s="396"/>
      <c r="D167" s="1064"/>
      <c r="E167" s="11"/>
      <c r="F167" s="1296" t="str">
        <f t="shared" si="5"/>
        <v>-</v>
      </c>
      <c r="G167" s="20"/>
      <c r="H167" s="11"/>
      <c r="I167" s="16"/>
      <c r="K167" s="4">
        <f t="shared" si="7"/>
        <v>0</v>
      </c>
    </row>
    <row r="168" spans="1:11">
      <c r="A168" s="85" t="s">
        <v>272</v>
      </c>
      <c r="B168" s="67" t="s">
        <v>164</v>
      </c>
      <c r="C168" s="396"/>
      <c r="D168" s="1064"/>
      <c r="E168" s="11"/>
      <c r="F168" s="1296" t="str">
        <f t="shared" si="5"/>
        <v>-</v>
      </c>
      <c r="G168" s="20"/>
      <c r="H168" s="11"/>
      <c r="I168" s="16"/>
      <c r="K168" s="4">
        <f t="shared" si="7"/>
        <v>0</v>
      </c>
    </row>
    <row r="169" spans="1:11">
      <c r="A169" s="85" t="s">
        <v>273</v>
      </c>
      <c r="B169" s="67" t="s">
        <v>165</v>
      </c>
      <c r="C169" s="396"/>
      <c r="D169" s="1064"/>
      <c r="E169" s="11"/>
      <c r="F169" s="1296" t="str">
        <f t="shared" si="5"/>
        <v>-</v>
      </c>
      <c r="G169" s="20"/>
      <c r="H169" s="11"/>
      <c r="I169" s="16"/>
      <c r="K169" s="4">
        <f t="shared" si="7"/>
        <v>0</v>
      </c>
    </row>
    <row r="170" spans="1:11" s="13" customFormat="1">
      <c r="A170" s="89" t="s">
        <v>338</v>
      </c>
      <c r="B170" s="751" t="s">
        <v>339</v>
      </c>
      <c r="C170" s="395"/>
      <c r="D170" s="1066"/>
      <c r="E170" s="43"/>
      <c r="F170" s="1298" t="str">
        <f t="shared" si="5"/>
        <v>-</v>
      </c>
      <c r="G170" s="45"/>
      <c r="H170" s="43"/>
      <c r="I170" s="44"/>
      <c r="K170" s="13">
        <f t="shared" si="7"/>
        <v>0</v>
      </c>
    </row>
    <row r="171" spans="1:11">
      <c r="A171" s="85" t="s">
        <v>274</v>
      </c>
      <c r="B171" s="67" t="s">
        <v>166</v>
      </c>
      <c r="C171" s="396"/>
      <c r="D171" s="1064"/>
      <c r="E171" s="11"/>
      <c r="F171" s="1296" t="str">
        <f t="shared" si="5"/>
        <v>-</v>
      </c>
      <c r="G171" s="20"/>
      <c r="H171" s="11"/>
      <c r="I171" s="16"/>
      <c r="K171" s="4">
        <f t="shared" si="7"/>
        <v>0</v>
      </c>
    </row>
    <row r="172" spans="1:11">
      <c r="A172" s="85" t="s">
        <v>275</v>
      </c>
      <c r="B172" s="67" t="s">
        <v>167</v>
      </c>
      <c r="C172" s="396"/>
      <c r="D172" s="1064"/>
      <c r="E172" s="11"/>
      <c r="F172" s="1296" t="str">
        <f t="shared" si="5"/>
        <v>-</v>
      </c>
      <c r="G172" s="20"/>
      <c r="H172" s="11"/>
      <c r="I172" s="16"/>
      <c r="K172" s="4">
        <f t="shared" si="7"/>
        <v>0</v>
      </c>
    </row>
    <row r="173" spans="1:11">
      <c r="A173" s="85" t="s">
        <v>276</v>
      </c>
      <c r="B173" s="67" t="s">
        <v>168</v>
      </c>
      <c r="C173" s="396"/>
      <c r="D173" s="1064"/>
      <c r="E173" s="11"/>
      <c r="F173" s="1296" t="str">
        <f t="shared" ref="F173:F208" si="8">IF(ISERROR(E173/D173),"-",E173/D173)</f>
        <v>-</v>
      </c>
      <c r="G173" s="20"/>
      <c r="H173" s="11"/>
      <c r="I173" s="16"/>
      <c r="K173" s="4">
        <f t="shared" ref="K173:K208" si="9">+E173-G173-H173-I173</f>
        <v>0</v>
      </c>
    </row>
    <row r="174" spans="1:11">
      <c r="A174" s="85" t="s">
        <v>277</v>
      </c>
      <c r="B174" s="67" t="s">
        <v>929</v>
      </c>
      <c r="C174" s="396"/>
      <c r="D174" s="1064"/>
      <c r="E174" s="11"/>
      <c r="F174" s="1296" t="str">
        <f t="shared" si="8"/>
        <v>-</v>
      </c>
      <c r="G174" s="20"/>
      <c r="H174" s="11"/>
      <c r="I174" s="16"/>
      <c r="K174" s="4">
        <f t="shared" si="9"/>
        <v>0</v>
      </c>
    </row>
    <row r="175" spans="1:11" ht="12.75" thickBot="1">
      <c r="A175" s="78" t="s">
        <v>927</v>
      </c>
      <c r="B175" s="68" t="s">
        <v>930</v>
      </c>
      <c r="C175" s="397"/>
      <c r="D175" s="1065"/>
      <c r="E175" s="22"/>
      <c r="F175" s="1298" t="str">
        <f t="shared" si="8"/>
        <v>-</v>
      </c>
      <c r="G175" s="21"/>
      <c r="H175" s="22"/>
      <c r="I175" s="23"/>
      <c r="K175" s="4">
        <f t="shared" si="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60130</v>
      </c>
      <c r="D176" s="1061">
        <f>+D109+D149</f>
        <v>43745</v>
      </c>
      <c r="E176" s="28">
        <f>+E109+E149</f>
        <v>40245</v>
      </c>
      <c r="F176" s="1294">
        <f t="shared" si="8"/>
        <v>0.9199908560978397</v>
      </c>
      <c r="G176" s="27">
        <f>+G109+G149</f>
        <v>40245</v>
      </c>
      <c r="H176" s="28">
        <f>+H109+H149</f>
        <v>0</v>
      </c>
      <c r="I176" s="29">
        <f>+I109+I149</f>
        <v>0</v>
      </c>
      <c r="K176" s="3">
        <f t="shared" si="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061">
        <f>+D178</f>
        <v>0</v>
      </c>
      <c r="E177" s="28">
        <f>+E178</f>
        <v>0</v>
      </c>
      <c r="F177" s="1294" t="str">
        <f t="shared" si="8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9"/>
        <v>0</v>
      </c>
    </row>
    <row r="178" spans="1:11" s="3" customFormat="1" ht="12.75" thickBot="1">
      <c r="A178" s="83" t="s">
        <v>45</v>
      </c>
      <c r="B178" s="64" t="s">
        <v>937</v>
      </c>
      <c r="C178" s="129">
        <f>+C179+C189+C190+C191</f>
        <v>0</v>
      </c>
      <c r="D178" s="1061">
        <f>+D179+D189+D190+D191</f>
        <v>0</v>
      </c>
      <c r="E178" s="28">
        <f>+E179+E189+E190+E191</f>
        <v>0</v>
      </c>
      <c r="F178" s="1294" t="str">
        <f t="shared" si="8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9"/>
        <v>0</v>
      </c>
    </row>
    <row r="179" spans="1:11">
      <c r="A179" s="84" t="s">
        <v>75</v>
      </c>
      <c r="B179" s="65" t="s">
        <v>938</v>
      </c>
      <c r="C179" s="398">
        <f>+C180+C181+C182+C183+C184+C185+C186+C187+C188</f>
        <v>0</v>
      </c>
      <c r="D179" s="1062">
        <f>+D180+D181+D182+D183+D184+D185+D186+D187+D188</f>
        <v>0</v>
      </c>
      <c r="E179" s="10">
        <f>+E180+E181+E182+E183+E184+E185+E186+E187+E188</f>
        <v>0</v>
      </c>
      <c r="F179" s="1295" t="str">
        <f t="shared" si="8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9"/>
        <v>0</v>
      </c>
    </row>
    <row r="180" spans="1:11" s="13" customFormat="1">
      <c r="A180" s="86" t="s">
        <v>204</v>
      </c>
      <c r="B180" s="66" t="s">
        <v>169</v>
      </c>
      <c r="C180" s="394"/>
      <c r="D180" s="1063"/>
      <c r="E180" s="12"/>
      <c r="F180" s="1296" t="str">
        <f t="shared" si="8"/>
        <v>-</v>
      </c>
      <c r="G180" s="19"/>
      <c r="H180" s="12"/>
      <c r="I180" s="15"/>
      <c r="K180" s="13">
        <f t="shared" si="9"/>
        <v>0</v>
      </c>
    </row>
    <row r="181" spans="1:11" s="13" customFormat="1">
      <c r="A181" s="86" t="s">
        <v>205</v>
      </c>
      <c r="B181" s="66" t="s">
        <v>170</v>
      </c>
      <c r="C181" s="394"/>
      <c r="D181" s="1063"/>
      <c r="E181" s="12"/>
      <c r="F181" s="1296" t="str">
        <f t="shared" si="8"/>
        <v>-</v>
      </c>
      <c r="G181" s="19"/>
      <c r="H181" s="12"/>
      <c r="I181" s="15"/>
      <c r="K181" s="13">
        <f t="shared" si="9"/>
        <v>0</v>
      </c>
    </row>
    <row r="182" spans="1:11" s="13" customFormat="1">
      <c r="A182" s="86" t="s">
        <v>206</v>
      </c>
      <c r="B182" s="66" t="s">
        <v>171</v>
      </c>
      <c r="C182" s="394"/>
      <c r="D182" s="1063"/>
      <c r="E182" s="12"/>
      <c r="F182" s="1296" t="str">
        <f t="shared" si="8"/>
        <v>-</v>
      </c>
      <c r="G182" s="19"/>
      <c r="H182" s="12"/>
      <c r="I182" s="15"/>
      <c r="K182" s="13">
        <f t="shared" si="9"/>
        <v>0</v>
      </c>
    </row>
    <row r="183" spans="1:11" s="13" customFormat="1">
      <c r="A183" s="86" t="s">
        <v>207</v>
      </c>
      <c r="B183" s="66" t="s">
        <v>172</v>
      </c>
      <c r="C183" s="394"/>
      <c r="D183" s="1063"/>
      <c r="E183" s="12"/>
      <c r="F183" s="1296" t="str">
        <f t="shared" si="8"/>
        <v>-</v>
      </c>
      <c r="G183" s="19"/>
      <c r="H183" s="12"/>
      <c r="I183" s="15"/>
      <c r="K183" s="13">
        <f t="shared" si="9"/>
        <v>0</v>
      </c>
    </row>
    <row r="184" spans="1:11" s="13" customFormat="1">
      <c r="A184" s="108" t="s">
        <v>208</v>
      </c>
      <c r="B184" s="109" t="s">
        <v>173</v>
      </c>
      <c r="C184" s="394"/>
      <c r="D184" s="1063"/>
      <c r="E184" s="12"/>
      <c r="F184" s="1297" t="str">
        <f t="shared" si="8"/>
        <v>-</v>
      </c>
      <c r="G184" s="686"/>
      <c r="H184" s="687"/>
      <c r="I184" s="688"/>
      <c r="K184" s="117">
        <f t="shared" si="9"/>
        <v>0</v>
      </c>
    </row>
    <row r="185" spans="1:11" s="13" customFormat="1">
      <c r="A185" s="86" t="s">
        <v>209</v>
      </c>
      <c r="B185" s="66" t="s">
        <v>178</v>
      </c>
      <c r="C185" s="394"/>
      <c r="D185" s="1063"/>
      <c r="E185" s="12"/>
      <c r="F185" s="1296" t="str">
        <f t="shared" si="8"/>
        <v>-</v>
      </c>
      <c r="G185" s="686"/>
      <c r="H185" s="687"/>
      <c r="I185" s="688"/>
      <c r="K185" s="13">
        <f t="shared" si="9"/>
        <v>0</v>
      </c>
    </row>
    <row r="186" spans="1:11" s="13" customFormat="1">
      <c r="A186" s="86" t="s">
        <v>210</v>
      </c>
      <c r="B186" s="66" t="s">
        <v>174</v>
      </c>
      <c r="C186" s="394"/>
      <c r="D186" s="1063"/>
      <c r="E186" s="12"/>
      <c r="F186" s="1296" t="str">
        <f t="shared" si="8"/>
        <v>-</v>
      </c>
      <c r="G186" s="686"/>
      <c r="H186" s="687"/>
      <c r="I186" s="688"/>
      <c r="K186" s="13">
        <f t="shared" si="9"/>
        <v>0</v>
      </c>
    </row>
    <row r="187" spans="1:11" s="13" customFormat="1">
      <c r="A187" s="86" t="s">
        <v>211</v>
      </c>
      <c r="B187" s="66" t="s">
        <v>175</v>
      </c>
      <c r="C187" s="394"/>
      <c r="D187" s="1063"/>
      <c r="E187" s="12"/>
      <c r="F187" s="1296" t="str">
        <f t="shared" si="8"/>
        <v>-</v>
      </c>
      <c r="G187" s="686"/>
      <c r="H187" s="687"/>
      <c r="I187" s="688"/>
      <c r="K187" s="13">
        <f t="shared" si="9"/>
        <v>0</v>
      </c>
    </row>
    <row r="188" spans="1:11" s="13" customFormat="1">
      <c r="A188" s="86" t="s">
        <v>931</v>
      </c>
      <c r="B188" s="66" t="s">
        <v>933</v>
      </c>
      <c r="C188" s="394"/>
      <c r="D188" s="1063"/>
      <c r="E188" s="12"/>
      <c r="F188" s="1296" t="str">
        <f t="shared" si="8"/>
        <v>-</v>
      </c>
      <c r="G188" s="686"/>
      <c r="H188" s="687"/>
      <c r="I188" s="688"/>
      <c r="K188" s="13">
        <f t="shared" si="9"/>
        <v>0</v>
      </c>
    </row>
    <row r="189" spans="1:11">
      <c r="A189" s="85" t="s">
        <v>76</v>
      </c>
      <c r="B189" s="67" t="s">
        <v>176</v>
      </c>
      <c r="C189" s="396"/>
      <c r="D189" s="1064"/>
      <c r="E189" s="11"/>
      <c r="F189" s="1296" t="str">
        <f t="shared" si="8"/>
        <v>-</v>
      </c>
      <c r="G189" s="925"/>
      <c r="H189" s="926"/>
      <c r="I189" s="927"/>
      <c r="K189" s="4">
        <f t="shared" si="9"/>
        <v>0</v>
      </c>
    </row>
    <row r="190" spans="1:11">
      <c r="A190" s="78" t="s">
        <v>77</v>
      </c>
      <c r="B190" s="68" t="s">
        <v>177</v>
      </c>
      <c r="C190" s="397"/>
      <c r="D190" s="1065"/>
      <c r="E190" s="22"/>
      <c r="F190" s="1298" t="str">
        <f t="shared" si="8"/>
        <v>-</v>
      </c>
      <c r="G190" s="928"/>
      <c r="H190" s="929"/>
      <c r="I190" s="930"/>
      <c r="K190" s="4">
        <f t="shared" si="9"/>
        <v>0</v>
      </c>
    </row>
    <row r="191" spans="1:11" ht="12.75" thickBot="1">
      <c r="A191" s="78" t="s">
        <v>936</v>
      </c>
      <c r="B191" s="68" t="s">
        <v>934</v>
      </c>
      <c r="C191" s="397"/>
      <c r="D191" s="1065"/>
      <c r="E191" s="22"/>
      <c r="F191" s="1298" t="str">
        <f t="shared" si="8"/>
        <v>-</v>
      </c>
      <c r="G191" s="928"/>
      <c r="H191" s="929"/>
      <c r="I191" s="930"/>
      <c r="K191" s="4">
        <f t="shared" si="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061">
        <f>+D193</f>
        <v>0</v>
      </c>
      <c r="E192" s="28">
        <f>+E193</f>
        <v>0</v>
      </c>
      <c r="F192" s="1294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3" customFormat="1" ht="12.75" thickBot="1">
      <c r="A193" s="83" t="s">
        <v>43</v>
      </c>
      <c r="B193" s="64" t="s">
        <v>932</v>
      </c>
      <c r="C193" s="129">
        <f>+C194+C204+C205+C206</f>
        <v>0</v>
      </c>
      <c r="D193" s="1061">
        <f>+D194+D204+D205+D206</f>
        <v>0</v>
      </c>
      <c r="E193" s="28">
        <f>+E194+E204+E205+E206</f>
        <v>0</v>
      </c>
      <c r="F193" s="1294" t="str">
        <f t="shared" si="8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9"/>
        <v>0</v>
      </c>
    </row>
    <row r="194" spans="1:11">
      <c r="A194" s="84" t="s">
        <v>78</v>
      </c>
      <c r="B194" s="65" t="s">
        <v>967</v>
      </c>
      <c r="C194" s="398">
        <f>+C195+C196+C197+C198+C199+C200+C201+C202+C203</f>
        <v>0</v>
      </c>
      <c r="D194" s="1062">
        <f>+D195+D196+D197+D198+D199+D200+D201+D202+D203</f>
        <v>0</v>
      </c>
      <c r="E194" s="10">
        <f>+E195+E196+E197+E198+E199+E200+E201+E202+E203</f>
        <v>0</v>
      </c>
      <c r="F194" s="1295" t="str">
        <f t="shared" si="8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9"/>
        <v>0</v>
      </c>
    </row>
    <row r="195" spans="1:11" s="13" customFormat="1">
      <c r="A195" s="86" t="s">
        <v>212</v>
      </c>
      <c r="B195" s="66" t="s">
        <v>169</v>
      </c>
      <c r="C195" s="394"/>
      <c r="D195" s="1063"/>
      <c r="E195" s="12"/>
      <c r="F195" s="1296" t="str">
        <f t="shared" si="8"/>
        <v>-</v>
      </c>
      <c r="G195" s="686"/>
      <c r="H195" s="687"/>
      <c r="I195" s="688"/>
      <c r="K195" s="13">
        <f t="shared" si="9"/>
        <v>0</v>
      </c>
    </row>
    <row r="196" spans="1:11" s="13" customFormat="1">
      <c r="A196" s="86" t="s">
        <v>213</v>
      </c>
      <c r="B196" s="66" t="s">
        <v>170</v>
      </c>
      <c r="C196" s="394"/>
      <c r="D196" s="1063"/>
      <c r="E196" s="12"/>
      <c r="F196" s="1296" t="str">
        <f t="shared" si="8"/>
        <v>-</v>
      </c>
      <c r="G196" s="686"/>
      <c r="H196" s="687"/>
      <c r="I196" s="688"/>
      <c r="K196" s="13">
        <f t="shared" si="9"/>
        <v>0</v>
      </c>
    </row>
    <row r="197" spans="1:11" s="13" customFormat="1">
      <c r="A197" s="86" t="s">
        <v>214</v>
      </c>
      <c r="B197" s="66" t="s">
        <v>171</v>
      </c>
      <c r="C197" s="394"/>
      <c r="D197" s="1063"/>
      <c r="E197" s="12"/>
      <c r="F197" s="1296" t="str">
        <f t="shared" si="8"/>
        <v>-</v>
      </c>
      <c r="G197" s="686"/>
      <c r="H197" s="687"/>
      <c r="I197" s="688"/>
      <c r="K197" s="13">
        <f t="shared" si="9"/>
        <v>0</v>
      </c>
    </row>
    <row r="198" spans="1:11" s="13" customFormat="1">
      <c r="A198" s="86" t="s">
        <v>215</v>
      </c>
      <c r="B198" s="66" t="s">
        <v>172</v>
      </c>
      <c r="C198" s="394"/>
      <c r="D198" s="1063"/>
      <c r="E198" s="12"/>
      <c r="F198" s="1296" t="str">
        <f t="shared" si="8"/>
        <v>-</v>
      </c>
      <c r="G198" s="686"/>
      <c r="H198" s="687"/>
      <c r="I198" s="688"/>
      <c r="K198" s="13">
        <f t="shared" si="9"/>
        <v>0</v>
      </c>
    </row>
    <row r="199" spans="1:11" s="13" customFormat="1">
      <c r="A199" s="108" t="s">
        <v>216</v>
      </c>
      <c r="B199" s="109" t="s">
        <v>173</v>
      </c>
      <c r="C199" s="394"/>
      <c r="D199" s="1063"/>
      <c r="E199" s="12"/>
      <c r="F199" s="1297" t="str">
        <f t="shared" si="8"/>
        <v>-</v>
      </c>
      <c r="G199" s="686"/>
      <c r="H199" s="687"/>
      <c r="I199" s="688"/>
      <c r="K199" s="117">
        <f t="shared" si="9"/>
        <v>0</v>
      </c>
    </row>
    <row r="200" spans="1:11" s="13" customFormat="1">
      <c r="A200" s="86" t="s">
        <v>217</v>
      </c>
      <c r="B200" s="66" t="s">
        <v>178</v>
      </c>
      <c r="C200" s="394"/>
      <c r="D200" s="1063"/>
      <c r="E200" s="12"/>
      <c r="F200" s="1296" t="str">
        <f t="shared" si="8"/>
        <v>-</v>
      </c>
      <c r="G200" s="686"/>
      <c r="H200" s="687"/>
      <c r="I200" s="688"/>
      <c r="K200" s="13">
        <f t="shared" si="9"/>
        <v>0</v>
      </c>
    </row>
    <row r="201" spans="1:11" s="13" customFormat="1">
      <c r="A201" s="86" t="s">
        <v>218</v>
      </c>
      <c r="B201" s="66" t="s">
        <v>174</v>
      </c>
      <c r="C201" s="394"/>
      <c r="D201" s="1063"/>
      <c r="E201" s="12"/>
      <c r="F201" s="1296" t="str">
        <f t="shared" si="8"/>
        <v>-</v>
      </c>
      <c r="G201" s="19"/>
      <c r="H201" s="12"/>
      <c r="I201" s="15"/>
      <c r="K201" s="13">
        <f t="shared" si="9"/>
        <v>0</v>
      </c>
    </row>
    <row r="202" spans="1:11" s="13" customFormat="1">
      <c r="A202" s="86" t="s">
        <v>219</v>
      </c>
      <c r="B202" s="66" t="s">
        <v>175</v>
      </c>
      <c r="C202" s="394"/>
      <c r="D202" s="1063"/>
      <c r="E202" s="12"/>
      <c r="F202" s="1296" t="str">
        <f t="shared" si="8"/>
        <v>-</v>
      </c>
      <c r="G202" s="19"/>
      <c r="H202" s="12"/>
      <c r="I202" s="15"/>
      <c r="K202" s="13">
        <f t="shared" si="9"/>
        <v>0</v>
      </c>
    </row>
    <row r="203" spans="1:11" s="13" customFormat="1">
      <c r="A203" s="86" t="s">
        <v>931</v>
      </c>
      <c r="B203" s="66" t="s">
        <v>933</v>
      </c>
      <c r="C203" s="394"/>
      <c r="D203" s="1063"/>
      <c r="E203" s="12"/>
      <c r="F203" s="1296" t="str">
        <f t="shared" si="8"/>
        <v>-</v>
      </c>
      <c r="G203" s="19"/>
      <c r="H203" s="12"/>
      <c r="I203" s="15"/>
      <c r="K203" s="13">
        <f t="shared" si="9"/>
        <v>0</v>
      </c>
    </row>
    <row r="204" spans="1:11">
      <c r="A204" s="85" t="s">
        <v>79</v>
      </c>
      <c r="B204" s="67" t="s">
        <v>176</v>
      </c>
      <c r="C204" s="396"/>
      <c r="D204" s="1064"/>
      <c r="E204" s="11"/>
      <c r="F204" s="1296" t="str">
        <f t="shared" si="8"/>
        <v>-</v>
      </c>
      <c r="G204" s="20"/>
      <c r="H204" s="11"/>
      <c r="I204" s="16"/>
      <c r="K204" s="4">
        <f t="shared" si="9"/>
        <v>0</v>
      </c>
    </row>
    <row r="205" spans="1:11">
      <c r="A205" s="78" t="s">
        <v>220</v>
      </c>
      <c r="B205" s="68" t="s">
        <v>177</v>
      </c>
      <c r="C205" s="397"/>
      <c r="D205" s="1065"/>
      <c r="E205" s="22"/>
      <c r="F205" s="1298" t="str">
        <f t="shared" si="8"/>
        <v>-</v>
      </c>
      <c r="G205" s="21"/>
      <c r="H205" s="22"/>
      <c r="I205" s="23"/>
      <c r="K205" s="4">
        <f t="shared" si="9"/>
        <v>0</v>
      </c>
    </row>
    <row r="206" spans="1:11" ht="12.75" thickBot="1">
      <c r="A206" s="78" t="s">
        <v>935</v>
      </c>
      <c r="B206" s="68" t="s">
        <v>934</v>
      </c>
      <c r="C206" s="397"/>
      <c r="D206" s="1065"/>
      <c r="E206" s="22"/>
      <c r="F206" s="1298" t="str">
        <f t="shared" si="8"/>
        <v>-</v>
      </c>
      <c r="G206" s="21"/>
      <c r="H206" s="22"/>
      <c r="I206" s="23"/>
      <c r="K206" s="4">
        <f t="shared" si="9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061">
        <f>+D177+D192</f>
        <v>0</v>
      </c>
      <c r="E207" s="28">
        <f>+E177+E192</f>
        <v>0</v>
      </c>
      <c r="F207" s="1294" t="str">
        <f t="shared" si="8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9"/>
        <v>0</v>
      </c>
    </row>
    <row r="208" spans="1:11" s="3" customFormat="1" ht="12.75" thickBot="1">
      <c r="A208" s="87" t="s">
        <v>39</v>
      </c>
      <c r="B208" s="71" t="s">
        <v>334</v>
      </c>
      <c r="C208" s="392">
        <f>+C176+C207</f>
        <v>60130</v>
      </c>
      <c r="D208" s="1072">
        <f>+D176+D207</f>
        <v>43745</v>
      </c>
      <c r="E208" s="25">
        <f>+E176+E207</f>
        <v>40245</v>
      </c>
      <c r="F208" s="1301">
        <f t="shared" si="8"/>
        <v>0.9199908560978397</v>
      </c>
      <c r="G208" s="24">
        <f>+G176+G207</f>
        <v>40245</v>
      </c>
      <c r="H208" s="25">
        <f>+H176+H207</f>
        <v>0</v>
      </c>
      <c r="I208" s="26">
        <f>+I176+I207</f>
        <v>0</v>
      </c>
      <c r="K208" s="3">
        <f t="shared" si="9"/>
        <v>0</v>
      </c>
    </row>
    <row r="211" spans="1:31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F212" s="1290"/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-59530</v>
      </c>
      <c r="D213" s="1061">
        <f>+D214+D215</f>
        <v>-38062</v>
      </c>
      <c r="E213" s="28">
        <f>+E214+E215</f>
        <v>-34585</v>
      </c>
      <c r="F213" s="1294">
        <f>IF(ISERROR(E213/D213),"-",E213/D213)</f>
        <v>0.90864904629289056</v>
      </c>
      <c r="G213" s="27">
        <f>+G214+G215</f>
        <v>-34585</v>
      </c>
      <c r="H213" s="28">
        <f>+H214+H215</f>
        <v>0</v>
      </c>
      <c r="I213" s="29">
        <f>+I214+I215</f>
        <v>0</v>
      </c>
      <c r="K213" s="3">
        <f>+E213-G213-H213-I213</f>
        <v>0</v>
      </c>
    </row>
    <row r="214" spans="1:31">
      <c r="A214" s="84" t="s">
        <v>81</v>
      </c>
      <c r="B214" s="72" t="s">
        <v>318</v>
      </c>
      <c r="C214" s="398">
        <f>+C10-C109</f>
        <v>-49158</v>
      </c>
      <c r="D214" s="1062">
        <f>+D10-D109</f>
        <v>-35016</v>
      </c>
      <c r="E214" s="10">
        <f>+E10-E109</f>
        <v>-34285</v>
      </c>
      <c r="F214" s="1295">
        <f>IF(ISERROR(E214/D214),"-",E214/D214)</f>
        <v>0.97912382910669404</v>
      </c>
      <c r="G214" s="34">
        <f>+G10-G109</f>
        <v>-34285</v>
      </c>
      <c r="H214" s="10">
        <f>+H10-H109</f>
        <v>0</v>
      </c>
      <c r="I214" s="35">
        <f>+I10-I109</f>
        <v>0</v>
      </c>
      <c r="K214" s="4">
        <f>+E214-G214-H214-I214</f>
        <v>0</v>
      </c>
    </row>
    <row r="215" spans="1:31" ht="12.75" thickBot="1">
      <c r="A215" s="88" t="s">
        <v>82</v>
      </c>
      <c r="B215" s="73" t="s">
        <v>319</v>
      </c>
      <c r="C215" s="391">
        <f>+C50-C149</f>
        <v>-10372</v>
      </c>
      <c r="D215" s="1079">
        <f>+D50-D149</f>
        <v>-3046</v>
      </c>
      <c r="E215" s="17">
        <f>+E50-E149</f>
        <v>-300</v>
      </c>
      <c r="F215" s="1307">
        <f>IF(ISERROR(E215/D215),"-",E215/D215)</f>
        <v>9.8489822718319103E-2</v>
      </c>
      <c r="G215" s="40">
        <f>+G50-G149</f>
        <v>-300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1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F219" s="1290"/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59530</v>
      </c>
      <c r="D220" s="1061">
        <f>+D221+D228</f>
        <v>38062</v>
      </c>
      <c r="E220" s="28">
        <f>+E221+E228</f>
        <v>37481</v>
      </c>
      <c r="F220" s="1294">
        <f t="shared" ref="F220:F234" si="10">IF(ISERROR(E220/D220),"-",E220/D220)</f>
        <v>0.98473543166412691</v>
      </c>
      <c r="G220" s="27">
        <f>+G221+G228</f>
        <v>37481</v>
      </c>
      <c r="H220" s="28">
        <f>+H221+H228</f>
        <v>0</v>
      </c>
      <c r="I220" s="29">
        <f>+I221+I228</f>
        <v>0</v>
      </c>
      <c r="K220" s="3">
        <f t="shared" ref="K220:K234" si="11">+E220-G220-H220-I220</f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49158</v>
      </c>
      <c r="D221" s="1061">
        <f>+D222-D225</f>
        <v>35016</v>
      </c>
      <c r="E221" s="28">
        <f>+E222-E225</f>
        <v>37181</v>
      </c>
      <c r="F221" s="1294">
        <f t="shared" si="10"/>
        <v>1.0618288782270962</v>
      </c>
      <c r="G221" s="27">
        <f>+G222-G225</f>
        <v>37181</v>
      </c>
      <c r="H221" s="28">
        <f>+H222-H225</f>
        <v>0</v>
      </c>
      <c r="I221" s="29">
        <f>+I222-I225</f>
        <v>0</v>
      </c>
      <c r="K221" s="3">
        <f t="shared" si="11"/>
        <v>0</v>
      </c>
    </row>
    <row r="222" spans="1:31">
      <c r="A222" s="84" t="s">
        <v>54</v>
      </c>
      <c r="B222" s="65" t="s">
        <v>322</v>
      </c>
      <c r="C222" s="398">
        <f>+C223+C224</f>
        <v>49158</v>
      </c>
      <c r="D222" s="1062">
        <f>+D223+D224</f>
        <v>35016</v>
      </c>
      <c r="E222" s="10">
        <f>+E223+E224</f>
        <v>37181</v>
      </c>
      <c r="F222" s="1295">
        <f t="shared" si="10"/>
        <v>1.0618288782270962</v>
      </c>
      <c r="G222" s="34">
        <f>+G223+G224</f>
        <v>37181</v>
      </c>
      <c r="H222" s="10">
        <f>+H223+H224</f>
        <v>0</v>
      </c>
      <c r="I222" s="35">
        <f>+I223+I224</f>
        <v>0</v>
      </c>
      <c r="K222" s="4">
        <f t="shared" si="11"/>
        <v>0</v>
      </c>
    </row>
    <row r="223" spans="1:31" s="13" customFormat="1">
      <c r="A223" s="86" t="s">
        <v>189</v>
      </c>
      <c r="B223" s="66" t="s">
        <v>284</v>
      </c>
      <c r="C223" s="394">
        <f>+C76+C80</f>
        <v>0</v>
      </c>
      <c r="D223" s="1063">
        <f>+D76+D80</f>
        <v>332</v>
      </c>
      <c r="E223" s="12">
        <f>+E76+E80</f>
        <v>332</v>
      </c>
      <c r="F223" s="1296">
        <f t="shared" si="10"/>
        <v>1</v>
      </c>
      <c r="G223" s="19">
        <f>+G76+G80</f>
        <v>332</v>
      </c>
      <c r="H223" s="12">
        <f>+H76+H80</f>
        <v>0</v>
      </c>
      <c r="I223" s="15">
        <f>+I76+I80</f>
        <v>0</v>
      </c>
      <c r="K223" s="13">
        <f t="shared" si="11"/>
        <v>0</v>
      </c>
    </row>
    <row r="224" spans="1:31" s="13" customFormat="1">
      <c r="A224" s="86" t="s">
        <v>190</v>
      </c>
      <c r="B224" s="66" t="s">
        <v>285</v>
      </c>
      <c r="C224" s="394">
        <f>+C74+C75+C77+C78+C79+C81</f>
        <v>49158</v>
      </c>
      <c r="D224" s="1063">
        <f>+D74+D75+D77+D78+D79+D81</f>
        <v>34684</v>
      </c>
      <c r="E224" s="12">
        <f>+E74+E75+E77+E78+E79+E81</f>
        <v>36849</v>
      </c>
      <c r="F224" s="1296">
        <f t="shared" si="10"/>
        <v>1.0624207127205627</v>
      </c>
      <c r="G224" s="19">
        <f>+G74+G75+G77+G78+G79+G81</f>
        <v>36849</v>
      </c>
      <c r="H224" s="12">
        <f>+H74+H75+H77+H78+H79+H81</f>
        <v>0</v>
      </c>
      <c r="I224" s="15">
        <f>+I74+I75+I77+I78+I79+I81</f>
        <v>0</v>
      </c>
      <c r="K224" s="13">
        <f t="shared" si="11"/>
        <v>0</v>
      </c>
    </row>
    <row r="225" spans="1:31">
      <c r="A225" s="85" t="s">
        <v>55</v>
      </c>
      <c r="B225" s="67" t="s">
        <v>323</v>
      </c>
      <c r="C225" s="396">
        <f>+C227</f>
        <v>0</v>
      </c>
      <c r="D225" s="1064">
        <f>+D227</f>
        <v>0</v>
      </c>
      <c r="E225" s="11">
        <f>+E227</f>
        <v>0</v>
      </c>
      <c r="F225" s="1296" t="str">
        <f t="shared" si="10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11"/>
        <v>0</v>
      </c>
    </row>
    <row r="226" spans="1:31" s="13" customFormat="1">
      <c r="A226" s="86" t="s">
        <v>56</v>
      </c>
      <c r="B226" s="66" t="s">
        <v>286</v>
      </c>
      <c r="C226" s="394">
        <f>+C185</f>
        <v>0</v>
      </c>
      <c r="D226" s="1063">
        <f>+D185</f>
        <v>0</v>
      </c>
      <c r="E226" s="12">
        <f>+E185</f>
        <v>0</v>
      </c>
      <c r="F226" s="1296" t="str">
        <f t="shared" si="10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11"/>
        <v>0</v>
      </c>
    </row>
    <row r="227" spans="1:31" s="13" customFormat="1" ht="12.75" thickBot="1">
      <c r="A227" s="89" t="s">
        <v>57</v>
      </c>
      <c r="B227" s="74" t="s">
        <v>287</v>
      </c>
      <c r="C227" s="395">
        <f>+C180+C181+C182+C183+C184+C186+C187</f>
        <v>0</v>
      </c>
      <c r="D227" s="1066">
        <f>+D180+D181+D182+D183+D184+D186+D187</f>
        <v>0</v>
      </c>
      <c r="E227" s="43">
        <f>+E180+E181+E182+E183+E184+E186+E187</f>
        <v>0</v>
      </c>
      <c r="F227" s="1298" t="str">
        <f t="shared" si="10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11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10372</v>
      </c>
      <c r="D228" s="1061">
        <f>+D229-D232</f>
        <v>3046</v>
      </c>
      <c r="E228" s="28">
        <f>+E229-E232</f>
        <v>300</v>
      </c>
      <c r="F228" s="1294">
        <f t="shared" si="10"/>
        <v>9.8489822718319103E-2</v>
      </c>
      <c r="G228" s="27">
        <f>+G229-G232</f>
        <v>300</v>
      </c>
      <c r="H228" s="28">
        <f>+H229-H232</f>
        <v>0</v>
      </c>
      <c r="I228" s="29">
        <f>+I229-I232</f>
        <v>0</v>
      </c>
      <c r="K228" s="3">
        <f t="shared" si="11"/>
        <v>0</v>
      </c>
    </row>
    <row r="229" spans="1:31">
      <c r="A229" s="84" t="s">
        <v>58</v>
      </c>
      <c r="B229" s="65" t="s">
        <v>325</v>
      </c>
      <c r="C229" s="398">
        <f>+C230+C231</f>
        <v>10372</v>
      </c>
      <c r="D229" s="1062">
        <f>+D230+D231</f>
        <v>3046</v>
      </c>
      <c r="E229" s="10">
        <f>+E230+E231</f>
        <v>300</v>
      </c>
      <c r="F229" s="1295">
        <f t="shared" si="10"/>
        <v>9.8489822718319103E-2</v>
      </c>
      <c r="G229" s="34">
        <f>+G230+G231</f>
        <v>300</v>
      </c>
      <c r="H229" s="10">
        <f>+H230+H231</f>
        <v>0</v>
      </c>
      <c r="I229" s="35">
        <f>+I230+I231</f>
        <v>0</v>
      </c>
      <c r="K229" s="4">
        <f t="shared" si="11"/>
        <v>0</v>
      </c>
    </row>
    <row r="230" spans="1:31" s="13" customFormat="1">
      <c r="A230" s="86" t="s">
        <v>292</v>
      </c>
      <c r="B230" s="66" t="s">
        <v>290</v>
      </c>
      <c r="C230" s="394">
        <f>+C91+C95</f>
        <v>0</v>
      </c>
      <c r="D230" s="1063">
        <f>+D91+D95</f>
        <v>0</v>
      </c>
      <c r="E230" s="12">
        <f>+E91+E95</f>
        <v>0</v>
      </c>
      <c r="F230" s="1296" t="str">
        <f t="shared" si="10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11"/>
        <v>0</v>
      </c>
    </row>
    <row r="231" spans="1:31" s="13" customFormat="1">
      <c r="A231" s="86" t="s">
        <v>293</v>
      </c>
      <c r="B231" s="66" t="s">
        <v>291</v>
      </c>
      <c r="C231" s="394">
        <f>+C89+C90+C92+C93+C94+C96</f>
        <v>10372</v>
      </c>
      <c r="D231" s="1063">
        <f>+D89+D90+D92+D93+D94+D96</f>
        <v>3046</v>
      </c>
      <c r="E231" s="12">
        <f>+E89+E90+E92+E93+E94+E96</f>
        <v>300</v>
      </c>
      <c r="F231" s="1296">
        <f t="shared" si="10"/>
        <v>9.8489822718319103E-2</v>
      </c>
      <c r="G231" s="19">
        <f>+G89+G90+G92+G93+G94+G96</f>
        <v>300</v>
      </c>
      <c r="H231" s="12">
        <f>+H89+H90+H92+H93+H94+H96</f>
        <v>0</v>
      </c>
      <c r="I231" s="15">
        <f>+I89+I90+I92+I93+I94+I96</f>
        <v>0</v>
      </c>
      <c r="K231" s="13">
        <f t="shared" si="11"/>
        <v>0</v>
      </c>
    </row>
    <row r="232" spans="1:31">
      <c r="A232" s="85" t="s">
        <v>59</v>
      </c>
      <c r="B232" s="67" t="s">
        <v>326</v>
      </c>
      <c r="C232" s="396">
        <f>+C233+C234</f>
        <v>0</v>
      </c>
      <c r="D232" s="1064">
        <f>+D233+D234</f>
        <v>0</v>
      </c>
      <c r="E232" s="11">
        <f>+E233+E234</f>
        <v>0</v>
      </c>
      <c r="F232" s="1296" t="str">
        <f t="shared" si="10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11"/>
        <v>0</v>
      </c>
    </row>
    <row r="233" spans="1:31" s="13" customFormat="1">
      <c r="A233" s="86" t="s">
        <v>294</v>
      </c>
      <c r="B233" s="66" t="s">
        <v>288</v>
      </c>
      <c r="C233" s="394">
        <f>+C200</f>
        <v>0</v>
      </c>
      <c r="D233" s="1063">
        <f>+D200</f>
        <v>0</v>
      </c>
      <c r="E233" s="12">
        <f>+E200</f>
        <v>0</v>
      </c>
      <c r="F233" s="1296" t="str">
        <f t="shared" si="10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11"/>
        <v>0</v>
      </c>
    </row>
    <row r="234" spans="1:31" s="13" customFormat="1" ht="12.75" thickBot="1">
      <c r="A234" s="90" t="s">
        <v>295</v>
      </c>
      <c r="B234" s="75" t="s">
        <v>289</v>
      </c>
      <c r="C234" s="390">
        <f>+C195+C196+C197+C198+C199+C201+C202</f>
        <v>0</v>
      </c>
      <c r="D234" s="1161">
        <f>+D195+D196+D197+D198+D199+D201+D202</f>
        <v>0</v>
      </c>
      <c r="E234" s="41">
        <f>+E195+E196+E197+E198+E199+E201+E202</f>
        <v>0</v>
      </c>
      <c r="F234" s="1307" t="str">
        <f t="shared" si="10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11"/>
        <v>0</v>
      </c>
    </row>
    <row r="237" spans="1:31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F238" s="1290"/>
      <c r="I238" s="37"/>
    </row>
    <row r="239" spans="1:31" s="3" customFormat="1">
      <c r="A239" s="91" t="s">
        <v>4</v>
      </c>
      <c r="B239" s="76" t="s">
        <v>91</v>
      </c>
      <c r="C239" s="1075">
        <v>9</v>
      </c>
      <c r="D239" s="1162">
        <v>9</v>
      </c>
      <c r="E239" s="55">
        <v>8</v>
      </c>
      <c r="F239" s="1304">
        <f>IF(ISERROR(E239/D239),"-",E239/D239)</f>
        <v>0.88888888888888884</v>
      </c>
      <c r="G239" s="54">
        <v>8</v>
      </c>
      <c r="H239" s="55"/>
      <c r="I239" s="56"/>
      <c r="K239" s="3">
        <f>+E239-G239-H239-I239</f>
        <v>0</v>
      </c>
    </row>
    <row r="240" spans="1:31" s="13" customFormat="1">
      <c r="A240" s="89" t="s">
        <v>350</v>
      </c>
      <c r="B240" s="99" t="s">
        <v>351</v>
      </c>
      <c r="C240" s="1076"/>
      <c r="D240" s="1163"/>
      <c r="E240" s="101"/>
      <c r="F240" s="1298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77"/>
      <c r="D241" s="1164"/>
      <c r="E241" s="58"/>
      <c r="F241" s="1312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329</v>
      </c>
      <c r="C242" s="1078">
        <f>+C239+C241</f>
        <v>9</v>
      </c>
      <c r="D242" s="1165">
        <f>+D239+D241</f>
        <v>9</v>
      </c>
      <c r="E242" s="61">
        <f>+E239+E241</f>
        <v>8</v>
      </c>
      <c r="F242" s="1294">
        <f>IF(ISERROR(E242/D242),"-",E242/D242)</f>
        <v>0.88888888888888884</v>
      </c>
      <c r="G242" s="60">
        <f>+G239+G241</f>
        <v>8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6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5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G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30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289"/>
      <c r="I1" s="51" t="s">
        <v>863</v>
      </c>
    </row>
    <row r="2" spans="1:11" s="50" customFormat="1" ht="15.75">
      <c r="F2" s="1289"/>
    </row>
    <row r="3" spans="1:11" s="52" customFormat="1" ht="15.75">
      <c r="A3" s="1769" t="s">
        <v>855</v>
      </c>
      <c r="B3" s="1769"/>
      <c r="C3" s="1769"/>
      <c r="D3" s="1769"/>
      <c r="E3" s="1769"/>
      <c r="F3" s="1769"/>
      <c r="G3" s="1769"/>
      <c r="H3" s="1769"/>
      <c r="I3" s="1769"/>
    </row>
    <row r="4" spans="1:11" s="52" customFormat="1" ht="15.75">
      <c r="A4" s="1769" t="s">
        <v>1417</v>
      </c>
      <c r="B4" s="1769"/>
      <c r="C4" s="1769"/>
      <c r="D4" s="1769"/>
      <c r="E4" s="1769"/>
      <c r="F4" s="1769"/>
      <c r="G4" s="1769"/>
      <c r="H4" s="1769"/>
      <c r="I4" s="1769"/>
    </row>
    <row r="5" spans="1:11" s="50" customFormat="1" ht="15.75">
      <c r="F5" s="1289"/>
    </row>
    <row r="6" spans="1:11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  <c r="I6" s="1769"/>
    </row>
    <row r="7" spans="1:11" s="36" customFormat="1" ht="12.75" thickBot="1">
      <c r="A7" s="38" t="s">
        <v>279</v>
      </c>
      <c r="F7" s="1290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771" t="s">
        <v>254</v>
      </c>
      <c r="D9" s="1772"/>
      <c r="E9" s="1772"/>
      <c r="F9" s="1772"/>
      <c r="G9" s="1772"/>
      <c r="H9" s="1772"/>
      <c r="I9" s="1773"/>
    </row>
    <row r="10" spans="1:11" s="3" customFormat="1" ht="12.75" thickBot="1">
      <c r="A10" s="95" t="s">
        <v>4</v>
      </c>
      <c r="B10" s="63" t="s">
        <v>296</v>
      </c>
      <c r="C10" s="401">
        <f>+C11+C25+C32+C44</f>
        <v>20793</v>
      </c>
      <c r="D10" s="1060">
        <f>+D11+D25+D32+D44</f>
        <v>0</v>
      </c>
      <c r="E10" s="131">
        <f>+E11+E25+E32+E44</f>
        <v>0</v>
      </c>
      <c r="F10" s="1315" t="str">
        <f>IF(ISERROR(E10/D10),"-",E10/D10)</f>
        <v>-</v>
      </c>
      <c r="G10" s="31">
        <f>+G11+G25+G32+G44</f>
        <v>0</v>
      </c>
      <c r="H10" s="32">
        <f>+H11+H25+H32+H44</f>
        <v>0</v>
      </c>
      <c r="I10" s="33">
        <f>+I11+I25+I32+I44</f>
        <v>0</v>
      </c>
      <c r="K10" s="3">
        <f t="shared" ref="K10:K41" si="0">+E10-G10-H10-I10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3240</v>
      </c>
      <c r="D11" s="1061">
        <f>+D12+D19+D20+D21+D22+D23</f>
        <v>0</v>
      </c>
      <c r="E11" s="28">
        <f>+E12+E19+E20+E21+E22+E23</f>
        <v>0</v>
      </c>
      <c r="F11" s="1316" t="str">
        <f t="shared" ref="F11:F74" si="1">IF(ISERROR(E11/D11),"-",E11/D11)</f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si="0"/>
        <v>0</v>
      </c>
    </row>
    <row r="12" spans="1:11" s="3" customFormat="1">
      <c r="A12" s="84" t="s">
        <v>54</v>
      </c>
      <c r="B12" s="65" t="s">
        <v>298</v>
      </c>
      <c r="C12" s="398"/>
      <c r="D12" s="1062"/>
      <c r="E12" s="10">
        <f>+E13+E14+E15+E16+E17+E18</f>
        <v>0</v>
      </c>
      <c r="F12" s="1317" t="str">
        <f t="shared" si="1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0"/>
        <v>0</v>
      </c>
    </row>
    <row r="13" spans="1:11" s="13" customFormat="1">
      <c r="A13" s="86" t="s">
        <v>189</v>
      </c>
      <c r="B13" s="66" t="s">
        <v>93</v>
      </c>
      <c r="C13" s="394"/>
      <c r="D13" s="1063"/>
      <c r="E13" s="12"/>
      <c r="F13" s="1318" t="str">
        <f t="shared" si="1"/>
        <v>-</v>
      </c>
      <c r="G13" s="19"/>
      <c r="H13" s="12"/>
      <c r="I13" s="15"/>
      <c r="K13" s="13">
        <f t="shared" si="0"/>
        <v>0</v>
      </c>
    </row>
    <row r="14" spans="1:11" s="13" customFormat="1">
      <c r="A14" s="86" t="s">
        <v>190</v>
      </c>
      <c r="B14" s="66" t="s">
        <v>94</v>
      </c>
      <c r="C14" s="394"/>
      <c r="D14" s="1063"/>
      <c r="E14" s="12"/>
      <c r="F14" s="1318" t="str">
        <f t="shared" si="1"/>
        <v>-</v>
      </c>
      <c r="G14" s="19"/>
      <c r="H14" s="12"/>
      <c r="I14" s="15"/>
      <c r="K14" s="13">
        <f t="shared" si="0"/>
        <v>0</v>
      </c>
    </row>
    <row r="15" spans="1:11" s="13" customFormat="1">
      <c r="A15" s="86" t="s">
        <v>191</v>
      </c>
      <c r="B15" s="66" t="s">
        <v>95</v>
      </c>
      <c r="C15" s="394"/>
      <c r="D15" s="1063"/>
      <c r="E15" s="12"/>
      <c r="F15" s="1318" t="str">
        <f t="shared" si="1"/>
        <v>-</v>
      </c>
      <c r="G15" s="19"/>
      <c r="H15" s="12"/>
      <c r="I15" s="15"/>
      <c r="K15" s="13">
        <f t="shared" si="0"/>
        <v>0</v>
      </c>
    </row>
    <row r="16" spans="1:11" s="13" customFormat="1">
      <c r="A16" s="86" t="s">
        <v>192</v>
      </c>
      <c r="B16" s="66" t="s">
        <v>96</v>
      </c>
      <c r="C16" s="394"/>
      <c r="D16" s="1063"/>
      <c r="E16" s="12"/>
      <c r="F16" s="1318" t="str">
        <f t="shared" si="1"/>
        <v>-</v>
      </c>
      <c r="G16" s="19"/>
      <c r="H16" s="12"/>
      <c r="I16" s="15"/>
      <c r="K16" s="13">
        <f t="shared" si="0"/>
        <v>0</v>
      </c>
    </row>
    <row r="17" spans="1:11" s="13" customFormat="1">
      <c r="A17" s="86" t="s">
        <v>193</v>
      </c>
      <c r="B17" s="66" t="s">
        <v>891</v>
      </c>
      <c r="C17" s="394"/>
      <c r="D17" s="1063"/>
      <c r="E17" s="12"/>
      <c r="F17" s="1319" t="str">
        <f t="shared" si="1"/>
        <v>-</v>
      </c>
      <c r="G17" s="19"/>
      <c r="H17" s="12"/>
      <c r="I17" s="15"/>
      <c r="K17" s="13">
        <f t="shared" si="0"/>
        <v>0</v>
      </c>
    </row>
    <row r="18" spans="1:11" s="13" customFormat="1">
      <c r="A18" s="86" t="s">
        <v>194</v>
      </c>
      <c r="B18" s="66" t="s">
        <v>892</v>
      </c>
      <c r="C18" s="394"/>
      <c r="D18" s="1063"/>
      <c r="E18" s="12"/>
      <c r="F18" s="1319" t="str">
        <f t="shared" si="1"/>
        <v>-</v>
      </c>
      <c r="G18" s="19"/>
      <c r="H18" s="12"/>
      <c r="I18" s="15"/>
      <c r="K18" s="13">
        <f t="shared" si="0"/>
        <v>0</v>
      </c>
    </row>
    <row r="19" spans="1:11">
      <c r="A19" s="85" t="s">
        <v>55</v>
      </c>
      <c r="B19" s="67" t="s">
        <v>97</v>
      </c>
      <c r="C19" s="396"/>
      <c r="D19" s="1064"/>
      <c r="E19" s="11"/>
      <c r="F19" s="1318" t="str">
        <f t="shared" si="1"/>
        <v>-</v>
      </c>
      <c r="G19" s="20"/>
      <c r="H19" s="11"/>
      <c r="I19" s="16"/>
      <c r="K19" s="4">
        <f t="shared" si="0"/>
        <v>0</v>
      </c>
    </row>
    <row r="20" spans="1:11">
      <c r="A20" s="85" t="s">
        <v>83</v>
      </c>
      <c r="B20" s="67" t="s">
        <v>98</v>
      </c>
      <c r="C20" s="396"/>
      <c r="D20" s="1064"/>
      <c r="E20" s="11"/>
      <c r="F20" s="1318" t="str">
        <f t="shared" si="1"/>
        <v>-</v>
      </c>
      <c r="G20" s="20"/>
      <c r="H20" s="11"/>
      <c r="I20" s="16"/>
      <c r="K20" s="4">
        <f t="shared" si="0"/>
        <v>0</v>
      </c>
    </row>
    <row r="21" spans="1:11">
      <c r="A21" s="85" t="s">
        <v>84</v>
      </c>
      <c r="B21" s="67" t="s">
        <v>99</v>
      </c>
      <c r="C21" s="396"/>
      <c r="D21" s="1064"/>
      <c r="E21" s="11"/>
      <c r="F21" s="1318" t="str">
        <f t="shared" si="1"/>
        <v>-</v>
      </c>
      <c r="G21" s="20"/>
      <c r="H21" s="11"/>
      <c r="I21" s="16"/>
      <c r="K21" s="4">
        <f t="shared" si="0"/>
        <v>0</v>
      </c>
    </row>
    <row r="22" spans="1:11">
      <c r="A22" s="85" t="s">
        <v>85</v>
      </c>
      <c r="B22" s="67" t="s">
        <v>100</v>
      </c>
      <c r="C22" s="396"/>
      <c r="D22" s="1064"/>
      <c r="E22" s="11"/>
      <c r="F22" s="1318" t="str">
        <f t="shared" si="1"/>
        <v>-</v>
      </c>
      <c r="G22" s="20"/>
      <c r="H22" s="11"/>
      <c r="I22" s="16"/>
      <c r="K22" s="4">
        <f t="shared" si="0"/>
        <v>0</v>
      </c>
    </row>
    <row r="23" spans="1:11">
      <c r="A23" s="78" t="s">
        <v>86</v>
      </c>
      <c r="B23" s="68" t="s">
        <v>101</v>
      </c>
      <c r="C23" s="397">
        <v>3240</v>
      </c>
      <c r="D23" s="1065">
        <v>0</v>
      </c>
      <c r="E23" s="22"/>
      <c r="F23" s="1320" t="str">
        <f t="shared" si="1"/>
        <v>-</v>
      </c>
      <c r="G23" s="21"/>
      <c r="H23" s="22"/>
      <c r="I23" s="23"/>
      <c r="K23" s="4">
        <f t="shared" si="0"/>
        <v>0</v>
      </c>
    </row>
    <row r="24" spans="1:11" s="13" customFormat="1" ht="12.75" thickBot="1">
      <c r="A24" s="89" t="s">
        <v>331</v>
      </c>
      <c r="B24" s="751" t="s">
        <v>332</v>
      </c>
      <c r="C24" s="395"/>
      <c r="D24" s="1066"/>
      <c r="E24" s="43"/>
      <c r="F24" s="1320" t="str">
        <f t="shared" si="1"/>
        <v>-</v>
      </c>
      <c r="G24" s="45"/>
      <c r="H24" s="43"/>
      <c r="I24" s="44"/>
      <c r="K24" s="13">
        <f t="shared" si="0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17553</v>
      </c>
      <c r="D25" s="1061">
        <f>+D26+D27+D28+D29+D30+D31</f>
        <v>0</v>
      </c>
      <c r="E25" s="28">
        <f>+E26+E27+E28+E29+E30+E31</f>
        <v>0</v>
      </c>
      <c r="F25" s="1316" t="str">
        <f t="shared" si="1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0"/>
        <v>0</v>
      </c>
    </row>
    <row r="26" spans="1:11" ht="12.75" customHeight="1">
      <c r="A26" s="84" t="s">
        <v>58</v>
      </c>
      <c r="B26" s="65" t="s">
        <v>102</v>
      </c>
      <c r="C26" s="398"/>
      <c r="D26" s="1062"/>
      <c r="E26" s="10"/>
      <c r="F26" s="1317" t="str">
        <f t="shared" si="1"/>
        <v>-</v>
      </c>
      <c r="G26" s="34"/>
      <c r="H26" s="10"/>
      <c r="I26" s="35"/>
      <c r="K26" s="4">
        <f t="shared" si="0"/>
        <v>0</v>
      </c>
    </row>
    <row r="27" spans="1:11" ht="12.75" customHeight="1">
      <c r="A27" s="85" t="s">
        <v>59</v>
      </c>
      <c r="B27" s="67" t="s">
        <v>103</v>
      </c>
      <c r="C27" s="396"/>
      <c r="D27" s="1064"/>
      <c r="E27" s="11"/>
      <c r="F27" s="1318" t="str">
        <f t="shared" si="1"/>
        <v>-</v>
      </c>
      <c r="G27" s="20"/>
      <c r="H27" s="11"/>
      <c r="I27" s="16"/>
      <c r="K27" s="4">
        <f t="shared" si="0"/>
        <v>0</v>
      </c>
    </row>
    <row r="28" spans="1:11" ht="12.75" customHeight="1">
      <c r="A28" s="85" t="s">
        <v>60</v>
      </c>
      <c r="B28" s="67" t="s">
        <v>104</v>
      </c>
      <c r="C28" s="396"/>
      <c r="D28" s="1064"/>
      <c r="E28" s="11"/>
      <c r="F28" s="1318" t="str">
        <f t="shared" si="1"/>
        <v>-</v>
      </c>
      <c r="G28" s="20"/>
      <c r="H28" s="11"/>
      <c r="I28" s="16"/>
      <c r="K28" s="4">
        <f t="shared" si="0"/>
        <v>0</v>
      </c>
    </row>
    <row r="29" spans="1:11" ht="12.75" customHeight="1">
      <c r="A29" s="85" t="s">
        <v>179</v>
      </c>
      <c r="B29" s="67" t="s">
        <v>105</v>
      </c>
      <c r="C29" s="396"/>
      <c r="D29" s="1064"/>
      <c r="E29" s="11"/>
      <c r="F29" s="1318" t="str">
        <f t="shared" si="1"/>
        <v>-</v>
      </c>
      <c r="G29" s="20"/>
      <c r="H29" s="11"/>
      <c r="I29" s="16"/>
      <c r="K29" s="4">
        <f t="shared" si="0"/>
        <v>0</v>
      </c>
    </row>
    <row r="30" spans="1:11" ht="12.75" customHeight="1">
      <c r="A30" s="78" t="s">
        <v>180</v>
      </c>
      <c r="B30" s="68" t="s">
        <v>106</v>
      </c>
      <c r="C30" s="397"/>
      <c r="D30" s="1065"/>
      <c r="E30" s="22"/>
      <c r="F30" s="1320" t="str">
        <f t="shared" si="1"/>
        <v>-</v>
      </c>
      <c r="G30" s="20"/>
      <c r="H30" s="11"/>
      <c r="I30" s="16"/>
      <c r="K30" s="4">
        <f t="shared" si="0"/>
        <v>0</v>
      </c>
    </row>
    <row r="31" spans="1:11" ht="12.75" customHeight="1" thickBot="1">
      <c r="A31" s="78" t="s">
        <v>777</v>
      </c>
      <c r="B31" s="68" t="s">
        <v>779</v>
      </c>
      <c r="C31" s="397">
        <v>17553</v>
      </c>
      <c r="D31" s="1065">
        <v>0</v>
      </c>
      <c r="E31" s="22"/>
      <c r="F31" s="1320" t="str">
        <f t="shared" si="1"/>
        <v>-</v>
      </c>
      <c r="G31" s="20"/>
      <c r="H31" s="11"/>
      <c r="I31" s="16"/>
      <c r="K31" s="4">
        <f t="shared" si="0"/>
        <v>0</v>
      </c>
    </row>
    <row r="32" spans="1:11" s="3" customFormat="1" ht="12.75" customHeight="1" thickBot="1">
      <c r="A32" s="83" t="s">
        <v>3</v>
      </c>
      <c r="B32" s="64" t="s">
        <v>964</v>
      </c>
      <c r="C32" s="129">
        <f>+C33+C34+C35+C36+C37+C38+C39+C40+C41+C42+C43</f>
        <v>0</v>
      </c>
      <c r="D32" s="1061">
        <f>+D33+D34+D35+D36+D37+D38+D39+D40+D41+D42+D43</f>
        <v>0</v>
      </c>
      <c r="E32" s="28">
        <f>+E33+E34+E35+E36+E37+E38+E39+E40+E41+E42+E43</f>
        <v>0</v>
      </c>
      <c r="F32" s="1316" t="str">
        <f t="shared" si="1"/>
        <v>-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0"/>
        <v>0</v>
      </c>
    </row>
    <row r="33" spans="1:11" ht="12.75" customHeight="1">
      <c r="A33" s="84" t="s">
        <v>61</v>
      </c>
      <c r="B33" s="65" t="s">
        <v>1539</v>
      </c>
      <c r="C33" s="398"/>
      <c r="D33" s="1062"/>
      <c r="E33" s="10"/>
      <c r="F33" s="1317" t="str">
        <f t="shared" si="1"/>
        <v>-</v>
      </c>
      <c r="G33" s="34"/>
      <c r="H33" s="10"/>
      <c r="I33" s="35"/>
      <c r="K33" s="4">
        <f t="shared" si="0"/>
        <v>0</v>
      </c>
    </row>
    <row r="34" spans="1:11" ht="12.75" customHeight="1">
      <c r="A34" s="85" t="s">
        <v>62</v>
      </c>
      <c r="B34" s="67" t="s">
        <v>107</v>
      </c>
      <c r="C34" s="396"/>
      <c r="D34" s="1064"/>
      <c r="E34" s="11"/>
      <c r="F34" s="1318" t="str">
        <f t="shared" si="1"/>
        <v>-</v>
      </c>
      <c r="G34" s="20"/>
      <c r="H34" s="11"/>
      <c r="I34" s="16"/>
      <c r="K34" s="4">
        <f t="shared" si="0"/>
        <v>0</v>
      </c>
    </row>
    <row r="35" spans="1:11" ht="12.75" customHeight="1">
      <c r="A35" s="85" t="s">
        <v>63</v>
      </c>
      <c r="B35" s="67" t="s">
        <v>108</v>
      </c>
      <c r="C35" s="396"/>
      <c r="D35" s="1064"/>
      <c r="E35" s="11"/>
      <c r="F35" s="1318" t="str">
        <f t="shared" si="1"/>
        <v>-</v>
      </c>
      <c r="G35" s="20"/>
      <c r="H35" s="11"/>
      <c r="I35" s="16"/>
      <c r="K35" s="4">
        <f t="shared" si="0"/>
        <v>0</v>
      </c>
    </row>
    <row r="36" spans="1:11" ht="12.75" customHeight="1">
      <c r="A36" s="85" t="s">
        <v>64</v>
      </c>
      <c r="B36" s="67" t="s">
        <v>109</v>
      </c>
      <c r="C36" s="396"/>
      <c r="D36" s="1064"/>
      <c r="E36" s="11"/>
      <c r="F36" s="1318" t="str">
        <f t="shared" si="1"/>
        <v>-</v>
      </c>
      <c r="G36" s="20"/>
      <c r="H36" s="11"/>
      <c r="I36" s="16"/>
      <c r="K36" s="4">
        <f t="shared" si="0"/>
        <v>0</v>
      </c>
    </row>
    <row r="37" spans="1:11" ht="12.75" customHeight="1">
      <c r="A37" s="85" t="s">
        <v>65</v>
      </c>
      <c r="B37" s="67" t="s">
        <v>110</v>
      </c>
      <c r="C37" s="396"/>
      <c r="D37" s="1064"/>
      <c r="E37" s="11"/>
      <c r="F37" s="1318" t="str">
        <f t="shared" si="1"/>
        <v>-</v>
      </c>
      <c r="G37" s="20"/>
      <c r="H37" s="11"/>
      <c r="I37" s="16"/>
      <c r="K37" s="4">
        <f t="shared" si="0"/>
        <v>0</v>
      </c>
    </row>
    <row r="38" spans="1:11" ht="12.75" customHeight="1">
      <c r="A38" s="85" t="s">
        <v>221</v>
      </c>
      <c r="B38" s="67" t="s">
        <v>111</v>
      </c>
      <c r="C38" s="396"/>
      <c r="D38" s="1064"/>
      <c r="E38" s="11"/>
      <c r="F38" s="1318" t="str">
        <f t="shared" si="1"/>
        <v>-</v>
      </c>
      <c r="G38" s="20"/>
      <c r="H38" s="11"/>
      <c r="I38" s="16"/>
      <c r="K38" s="4">
        <f t="shared" si="0"/>
        <v>0</v>
      </c>
    </row>
    <row r="39" spans="1:11" ht="12.75" customHeight="1">
      <c r="A39" s="85" t="s">
        <v>222</v>
      </c>
      <c r="B39" s="67" t="s">
        <v>112</v>
      </c>
      <c r="C39" s="396"/>
      <c r="D39" s="1064"/>
      <c r="E39" s="11"/>
      <c r="F39" s="1318" t="str">
        <f t="shared" si="1"/>
        <v>-</v>
      </c>
      <c r="G39" s="20"/>
      <c r="H39" s="11"/>
      <c r="I39" s="16"/>
      <c r="K39" s="4">
        <f t="shared" si="0"/>
        <v>0</v>
      </c>
    </row>
    <row r="40" spans="1:11" ht="12.75" customHeight="1">
      <c r="A40" s="85" t="s">
        <v>223</v>
      </c>
      <c r="B40" s="67" t="s">
        <v>974</v>
      </c>
      <c r="C40" s="396"/>
      <c r="D40" s="1064"/>
      <c r="E40" s="11"/>
      <c r="F40" s="1318" t="str">
        <f t="shared" si="1"/>
        <v>-</v>
      </c>
      <c r="G40" s="20"/>
      <c r="H40" s="11"/>
      <c r="I40" s="16"/>
      <c r="K40" s="4">
        <f t="shared" si="0"/>
        <v>0</v>
      </c>
    </row>
    <row r="41" spans="1:11" ht="12.75" customHeight="1">
      <c r="A41" s="85" t="s">
        <v>224</v>
      </c>
      <c r="B41" s="67" t="s">
        <v>113</v>
      </c>
      <c r="C41" s="396"/>
      <c r="D41" s="1064"/>
      <c r="E41" s="11"/>
      <c r="F41" s="1318" t="str">
        <f t="shared" si="1"/>
        <v>-</v>
      </c>
      <c r="G41" s="20"/>
      <c r="H41" s="11"/>
      <c r="I41" s="16"/>
      <c r="K41" s="4">
        <f t="shared" si="0"/>
        <v>0</v>
      </c>
    </row>
    <row r="42" spans="1:11" ht="12.75" customHeight="1">
      <c r="A42" s="78" t="s">
        <v>225</v>
      </c>
      <c r="B42" s="68" t="s">
        <v>894</v>
      </c>
      <c r="C42" s="396"/>
      <c r="D42" s="1064"/>
      <c r="E42" s="11"/>
      <c r="F42" s="1318" t="str">
        <f t="shared" si="1"/>
        <v>-</v>
      </c>
      <c r="G42" s="20"/>
      <c r="H42" s="11"/>
      <c r="I42" s="16"/>
      <c r="K42" s="4">
        <f t="shared" ref="K42:K73" si="2">+E42-G42-H42-I42</f>
        <v>0</v>
      </c>
    </row>
    <row r="43" spans="1:11" ht="12.75" customHeight="1" thickBot="1">
      <c r="A43" s="78" t="s">
        <v>893</v>
      </c>
      <c r="B43" s="68" t="s">
        <v>895</v>
      </c>
      <c r="C43" s="397"/>
      <c r="D43" s="1065"/>
      <c r="E43" s="22"/>
      <c r="F43" s="1320" t="str">
        <f t="shared" si="1"/>
        <v>-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965</v>
      </c>
      <c r="C44" s="129">
        <f>+C45+C46+C47+C48+C49</f>
        <v>0</v>
      </c>
      <c r="D44" s="1061">
        <f>+D45+D46+D47+D48+D49</f>
        <v>0</v>
      </c>
      <c r="E44" s="28">
        <f>+E45+E46+E47+E48+E49</f>
        <v>0</v>
      </c>
      <c r="F44" s="1316" t="str">
        <f t="shared" si="1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398"/>
      <c r="D45" s="1062"/>
      <c r="E45" s="10"/>
      <c r="F45" s="1317" t="str">
        <f t="shared" si="1"/>
        <v>-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896</v>
      </c>
      <c r="C46" s="398"/>
      <c r="D46" s="1062"/>
      <c r="E46" s="10"/>
      <c r="F46" s="1317" t="str">
        <f t="shared" si="1"/>
        <v>-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897</v>
      </c>
      <c r="C47" s="398"/>
      <c r="D47" s="1062"/>
      <c r="E47" s="10"/>
      <c r="F47" s="1317" t="str">
        <f t="shared" si="1"/>
        <v>-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898</v>
      </c>
      <c r="C48" s="396"/>
      <c r="D48" s="1064"/>
      <c r="E48" s="11"/>
      <c r="F48" s="1318" t="str">
        <f t="shared" si="1"/>
        <v>-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899</v>
      </c>
      <c r="C49" s="397"/>
      <c r="D49" s="1065"/>
      <c r="E49" s="22"/>
      <c r="F49" s="1320" t="str">
        <f t="shared" si="1"/>
        <v>-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061">
        <f>+D51+D58+D64</f>
        <v>0</v>
      </c>
      <c r="E50" s="28">
        <f>+E51+E58+E64</f>
        <v>0</v>
      </c>
      <c r="F50" s="1316" t="str">
        <f t="shared" si="1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061">
        <f>+D52+D53+D54+D55+D56</f>
        <v>0</v>
      </c>
      <c r="E51" s="28">
        <f>+E52+E53+E54+E55+E56</f>
        <v>0</v>
      </c>
      <c r="F51" s="1316" t="str">
        <f t="shared" si="1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398"/>
      <c r="D52" s="1062"/>
      <c r="E52" s="10"/>
      <c r="F52" s="1317" t="str">
        <f t="shared" si="1"/>
        <v>-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396"/>
      <c r="D53" s="1064"/>
      <c r="E53" s="11"/>
      <c r="F53" s="1318" t="str">
        <f t="shared" si="1"/>
        <v>-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396"/>
      <c r="D54" s="1064"/>
      <c r="E54" s="11"/>
      <c r="F54" s="1318" t="str">
        <f t="shared" si="1"/>
        <v>-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396"/>
      <c r="D55" s="1064"/>
      <c r="E55" s="11"/>
      <c r="F55" s="1318" t="str">
        <f t="shared" si="1"/>
        <v>-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397"/>
      <c r="D56" s="1065"/>
      <c r="E56" s="22"/>
      <c r="F56" s="1320" t="str">
        <f t="shared" si="1"/>
        <v>-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51" t="s">
        <v>337</v>
      </c>
      <c r="C57" s="395"/>
      <c r="D57" s="1066"/>
      <c r="E57" s="43"/>
      <c r="F57" s="1320" t="str">
        <f t="shared" si="1"/>
        <v>-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061">
        <f>+D59+D60+D61+D62+D63</f>
        <v>0</v>
      </c>
      <c r="E58" s="28">
        <f>+E59+E60+E61+E62+E63</f>
        <v>0</v>
      </c>
      <c r="F58" s="1316" t="str">
        <f t="shared" si="1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398"/>
      <c r="D59" s="1062"/>
      <c r="E59" s="10"/>
      <c r="F59" s="1317" t="str">
        <f t="shared" si="1"/>
        <v>-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396"/>
      <c r="D60" s="1064"/>
      <c r="E60" s="11"/>
      <c r="F60" s="1318" t="str">
        <f t="shared" si="1"/>
        <v>-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396"/>
      <c r="D61" s="1064"/>
      <c r="E61" s="11"/>
      <c r="F61" s="1318" t="str">
        <f t="shared" si="1"/>
        <v>-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396"/>
      <c r="D62" s="1064"/>
      <c r="E62" s="11"/>
      <c r="F62" s="1318" t="str">
        <f t="shared" si="1"/>
        <v>-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397"/>
      <c r="D63" s="1065"/>
      <c r="E63" s="22"/>
      <c r="F63" s="1320" t="str">
        <f t="shared" si="1"/>
        <v>-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903</v>
      </c>
      <c r="C64" s="129">
        <f>+C65+C66+C67+C68+C69</f>
        <v>0</v>
      </c>
      <c r="D64" s="1061">
        <f>+D65+D66+D67+D68+D69</f>
        <v>0</v>
      </c>
      <c r="E64" s="28">
        <f>+E65+E66+E67+E68+E69</f>
        <v>0</v>
      </c>
      <c r="F64" s="1316" t="str">
        <f t="shared" si="1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4">
      <c r="A65" s="84" t="s">
        <v>69</v>
      </c>
      <c r="B65" s="65" t="s">
        <v>125</v>
      </c>
      <c r="C65" s="398"/>
      <c r="D65" s="1062"/>
      <c r="E65" s="10"/>
      <c r="F65" s="1317" t="str">
        <f t="shared" si="1"/>
        <v>-</v>
      </c>
      <c r="G65" s="34"/>
      <c r="H65" s="10"/>
      <c r="I65" s="35"/>
      <c r="K65" s="4">
        <f t="shared" si="2"/>
        <v>0</v>
      </c>
    </row>
    <row r="66" spans="1:14">
      <c r="A66" s="84" t="s">
        <v>70</v>
      </c>
      <c r="B66" s="65" t="s">
        <v>904</v>
      </c>
      <c r="C66" s="398"/>
      <c r="D66" s="1062"/>
      <c r="E66" s="10"/>
      <c r="F66" s="1317" t="str">
        <f t="shared" si="1"/>
        <v>-</v>
      </c>
      <c r="G66" s="34"/>
      <c r="H66" s="10"/>
      <c r="I66" s="35"/>
      <c r="K66" s="4">
        <f t="shared" si="2"/>
        <v>0</v>
      </c>
    </row>
    <row r="67" spans="1:14">
      <c r="A67" s="84" t="s">
        <v>71</v>
      </c>
      <c r="B67" s="65" t="s">
        <v>905</v>
      </c>
      <c r="C67" s="398"/>
      <c r="D67" s="1062"/>
      <c r="E67" s="10"/>
      <c r="F67" s="1317" t="str">
        <f t="shared" si="1"/>
        <v>-</v>
      </c>
      <c r="G67" s="34"/>
      <c r="H67" s="10"/>
      <c r="I67" s="35"/>
      <c r="K67" s="4">
        <f t="shared" si="2"/>
        <v>0</v>
      </c>
    </row>
    <row r="68" spans="1:14">
      <c r="A68" s="85" t="s">
        <v>72</v>
      </c>
      <c r="B68" s="67" t="s">
        <v>901</v>
      </c>
      <c r="C68" s="396"/>
      <c r="D68" s="1064"/>
      <c r="E68" s="11"/>
      <c r="F68" s="1318" t="str">
        <f t="shared" si="1"/>
        <v>-</v>
      </c>
      <c r="G68" s="20"/>
      <c r="H68" s="11"/>
      <c r="I68" s="16"/>
      <c r="K68" s="4">
        <f t="shared" si="2"/>
        <v>0</v>
      </c>
    </row>
    <row r="69" spans="1:14" ht="12.75" thickBot="1">
      <c r="A69" s="78" t="s">
        <v>900</v>
      </c>
      <c r="B69" s="68" t="s">
        <v>902</v>
      </c>
      <c r="C69" s="397"/>
      <c r="D69" s="1065"/>
      <c r="E69" s="22"/>
      <c r="F69" s="1320" t="str">
        <f t="shared" si="1"/>
        <v>-</v>
      </c>
      <c r="G69" s="21"/>
      <c r="H69" s="22"/>
      <c r="I69" s="23"/>
      <c r="K69" s="4">
        <f t="shared" si="2"/>
        <v>0</v>
      </c>
    </row>
    <row r="70" spans="1:14" s="3" customFormat="1" ht="12.75" thickBot="1">
      <c r="A70" s="83" t="s">
        <v>11</v>
      </c>
      <c r="B70" s="69" t="s">
        <v>302</v>
      </c>
      <c r="C70" s="129">
        <f>+C10+C50</f>
        <v>20793</v>
      </c>
      <c r="D70" s="1061">
        <f>+D10+D50</f>
        <v>0</v>
      </c>
      <c r="E70" s="28">
        <f>+E10+E50</f>
        <v>0</v>
      </c>
      <c r="F70" s="1316" t="str">
        <f t="shared" si="1"/>
        <v>-</v>
      </c>
      <c r="G70" s="27">
        <f>+G10+G50</f>
        <v>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4" s="3" customFormat="1" ht="12.75" thickBot="1">
      <c r="A71" s="83" t="s">
        <v>10</v>
      </c>
      <c r="B71" s="70" t="s">
        <v>303</v>
      </c>
      <c r="C71" s="129">
        <f>+C72</f>
        <v>-1000</v>
      </c>
      <c r="D71" s="1061">
        <f>+D72</f>
        <v>10669</v>
      </c>
      <c r="E71" s="28">
        <f>+E72</f>
        <v>10701</v>
      </c>
      <c r="F71" s="1316">
        <f t="shared" si="1"/>
        <v>1.0029993438935232</v>
      </c>
      <c r="G71" s="27">
        <f>+G72</f>
        <v>0</v>
      </c>
      <c r="H71" s="28">
        <f>+H72</f>
        <v>10701</v>
      </c>
      <c r="I71" s="29">
        <f>+I72</f>
        <v>0</v>
      </c>
      <c r="K71" s="3">
        <f t="shared" si="2"/>
        <v>0</v>
      </c>
    </row>
    <row r="72" spans="1:14" s="3" customFormat="1" ht="12.75" thickBot="1">
      <c r="A72" s="83" t="s">
        <v>9</v>
      </c>
      <c r="B72" s="64" t="s">
        <v>912</v>
      </c>
      <c r="C72" s="129">
        <f>+C73+C83+C84+C85</f>
        <v>-1000</v>
      </c>
      <c r="D72" s="1061">
        <f>+D73+D83+D84+D85</f>
        <v>10669</v>
      </c>
      <c r="E72" s="28">
        <f>+E73+E83+E84+E85</f>
        <v>10701</v>
      </c>
      <c r="F72" s="1316">
        <f t="shared" si="1"/>
        <v>1.0029993438935232</v>
      </c>
      <c r="G72" s="27">
        <f>+G73+G83+G84+G85</f>
        <v>0</v>
      </c>
      <c r="H72" s="28">
        <f>+H73+H83+H84+H85</f>
        <v>10701</v>
      </c>
      <c r="I72" s="29">
        <f>+I73+I83+I84+I85</f>
        <v>0</v>
      </c>
      <c r="K72" s="3">
        <f t="shared" si="2"/>
        <v>0</v>
      </c>
    </row>
    <row r="73" spans="1:14">
      <c r="A73" s="84" t="s">
        <v>73</v>
      </c>
      <c r="B73" s="65" t="s">
        <v>907</v>
      </c>
      <c r="C73" s="398">
        <f>+C74+C75+C76+C77+C78+C79+C80+C81+C82</f>
        <v>-1000</v>
      </c>
      <c r="D73" s="1062">
        <f>+D74+D75+D76+D77+D78+D79+D80+D81+D82</f>
        <v>10669</v>
      </c>
      <c r="E73" s="10">
        <f>+E74+E75+E76+E77+E78+E79+E80+E81+E82</f>
        <v>10701</v>
      </c>
      <c r="F73" s="1317">
        <f t="shared" si="1"/>
        <v>1.0029993438935232</v>
      </c>
      <c r="G73" s="34">
        <f>+G74+G75+G76+G77+G78+G79+G80+G81+G82</f>
        <v>0</v>
      </c>
      <c r="H73" s="10">
        <f>+H74+H75+H76+H77+H78+H79+H80+H81+H82</f>
        <v>10701</v>
      </c>
      <c r="I73" s="35">
        <f>+I74+I75+I76+I77+I78+I79+I80+I81+I82</f>
        <v>0</v>
      </c>
      <c r="K73" s="4">
        <f t="shared" si="2"/>
        <v>0</v>
      </c>
    </row>
    <row r="74" spans="1:14" s="13" customFormat="1">
      <c r="A74" s="86" t="s">
        <v>195</v>
      </c>
      <c r="B74" s="66" t="s">
        <v>906</v>
      </c>
      <c r="C74" s="394"/>
      <c r="D74" s="1063"/>
      <c r="E74" s="12"/>
      <c r="F74" s="1318" t="str">
        <f t="shared" si="1"/>
        <v>-</v>
      </c>
      <c r="G74" s="19"/>
      <c r="H74" s="12"/>
      <c r="I74" s="15"/>
      <c r="K74" s="13">
        <f t="shared" ref="K74:K102" si="3">+E74-G74-H74-I74</f>
        <v>0</v>
      </c>
    </row>
    <row r="75" spans="1:14" s="13" customFormat="1">
      <c r="A75" s="86" t="s">
        <v>196</v>
      </c>
      <c r="B75" s="66" t="s">
        <v>246</v>
      </c>
      <c r="C75" s="394"/>
      <c r="D75" s="1063"/>
      <c r="E75" s="12"/>
      <c r="F75" s="1318" t="str">
        <f t="shared" ref="F75:F102" si="4">IF(ISERROR(E75/D75),"-",E75/D75)</f>
        <v>-</v>
      </c>
      <c r="G75" s="19"/>
      <c r="H75" s="12"/>
      <c r="I75" s="15"/>
      <c r="K75" s="13">
        <f t="shared" si="3"/>
        <v>0</v>
      </c>
    </row>
    <row r="76" spans="1:14" s="13" customFormat="1">
      <c r="A76" s="86" t="s">
        <v>197</v>
      </c>
      <c r="B76" s="66" t="s">
        <v>247</v>
      </c>
      <c r="C76" s="394"/>
      <c r="D76" s="1063">
        <v>25</v>
      </c>
      <c r="E76" s="12">
        <v>25</v>
      </c>
      <c r="F76" s="1318">
        <f t="shared" si="4"/>
        <v>1</v>
      </c>
      <c r="G76" s="19"/>
      <c r="H76" s="12">
        <v>25</v>
      </c>
      <c r="I76" s="15"/>
      <c r="K76" s="13">
        <f t="shared" si="3"/>
        <v>0</v>
      </c>
    </row>
    <row r="77" spans="1:14" s="13" customFormat="1">
      <c r="A77" s="86" t="s">
        <v>198</v>
      </c>
      <c r="B77" s="66" t="s">
        <v>248</v>
      </c>
      <c r="C77" s="394"/>
      <c r="D77" s="1063"/>
      <c r="E77" s="12"/>
      <c r="F77" s="1318" t="str">
        <f t="shared" si="4"/>
        <v>-</v>
      </c>
      <c r="G77" s="19"/>
      <c r="H77" s="12"/>
      <c r="I77" s="15"/>
      <c r="K77" s="13">
        <f t="shared" si="3"/>
        <v>0</v>
      </c>
    </row>
    <row r="78" spans="1:14" s="13" customFormat="1">
      <c r="A78" s="86" t="s">
        <v>199</v>
      </c>
      <c r="B78" s="66" t="s">
        <v>249</v>
      </c>
      <c r="C78" s="394"/>
      <c r="D78" s="1063"/>
      <c r="E78" s="12"/>
      <c r="F78" s="1318" t="str">
        <f t="shared" si="4"/>
        <v>-</v>
      </c>
      <c r="G78" s="19"/>
      <c r="H78" s="12"/>
      <c r="I78" s="15"/>
      <c r="K78" s="13">
        <f t="shared" si="3"/>
        <v>0</v>
      </c>
    </row>
    <row r="79" spans="1:14" s="13" customFormat="1">
      <c r="A79" s="108" t="s">
        <v>200</v>
      </c>
      <c r="B79" s="109" t="s">
        <v>250</v>
      </c>
      <c r="C79" s="394">
        <f>+C109-C10+C178-C74-C75-C76-C77-C78-C80-C81-C83-C84-C85</f>
        <v>-1000</v>
      </c>
      <c r="D79" s="1063">
        <f>+D109-D10+D178-D74-D75-D76-D77-D78-D80-D81-D83-D84-D85</f>
        <v>10644</v>
      </c>
      <c r="E79" s="1063">
        <f>10676-E94</f>
        <v>10676</v>
      </c>
      <c r="F79" s="1296">
        <f t="shared" si="4"/>
        <v>1.0030063885757234</v>
      </c>
      <c r="G79" s="19">
        <f>+G109-G10+G178-G74-G75-G76-G77-G78-G80-G81-G83-G84-G85</f>
        <v>0</v>
      </c>
      <c r="H79" s="12">
        <v>10676</v>
      </c>
      <c r="I79" s="15">
        <f>+I109-I10+I178-I74-I75-I76-I77-I78-I80-I81-I83-I84-I85</f>
        <v>0</v>
      </c>
      <c r="K79" s="117">
        <f t="shared" si="3"/>
        <v>0</v>
      </c>
      <c r="M79" s="13">
        <v>10644</v>
      </c>
      <c r="N79" s="13">
        <v>10676</v>
      </c>
    </row>
    <row r="80" spans="1:14" s="13" customFormat="1">
      <c r="A80" s="86" t="s">
        <v>203</v>
      </c>
      <c r="B80" s="66" t="s">
        <v>251</v>
      </c>
      <c r="C80" s="394"/>
      <c r="D80" s="1063"/>
      <c r="E80" s="12"/>
      <c r="F80" s="1318" t="str">
        <f t="shared" si="4"/>
        <v>-</v>
      </c>
      <c r="G80" s="19"/>
      <c r="H80" s="12"/>
      <c r="I80" s="15"/>
      <c r="K80" s="117">
        <f t="shared" si="3"/>
        <v>0</v>
      </c>
      <c r="M80" s="13">
        <f>+M79-D79-D94</f>
        <v>0</v>
      </c>
      <c r="N80" s="13">
        <f>+N79-E79-E94</f>
        <v>0</v>
      </c>
    </row>
    <row r="81" spans="1:11" s="13" customFormat="1">
      <c r="A81" s="86" t="s">
        <v>201</v>
      </c>
      <c r="B81" s="66" t="s">
        <v>244</v>
      </c>
      <c r="C81" s="394"/>
      <c r="D81" s="1063"/>
      <c r="E81" s="12"/>
      <c r="F81" s="1318" t="str">
        <f t="shared" si="4"/>
        <v>-</v>
      </c>
      <c r="G81" s="19"/>
      <c r="H81" s="12"/>
      <c r="I81" s="15"/>
      <c r="K81" s="117">
        <f t="shared" si="3"/>
        <v>0</v>
      </c>
    </row>
    <row r="82" spans="1:11" s="13" customFormat="1">
      <c r="A82" s="86" t="s">
        <v>908</v>
      </c>
      <c r="B82" s="66" t="s">
        <v>909</v>
      </c>
      <c r="C82" s="394"/>
      <c r="D82" s="1063"/>
      <c r="E82" s="12"/>
      <c r="F82" s="1318" t="str">
        <f t="shared" si="4"/>
        <v>-</v>
      </c>
      <c r="G82" s="19"/>
      <c r="H82" s="12"/>
      <c r="I82" s="15"/>
      <c r="K82" s="117">
        <f t="shared" si="3"/>
        <v>0</v>
      </c>
    </row>
    <row r="83" spans="1:11">
      <c r="A83" s="85" t="s">
        <v>74</v>
      </c>
      <c r="B83" s="67" t="s">
        <v>242</v>
      </c>
      <c r="C83" s="396"/>
      <c r="D83" s="1064"/>
      <c r="E83" s="11"/>
      <c r="F83" s="1318" t="str">
        <f t="shared" si="4"/>
        <v>-</v>
      </c>
      <c r="G83" s="20"/>
      <c r="H83" s="11"/>
      <c r="I83" s="16"/>
      <c r="K83" s="118">
        <f t="shared" si="3"/>
        <v>0</v>
      </c>
    </row>
    <row r="84" spans="1:11">
      <c r="A84" s="78" t="s">
        <v>202</v>
      </c>
      <c r="B84" s="68" t="s">
        <v>243</v>
      </c>
      <c r="C84" s="397"/>
      <c r="D84" s="1065"/>
      <c r="E84" s="22"/>
      <c r="F84" s="1320" t="str">
        <f t="shared" si="4"/>
        <v>-</v>
      </c>
      <c r="G84" s="21"/>
      <c r="H84" s="22"/>
      <c r="I84" s="23"/>
      <c r="K84" s="118">
        <f t="shared" si="3"/>
        <v>0</v>
      </c>
    </row>
    <row r="85" spans="1:11" ht="12.75" thickBot="1">
      <c r="A85" s="78" t="s">
        <v>910</v>
      </c>
      <c r="B85" s="68" t="s">
        <v>911</v>
      </c>
      <c r="C85" s="397"/>
      <c r="D85" s="1065"/>
      <c r="E85" s="22"/>
      <c r="F85" s="1320" t="str">
        <f t="shared" si="4"/>
        <v>-</v>
      </c>
      <c r="G85" s="21"/>
      <c r="H85" s="22"/>
      <c r="I85" s="23"/>
      <c r="K85" s="118">
        <f t="shared" si="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1000</v>
      </c>
      <c r="D86" s="1061">
        <f>+D87</f>
        <v>0</v>
      </c>
      <c r="E86" s="28">
        <f>+E87</f>
        <v>0</v>
      </c>
      <c r="F86" s="1316" t="str">
        <f t="shared" si="4"/>
        <v>-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3"/>
        <v>0</v>
      </c>
    </row>
    <row r="87" spans="1:11" s="3" customFormat="1" ht="12.75" thickBot="1">
      <c r="A87" s="83" t="s">
        <v>44</v>
      </c>
      <c r="B87" s="64" t="s">
        <v>914</v>
      </c>
      <c r="C87" s="129">
        <f>+C88+C98+C99+C100</f>
        <v>1000</v>
      </c>
      <c r="D87" s="1061">
        <f>+D88+D98+D99+D100</f>
        <v>0</v>
      </c>
      <c r="E87" s="28">
        <f>+E88+E98+E99+E100</f>
        <v>0</v>
      </c>
      <c r="F87" s="1316" t="str">
        <f t="shared" si="4"/>
        <v>-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3"/>
        <v>0</v>
      </c>
    </row>
    <row r="88" spans="1:11">
      <c r="A88" s="84" t="s">
        <v>231</v>
      </c>
      <c r="B88" s="65" t="s">
        <v>966</v>
      </c>
      <c r="C88" s="398">
        <f>+C89+C90+C91+C92+C93+C94+C95+C96+C97</f>
        <v>1000</v>
      </c>
      <c r="D88" s="1062">
        <f>+D89+D90+D91+D92+D93+D94+D95+D96+D97</f>
        <v>0</v>
      </c>
      <c r="E88" s="10">
        <f>+E89+E90+E91+E92+E93+E94+E95+E96+E97</f>
        <v>0</v>
      </c>
      <c r="F88" s="1317" t="str">
        <f t="shared" si="4"/>
        <v>-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3"/>
        <v>0</v>
      </c>
    </row>
    <row r="89" spans="1:11" s="13" customFormat="1">
      <c r="A89" s="86" t="s">
        <v>232</v>
      </c>
      <c r="B89" s="66" t="s">
        <v>906</v>
      </c>
      <c r="C89" s="394"/>
      <c r="D89" s="1063"/>
      <c r="E89" s="12"/>
      <c r="F89" s="1318" t="str">
        <f t="shared" si="4"/>
        <v>-</v>
      </c>
      <c r="G89" s="19"/>
      <c r="H89" s="12"/>
      <c r="I89" s="15"/>
      <c r="K89" s="117">
        <f t="shared" si="3"/>
        <v>0</v>
      </c>
    </row>
    <row r="90" spans="1:11" s="13" customFormat="1">
      <c r="A90" s="86" t="s">
        <v>233</v>
      </c>
      <c r="B90" s="66" t="s">
        <v>246</v>
      </c>
      <c r="C90" s="394"/>
      <c r="D90" s="1063"/>
      <c r="E90" s="12"/>
      <c r="F90" s="1318" t="str">
        <f t="shared" si="4"/>
        <v>-</v>
      </c>
      <c r="G90" s="19"/>
      <c r="H90" s="12"/>
      <c r="I90" s="15"/>
      <c r="K90" s="117">
        <f t="shared" si="3"/>
        <v>0</v>
      </c>
    </row>
    <row r="91" spans="1:11" s="13" customFormat="1">
      <c r="A91" s="86" t="s">
        <v>234</v>
      </c>
      <c r="B91" s="66" t="s">
        <v>247</v>
      </c>
      <c r="C91" s="394"/>
      <c r="D91" s="1063"/>
      <c r="E91" s="12"/>
      <c r="F91" s="1318" t="str">
        <f t="shared" si="4"/>
        <v>-</v>
      </c>
      <c r="G91" s="19"/>
      <c r="H91" s="12"/>
      <c r="I91" s="15"/>
      <c r="K91" s="117">
        <f t="shared" si="3"/>
        <v>0</v>
      </c>
    </row>
    <row r="92" spans="1:11" s="13" customFormat="1">
      <c r="A92" s="86" t="s">
        <v>235</v>
      </c>
      <c r="B92" s="66" t="s">
        <v>248</v>
      </c>
      <c r="C92" s="394"/>
      <c r="D92" s="1063"/>
      <c r="E92" s="12"/>
      <c r="F92" s="1318" t="str">
        <f t="shared" si="4"/>
        <v>-</v>
      </c>
      <c r="G92" s="19"/>
      <c r="H92" s="12"/>
      <c r="I92" s="15"/>
      <c r="K92" s="117">
        <f t="shared" si="3"/>
        <v>0</v>
      </c>
    </row>
    <row r="93" spans="1:11" s="13" customFormat="1">
      <c r="A93" s="86" t="s">
        <v>236</v>
      </c>
      <c r="B93" s="66" t="s">
        <v>249</v>
      </c>
      <c r="C93" s="394"/>
      <c r="D93" s="1063"/>
      <c r="E93" s="12"/>
      <c r="F93" s="1318" t="str">
        <f t="shared" si="4"/>
        <v>-</v>
      </c>
      <c r="G93" s="19"/>
      <c r="H93" s="12"/>
      <c r="I93" s="15"/>
      <c r="K93" s="117">
        <f t="shared" si="3"/>
        <v>0</v>
      </c>
    </row>
    <row r="94" spans="1:11" s="13" customFormat="1">
      <c r="A94" s="108" t="s">
        <v>237</v>
      </c>
      <c r="B94" s="109" t="s">
        <v>250</v>
      </c>
      <c r="C94" s="394">
        <f>+C149-C50+C192-C89-C90-C91-C92-C93-C95-C96-C98-C99-C100</f>
        <v>1000</v>
      </c>
      <c r="D94" s="1063">
        <f>+D149-D50+D192-D89-D90-D91-D92-D93-D95-D96-D98-D99-D100</f>
        <v>0</v>
      </c>
      <c r="E94" s="1063">
        <f>+E149-E50+E192-E89-E90-E91-E92-E93-E95-E96-E98-E99-E100</f>
        <v>0</v>
      </c>
      <c r="F94" s="1297" t="str">
        <f t="shared" si="4"/>
        <v>-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3"/>
        <v>0</v>
      </c>
    </row>
    <row r="95" spans="1:11" s="13" customFormat="1">
      <c r="A95" s="86" t="s">
        <v>238</v>
      </c>
      <c r="B95" s="66" t="s">
        <v>251</v>
      </c>
      <c r="C95" s="394"/>
      <c r="D95" s="1063"/>
      <c r="E95" s="12"/>
      <c r="F95" s="1318" t="str">
        <f t="shared" si="4"/>
        <v>-</v>
      </c>
      <c r="G95" s="19"/>
      <c r="H95" s="12"/>
      <c r="I95" s="15"/>
      <c r="K95" s="13">
        <f t="shared" si="3"/>
        <v>0</v>
      </c>
    </row>
    <row r="96" spans="1:11" s="13" customFormat="1">
      <c r="A96" s="86" t="s">
        <v>239</v>
      </c>
      <c r="B96" s="66" t="s">
        <v>244</v>
      </c>
      <c r="C96" s="394"/>
      <c r="D96" s="1063"/>
      <c r="E96" s="12"/>
      <c r="F96" s="1318" t="str">
        <f t="shared" si="4"/>
        <v>-</v>
      </c>
      <c r="G96" s="19"/>
      <c r="H96" s="12"/>
      <c r="I96" s="15"/>
      <c r="K96" s="13">
        <f t="shared" si="3"/>
        <v>0</v>
      </c>
    </row>
    <row r="97" spans="1:11" s="13" customFormat="1">
      <c r="A97" s="86" t="s">
        <v>913</v>
      </c>
      <c r="B97" s="66" t="s">
        <v>909</v>
      </c>
      <c r="C97" s="394"/>
      <c r="D97" s="1063"/>
      <c r="E97" s="12"/>
      <c r="F97" s="1318" t="str">
        <f t="shared" si="4"/>
        <v>-</v>
      </c>
      <c r="G97" s="19"/>
      <c r="H97" s="12"/>
      <c r="I97" s="15"/>
      <c r="K97" s="13">
        <f t="shared" si="3"/>
        <v>0</v>
      </c>
    </row>
    <row r="98" spans="1:11">
      <c r="A98" s="85" t="s">
        <v>240</v>
      </c>
      <c r="B98" s="67" t="s">
        <v>242</v>
      </c>
      <c r="C98" s="396"/>
      <c r="D98" s="1064"/>
      <c r="E98" s="11"/>
      <c r="F98" s="1318" t="str">
        <f t="shared" si="4"/>
        <v>-</v>
      </c>
      <c r="G98" s="20"/>
      <c r="H98" s="11"/>
      <c r="I98" s="16"/>
      <c r="K98" s="4">
        <f t="shared" si="3"/>
        <v>0</v>
      </c>
    </row>
    <row r="99" spans="1:11">
      <c r="A99" s="78" t="s">
        <v>241</v>
      </c>
      <c r="B99" s="68" t="s">
        <v>243</v>
      </c>
      <c r="C99" s="397"/>
      <c r="D99" s="1065"/>
      <c r="E99" s="22"/>
      <c r="F99" s="1320" t="str">
        <f t="shared" si="4"/>
        <v>-</v>
      </c>
      <c r="G99" s="21"/>
      <c r="H99" s="22"/>
      <c r="I99" s="23"/>
      <c r="K99" s="4">
        <f t="shared" si="3"/>
        <v>0</v>
      </c>
    </row>
    <row r="100" spans="1:11" ht="12.75" thickBot="1">
      <c r="A100" s="78" t="s">
        <v>915</v>
      </c>
      <c r="B100" s="68" t="s">
        <v>911</v>
      </c>
      <c r="C100" s="397"/>
      <c r="D100" s="1065"/>
      <c r="E100" s="22"/>
      <c r="F100" s="1320" t="str">
        <f t="shared" si="4"/>
        <v>-</v>
      </c>
      <c r="G100" s="21"/>
      <c r="H100" s="22"/>
      <c r="I100" s="23"/>
      <c r="K100" s="4">
        <f t="shared" si="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0</v>
      </c>
      <c r="D101" s="1061">
        <f>+D71+D86</f>
        <v>10669</v>
      </c>
      <c r="E101" s="28">
        <f>+E71+E86</f>
        <v>10701</v>
      </c>
      <c r="F101" s="1316">
        <f t="shared" si="4"/>
        <v>1.0029993438935232</v>
      </c>
      <c r="G101" s="27">
        <f>+G71+G86</f>
        <v>0</v>
      </c>
      <c r="H101" s="28">
        <f>+H71+H86</f>
        <v>10701</v>
      </c>
      <c r="I101" s="29">
        <f>+I71+I86</f>
        <v>0</v>
      </c>
      <c r="K101" s="3">
        <f t="shared" si="3"/>
        <v>0</v>
      </c>
    </row>
    <row r="102" spans="1:11" s="3" customFormat="1" ht="12.75" thickBot="1">
      <c r="A102" s="87" t="s">
        <v>40</v>
      </c>
      <c r="B102" s="71" t="s">
        <v>306</v>
      </c>
      <c r="C102" s="392">
        <f>+C70+C101</f>
        <v>20793</v>
      </c>
      <c r="D102" s="1072">
        <f>+D70+D101</f>
        <v>10669</v>
      </c>
      <c r="E102" s="25">
        <f>+E70+E101</f>
        <v>10701</v>
      </c>
      <c r="F102" s="1321">
        <f t="shared" si="4"/>
        <v>1.0029993438935232</v>
      </c>
      <c r="G102" s="24">
        <f>+G70+G101</f>
        <v>0</v>
      </c>
      <c r="H102" s="25">
        <f>+H70+H101</f>
        <v>10701</v>
      </c>
      <c r="I102" s="26">
        <f>+I70+I101</f>
        <v>0</v>
      </c>
      <c r="K102" s="3">
        <f t="shared" si="3"/>
        <v>0</v>
      </c>
    </row>
    <row r="103" spans="1:11" s="3" customFormat="1">
      <c r="A103" s="53"/>
      <c r="B103" s="30"/>
      <c r="C103" s="30"/>
      <c r="D103" s="30"/>
      <c r="E103" s="30"/>
      <c r="F103" s="129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302"/>
      <c r="G104" s="30"/>
      <c r="H104" s="30"/>
      <c r="I104" s="30"/>
    </row>
    <row r="105" spans="1:11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I105" s="1769"/>
    </row>
    <row r="106" spans="1:11" s="36" customFormat="1" ht="12.75" thickBot="1">
      <c r="A106" s="38" t="s">
        <v>278</v>
      </c>
      <c r="F106" s="1290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771" t="s">
        <v>254</v>
      </c>
      <c r="D108" s="1772"/>
      <c r="E108" s="1772"/>
      <c r="F108" s="1772"/>
      <c r="G108" s="1772"/>
      <c r="H108" s="1772"/>
      <c r="I108" s="177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19793</v>
      </c>
      <c r="D109" s="1061">
        <f>+D110+D114+D116+D123+D132</f>
        <v>10669</v>
      </c>
      <c r="E109" s="28">
        <f>+E110+E114+E116+E123+E132</f>
        <v>10669</v>
      </c>
      <c r="F109" s="1294">
        <f t="shared" ref="F109:F172" si="5">IF(ISERROR(E109/D109),"-",E109/D109)</f>
        <v>1</v>
      </c>
      <c r="G109" s="27">
        <f>+G110+G114+G116+G123+G132</f>
        <v>0</v>
      </c>
      <c r="H109" s="28">
        <f>+H110+H114+H116+H123+H132</f>
        <v>10669</v>
      </c>
      <c r="I109" s="29">
        <f>+I110+I114+I116+I123+I132</f>
        <v>0</v>
      </c>
      <c r="K109" s="3">
        <f t="shared" ref="K109:K140" si="6">+E109-G109-H109-I109</f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9352</v>
      </c>
      <c r="D110" s="1061">
        <f>+D112+D113</f>
        <v>7666</v>
      </c>
      <c r="E110" s="28">
        <f>+E112+E113</f>
        <v>7666</v>
      </c>
      <c r="F110" s="1294">
        <f t="shared" si="5"/>
        <v>1</v>
      </c>
      <c r="G110" s="27">
        <f>+G112+G113</f>
        <v>0</v>
      </c>
      <c r="H110" s="28">
        <f>+H112+H113</f>
        <v>7666</v>
      </c>
      <c r="I110" s="29">
        <f>+I112+I113</f>
        <v>0</v>
      </c>
      <c r="K110" s="3">
        <f t="shared" si="6"/>
        <v>0</v>
      </c>
    </row>
    <row r="111" spans="1:11" s="36" customFormat="1">
      <c r="A111" s="752" t="s">
        <v>348</v>
      </c>
      <c r="B111" s="753" t="s">
        <v>349</v>
      </c>
      <c r="C111" s="1073"/>
      <c r="D111" s="1074"/>
      <c r="E111" s="97"/>
      <c r="F111" s="1304" t="str">
        <f t="shared" si="5"/>
        <v>-</v>
      </c>
      <c r="G111" s="96"/>
      <c r="H111" s="97"/>
      <c r="I111" s="98"/>
      <c r="K111" s="36">
        <f t="shared" si="6"/>
        <v>0</v>
      </c>
    </row>
    <row r="112" spans="1:11">
      <c r="A112" s="84" t="s">
        <v>54</v>
      </c>
      <c r="B112" s="65" t="s">
        <v>126</v>
      </c>
      <c r="C112" s="398">
        <v>9352</v>
      </c>
      <c r="D112" s="1062">
        <v>7666</v>
      </c>
      <c r="E112" s="10">
        <v>7666</v>
      </c>
      <c r="F112" s="1295">
        <f t="shared" si="5"/>
        <v>1</v>
      </c>
      <c r="G112" s="34"/>
      <c r="H112" s="10">
        <v>7666</v>
      </c>
      <c r="I112" s="35"/>
      <c r="K112" s="4">
        <f t="shared" si="6"/>
        <v>0</v>
      </c>
    </row>
    <row r="113" spans="1:11" ht="12.75" thickBot="1">
      <c r="A113" s="78" t="s">
        <v>55</v>
      </c>
      <c r="B113" s="68" t="s">
        <v>127</v>
      </c>
      <c r="C113" s="397"/>
      <c r="D113" s="1065"/>
      <c r="E113" s="22"/>
      <c r="F113" s="1298" t="str">
        <f t="shared" si="5"/>
        <v>-</v>
      </c>
      <c r="G113" s="21"/>
      <c r="H113" s="22"/>
      <c r="I113" s="23"/>
      <c r="K113" s="4">
        <f t="shared" si="6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1371</v>
      </c>
      <c r="D114" s="1061">
        <v>1324</v>
      </c>
      <c r="E114" s="28">
        <v>1324</v>
      </c>
      <c r="F114" s="1294">
        <f t="shared" si="5"/>
        <v>1</v>
      </c>
      <c r="G114" s="27"/>
      <c r="H114" s="28">
        <v>1324</v>
      </c>
      <c r="I114" s="29"/>
      <c r="K114" s="3">
        <f t="shared" si="6"/>
        <v>0</v>
      </c>
    </row>
    <row r="115" spans="1:11" s="36" customFormat="1" ht="12.75" thickBot="1">
      <c r="A115" s="752" t="s">
        <v>345</v>
      </c>
      <c r="B115" s="753" t="s">
        <v>346</v>
      </c>
      <c r="C115" s="1073"/>
      <c r="D115" s="1074"/>
      <c r="E115" s="97"/>
      <c r="F115" s="1304" t="str">
        <f t="shared" si="5"/>
        <v>-</v>
      </c>
      <c r="G115" s="96"/>
      <c r="H115" s="97"/>
      <c r="I115" s="98"/>
      <c r="K115" s="36">
        <f t="shared" si="6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1056</v>
      </c>
      <c r="D116" s="1061">
        <f>+D118+D119+D120+D121+D122</f>
        <v>1654</v>
      </c>
      <c r="E116" s="28">
        <f>+E118+E119+E120+E121+E122</f>
        <v>1654</v>
      </c>
      <c r="F116" s="1294">
        <f t="shared" si="5"/>
        <v>1</v>
      </c>
      <c r="G116" s="27">
        <f>+G118+G119+G120+G121+G122</f>
        <v>0</v>
      </c>
      <c r="H116" s="28">
        <f>+H118+H119+H120+H121+H122</f>
        <v>1654</v>
      </c>
      <c r="I116" s="29">
        <f>+I118+I119+I120+I121+I122</f>
        <v>0</v>
      </c>
      <c r="K116" s="3">
        <f t="shared" si="6"/>
        <v>0</v>
      </c>
    </row>
    <row r="117" spans="1:11" s="36" customFormat="1">
      <c r="A117" s="752" t="s">
        <v>340</v>
      </c>
      <c r="B117" s="753" t="s">
        <v>347</v>
      </c>
      <c r="C117" s="1073"/>
      <c r="D117" s="1074"/>
      <c r="E117" s="97"/>
      <c r="F117" s="1304" t="str">
        <f t="shared" si="5"/>
        <v>-</v>
      </c>
      <c r="G117" s="96"/>
      <c r="H117" s="97"/>
      <c r="I117" s="98"/>
      <c r="K117" s="36">
        <f t="shared" si="6"/>
        <v>0</v>
      </c>
    </row>
    <row r="118" spans="1:11">
      <c r="A118" s="84" t="s">
        <v>61</v>
      </c>
      <c r="B118" s="65" t="s">
        <v>128</v>
      </c>
      <c r="C118" s="398">
        <v>374</v>
      </c>
      <c r="D118" s="1062">
        <v>274</v>
      </c>
      <c r="E118" s="10">
        <v>274</v>
      </c>
      <c r="F118" s="1295">
        <f t="shared" si="5"/>
        <v>1</v>
      </c>
      <c r="G118" s="34"/>
      <c r="H118" s="10">
        <v>274</v>
      </c>
      <c r="I118" s="35"/>
      <c r="K118" s="4">
        <f t="shared" si="6"/>
        <v>0</v>
      </c>
    </row>
    <row r="119" spans="1:11">
      <c r="A119" s="85" t="s">
        <v>62</v>
      </c>
      <c r="B119" s="67" t="s">
        <v>129</v>
      </c>
      <c r="C119" s="396">
        <v>142</v>
      </c>
      <c r="D119" s="1064">
        <v>0</v>
      </c>
      <c r="E119" s="11"/>
      <c r="F119" s="1296" t="str">
        <f t="shared" si="5"/>
        <v>-</v>
      </c>
      <c r="G119" s="20"/>
      <c r="H119" s="11"/>
      <c r="I119" s="16"/>
      <c r="K119" s="4">
        <f t="shared" si="6"/>
        <v>0</v>
      </c>
    </row>
    <row r="120" spans="1:11">
      <c r="A120" s="85" t="s">
        <v>63</v>
      </c>
      <c r="B120" s="67" t="s">
        <v>130</v>
      </c>
      <c r="C120" s="396">
        <v>326</v>
      </c>
      <c r="D120" s="1064">
        <v>71</v>
      </c>
      <c r="E120" s="11">
        <v>71</v>
      </c>
      <c r="F120" s="1296">
        <f t="shared" si="5"/>
        <v>1</v>
      </c>
      <c r="G120" s="20"/>
      <c r="H120" s="11">
        <v>71</v>
      </c>
      <c r="I120" s="16"/>
      <c r="K120" s="4">
        <f t="shared" si="6"/>
        <v>0</v>
      </c>
    </row>
    <row r="121" spans="1:11">
      <c r="A121" s="85" t="s">
        <v>64</v>
      </c>
      <c r="B121" s="67" t="s">
        <v>131</v>
      </c>
      <c r="C121" s="396"/>
      <c r="D121" s="1064">
        <v>1235</v>
      </c>
      <c r="E121" s="11">
        <v>1235</v>
      </c>
      <c r="F121" s="1296">
        <f t="shared" si="5"/>
        <v>1</v>
      </c>
      <c r="G121" s="20"/>
      <c r="H121" s="11">
        <v>1235</v>
      </c>
      <c r="I121" s="16"/>
      <c r="K121" s="4">
        <f t="shared" si="6"/>
        <v>0</v>
      </c>
    </row>
    <row r="122" spans="1:11" ht="12.75" thickBot="1">
      <c r="A122" s="78" t="s">
        <v>65</v>
      </c>
      <c r="B122" s="68" t="s">
        <v>132</v>
      </c>
      <c r="C122" s="397">
        <v>214</v>
      </c>
      <c r="D122" s="1065">
        <v>74</v>
      </c>
      <c r="E122" s="22">
        <v>74</v>
      </c>
      <c r="F122" s="1298">
        <f t="shared" si="5"/>
        <v>1</v>
      </c>
      <c r="G122" s="21"/>
      <c r="H122" s="22">
        <v>74</v>
      </c>
      <c r="I122" s="23"/>
      <c r="K122" s="4">
        <f t="shared" si="6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061">
        <f>+D124+D125+D126+D127+D128+D129+D130+D131</f>
        <v>0</v>
      </c>
      <c r="E123" s="28">
        <f>+E124+E125+E126+E127+E128+E129+E130+E131</f>
        <v>0</v>
      </c>
      <c r="F123" s="1294" t="str">
        <f t="shared" si="5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6"/>
        <v>0</v>
      </c>
    </row>
    <row r="124" spans="1:11">
      <c r="A124" s="84" t="s">
        <v>226</v>
      </c>
      <c r="B124" s="65" t="s">
        <v>133</v>
      </c>
      <c r="C124" s="398"/>
      <c r="D124" s="1062"/>
      <c r="E124" s="10"/>
      <c r="F124" s="1295" t="str">
        <f t="shared" si="5"/>
        <v>-</v>
      </c>
      <c r="G124" s="34"/>
      <c r="H124" s="10"/>
      <c r="I124" s="35"/>
      <c r="K124" s="4">
        <f t="shared" si="6"/>
        <v>0</v>
      </c>
    </row>
    <row r="125" spans="1:11">
      <c r="A125" s="85" t="s">
        <v>227</v>
      </c>
      <c r="B125" s="67" t="s">
        <v>134</v>
      </c>
      <c r="C125" s="396"/>
      <c r="D125" s="1064"/>
      <c r="E125" s="11"/>
      <c r="F125" s="1296" t="str">
        <f t="shared" si="5"/>
        <v>-</v>
      </c>
      <c r="G125" s="20"/>
      <c r="H125" s="11"/>
      <c r="I125" s="16"/>
      <c r="K125" s="4">
        <f t="shared" si="6"/>
        <v>0</v>
      </c>
    </row>
    <row r="126" spans="1:11">
      <c r="A126" s="85" t="s">
        <v>228</v>
      </c>
      <c r="B126" s="67" t="s">
        <v>135</v>
      </c>
      <c r="C126" s="396"/>
      <c r="D126" s="1064"/>
      <c r="E126" s="11"/>
      <c r="F126" s="1296" t="str">
        <f t="shared" si="5"/>
        <v>-</v>
      </c>
      <c r="G126" s="20"/>
      <c r="H126" s="11"/>
      <c r="I126" s="16"/>
      <c r="K126" s="4">
        <f t="shared" si="6"/>
        <v>0</v>
      </c>
    </row>
    <row r="127" spans="1:11">
      <c r="A127" s="85" t="s">
        <v>256</v>
      </c>
      <c r="B127" s="67" t="s">
        <v>136</v>
      </c>
      <c r="C127" s="396"/>
      <c r="D127" s="1064"/>
      <c r="E127" s="11"/>
      <c r="F127" s="1296" t="str">
        <f t="shared" si="5"/>
        <v>-</v>
      </c>
      <c r="G127" s="20"/>
      <c r="H127" s="11"/>
      <c r="I127" s="16"/>
      <c r="K127" s="4">
        <f t="shared" si="6"/>
        <v>0</v>
      </c>
    </row>
    <row r="128" spans="1:11">
      <c r="A128" s="85" t="s">
        <v>257</v>
      </c>
      <c r="B128" s="67" t="s">
        <v>137</v>
      </c>
      <c r="C128" s="396"/>
      <c r="D128" s="1064"/>
      <c r="E128" s="11"/>
      <c r="F128" s="1296" t="str">
        <f t="shared" si="5"/>
        <v>-</v>
      </c>
      <c r="G128" s="20"/>
      <c r="H128" s="11"/>
      <c r="I128" s="16"/>
      <c r="K128" s="4">
        <f t="shared" si="6"/>
        <v>0</v>
      </c>
    </row>
    <row r="129" spans="1:11">
      <c r="A129" s="85" t="s">
        <v>258</v>
      </c>
      <c r="B129" s="67" t="s">
        <v>138</v>
      </c>
      <c r="C129" s="396"/>
      <c r="D129" s="1064"/>
      <c r="E129" s="11"/>
      <c r="F129" s="1296" t="str">
        <f t="shared" si="5"/>
        <v>-</v>
      </c>
      <c r="G129" s="20"/>
      <c r="H129" s="11"/>
      <c r="I129" s="16"/>
      <c r="K129" s="4">
        <f t="shared" si="6"/>
        <v>0</v>
      </c>
    </row>
    <row r="130" spans="1:11">
      <c r="A130" s="85" t="s">
        <v>259</v>
      </c>
      <c r="B130" s="67" t="s">
        <v>139</v>
      </c>
      <c r="C130" s="396"/>
      <c r="D130" s="1064"/>
      <c r="E130" s="11"/>
      <c r="F130" s="1296" t="str">
        <f t="shared" si="5"/>
        <v>-</v>
      </c>
      <c r="G130" s="20"/>
      <c r="H130" s="11"/>
      <c r="I130" s="16"/>
      <c r="K130" s="4">
        <f t="shared" si="6"/>
        <v>0</v>
      </c>
    </row>
    <row r="131" spans="1:11" ht="12.75" thickBot="1">
      <c r="A131" s="78" t="s">
        <v>260</v>
      </c>
      <c r="B131" s="68" t="s">
        <v>140</v>
      </c>
      <c r="C131" s="397"/>
      <c r="D131" s="1065"/>
      <c r="E131" s="22"/>
      <c r="F131" s="1298" t="str">
        <f t="shared" si="5"/>
        <v>-</v>
      </c>
      <c r="G131" s="21"/>
      <c r="H131" s="22"/>
      <c r="I131" s="23"/>
      <c r="K131" s="4">
        <f t="shared" si="6"/>
        <v>0</v>
      </c>
    </row>
    <row r="132" spans="1:11" s="3" customFormat="1" ht="12.75" thickBot="1">
      <c r="A132" s="83" t="s">
        <v>15</v>
      </c>
      <c r="B132" s="64" t="s">
        <v>919</v>
      </c>
      <c r="C132" s="129">
        <f>+C133+C134+C135+C136+C137+C138+C140+C141+C142+C143+C144+C145+C146</f>
        <v>8014</v>
      </c>
      <c r="D132" s="1061">
        <f>+D133+D134+D135+D136+D137+D138+D140+D141+D142+D143+D144+D145+D146</f>
        <v>25</v>
      </c>
      <c r="E132" s="28">
        <f>+E133+E134+E135+E136+E137+E138+E140+E141+E142+E143+E144+E145+E146</f>
        <v>25</v>
      </c>
      <c r="F132" s="1294">
        <f t="shared" si="5"/>
        <v>1</v>
      </c>
      <c r="G132" s="27">
        <f>+G133+G134+G135+G136+G137+G138+G140+G141+G142+G143+G144+G145+G146</f>
        <v>0</v>
      </c>
      <c r="H132" s="28">
        <f>+H133+H134+H135+H136+H137+H138+H140+H141+H142+H143+H144+H145+H146</f>
        <v>25</v>
      </c>
      <c r="I132" s="29">
        <f>+I133+I134+I135+I136+I137+I138+I140+I141+I142+I143+I144+I145+I146</f>
        <v>0</v>
      </c>
      <c r="K132" s="3">
        <f t="shared" si="6"/>
        <v>0</v>
      </c>
    </row>
    <row r="133" spans="1:11">
      <c r="A133" s="84" t="s">
        <v>87</v>
      </c>
      <c r="B133" s="65" t="s">
        <v>141</v>
      </c>
      <c r="C133" s="398"/>
      <c r="D133" s="1062"/>
      <c r="E133" s="10"/>
      <c r="F133" s="1295" t="str">
        <f t="shared" si="5"/>
        <v>-</v>
      </c>
      <c r="G133" s="34"/>
      <c r="H133" s="10"/>
      <c r="I133" s="35"/>
      <c r="K133" s="4">
        <f t="shared" si="6"/>
        <v>0</v>
      </c>
    </row>
    <row r="134" spans="1:11">
      <c r="A134" s="85" t="s">
        <v>88</v>
      </c>
      <c r="B134" s="67" t="s">
        <v>142</v>
      </c>
      <c r="C134" s="396">
        <v>8014</v>
      </c>
      <c r="D134" s="1064">
        <v>25</v>
      </c>
      <c r="E134" s="11">
        <v>25</v>
      </c>
      <c r="F134" s="1296">
        <f t="shared" si="5"/>
        <v>1</v>
      </c>
      <c r="G134" s="20"/>
      <c r="H134" s="11">
        <v>25</v>
      </c>
      <c r="I134" s="16"/>
      <c r="K134" s="4">
        <f t="shared" si="6"/>
        <v>0</v>
      </c>
    </row>
    <row r="135" spans="1:11">
      <c r="A135" s="85" t="s">
        <v>181</v>
      </c>
      <c r="B135" s="67" t="s">
        <v>143</v>
      </c>
      <c r="C135" s="396"/>
      <c r="D135" s="1064"/>
      <c r="E135" s="11"/>
      <c r="F135" s="1296" t="str">
        <f t="shared" si="5"/>
        <v>-</v>
      </c>
      <c r="G135" s="20"/>
      <c r="H135" s="11"/>
      <c r="I135" s="16"/>
      <c r="K135" s="4">
        <f t="shared" si="6"/>
        <v>0</v>
      </c>
    </row>
    <row r="136" spans="1:11">
      <c r="A136" s="85" t="s">
        <v>182</v>
      </c>
      <c r="B136" s="67" t="s">
        <v>144</v>
      </c>
      <c r="C136" s="396"/>
      <c r="D136" s="1064"/>
      <c r="E136" s="11"/>
      <c r="F136" s="1296" t="str">
        <f t="shared" si="5"/>
        <v>-</v>
      </c>
      <c r="G136" s="20"/>
      <c r="H136" s="11"/>
      <c r="I136" s="16"/>
      <c r="K136" s="4">
        <f t="shared" si="6"/>
        <v>0</v>
      </c>
    </row>
    <row r="137" spans="1:11">
      <c r="A137" s="85" t="s">
        <v>183</v>
      </c>
      <c r="B137" s="67" t="s">
        <v>145</v>
      </c>
      <c r="C137" s="396"/>
      <c r="D137" s="1064"/>
      <c r="E137" s="11"/>
      <c r="F137" s="1296" t="str">
        <f t="shared" si="5"/>
        <v>-</v>
      </c>
      <c r="G137" s="20"/>
      <c r="H137" s="11"/>
      <c r="I137" s="16"/>
      <c r="K137" s="4">
        <f t="shared" si="6"/>
        <v>0</v>
      </c>
    </row>
    <row r="138" spans="1:11">
      <c r="A138" s="85" t="s">
        <v>261</v>
      </c>
      <c r="B138" s="67" t="s">
        <v>146</v>
      </c>
      <c r="C138" s="396"/>
      <c r="D138" s="1064"/>
      <c r="E138" s="11"/>
      <c r="F138" s="1296" t="str">
        <f t="shared" si="5"/>
        <v>-</v>
      </c>
      <c r="G138" s="20"/>
      <c r="H138" s="11"/>
      <c r="I138" s="16"/>
      <c r="K138" s="4">
        <f t="shared" si="6"/>
        <v>0</v>
      </c>
    </row>
    <row r="139" spans="1:11" s="13" customFormat="1">
      <c r="A139" s="89" t="s">
        <v>335</v>
      </c>
      <c r="B139" s="751" t="s">
        <v>925</v>
      </c>
      <c r="C139" s="395"/>
      <c r="D139" s="1066"/>
      <c r="E139" s="43"/>
      <c r="F139" s="1298" t="str">
        <f t="shared" si="5"/>
        <v>-</v>
      </c>
      <c r="G139" s="45"/>
      <c r="H139" s="43"/>
      <c r="I139" s="44"/>
      <c r="K139" s="13">
        <f t="shared" si="6"/>
        <v>0</v>
      </c>
    </row>
    <row r="140" spans="1:11">
      <c r="A140" s="85" t="s">
        <v>262</v>
      </c>
      <c r="B140" s="67" t="s">
        <v>147</v>
      </c>
      <c r="C140" s="396"/>
      <c r="D140" s="1064"/>
      <c r="E140" s="11"/>
      <c r="F140" s="1296" t="str">
        <f t="shared" si="5"/>
        <v>-</v>
      </c>
      <c r="G140" s="20"/>
      <c r="H140" s="11"/>
      <c r="I140" s="16"/>
      <c r="K140" s="4">
        <f t="shared" si="6"/>
        <v>0</v>
      </c>
    </row>
    <row r="141" spans="1:11">
      <c r="A141" s="85" t="s">
        <v>263</v>
      </c>
      <c r="B141" s="67" t="s">
        <v>148</v>
      </c>
      <c r="C141" s="396"/>
      <c r="D141" s="1064"/>
      <c r="E141" s="11"/>
      <c r="F141" s="1296" t="str">
        <f t="shared" si="5"/>
        <v>-</v>
      </c>
      <c r="G141" s="20"/>
      <c r="H141" s="11"/>
      <c r="I141" s="16"/>
      <c r="K141" s="4">
        <f t="shared" ref="K141:K172" si="7">+E141-G141-H141-I141</f>
        <v>0</v>
      </c>
    </row>
    <row r="142" spans="1:11">
      <c r="A142" s="85" t="s">
        <v>264</v>
      </c>
      <c r="B142" s="67" t="s">
        <v>149</v>
      </c>
      <c r="C142" s="396"/>
      <c r="D142" s="1064"/>
      <c r="E142" s="11"/>
      <c r="F142" s="1296" t="str">
        <f t="shared" si="5"/>
        <v>-</v>
      </c>
      <c r="G142" s="20"/>
      <c r="H142" s="11"/>
      <c r="I142" s="16"/>
      <c r="K142" s="4">
        <f t="shared" si="7"/>
        <v>0</v>
      </c>
    </row>
    <row r="143" spans="1:11">
      <c r="A143" s="85" t="s">
        <v>265</v>
      </c>
      <c r="B143" s="67" t="s">
        <v>150</v>
      </c>
      <c r="C143" s="396"/>
      <c r="D143" s="1064"/>
      <c r="E143" s="11"/>
      <c r="F143" s="1296" t="str">
        <f t="shared" si="5"/>
        <v>-</v>
      </c>
      <c r="G143" s="20"/>
      <c r="H143" s="11"/>
      <c r="I143" s="16"/>
      <c r="K143" s="4">
        <f t="shared" si="7"/>
        <v>0</v>
      </c>
    </row>
    <row r="144" spans="1:11">
      <c r="A144" s="85" t="s">
        <v>266</v>
      </c>
      <c r="B144" s="67" t="s">
        <v>920</v>
      </c>
      <c r="C144" s="396"/>
      <c r="D144" s="1064"/>
      <c r="E144" s="11"/>
      <c r="F144" s="1296" t="str">
        <f t="shared" si="5"/>
        <v>-</v>
      </c>
      <c r="G144" s="20"/>
      <c r="H144" s="11"/>
      <c r="I144" s="16"/>
      <c r="K144" s="4">
        <f t="shared" si="7"/>
        <v>0</v>
      </c>
    </row>
    <row r="145" spans="1:11">
      <c r="A145" s="85" t="s">
        <v>267</v>
      </c>
      <c r="B145" s="67" t="s">
        <v>921</v>
      </c>
      <c r="C145" s="396"/>
      <c r="D145" s="1064"/>
      <c r="E145" s="11"/>
      <c r="F145" s="1296" t="str">
        <f t="shared" si="5"/>
        <v>-</v>
      </c>
      <c r="G145" s="20"/>
      <c r="H145" s="11"/>
      <c r="I145" s="16"/>
      <c r="K145" s="4">
        <f t="shared" si="7"/>
        <v>0</v>
      </c>
    </row>
    <row r="146" spans="1:11">
      <c r="A146" s="78" t="s">
        <v>916</v>
      </c>
      <c r="B146" s="68" t="s">
        <v>922</v>
      </c>
      <c r="C146" s="397">
        <f>+C147+C148</f>
        <v>0</v>
      </c>
      <c r="D146" s="1065">
        <f>+D147+D148</f>
        <v>0</v>
      </c>
      <c r="E146" s="22">
        <f>+E147+E148</f>
        <v>0</v>
      </c>
      <c r="F146" s="1298" t="str">
        <f t="shared" si="5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7"/>
        <v>0</v>
      </c>
    </row>
    <row r="147" spans="1:11" s="13" customFormat="1">
      <c r="A147" s="89" t="s">
        <v>917</v>
      </c>
      <c r="B147" s="74" t="s">
        <v>923</v>
      </c>
      <c r="C147" s="395"/>
      <c r="D147" s="1066"/>
      <c r="E147" s="43"/>
      <c r="F147" s="1298" t="str">
        <f t="shared" si="5"/>
        <v>-</v>
      </c>
      <c r="G147" s="45"/>
      <c r="H147" s="43"/>
      <c r="I147" s="44"/>
      <c r="K147" s="13">
        <f t="shared" si="7"/>
        <v>0</v>
      </c>
    </row>
    <row r="148" spans="1:11" s="13" customFormat="1" ht="12.75" thickBot="1">
      <c r="A148" s="89" t="s">
        <v>918</v>
      </c>
      <c r="B148" s="74" t="s">
        <v>924</v>
      </c>
      <c r="C148" s="395"/>
      <c r="D148" s="1066"/>
      <c r="E148" s="43"/>
      <c r="F148" s="1298" t="str">
        <f t="shared" si="5"/>
        <v>-</v>
      </c>
      <c r="G148" s="45"/>
      <c r="H148" s="43"/>
      <c r="I148" s="44"/>
      <c r="K148" s="13">
        <f t="shared" si="7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1000</v>
      </c>
      <c r="D149" s="1061">
        <f>+D150+D159+D165</f>
        <v>0</v>
      </c>
      <c r="E149" s="28">
        <f>+E150+E159+E165</f>
        <v>0</v>
      </c>
      <c r="F149" s="1294" t="str">
        <f t="shared" si="5"/>
        <v>-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7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1000</v>
      </c>
      <c r="D150" s="1061">
        <f>+D152+D153+D154+D155+D156+D157+D158</f>
        <v>0</v>
      </c>
      <c r="E150" s="28">
        <f>+E152+E153+E154+E155+E156+E157+E158</f>
        <v>0</v>
      </c>
      <c r="F150" s="1294" t="str">
        <f t="shared" si="5"/>
        <v>-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7"/>
        <v>0</v>
      </c>
    </row>
    <row r="151" spans="1:11" s="36" customFormat="1">
      <c r="A151" s="752" t="s">
        <v>926</v>
      </c>
      <c r="B151" s="753" t="s">
        <v>341</v>
      </c>
      <c r="C151" s="1073"/>
      <c r="D151" s="1074"/>
      <c r="E151" s="97"/>
      <c r="F151" s="1304" t="str">
        <f t="shared" si="5"/>
        <v>-</v>
      </c>
      <c r="G151" s="96"/>
      <c r="H151" s="97"/>
      <c r="I151" s="98"/>
      <c r="K151" s="36">
        <f t="shared" si="7"/>
        <v>0</v>
      </c>
    </row>
    <row r="152" spans="1:11">
      <c r="A152" s="84" t="s">
        <v>66</v>
      </c>
      <c r="B152" s="65" t="s">
        <v>151</v>
      </c>
      <c r="C152" s="398"/>
      <c r="D152" s="1062"/>
      <c r="E152" s="10"/>
      <c r="F152" s="1295" t="str">
        <f t="shared" si="5"/>
        <v>-</v>
      </c>
      <c r="G152" s="34"/>
      <c r="H152" s="10"/>
      <c r="I152" s="35"/>
      <c r="K152" s="4">
        <f t="shared" si="7"/>
        <v>0</v>
      </c>
    </row>
    <row r="153" spans="1:11">
      <c r="A153" s="85" t="s">
        <v>67</v>
      </c>
      <c r="B153" s="67" t="s">
        <v>152</v>
      </c>
      <c r="C153" s="396"/>
      <c r="D153" s="1064"/>
      <c r="E153" s="11"/>
      <c r="F153" s="1296" t="str">
        <f t="shared" si="5"/>
        <v>-</v>
      </c>
      <c r="G153" s="20"/>
      <c r="H153" s="11"/>
      <c r="I153" s="16"/>
      <c r="K153" s="4">
        <f t="shared" si="7"/>
        <v>0</v>
      </c>
    </row>
    <row r="154" spans="1:11">
      <c r="A154" s="85" t="s">
        <v>68</v>
      </c>
      <c r="B154" s="67" t="s">
        <v>153</v>
      </c>
      <c r="C154" s="396"/>
      <c r="D154" s="1064"/>
      <c r="E154" s="11"/>
      <c r="F154" s="1296" t="str">
        <f t="shared" si="5"/>
        <v>-</v>
      </c>
      <c r="G154" s="20"/>
      <c r="H154" s="11"/>
      <c r="I154" s="16"/>
      <c r="K154" s="4">
        <f t="shared" si="7"/>
        <v>0</v>
      </c>
    </row>
    <row r="155" spans="1:11">
      <c r="A155" s="85" t="s">
        <v>229</v>
      </c>
      <c r="B155" s="67" t="s">
        <v>154</v>
      </c>
      <c r="C155" s="396">
        <v>787</v>
      </c>
      <c r="D155" s="1064">
        <v>0</v>
      </c>
      <c r="E155" s="11"/>
      <c r="F155" s="1296" t="str">
        <f t="shared" si="5"/>
        <v>-</v>
      </c>
      <c r="G155" s="20"/>
      <c r="H155" s="11">
        <f>787-787</f>
        <v>0</v>
      </c>
      <c r="I155" s="16"/>
      <c r="K155" s="4">
        <f t="shared" si="7"/>
        <v>0</v>
      </c>
    </row>
    <row r="156" spans="1:11">
      <c r="A156" s="85" t="s">
        <v>230</v>
      </c>
      <c r="B156" s="67" t="s">
        <v>155</v>
      </c>
      <c r="C156" s="396"/>
      <c r="D156" s="1064"/>
      <c r="E156" s="11"/>
      <c r="F156" s="1296" t="str">
        <f t="shared" si="5"/>
        <v>-</v>
      </c>
      <c r="G156" s="20"/>
      <c r="H156" s="11"/>
      <c r="I156" s="16"/>
      <c r="K156" s="4">
        <f t="shared" si="7"/>
        <v>0</v>
      </c>
    </row>
    <row r="157" spans="1:11">
      <c r="A157" s="85" t="s">
        <v>268</v>
      </c>
      <c r="B157" s="67" t="s">
        <v>156</v>
      </c>
      <c r="C157" s="396"/>
      <c r="D157" s="1064"/>
      <c r="E157" s="11"/>
      <c r="F157" s="1296" t="str">
        <f t="shared" si="5"/>
        <v>-</v>
      </c>
      <c r="G157" s="20"/>
      <c r="H157" s="11"/>
      <c r="I157" s="16"/>
      <c r="K157" s="4">
        <f t="shared" si="7"/>
        <v>0</v>
      </c>
    </row>
    <row r="158" spans="1:11" ht="12.75" thickBot="1">
      <c r="A158" s="78" t="s">
        <v>269</v>
      </c>
      <c r="B158" s="68" t="s">
        <v>157</v>
      </c>
      <c r="C158" s="397">
        <v>213</v>
      </c>
      <c r="D158" s="1065">
        <v>0</v>
      </c>
      <c r="E158" s="22"/>
      <c r="F158" s="1298" t="str">
        <f t="shared" si="5"/>
        <v>-</v>
      </c>
      <c r="G158" s="21"/>
      <c r="H158" s="22">
        <f>213-213</f>
        <v>0</v>
      </c>
      <c r="I158" s="23"/>
      <c r="K158" s="4">
        <f t="shared" si="7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061">
        <f>+D161+D162+D163+D164</f>
        <v>0</v>
      </c>
      <c r="E159" s="28">
        <f>+E161+E162+E163+E164</f>
        <v>0</v>
      </c>
      <c r="F159" s="1294" t="str">
        <f t="shared" si="5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7"/>
        <v>0</v>
      </c>
    </row>
    <row r="160" spans="1:11" s="36" customFormat="1">
      <c r="A160" s="752" t="s">
        <v>343</v>
      </c>
      <c r="B160" s="753" t="s">
        <v>344</v>
      </c>
      <c r="C160" s="1073"/>
      <c r="D160" s="1074"/>
      <c r="E160" s="97"/>
      <c r="F160" s="1304" t="str">
        <f t="shared" si="5"/>
        <v>-</v>
      </c>
      <c r="G160" s="96"/>
      <c r="H160" s="97"/>
      <c r="I160" s="98"/>
      <c r="K160" s="36">
        <f t="shared" si="7"/>
        <v>0</v>
      </c>
    </row>
    <row r="161" spans="1:11">
      <c r="A161" s="84" t="s">
        <v>69</v>
      </c>
      <c r="B161" s="65" t="s">
        <v>158</v>
      </c>
      <c r="C161" s="398"/>
      <c r="D161" s="1062"/>
      <c r="E161" s="10"/>
      <c r="F161" s="1295" t="str">
        <f t="shared" si="5"/>
        <v>-</v>
      </c>
      <c r="G161" s="34"/>
      <c r="H161" s="10"/>
      <c r="I161" s="35"/>
      <c r="K161" s="4">
        <f t="shared" si="7"/>
        <v>0</v>
      </c>
    </row>
    <row r="162" spans="1:11">
      <c r="A162" s="85" t="s">
        <v>70</v>
      </c>
      <c r="B162" s="67" t="s">
        <v>159</v>
      </c>
      <c r="C162" s="396"/>
      <c r="D162" s="1064"/>
      <c r="E162" s="11"/>
      <c r="F162" s="1296" t="str">
        <f t="shared" si="5"/>
        <v>-</v>
      </c>
      <c r="G162" s="20"/>
      <c r="H162" s="11"/>
      <c r="I162" s="16"/>
      <c r="K162" s="4">
        <f t="shared" si="7"/>
        <v>0</v>
      </c>
    </row>
    <row r="163" spans="1:11">
      <c r="A163" s="85" t="s">
        <v>71</v>
      </c>
      <c r="B163" s="67" t="s">
        <v>160</v>
      </c>
      <c r="C163" s="396"/>
      <c r="D163" s="1064"/>
      <c r="E163" s="11"/>
      <c r="F163" s="1296" t="str">
        <f t="shared" si="5"/>
        <v>-</v>
      </c>
      <c r="G163" s="20"/>
      <c r="H163" s="11"/>
      <c r="I163" s="16"/>
      <c r="K163" s="4">
        <f t="shared" si="7"/>
        <v>0</v>
      </c>
    </row>
    <row r="164" spans="1:11" ht="12.75" thickBot="1">
      <c r="A164" s="78" t="s">
        <v>72</v>
      </c>
      <c r="B164" s="68" t="s">
        <v>161</v>
      </c>
      <c r="C164" s="397"/>
      <c r="D164" s="1065"/>
      <c r="E164" s="22"/>
      <c r="F164" s="1298" t="str">
        <f t="shared" si="5"/>
        <v>-</v>
      </c>
      <c r="G164" s="21"/>
      <c r="H164" s="22"/>
      <c r="I164" s="23"/>
      <c r="K164" s="4">
        <f t="shared" si="7"/>
        <v>0</v>
      </c>
    </row>
    <row r="165" spans="1:11" s="3" customFormat="1" ht="12.75" thickBot="1">
      <c r="A165" s="83" t="s">
        <v>11</v>
      </c>
      <c r="B165" s="64" t="s">
        <v>928</v>
      </c>
      <c r="C165" s="129">
        <f>+C166+C167+C168+C169+C171+C172+C173+C174+C175</f>
        <v>0</v>
      </c>
      <c r="D165" s="1061">
        <f>+D166+D167+D168+D169+D171+D172+D173+D174+D175</f>
        <v>0</v>
      </c>
      <c r="E165" s="28">
        <f>+E166+E167+E168+E169+E171+E172+E173+E174+E175</f>
        <v>0</v>
      </c>
      <c r="F165" s="1294" t="str">
        <f t="shared" si="5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7"/>
        <v>0</v>
      </c>
    </row>
    <row r="166" spans="1:11">
      <c r="A166" s="84" t="s">
        <v>270</v>
      </c>
      <c r="B166" s="65" t="s">
        <v>162</v>
      </c>
      <c r="C166" s="398"/>
      <c r="D166" s="1062"/>
      <c r="E166" s="10"/>
      <c r="F166" s="1295" t="str">
        <f t="shared" si="5"/>
        <v>-</v>
      </c>
      <c r="G166" s="34"/>
      <c r="H166" s="10"/>
      <c r="I166" s="35"/>
      <c r="K166" s="4">
        <f t="shared" si="7"/>
        <v>0</v>
      </c>
    </row>
    <row r="167" spans="1:11">
      <c r="A167" s="85" t="s">
        <v>271</v>
      </c>
      <c r="B167" s="67" t="s">
        <v>163</v>
      </c>
      <c r="C167" s="396"/>
      <c r="D167" s="1064"/>
      <c r="E167" s="11"/>
      <c r="F167" s="1296" t="str">
        <f t="shared" si="5"/>
        <v>-</v>
      </c>
      <c r="G167" s="20"/>
      <c r="H167" s="11"/>
      <c r="I167" s="16"/>
      <c r="K167" s="4">
        <f t="shared" si="7"/>
        <v>0</v>
      </c>
    </row>
    <row r="168" spans="1:11">
      <c r="A168" s="85" t="s">
        <v>272</v>
      </c>
      <c r="B168" s="67" t="s">
        <v>164</v>
      </c>
      <c r="C168" s="396"/>
      <c r="D168" s="1064"/>
      <c r="E168" s="11"/>
      <c r="F168" s="1296" t="str">
        <f t="shared" si="5"/>
        <v>-</v>
      </c>
      <c r="G168" s="20"/>
      <c r="H168" s="11"/>
      <c r="I168" s="16"/>
      <c r="K168" s="4">
        <f t="shared" si="7"/>
        <v>0</v>
      </c>
    </row>
    <row r="169" spans="1:11">
      <c r="A169" s="85" t="s">
        <v>273</v>
      </c>
      <c r="B169" s="67" t="s">
        <v>165</v>
      </c>
      <c r="C169" s="396"/>
      <c r="D169" s="1064"/>
      <c r="E169" s="11"/>
      <c r="F169" s="1296" t="str">
        <f t="shared" si="5"/>
        <v>-</v>
      </c>
      <c r="G169" s="20"/>
      <c r="H169" s="11"/>
      <c r="I169" s="16"/>
      <c r="K169" s="4">
        <f t="shared" si="7"/>
        <v>0</v>
      </c>
    </row>
    <row r="170" spans="1:11" s="13" customFormat="1">
      <c r="A170" s="89" t="s">
        <v>338</v>
      </c>
      <c r="B170" s="751" t="s">
        <v>339</v>
      </c>
      <c r="C170" s="395"/>
      <c r="D170" s="1066"/>
      <c r="E170" s="43"/>
      <c r="F170" s="1298" t="str">
        <f t="shared" si="5"/>
        <v>-</v>
      </c>
      <c r="G170" s="45"/>
      <c r="H170" s="43"/>
      <c r="I170" s="44"/>
      <c r="K170" s="13">
        <f t="shared" si="7"/>
        <v>0</v>
      </c>
    </row>
    <row r="171" spans="1:11">
      <c r="A171" s="85" t="s">
        <v>274</v>
      </c>
      <c r="B171" s="67" t="s">
        <v>166</v>
      </c>
      <c r="C171" s="396"/>
      <c r="D171" s="1064"/>
      <c r="E171" s="11"/>
      <c r="F171" s="1296" t="str">
        <f t="shared" si="5"/>
        <v>-</v>
      </c>
      <c r="G171" s="20"/>
      <c r="H171" s="11"/>
      <c r="I171" s="16"/>
      <c r="K171" s="4">
        <f t="shared" si="7"/>
        <v>0</v>
      </c>
    </row>
    <row r="172" spans="1:11">
      <c r="A172" s="85" t="s">
        <v>275</v>
      </c>
      <c r="B172" s="67" t="s">
        <v>167</v>
      </c>
      <c r="C172" s="396"/>
      <c r="D172" s="1064"/>
      <c r="E172" s="11"/>
      <c r="F172" s="1296" t="str">
        <f t="shared" si="5"/>
        <v>-</v>
      </c>
      <c r="G172" s="20"/>
      <c r="H172" s="11"/>
      <c r="I172" s="16"/>
      <c r="K172" s="4">
        <f t="shared" si="7"/>
        <v>0</v>
      </c>
    </row>
    <row r="173" spans="1:11">
      <c r="A173" s="85" t="s">
        <v>276</v>
      </c>
      <c r="B173" s="67" t="s">
        <v>168</v>
      </c>
      <c r="C173" s="396"/>
      <c r="D173" s="1064"/>
      <c r="E173" s="11"/>
      <c r="F173" s="1296" t="str">
        <f t="shared" ref="F173:F208" si="8">IF(ISERROR(E173/D173),"-",E173/D173)</f>
        <v>-</v>
      </c>
      <c r="G173" s="20"/>
      <c r="H173" s="11"/>
      <c r="I173" s="16"/>
      <c r="K173" s="4">
        <f t="shared" ref="K173:K208" si="9">+E173-G173-H173-I173</f>
        <v>0</v>
      </c>
    </row>
    <row r="174" spans="1:11">
      <c r="A174" s="85" t="s">
        <v>277</v>
      </c>
      <c r="B174" s="67" t="s">
        <v>929</v>
      </c>
      <c r="C174" s="396"/>
      <c r="D174" s="1064"/>
      <c r="E174" s="11"/>
      <c r="F174" s="1296" t="str">
        <f t="shared" si="8"/>
        <v>-</v>
      </c>
      <c r="G174" s="20"/>
      <c r="H174" s="11"/>
      <c r="I174" s="16"/>
      <c r="K174" s="4">
        <f t="shared" si="9"/>
        <v>0</v>
      </c>
    </row>
    <row r="175" spans="1:11" ht="12.75" thickBot="1">
      <c r="A175" s="78" t="s">
        <v>927</v>
      </c>
      <c r="B175" s="68" t="s">
        <v>930</v>
      </c>
      <c r="C175" s="397"/>
      <c r="D175" s="1065"/>
      <c r="E175" s="22"/>
      <c r="F175" s="1298" t="str">
        <f t="shared" si="8"/>
        <v>-</v>
      </c>
      <c r="G175" s="21"/>
      <c r="H175" s="22"/>
      <c r="I175" s="23"/>
      <c r="K175" s="4">
        <f t="shared" si="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20793</v>
      </c>
      <c r="D176" s="1061">
        <f>+D109+D149</f>
        <v>10669</v>
      </c>
      <c r="E176" s="28">
        <f>+E109+E149</f>
        <v>10669</v>
      </c>
      <c r="F176" s="1294">
        <f t="shared" si="8"/>
        <v>1</v>
      </c>
      <c r="G176" s="27">
        <f>+G109+G149</f>
        <v>0</v>
      </c>
      <c r="H176" s="28">
        <f>+H109+H149</f>
        <v>10669</v>
      </c>
      <c r="I176" s="29">
        <f>+I109+I149</f>
        <v>0</v>
      </c>
      <c r="K176" s="3">
        <f t="shared" si="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061">
        <f>+D178</f>
        <v>0</v>
      </c>
      <c r="E177" s="28">
        <f>+E178</f>
        <v>0</v>
      </c>
      <c r="F177" s="1294" t="str">
        <f t="shared" si="8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9"/>
        <v>0</v>
      </c>
    </row>
    <row r="178" spans="1:11" s="3" customFormat="1" ht="12.75" thickBot="1">
      <c r="A178" s="83" t="s">
        <v>45</v>
      </c>
      <c r="B178" s="64" t="s">
        <v>937</v>
      </c>
      <c r="C178" s="129">
        <f>+C179+C189+C190+C191</f>
        <v>0</v>
      </c>
      <c r="D178" s="1061">
        <f>+D179+D189+D190+D191</f>
        <v>0</v>
      </c>
      <c r="E178" s="28">
        <f>+E179+E189+E190+E191</f>
        <v>0</v>
      </c>
      <c r="F178" s="1294" t="str">
        <f t="shared" si="8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9"/>
        <v>0</v>
      </c>
    </row>
    <row r="179" spans="1:11">
      <c r="A179" s="84" t="s">
        <v>75</v>
      </c>
      <c r="B179" s="65" t="s">
        <v>938</v>
      </c>
      <c r="C179" s="398">
        <f>+C180+C181+C182+C183+C184+C185+C186+C187+C188</f>
        <v>0</v>
      </c>
      <c r="D179" s="1062">
        <f>+D180+D181+D182+D183+D184+D185+D186+D187+D188</f>
        <v>0</v>
      </c>
      <c r="E179" s="10">
        <f>+E180+E181+E182+E183+E184+E185+E186+E187+E188</f>
        <v>0</v>
      </c>
      <c r="F179" s="1295" t="str">
        <f t="shared" si="8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9"/>
        <v>0</v>
      </c>
    </row>
    <row r="180" spans="1:11" s="13" customFormat="1">
      <c r="A180" s="86" t="s">
        <v>204</v>
      </c>
      <c r="B180" s="66" t="s">
        <v>169</v>
      </c>
      <c r="C180" s="394"/>
      <c r="D180" s="1063"/>
      <c r="E180" s="12"/>
      <c r="F180" s="1296" t="str">
        <f t="shared" si="8"/>
        <v>-</v>
      </c>
      <c r="G180" s="19"/>
      <c r="H180" s="12"/>
      <c r="I180" s="15"/>
      <c r="K180" s="13">
        <f t="shared" si="9"/>
        <v>0</v>
      </c>
    </row>
    <row r="181" spans="1:11" s="13" customFormat="1">
      <c r="A181" s="86" t="s">
        <v>205</v>
      </c>
      <c r="B181" s="66" t="s">
        <v>170</v>
      </c>
      <c r="C181" s="394"/>
      <c r="D181" s="1063"/>
      <c r="E181" s="12"/>
      <c r="F181" s="1296" t="str">
        <f t="shared" si="8"/>
        <v>-</v>
      </c>
      <c r="G181" s="19"/>
      <c r="H181" s="12"/>
      <c r="I181" s="15"/>
      <c r="K181" s="13">
        <f t="shared" si="9"/>
        <v>0</v>
      </c>
    </row>
    <row r="182" spans="1:11" s="13" customFormat="1">
      <c r="A182" s="86" t="s">
        <v>206</v>
      </c>
      <c r="B182" s="66" t="s">
        <v>171</v>
      </c>
      <c r="C182" s="394"/>
      <c r="D182" s="1063"/>
      <c r="E182" s="12"/>
      <c r="F182" s="1296" t="str">
        <f t="shared" si="8"/>
        <v>-</v>
      </c>
      <c r="G182" s="19"/>
      <c r="H182" s="12"/>
      <c r="I182" s="15"/>
      <c r="K182" s="13">
        <f t="shared" si="9"/>
        <v>0</v>
      </c>
    </row>
    <row r="183" spans="1:11" s="13" customFormat="1">
      <c r="A183" s="86" t="s">
        <v>207</v>
      </c>
      <c r="B183" s="66" t="s">
        <v>172</v>
      </c>
      <c r="C183" s="394"/>
      <c r="D183" s="1063"/>
      <c r="E183" s="12"/>
      <c r="F183" s="1296" t="str">
        <f t="shared" si="8"/>
        <v>-</v>
      </c>
      <c r="G183" s="19"/>
      <c r="H183" s="12"/>
      <c r="I183" s="15"/>
      <c r="K183" s="13">
        <f t="shared" si="9"/>
        <v>0</v>
      </c>
    </row>
    <row r="184" spans="1:11" s="13" customFormat="1">
      <c r="A184" s="108" t="s">
        <v>208</v>
      </c>
      <c r="B184" s="109" t="s">
        <v>173</v>
      </c>
      <c r="C184" s="394"/>
      <c r="D184" s="1063"/>
      <c r="E184" s="12"/>
      <c r="F184" s="1297" t="str">
        <f t="shared" si="8"/>
        <v>-</v>
      </c>
      <c r="G184" s="686"/>
      <c r="H184" s="687"/>
      <c r="I184" s="688"/>
      <c r="K184" s="117">
        <f t="shared" si="9"/>
        <v>0</v>
      </c>
    </row>
    <row r="185" spans="1:11" s="13" customFormat="1">
      <c r="A185" s="86" t="s">
        <v>209</v>
      </c>
      <c r="B185" s="66" t="s">
        <v>178</v>
      </c>
      <c r="C185" s="394"/>
      <c r="D185" s="1063"/>
      <c r="E185" s="12"/>
      <c r="F185" s="1296" t="str">
        <f t="shared" si="8"/>
        <v>-</v>
      </c>
      <c r="G185" s="686"/>
      <c r="H185" s="687"/>
      <c r="I185" s="688"/>
      <c r="K185" s="13">
        <f t="shared" si="9"/>
        <v>0</v>
      </c>
    </row>
    <row r="186" spans="1:11" s="13" customFormat="1">
      <c r="A186" s="86" t="s">
        <v>210</v>
      </c>
      <c r="B186" s="66" t="s">
        <v>174</v>
      </c>
      <c r="C186" s="394"/>
      <c r="D186" s="1063"/>
      <c r="E186" s="12"/>
      <c r="F186" s="1296" t="str">
        <f t="shared" si="8"/>
        <v>-</v>
      </c>
      <c r="G186" s="686"/>
      <c r="H186" s="687"/>
      <c r="I186" s="688"/>
      <c r="K186" s="13">
        <f t="shared" si="9"/>
        <v>0</v>
      </c>
    </row>
    <row r="187" spans="1:11" s="13" customFormat="1">
      <c r="A187" s="86" t="s">
        <v>211</v>
      </c>
      <c r="B187" s="66" t="s">
        <v>175</v>
      </c>
      <c r="C187" s="394"/>
      <c r="D187" s="1063"/>
      <c r="E187" s="12"/>
      <c r="F187" s="1296" t="str">
        <f t="shared" si="8"/>
        <v>-</v>
      </c>
      <c r="G187" s="686"/>
      <c r="H187" s="687"/>
      <c r="I187" s="688"/>
      <c r="K187" s="13">
        <f t="shared" si="9"/>
        <v>0</v>
      </c>
    </row>
    <row r="188" spans="1:11" s="13" customFormat="1">
      <c r="A188" s="86" t="s">
        <v>931</v>
      </c>
      <c r="B188" s="66" t="s">
        <v>933</v>
      </c>
      <c r="C188" s="394"/>
      <c r="D188" s="1063"/>
      <c r="E188" s="12"/>
      <c r="F188" s="1296" t="str">
        <f t="shared" si="8"/>
        <v>-</v>
      </c>
      <c r="G188" s="686"/>
      <c r="H188" s="687"/>
      <c r="I188" s="688"/>
      <c r="K188" s="13">
        <f t="shared" si="9"/>
        <v>0</v>
      </c>
    </row>
    <row r="189" spans="1:11">
      <c r="A189" s="85" t="s">
        <v>76</v>
      </c>
      <c r="B189" s="67" t="s">
        <v>176</v>
      </c>
      <c r="C189" s="396"/>
      <c r="D189" s="1064"/>
      <c r="E189" s="11"/>
      <c r="F189" s="1296" t="str">
        <f t="shared" si="8"/>
        <v>-</v>
      </c>
      <c r="G189" s="925"/>
      <c r="H189" s="926"/>
      <c r="I189" s="927"/>
      <c r="K189" s="4">
        <f t="shared" si="9"/>
        <v>0</v>
      </c>
    </row>
    <row r="190" spans="1:11">
      <c r="A190" s="78" t="s">
        <v>77</v>
      </c>
      <c r="B190" s="68" t="s">
        <v>177</v>
      </c>
      <c r="C190" s="397"/>
      <c r="D190" s="1065"/>
      <c r="E190" s="22"/>
      <c r="F190" s="1298" t="str">
        <f t="shared" si="8"/>
        <v>-</v>
      </c>
      <c r="G190" s="928"/>
      <c r="H190" s="929"/>
      <c r="I190" s="930"/>
      <c r="K190" s="4">
        <f t="shared" si="9"/>
        <v>0</v>
      </c>
    </row>
    <row r="191" spans="1:11" ht="12.75" thickBot="1">
      <c r="A191" s="78" t="s">
        <v>936</v>
      </c>
      <c r="B191" s="68" t="s">
        <v>934</v>
      </c>
      <c r="C191" s="397"/>
      <c r="D191" s="1065"/>
      <c r="E191" s="22"/>
      <c r="F191" s="1298" t="str">
        <f t="shared" si="8"/>
        <v>-</v>
      </c>
      <c r="G191" s="928"/>
      <c r="H191" s="929"/>
      <c r="I191" s="930"/>
      <c r="K191" s="4">
        <f t="shared" si="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061">
        <f>+D193</f>
        <v>0</v>
      </c>
      <c r="E192" s="28">
        <f>+E193</f>
        <v>0</v>
      </c>
      <c r="F192" s="1294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3" customFormat="1" ht="12.75" thickBot="1">
      <c r="A193" s="83" t="s">
        <v>43</v>
      </c>
      <c r="B193" s="64" t="s">
        <v>932</v>
      </c>
      <c r="C193" s="129">
        <f>+C194+C204+C205+C206</f>
        <v>0</v>
      </c>
      <c r="D193" s="1061">
        <f>+D194+D204+D205+D206</f>
        <v>0</v>
      </c>
      <c r="E193" s="28">
        <f>+E194+E204+E205+E206</f>
        <v>0</v>
      </c>
      <c r="F193" s="1294" t="str">
        <f t="shared" si="8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9"/>
        <v>0</v>
      </c>
    </row>
    <row r="194" spans="1:11">
      <c r="A194" s="84" t="s">
        <v>78</v>
      </c>
      <c r="B194" s="65" t="s">
        <v>967</v>
      </c>
      <c r="C194" s="398">
        <f>+C195+C196+C197+C198+C199+C200+C201+C202+C203</f>
        <v>0</v>
      </c>
      <c r="D194" s="1062">
        <f>+D195+D196+D197+D198+D199+D200+D201+D202+D203</f>
        <v>0</v>
      </c>
      <c r="E194" s="10">
        <f>+E195+E196+E197+E198+E199+E200+E201+E202+E203</f>
        <v>0</v>
      </c>
      <c r="F194" s="1295" t="str">
        <f t="shared" si="8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9"/>
        <v>0</v>
      </c>
    </row>
    <row r="195" spans="1:11" s="13" customFormat="1">
      <c r="A195" s="86" t="s">
        <v>212</v>
      </c>
      <c r="B195" s="66" t="s">
        <v>169</v>
      </c>
      <c r="C195" s="394"/>
      <c r="D195" s="1063"/>
      <c r="E195" s="12"/>
      <c r="F195" s="1296" t="str">
        <f t="shared" si="8"/>
        <v>-</v>
      </c>
      <c r="G195" s="686"/>
      <c r="H195" s="687"/>
      <c r="I195" s="688"/>
      <c r="K195" s="13">
        <f t="shared" si="9"/>
        <v>0</v>
      </c>
    </row>
    <row r="196" spans="1:11" s="13" customFormat="1">
      <c r="A196" s="86" t="s">
        <v>213</v>
      </c>
      <c r="B196" s="66" t="s">
        <v>170</v>
      </c>
      <c r="C196" s="394"/>
      <c r="D196" s="1063"/>
      <c r="E196" s="12"/>
      <c r="F196" s="1296" t="str">
        <f t="shared" si="8"/>
        <v>-</v>
      </c>
      <c r="G196" s="686"/>
      <c r="H196" s="687"/>
      <c r="I196" s="688"/>
      <c r="K196" s="13">
        <f t="shared" si="9"/>
        <v>0</v>
      </c>
    </row>
    <row r="197" spans="1:11" s="13" customFormat="1">
      <c r="A197" s="86" t="s">
        <v>214</v>
      </c>
      <c r="B197" s="66" t="s">
        <v>171</v>
      </c>
      <c r="C197" s="394"/>
      <c r="D197" s="1063"/>
      <c r="E197" s="12"/>
      <c r="F197" s="1296" t="str">
        <f t="shared" si="8"/>
        <v>-</v>
      </c>
      <c r="G197" s="686"/>
      <c r="H197" s="687"/>
      <c r="I197" s="688"/>
      <c r="K197" s="13">
        <f t="shared" si="9"/>
        <v>0</v>
      </c>
    </row>
    <row r="198" spans="1:11" s="13" customFormat="1">
      <c r="A198" s="86" t="s">
        <v>215</v>
      </c>
      <c r="B198" s="66" t="s">
        <v>172</v>
      </c>
      <c r="C198" s="394"/>
      <c r="D198" s="1063"/>
      <c r="E198" s="12"/>
      <c r="F198" s="1296" t="str">
        <f t="shared" si="8"/>
        <v>-</v>
      </c>
      <c r="G198" s="686"/>
      <c r="H198" s="687"/>
      <c r="I198" s="688"/>
      <c r="K198" s="13">
        <f t="shared" si="9"/>
        <v>0</v>
      </c>
    </row>
    <row r="199" spans="1:11" s="13" customFormat="1">
      <c r="A199" s="108" t="s">
        <v>216</v>
      </c>
      <c r="B199" s="109" t="s">
        <v>173</v>
      </c>
      <c r="C199" s="394"/>
      <c r="D199" s="1063"/>
      <c r="E199" s="12"/>
      <c r="F199" s="1297" t="str">
        <f t="shared" si="8"/>
        <v>-</v>
      </c>
      <c r="G199" s="686"/>
      <c r="H199" s="687"/>
      <c r="I199" s="688"/>
      <c r="K199" s="117">
        <f t="shared" si="9"/>
        <v>0</v>
      </c>
    </row>
    <row r="200" spans="1:11" s="13" customFormat="1">
      <c r="A200" s="86" t="s">
        <v>217</v>
      </c>
      <c r="B200" s="66" t="s">
        <v>178</v>
      </c>
      <c r="C200" s="394"/>
      <c r="D200" s="1063"/>
      <c r="E200" s="12"/>
      <c r="F200" s="1296" t="str">
        <f t="shared" si="8"/>
        <v>-</v>
      </c>
      <c r="G200" s="686"/>
      <c r="H200" s="687"/>
      <c r="I200" s="688"/>
      <c r="K200" s="13">
        <f t="shared" si="9"/>
        <v>0</v>
      </c>
    </row>
    <row r="201" spans="1:11" s="13" customFormat="1">
      <c r="A201" s="86" t="s">
        <v>218</v>
      </c>
      <c r="B201" s="66" t="s">
        <v>174</v>
      </c>
      <c r="C201" s="394"/>
      <c r="D201" s="1063"/>
      <c r="E201" s="12"/>
      <c r="F201" s="1296" t="str">
        <f t="shared" si="8"/>
        <v>-</v>
      </c>
      <c r="G201" s="19"/>
      <c r="H201" s="12"/>
      <c r="I201" s="15"/>
      <c r="K201" s="13">
        <f t="shared" si="9"/>
        <v>0</v>
      </c>
    </row>
    <row r="202" spans="1:11" s="13" customFormat="1">
      <c r="A202" s="86" t="s">
        <v>219</v>
      </c>
      <c r="B202" s="66" t="s">
        <v>175</v>
      </c>
      <c r="C202" s="394"/>
      <c r="D202" s="1063"/>
      <c r="E202" s="12"/>
      <c r="F202" s="1296" t="str">
        <f t="shared" si="8"/>
        <v>-</v>
      </c>
      <c r="G202" s="19"/>
      <c r="H202" s="12"/>
      <c r="I202" s="15"/>
      <c r="K202" s="13">
        <f t="shared" si="9"/>
        <v>0</v>
      </c>
    </row>
    <row r="203" spans="1:11" s="13" customFormat="1">
      <c r="A203" s="86" t="s">
        <v>931</v>
      </c>
      <c r="B203" s="66" t="s">
        <v>933</v>
      </c>
      <c r="C203" s="394"/>
      <c r="D203" s="1063"/>
      <c r="E203" s="12"/>
      <c r="F203" s="1296" t="str">
        <f t="shared" si="8"/>
        <v>-</v>
      </c>
      <c r="G203" s="19"/>
      <c r="H203" s="12"/>
      <c r="I203" s="15"/>
      <c r="K203" s="13">
        <f t="shared" si="9"/>
        <v>0</v>
      </c>
    </row>
    <row r="204" spans="1:11">
      <c r="A204" s="85" t="s">
        <v>79</v>
      </c>
      <c r="B204" s="67" t="s">
        <v>176</v>
      </c>
      <c r="C204" s="396"/>
      <c r="D204" s="1064"/>
      <c r="E204" s="11"/>
      <c r="F204" s="1296" t="str">
        <f t="shared" si="8"/>
        <v>-</v>
      </c>
      <c r="G204" s="20"/>
      <c r="H204" s="11"/>
      <c r="I204" s="16"/>
      <c r="K204" s="4">
        <f t="shared" si="9"/>
        <v>0</v>
      </c>
    </row>
    <row r="205" spans="1:11">
      <c r="A205" s="78" t="s">
        <v>220</v>
      </c>
      <c r="B205" s="68" t="s">
        <v>177</v>
      </c>
      <c r="C205" s="397"/>
      <c r="D205" s="1065"/>
      <c r="E205" s="22"/>
      <c r="F205" s="1298" t="str">
        <f t="shared" si="8"/>
        <v>-</v>
      </c>
      <c r="G205" s="21"/>
      <c r="H205" s="22"/>
      <c r="I205" s="23"/>
      <c r="K205" s="4">
        <f t="shared" si="9"/>
        <v>0</v>
      </c>
    </row>
    <row r="206" spans="1:11" ht="12.75" thickBot="1">
      <c r="A206" s="78" t="s">
        <v>935</v>
      </c>
      <c r="B206" s="68" t="s">
        <v>934</v>
      </c>
      <c r="C206" s="397"/>
      <c r="D206" s="1065"/>
      <c r="E206" s="22"/>
      <c r="F206" s="1298" t="str">
        <f t="shared" si="8"/>
        <v>-</v>
      </c>
      <c r="G206" s="21"/>
      <c r="H206" s="22"/>
      <c r="I206" s="23"/>
      <c r="K206" s="4">
        <f t="shared" si="9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061">
        <f>+D177+D192</f>
        <v>0</v>
      </c>
      <c r="E207" s="28">
        <f>+E177+E192</f>
        <v>0</v>
      </c>
      <c r="F207" s="1294" t="str">
        <f t="shared" si="8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9"/>
        <v>0</v>
      </c>
    </row>
    <row r="208" spans="1:11" s="3" customFormat="1" ht="12.75" thickBot="1">
      <c r="A208" s="87" t="s">
        <v>39</v>
      </c>
      <c r="B208" s="71" t="s">
        <v>334</v>
      </c>
      <c r="C208" s="392">
        <f>+C176+C207</f>
        <v>20793</v>
      </c>
      <c r="D208" s="1072">
        <f>+D176+D207</f>
        <v>10669</v>
      </c>
      <c r="E208" s="25">
        <f>+E176+E207</f>
        <v>10669</v>
      </c>
      <c r="F208" s="1301">
        <f t="shared" si="8"/>
        <v>1</v>
      </c>
      <c r="G208" s="24">
        <f>+G176+G207</f>
        <v>0</v>
      </c>
      <c r="H208" s="25">
        <f>+H176+H207</f>
        <v>10669</v>
      </c>
      <c r="I208" s="26">
        <f>+I176+I207</f>
        <v>0</v>
      </c>
      <c r="K208" s="3">
        <f t="shared" si="9"/>
        <v>0</v>
      </c>
    </row>
    <row r="211" spans="1:33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F212" s="1290"/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0</v>
      </c>
      <c r="D213" s="1061">
        <f>+D214+D215</f>
        <v>-10669</v>
      </c>
      <c r="E213" s="28">
        <f>+E214+E215</f>
        <v>-10669</v>
      </c>
      <c r="F213" s="1294">
        <f>IF(ISERROR(E213/D213),"-",E213/D213)</f>
        <v>1</v>
      </c>
      <c r="G213" s="27">
        <f>+G214+G215</f>
        <v>0</v>
      </c>
      <c r="H213" s="28">
        <f>+H214+H215</f>
        <v>-10669</v>
      </c>
      <c r="I213" s="29">
        <f>+I214+I215</f>
        <v>0</v>
      </c>
      <c r="K213" s="3">
        <f>+E213-G213-H213-I213</f>
        <v>0</v>
      </c>
    </row>
    <row r="214" spans="1:33">
      <c r="A214" s="84" t="s">
        <v>81</v>
      </c>
      <c r="B214" s="72" t="s">
        <v>318</v>
      </c>
      <c r="C214" s="398">
        <f>+C10-C109</f>
        <v>1000</v>
      </c>
      <c r="D214" s="1062">
        <f>+D10-D109</f>
        <v>-10669</v>
      </c>
      <c r="E214" s="10">
        <f>+E10-E109</f>
        <v>-10669</v>
      </c>
      <c r="F214" s="1295">
        <f>IF(ISERROR(E214/D214),"-",E214/D214)</f>
        <v>1</v>
      </c>
      <c r="G214" s="34">
        <f>+G10-G109</f>
        <v>0</v>
      </c>
      <c r="H214" s="10">
        <f>+H10-H109</f>
        <v>-10669</v>
      </c>
      <c r="I214" s="35">
        <f>+I10-I109</f>
        <v>0</v>
      </c>
      <c r="K214" s="4">
        <f>+E214-G214-H214-I214</f>
        <v>0</v>
      </c>
    </row>
    <row r="215" spans="1:33" ht="12.75" thickBot="1">
      <c r="A215" s="88" t="s">
        <v>82</v>
      </c>
      <c r="B215" s="73" t="s">
        <v>319</v>
      </c>
      <c r="C215" s="391">
        <f>+C50-C149</f>
        <v>-1000</v>
      </c>
      <c r="D215" s="1079">
        <f>+D50-D149</f>
        <v>0</v>
      </c>
      <c r="E215" s="17">
        <f>+E50-E149</f>
        <v>0</v>
      </c>
      <c r="F215" s="1307" t="str">
        <f>IF(ISERROR(E215/D215),"-",E215/D215)</f>
        <v>-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3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F219" s="1290"/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0</v>
      </c>
      <c r="D220" s="1061">
        <f>+D221+D228</f>
        <v>10669</v>
      </c>
      <c r="E220" s="28">
        <f>+E221+E228</f>
        <v>10701</v>
      </c>
      <c r="F220" s="1294">
        <f t="shared" ref="F220:F234" si="10">IF(ISERROR(E220/D220),"-",E220/D220)</f>
        <v>1.0029993438935232</v>
      </c>
      <c r="G220" s="27">
        <f>+G221+G228</f>
        <v>0</v>
      </c>
      <c r="H220" s="28">
        <f>+H221+H228</f>
        <v>10701</v>
      </c>
      <c r="I220" s="29">
        <f>+I221+I228</f>
        <v>0</v>
      </c>
      <c r="K220" s="3">
        <f t="shared" ref="K220:K234" si="11">+E220-G220-H220-I220</f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-1000</v>
      </c>
      <c r="D221" s="1061">
        <f>+D222-D225</f>
        <v>10669</v>
      </c>
      <c r="E221" s="28">
        <f>+E222-E225</f>
        <v>10701</v>
      </c>
      <c r="F221" s="1294">
        <f t="shared" si="10"/>
        <v>1.0029993438935232</v>
      </c>
      <c r="G221" s="27">
        <f>+G222-G225</f>
        <v>0</v>
      </c>
      <c r="H221" s="28">
        <f>+H222-H225</f>
        <v>10701</v>
      </c>
      <c r="I221" s="29">
        <f>+I222-I225</f>
        <v>0</v>
      </c>
      <c r="K221" s="3">
        <f t="shared" si="11"/>
        <v>0</v>
      </c>
    </row>
    <row r="222" spans="1:33">
      <c r="A222" s="84" t="s">
        <v>54</v>
      </c>
      <c r="B222" s="65" t="s">
        <v>322</v>
      </c>
      <c r="C222" s="398">
        <f>+C223+C224</f>
        <v>-1000</v>
      </c>
      <c r="D222" s="1062">
        <f>+D223+D224</f>
        <v>10669</v>
      </c>
      <c r="E222" s="10">
        <f>+E223+E224</f>
        <v>10701</v>
      </c>
      <c r="F222" s="1295">
        <f t="shared" si="10"/>
        <v>1.0029993438935232</v>
      </c>
      <c r="G222" s="34">
        <f>+G223+G224</f>
        <v>0</v>
      </c>
      <c r="H222" s="10">
        <f>+H223+H224</f>
        <v>10701</v>
      </c>
      <c r="I222" s="35">
        <f>+I223+I224</f>
        <v>0</v>
      </c>
      <c r="K222" s="4">
        <f t="shared" si="11"/>
        <v>0</v>
      </c>
    </row>
    <row r="223" spans="1:33" s="13" customFormat="1">
      <c r="A223" s="86" t="s">
        <v>189</v>
      </c>
      <c r="B223" s="66" t="s">
        <v>284</v>
      </c>
      <c r="C223" s="394">
        <f>+C76+C80</f>
        <v>0</v>
      </c>
      <c r="D223" s="1063">
        <f>+D76+D80</f>
        <v>25</v>
      </c>
      <c r="E223" s="12">
        <f>+E76+E80</f>
        <v>25</v>
      </c>
      <c r="F223" s="1296">
        <f t="shared" si="10"/>
        <v>1</v>
      </c>
      <c r="G223" s="19">
        <f>+G76+G80</f>
        <v>0</v>
      </c>
      <c r="H223" s="12">
        <f>+H76+H80</f>
        <v>25</v>
      </c>
      <c r="I223" s="15">
        <f>+I76+I80</f>
        <v>0</v>
      </c>
      <c r="K223" s="13">
        <f t="shared" si="11"/>
        <v>0</v>
      </c>
    </row>
    <row r="224" spans="1:33" s="13" customFormat="1">
      <c r="A224" s="86" t="s">
        <v>190</v>
      </c>
      <c r="B224" s="66" t="s">
        <v>285</v>
      </c>
      <c r="C224" s="394">
        <f>+C74+C75+C77+C78+C79+C81</f>
        <v>-1000</v>
      </c>
      <c r="D224" s="1063">
        <f>+D74+D75+D77+D78+D79+D81</f>
        <v>10644</v>
      </c>
      <c r="E224" s="12">
        <f>+E74+E75+E77+E78+E79+E81</f>
        <v>10676</v>
      </c>
      <c r="F224" s="1296">
        <f t="shared" si="10"/>
        <v>1.0030063885757234</v>
      </c>
      <c r="G224" s="19">
        <f>+G74+G75+G77+G78+G79+G81</f>
        <v>0</v>
      </c>
      <c r="H224" s="12">
        <f>+H74+H75+H77+H78+H79+H81</f>
        <v>10676</v>
      </c>
      <c r="I224" s="15">
        <f>+I74+I75+I77+I78+I79+I81</f>
        <v>0</v>
      </c>
      <c r="K224" s="13">
        <f t="shared" si="11"/>
        <v>0</v>
      </c>
    </row>
    <row r="225" spans="1:33">
      <c r="A225" s="85" t="s">
        <v>55</v>
      </c>
      <c r="B225" s="67" t="s">
        <v>323</v>
      </c>
      <c r="C225" s="396">
        <f>+C227</f>
        <v>0</v>
      </c>
      <c r="D225" s="1064">
        <f>+D227</f>
        <v>0</v>
      </c>
      <c r="E225" s="11">
        <f>+E227</f>
        <v>0</v>
      </c>
      <c r="F225" s="1296" t="str">
        <f t="shared" si="10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11"/>
        <v>0</v>
      </c>
    </row>
    <row r="226" spans="1:33" s="13" customFormat="1">
      <c r="A226" s="86" t="s">
        <v>56</v>
      </c>
      <c r="B226" s="66" t="s">
        <v>286</v>
      </c>
      <c r="C226" s="394">
        <f>+C185</f>
        <v>0</v>
      </c>
      <c r="D226" s="1063">
        <f>+D185</f>
        <v>0</v>
      </c>
      <c r="E226" s="12">
        <f>+E185</f>
        <v>0</v>
      </c>
      <c r="F226" s="1296" t="str">
        <f t="shared" si="10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11"/>
        <v>0</v>
      </c>
    </row>
    <row r="227" spans="1:33" s="13" customFormat="1" ht="12.75" thickBot="1">
      <c r="A227" s="89" t="s">
        <v>57</v>
      </c>
      <c r="B227" s="74" t="s">
        <v>287</v>
      </c>
      <c r="C227" s="395">
        <f>+C180+C181+C182+C183+C184+C186+C187</f>
        <v>0</v>
      </c>
      <c r="D227" s="1066">
        <f>+D180+D181+D182+D183+D184+D186+D187</f>
        <v>0</v>
      </c>
      <c r="E227" s="43">
        <f>+E180+E181+E182+E183+E184+E186+E187</f>
        <v>0</v>
      </c>
      <c r="F227" s="1298" t="str">
        <f t="shared" si="10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11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1000</v>
      </c>
      <c r="D228" s="1061">
        <f>+D229-D232</f>
        <v>0</v>
      </c>
      <c r="E228" s="28">
        <f>+E229-E232</f>
        <v>0</v>
      </c>
      <c r="F228" s="1294" t="str">
        <f t="shared" si="10"/>
        <v>-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11"/>
        <v>0</v>
      </c>
    </row>
    <row r="229" spans="1:33">
      <c r="A229" s="84" t="s">
        <v>58</v>
      </c>
      <c r="B229" s="65" t="s">
        <v>325</v>
      </c>
      <c r="C229" s="398">
        <f>+C230+C231</f>
        <v>1000</v>
      </c>
      <c r="D229" s="1062">
        <f>+D230+D231</f>
        <v>0</v>
      </c>
      <c r="E229" s="10">
        <f>+E230+E231</f>
        <v>0</v>
      </c>
      <c r="F229" s="1295" t="str">
        <f t="shared" si="10"/>
        <v>-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11"/>
        <v>0</v>
      </c>
    </row>
    <row r="230" spans="1:33" s="13" customFormat="1">
      <c r="A230" s="86" t="s">
        <v>292</v>
      </c>
      <c r="B230" s="66" t="s">
        <v>290</v>
      </c>
      <c r="C230" s="394">
        <f>+C91+C95</f>
        <v>0</v>
      </c>
      <c r="D230" s="1063">
        <f>+D91+D95</f>
        <v>0</v>
      </c>
      <c r="E230" s="12">
        <f>+E91+E95</f>
        <v>0</v>
      </c>
      <c r="F230" s="1296" t="str">
        <f t="shared" si="10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11"/>
        <v>0</v>
      </c>
    </row>
    <row r="231" spans="1:33" s="13" customFormat="1">
      <c r="A231" s="86" t="s">
        <v>293</v>
      </c>
      <c r="B231" s="66" t="s">
        <v>291</v>
      </c>
      <c r="C231" s="394">
        <f>+C89+C90+C92+C93+C94+C96</f>
        <v>1000</v>
      </c>
      <c r="D231" s="1063">
        <f>+D89+D90+D92+D93+D94+D96</f>
        <v>0</v>
      </c>
      <c r="E231" s="12">
        <f>+E89+E90+E92+E93+E94+E96</f>
        <v>0</v>
      </c>
      <c r="F231" s="1296" t="str">
        <f t="shared" si="10"/>
        <v>-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11"/>
        <v>0</v>
      </c>
    </row>
    <row r="232" spans="1:33">
      <c r="A232" s="85" t="s">
        <v>59</v>
      </c>
      <c r="B232" s="67" t="s">
        <v>326</v>
      </c>
      <c r="C232" s="396">
        <f>+C233+C234</f>
        <v>0</v>
      </c>
      <c r="D232" s="1064">
        <f>+D233+D234</f>
        <v>0</v>
      </c>
      <c r="E232" s="11">
        <f>+E233+E234</f>
        <v>0</v>
      </c>
      <c r="F232" s="1296" t="str">
        <f t="shared" si="10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11"/>
        <v>0</v>
      </c>
    </row>
    <row r="233" spans="1:33" s="13" customFormat="1">
      <c r="A233" s="86" t="s">
        <v>294</v>
      </c>
      <c r="B233" s="66" t="s">
        <v>288</v>
      </c>
      <c r="C233" s="394">
        <f>+C200</f>
        <v>0</v>
      </c>
      <c r="D233" s="1063">
        <f>+D200</f>
        <v>0</v>
      </c>
      <c r="E233" s="12">
        <f>+E200</f>
        <v>0</v>
      </c>
      <c r="F233" s="1296" t="str">
        <f t="shared" si="10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11"/>
        <v>0</v>
      </c>
    </row>
    <row r="234" spans="1:33" s="13" customFormat="1" ht="12.75" thickBot="1">
      <c r="A234" s="90" t="s">
        <v>295</v>
      </c>
      <c r="B234" s="75" t="s">
        <v>289</v>
      </c>
      <c r="C234" s="390">
        <f>+C195+C196+C197+C198+C199+C201+C202</f>
        <v>0</v>
      </c>
      <c r="D234" s="1161">
        <f>+D195+D196+D197+D198+D199+D201+D202</f>
        <v>0</v>
      </c>
      <c r="E234" s="41">
        <f>+E195+E196+E197+E198+E199+E201+E202</f>
        <v>0</v>
      </c>
      <c r="F234" s="1307" t="str">
        <f t="shared" si="10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11"/>
        <v>0</v>
      </c>
    </row>
    <row r="237" spans="1:33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F238" s="1290"/>
      <c r="I238" s="37"/>
    </row>
    <row r="239" spans="1:33" s="3" customFormat="1">
      <c r="A239" s="91" t="s">
        <v>4</v>
      </c>
      <c r="B239" s="76" t="s">
        <v>91</v>
      </c>
      <c r="C239" s="1075">
        <v>3</v>
      </c>
      <c r="D239" s="1162">
        <v>3</v>
      </c>
      <c r="E239" s="55">
        <v>3</v>
      </c>
      <c r="F239" s="1304">
        <f>IF(ISERROR(E239/D239),"-",E239/D239)</f>
        <v>1</v>
      </c>
      <c r="G239" s="54"/>
      <c r="H239" s="55">
        <v>3</v>
      </c>
      <c r="I239" s="56"/>
      <c r="K239" s="3">
        <f>+E239-G239-H239-I239</f>
        <v>0</v>
      </c>
    </row>
    <row r="240" spans="1:33" s="13" customFormat="1">
      <c r="A240" s="89" t="s">
        <v>350</v>
      </c>
      <c r="B240" s="99" t="s">
        <v>351</v>
      </c>
      <c r="C240" s="1076"/>
      <c r="D240" s="1163"/>
      <c r="E240" s="101"/>
      <c r="F240" s="1298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77"/>
      <c r="D241" s="1164"/>
      <c r="E241" s="58"/>
      <c r="F241" s="1312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329</v>
      </c>
      <c r="C242" s="1078">
        <f>+C239+C241</f>
        <v>3</v>
      </c>
      <c r="D242" s="1165">
        <f>+D239+D241</f>
        <v>3</v>
      </c>
      <c r="E242" s="61">
        <f>+E239+E241</f>
        <v>3</v>
      </c>
      <c r="F242" s="1294">
        <f>IF(ISERROR(E242/D242),"-",E242/D242)</f>
        <v>1</v>
      </c>
      <c r="G242" s="60">
        <f>+G239+G241</f>
        <v>0</v>
      </c>
      <c r="H242" s="61">
        <f>+H239+H241</f>
        <v>3</v>
      </c>
      <c r="I242" s="62">
        <f>+I239+I241</f>
        <v>0</v>
      </c>
      <c r="K242" s="3">
        <f>+E242-G242-H242-I242</f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4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3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G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305" customWidth="1"/>
    <col min="7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F1" s="1289"/>
      <c r="I1" s="51" t="s">
        <v>1068</v>
      </c>
    </row>
    <row r="2" spans="1:11" s="50" customFormat="1" ht="15.75">
      <c r="F2" s="1289"/>
    </row>
    <row r="3" spans="1:11" s="52" customFormat="1" ht="15.75">
      <c r="A3" s="1769" t="s">
        <v>1067</v>
      </c>
      <c r="B3" s="1769"/>
      <c r="C3" s="1769"/>
      <c r="D3" s="1769"/>
      <c r="E3" s="1769"/>
      <c r="F3" s="1769"/>
      <c r="G3" s="1769"/>
      <c r="H3" s="1769"/>
      <c r="I3" s="1769"/>
    </row>
    <row r="4" spans="1:11" s="52" customFormat="1" ht="15.75">
      <c r="A4" s="1769" t="s">
        <v>1417</v>
      </c>
      <c r="B4" s="1769"/>
      <c r="C4" s="1769"/>
      <c r="D4" s="1769"/>
      <c r="E4" s="1769"/>
      <c r="F4" s="1769"/>
      <c r="G4" s="1769"/>
      <c r="H4" s="1769"/>
      <c r="I4" s="1769"/>
    </row>
    <row r="5" spans="1:11" s="50" customFormat="1" ht="15.75">
      <c r="F5" s="1289"/>
    </row>
    <row r="6" spans="1:11" s="52" customFormat="1" ht="15.75">
      <c r="A6" s="1769" t="s">
        <v>48</v>
      </c>
      <c r="B6" s="1769"/>
      <c r="C6" s="1769"/>
      <c r="D6" s="1769"/>
      <c r="E6" s="1769"/>
      <c r="F6" s="1769"/>
      <c r="G6" s="1769"/>
      <c r="H6" s="1769"/>
      <c r="I6" s="1769"/>
    </row>
    <row r="7" spans="1:11" s="36" customFormat="1" ht="12.75" thickBot="1">
      <c r="A7" s="38" t="s">
        <v>279</v>
      </c>
      <c r="F7" s="1290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055" t="s">
        <v>1540</v>
      </c>
      <c r="D8" s="6" t="s">
        <v>1541</v>
      </c>
      <c r="E8" s="6" t="s">
        <v>2654</v>
      </c>
      <c r="F8" s="1291" t="s">
        <v>1558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771" t="s">
        <v>254</v>
      </c>
      <c r="D9" s="1772"/>
      <c r="E9" s="1772"/>
      <c r="F9" s="1772"/>
      <c r="G9" s="1772"/>
      <c r="H9" s="1772"/>
      <c r="I9" s="1773"/>
    </row>
    <row r="10" spans="1:11" s="3" customFormat="1" ht="12.75" thickBot="1">
      <c r="A10" s="95" t="s">
        <v>4</v>
      </c>
      <c r="B10" s="63" t="s">
        <v>296</v>
      </c>
      <c r="C10" s="401">
        <f>+C11+C25+C32+C44</f>
        <v>0</v>
      </c>
      <c r="D10" s="1060">
        <f>+D11+D25+D32+D44</f>
        <v>2</v>
      </c>
      <c r="E10" s="131">
        <f>+E11+E25+E32+E44</f>
        <v>2</v>
      </c>
      <c r="F10" s="1315">
        <f>IF(ISERROR(E10/D10),"-",E10/D10)</f>
        <v>1</v>
      </c>
      <c r="G10" s="31">
        <f>+G11+G25+G32+G44</f>
        <v>2</v>
      </c>
      <c r="H10" s="32">
        <f>+H11+H25+H32+H44</f>
        <v>0</v>
      </c>
      <c r="I10" s="33">
        <f>+I11+I25+I32+I44</f>
        <v>0</v>
      </c>
      <c r="K10" s="3">
        <f t="shared" ref="K10:K41" si="0">+E10-G10-H10-I10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061">
        <f>+D12+D19+D20+D21+D22+D23</f>
        <v>0</v>
      </c>
      <c r="E11" s="28">
        <f>+E12+E19+E20+E21+E22+E23</f>
        <v>0</v>
      </c>
      <c r="F11" s="1316" t="str">
        <f t="shared" ref="F11:F74" si="1">IF(ISERROR(E11/D11),"-",E11/D11)</f>
        <v>-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si="0"/>
        <v>0</v>
      </c>
    </row>
    <row r="12" spans="1:11" s="3" customFormat="1">
      <c r="A12" s="84" t="s">
        <v>54</v>
      </c>
      <c r="B12" s="65" t="s">
        <v>298</v>
      </c>
      <c r="C12" s="398">
        <f>+C13+C14+C15+C16+C17+C18</f>
        <v>0</v>
      </c>
      <c r="D12" s="1062">
        <f>+D13+D14+D15+D16+D17+D18</f>
        <v>0</v>
      </c>
      <c r="E12" s="10">
        <f>+E13+E14+E15+E16+E17+E18</f>
        <v>0</v>
      </c>
      <c r="F12" s="1317" t="str">
        <f t="shared" si="1"/>
        <v>-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0"/>
        <v>0</v>
      </c>
    </row>
    <row r="13" spans="1:11" s="13" customFormat="1">
      <c r="A13" s="86" t="s">
        <v>189</v>
      </c>
      <c r="B13" s="66" t="s">
        <v>93</v>
      </c>
      <c r="C13" s="394"/>
      <c r="D13" s="1063"/>
      <c r="E13" s="12"/>
      <c r="F13" s="1318" t="str">
        <f t="shared" si="1"/>
        <v>-</v>
      </c>
      <c r="G13" s="19"/>
      <c r="H13" s="12"/>
      <c r="I13" s="15"/>
      <c r="K13" s="13">
        <f t="shared" si="0"/>
        <v>0</v>
      </c>
    </row>
    <row r="14" spans="1:11" s="13" customFormat="1">
      <c r="A14" s="86" t="s">
        <v>190</v>
      </c>
      <c r="B14" s="66" t="s">
        <v>94</v>
      </c>
      <c r="C14" s="394"/>
      <c r="D14" s="1063"/>
      <c r="E14" s="12"/>
      <c r="F14" s="1318" t="str">
        <f t="shared" si="1"/>
        <v>-</v>
      </c>
      <c r="G14" s="19"/>
      <c r="H14" s="12"/>
      <c r="I14" s="15"/>
      <c r="K14" s="13">
        <f t="shared" si="0"/>
        <v>0</v>
      </c>
    </row>
    <row r="15" spans="1:11" s="13" customFormat="1">
      <c r="A15" s="86" t="s">
        <v>191</v>
      </c>
      <c r="B15" s="66" t="s">
        <v>95</v>
      </c>
      <c r="C15" s="394"/>
      <c r="D15" s="1063"/>
      <c r="E15" s="12"/>
      <c r="F15" s="1318" t="str">
        <f t="shared" si="1"/>
        <v>-</v>
      </c>
      <c r="G15" s="19"/>
      <c r="H15" s="12"/>
      <c r="I15" s="15"/>
      <c r="K15" s="13">
        <f t="shared" si="0"/>
        <v>0</v>
      </c>
    </row>
    <row r="16" spans="1:11" s="13" customFormat="1">
      <c r="A16" s="86" t="s">
        <v>192</v>
      </c>
      <c r="B16" s="66" t="s">
        <v>96</v>
      </c>
      <c r="C16" s="394"/>
      <c r="D16" s="1063"/>
      <c r="E16" s="12"/>
      <c r="F16" s="1318" t="str">
        <f t="shared" si="1"/>
        <v>-</v>
      </c>
      <c r="G16" s="19"/>
      <c r="H16" s="12"/>
      <c r="I16" s="15"/>
      <c r="K16" s="13">
        <f t="shared" si="0"/>
        <v>0</v>
      </c>
    </row>
    <row r="17" spans="1:11" s="13" customFormat="1">
      <c r="A17" s="86" t="s">
        <v>193</v>
      </c>
      <c r="B17" s="66" t="s">
        <v>891</v>
      </c>
      <c r="C17" s="394"/>
      <c r="D17" s="1063"/>
      <c r="E17" s="12"/>
      <c r="F17" s="1319" t="str">
        <f t="shared" si="1"/>
        <v>-</v>
      </c>
      <c r="G17" s="19"/>
      <c r="H17" s="12"/>
      <c r="I17" s="15"/>
      <c r="K17" s="13">
        <f t="shared" si="0"/>
        <v>0</v>
      </c>
    </row>
    <row r="18" spans="1:11" s="13" customFormat="1">
      <c r="A18" s="86" t="s">
        <v>194</v>
      </c>
      <c r="B18" s="66" t="s">
        <v>892</v>
      </c>
      <c r="C18" s="394"/>
      <c r="D18" s="1063"/>
      <c r="E18" s="12"/>
      <c r="F18" s="1319" t="str">
        <f t="shared" si="1"/>
        <v>-</v>
      </c>
      <c r="G18" s="19"/>
      <c r="H18" s="12"/>
      <c r="I18" s="15"/>
      <c r="K18" s="13">
        <f t="shared" si="0"/>
        <v>0</v>
      </c>
    </row>
    <row r="19" spans="1:11">
      <c r="A19" s="85" t="s">
        <v>55</v>
      </c>
      <c r="B19" s="67" t="s">
        <v>97</v>
      </c>
      <c r="C19" s="396"/>
      <c r="D19" s="1064"/>
      <c r="E19" s="11"/>
      <c r="F19" s="1318" t="str">
        <f t="shared" si="1"/>
        <v>-</v>
      </c>
      <c r="G19" s="20"/>
      <c r="H19" s="11"/>
      <c r="I19" s="16"/>
      <c r="K19" s="4">
        <f t="shared" si="0"/>
        <v>0</v>
      </c>
    </row>
    <row r="20" spans="1:11">
      <c r="A20" s="85" t="s">
        <v>83</v>
      </c>
      <c r="B20" s="67" t="s">
        <v>98</v>
      </c>
      <c r="C20" s="396"/>
      <c r="D20" s="1064"/>
      <c r="E20" s="11"/>
      <c r="F20" s="1318" t="str">
        <f t="shared" si="1"/>
        <v>-</v>
      </c>
      <c r="G20" s="20"/>
      <c r="H20" s="11"/>
      <c r="I20" s="16"/>
      <c r="K20" s="4">
        <f t="shared" si="0"/>
        <v>0</v>
      </c>
    </row>
    <row r="21" spans="1:11">
      <c r="A21" s="85" t="s">
        <v>84</v>
      </c>
      <c r="B21" s="67" t="s">
        <v>99</v>
      </c>
      <c r="C21" s="396"/>
      <c r="D21" s="1064"/>
      <c r="E21" s="11"/>
      <c r="F21" s="1318" t="str">
        <f t="shared" si="1"/>
        <v>-</v>
      </c>
      <c r="G21" s="20"/>
      <c r="H21" s="11"/>
      <c r="I21" s="16"/>
      <c r="K21" s="4">
        <f t="shared" si="0"/>
        <v>0</v>
      </c>
    </row>
    <row r="22" spans="1:11">
      <c r="A22" s="85" t="s">
        <v>85</v>
      </c>
      <c r="B22" s="67" t="s">
        <v>100</v>
      </c>
      <c r="C22" s="396"/>
      <c r="D22" s="1064"/>
      <c r="E22" s="11"/>
      <c r="F22" s="1318" t="str">
        <f t="shared" si="1"/>
        <v>-</v>
      </c>
      <c r="G22" s="20"/>
      <c r="H22" s="11"/>
      <c r="I22" s="16"/>
      <c r="K22" s="4">
        <f t="shared" si="0"/>
        <v>0</v>
      </c>
    </row>
    <row r="23" spans="1:11">
      <c r="A23" s="78" t="s">
        <v>86</v>
      </c>
      <c r="B23" s="68" t="s">
        <v>101</v>
      </c>
      <c r="C23" s="397"/>
      <c r="D23" s="1065"/>
      <c r="E23" s="22"/>
      <c r="F23" s="1320" t="str">
        <f t="shared" si="1"/>
        <v>-</v>
      </c>
      <c r="G23" s="21"/>
      <c r="H23" s="22"/>
      <c r="I23" s="23"/>
      <c r="K23" s="4">
        <f t="shared" si="0"/>
        <v>0</v>
      </c>
    </row>
    <row r="24" spans="1:11" s="13" customFormat="1" ht="12.75" thickBot="1">
      <c r="A24" s="89" t="s">
        <v>331</v>
      </c>
      <c r="B24" s="751" t="s">
        <v>332</v>
      </c>
      <c r="C24" s="395"/>
      <c r="D24" s="1066"/>
      <c r="E24" s="43"/>
      <c r="F24" s="1320" t="str">
        <f t="shared" si="1"/>
        <v>-</v>
      </c>
      <c r="G24" s="45"/>
      <c r="H24" s="43"/>
      <c r="I24" s="44"/>
      <c r="K24" s="13">
        <f t="shared" si="0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061">
        <f>+D26+D27+D28+D29+D30+D31</f>
        <v>0</v>
      </c>
      <c r="E25" s="28">
        <f>+E26+E27+E28+E29+E30+E31</f>
        <v>0</v>
      </c>
      <c r="F25" s="1316" t="str">
        <f t="shared" si="1"/>
        <v>-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0"/>
        <v>0</v>
      </c>
    </row>
    <row r="26" spans="1:11" ht="12.75" customHeight="1">
      <c r="A26" s="84" t="s">
        <v>58</v>
      </c>
      <c r="B26" s="65" t="s">
        <v>102</v>
      </c>
      <c r="C26" s="398"/>
      <c r="D26" s="1062"/>
      <c r="E26" s="10"/>
      <c r="F26" s="1317" t="str">
        <f t="shared" si="1"/>
        <v>-</v>
      </c>
      <c r="G26" s="34"/>
      <c r="H26" s="10"/>
      <c r="I26" s="35"/>
      <c r="K26" s="4">
        <f t="shared" si="0"/>
        <v>0</v>
      </c>
    </row>
    <row r="27" spans="1:11" ht="12.75" customHeight="1">
      <c r="A27" s="85" t="s">
        <v>59</v>
      </c>
      <c r="B27" s="67" t="s">
        <v>103</v>
      </c>
      <c r="C27" s="396"/>
      <c r="D27" s="1064"/>
      <c r="E27" s="11"/>
      <c r="F27" s="1318" t="str">
        <f t="shared" si="1"/>
        <v>-</v>
      </c>
      <c r="G27" s="20"/>
      <c r="H27" s="11"/>
      <c r="I27" s="16"/>
      <c r="K27" s="4">
        <f t="shared" si="0"/>
        <v>0</v>
      </c>
    </row>
    <row r="28" spans="1:11" ht="12.75" customHeight="1">
      <c r="A28" s="85" t="s">
        <v>60</v>
      </c>
      <c r="B28" s="67" t="s">
        <v>104</v>
      </c>
      <c r="C28" s="396"/>
      <c r="D28" s="1064"/>
      <c r="E28" s="11"/>
      <c r="F28" s="1318" t="str">
        <f t="shared" si="1"/>
        <v>-</v>
      </c>
      <c r="G28" s="20"/>
      <c r="H28" s="11"/>
      <c r="I28" s="16"/>
      <c r="K28" s="4">
        <f t="shared" si="0"/>
        <v>0</v>
      </c>
    </row>
    <row r="29" spans="1:11" ht="12.75" customHeight="1">
      <c r="A29" s="85" t="s">
        <v>179</v>
      </c>
      <c r="B29" s="67" t="s">
        <v>105</v>
      </c>
      <c r="C29" s="396"/>
      <c r="D29" s="1064"/>
      <c r="E29" s="11"/>
      <c r="F29" s="1318" t="str">
        <f t="shared" si="1"/>
        <v>-</v>
      </c>
      <c r="G29" s="20"/>
      <c r="H29" s="11"/>
      <c r="I29" s="16"/>
      <c r="K29" s="4">
        <f t="shared" si="0"/>
        <v>0</v>
      </c>
    </row>
    <row r="30" spans="1:11" ht="12.75" customHeight="1">
      <c r="A30" s="78" t="s">
        <v>180</v>
      </c>
      <c r="B30" s="68" t="s">
        <v>106</v>
      </c>
      <c r="C30" s="397"/>
      <c r="D30" s="1065"/>
      <c r="E30" s="22"/>
      <c r="F30" s="1320" t="str">
        <f t="shared" si="1"/>
        <v>-</v>
      </c>
      <c r="G30" s="20"/>
      <c r="H30" s="11"/>
      <c r="I30" s="16"/>
      <c r="K30" s="4">
        <f t="shared" si="0"/>
        <v>0</v>
      </c>
    </row>
    <row r="31" spans="1:11" ht="12.75" customHeight="1" thickBot="1">
      <c r="A31" s="78" t="s">
        <v>777</v>
      </c>
      <c r="B31" s="68" t="s">
        <v>779</v>
      </c>
      <c r="C31" s="397"/>
      <c r="D31" s="1065"/>
      <c r="E31" s="22"/>
      <c r="F31" s="1320" t="str">
        <f t="shared" si="1"/>
        <v>-</v>
      </c>
      <c r="G31" s="20"/>
      <c r="H31" s="11"/>
      <c r="I31" s="16"/>
      <c r="K31" s="4">
        <f t="shared" si="0"/>
        <v>0</v>
      </c>
    </row>
    <row r="32" spans="1:11" s="3" customFormat="1" ht="12.75" customHeight="1" thickBot="1">
      <c r="A32" s="83" t="s">
        <v>3</v>
      </c>
      <c r="B32" s="64" t="s">
        <v>964</v>
      </c>
      <c r="C32" s="129">
        <f>+C33+C34+C35+C36+C37+C38+C39+C40+C41+C42+C43</f>
        <v>0</v>
      </c>
      <c r="D32" s="1061">
        <f>+D33+D34+D35+D36+D37+D38+D39+D40+D41+D42+D43</f>
        <v>2</v>
      </c>
      <c r="E32" s="28">
        <f>+E33+E34+E35+E36+E37+E38+E39+E40+E41+E42+E43</f>
        <v>2</v>
      </c>
      <c r="F32" s="1316">
        <f t="shared" si="1"/>
        <v>1</v>
      </c>
      <c r="G32" s="27">
        <f>+G33+G34+G35+G36+G37+G38+G39+G40+G41+G42+G43</f>
        <v>2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0"/>
        <v>0</v>
      </c>
    </row>
    <row r="33" spans="1:11" ht="12.75" customHeight="1">
      <c r="A33" s="84" t="s">
        <v>61</v>
      </c>
      <c r="B33" s="65" t="s">
        <v>1539</v>
      </c>
      <c r="C33" s="398"/>
      <c r="D33" s="1062"/>
      <c r="E33" s="10"/>
      <c r="F33" s="1317" t="str">
        <f t="shared" si="1"/>
        <v>-</v>
      </c>
      <c r="G33" s="34"/>
      <c r="H33" s="10"/>
      <c r="I33" s="35"/>
      <c r="K33" s="4">
        <f t="shared" si="0"/>
        <v>0</v>
      </c>
    </row>
    <row r="34" spans="1:11" ht="12.75" customHeight="1">
      <c r="A34" s="85" t="s">
        <v>62</v>
      </c>
      <c r="B34" s="67" t="s">
        <v>107</v>
      </c>
      <c r="C34" s="396"/>
      <c r="D34" s="1064"/>
      <c r="E34" s="11"/>
      <c r="F34" s="1318" t="str">
        <f t="shared" si="1"/>
        <v>-</v>
      </c>
      <c r="G34" s="20"/>
      <c r="H34" s="11"/>
      <c r="I34" s="16"/>
      <c r="K34" s="4">
        <f t="shared" si="0"/>
        <v>0</v>
      </c>
    </row>
    <row r="35" spans="1:11" ht="12.75" customHeight="1">
      <c r="A35" s="85" t="s">
        <v>63</v>
      </c>
      <c r="B35" s="67" t="s">
        <v>108</v>
      </c>
      <c r="C35" s="396"/>
      <c r="D35" s="1064"/>
      <c r="E35" s="11"/>
      <c r="F35" s="1318" t="str">
        <f t="shared" si="1"/>
        <v>-</v>
      </c>
      <c r="G35" s="20"/>
      <c r="H35" s="11"/>
      <c r="I35" s="16"/>
      <c r="K35" s="4">
        <f t="shared" si="0"/>
        <v>0</v>
      </c>
    </row>
    <row r="36" spans="1:11" ht="12.75" customHeight="1">
      <c r="A36" s="85" t="s">
        <v>64</v>
      </c>
      <c r="B36" s="67" t="s">
        <v>109</v>
      </c>
      <c r="C36" s="396"/>
      <c r="D36" s="1064"/>
      <c r="E36" s="11"/>
      <c r="F36" s="1318" t="str">
        <f t="shared" si="1"/>
        <v>-</v>
      </c>
      <c r="G36" s="20"/>
      <c r="H36" s="11"/>
      <c r="I36" s="16"/>
      <c r="K36" s="4">
        <f t="shared" si="0"/>
        <v>0</v>
      </c>
    </row>
    <row r="37" spans="1:11" ht="12.75" customHeight="1">
      <c r="A37" s="85" t="s">
        <v>65</v>
      </c>
      <c r="B37" s="67" t="s">
        <v>110</v>
      </c>
      <c r="C37" s="396"/>
      <c r="D37" s="1064"/>
      <c r="E37" s="11"/>
      <c r="F37" s="1318" t="str">
        <f t="shared" si="1"/>
        <v>-</v>
      </c>
      <c r="G37" s="20"/>
      <c r="H37" s="11"/>
      <c r="I37" s="16"/>
      <c r="K37" s="4">
        <f t="shared" si="0"/>
        <v>0</v>
      </c>
    </row>
    <row r="38" spans="1:11" ht="12.75" customHeight="1">
      <c r="A38" s="85" t="s">
        <v>221</v>
      </c>
      <c r="B38" s="67" t="s">
        <v>111</v>
      </c>
      <c r="C38" s="396"/>
      <c r="D38" s="1064"/>
      <c r="E38" s="11"/>
      <c r="F38" s="1318" t="str">
        <f t="shared" si="1"/>
        <v>-</v>
      </c>
      <c r="G38" s="20"/>
      <c r="H38" s="11"/>
      <c r="I38" s="16"/>
      <c r="K38" s="4">
        <f t="shared" si="0"/>
        <v>0</v>
      </c>
    </row>
    <row r="39" spans="1:11" ht="12.75" customHeight="1">
      <c r="A39" s="85" t="s">
        <v>222</v>
      </c>
      <c r="B39" s="67" t="s">
        <v>112</v>
      </c>
      <c r="C39" s="396"/>
      <c r="D39" s="1064"/>
      <c r="E39" s="11"/>
      <c r="F39" s="1318" t="str">
        <f t="shared" si="1"/>
        <v>-</v>
      </c>
      <c r="G39" s="20"/>
      <c r="H39" s="11"/>
      <c r="I39" s="16"/>
      <c r="K39" s="4">
        <f t="shared" si="0"/>
        <v>0</v>
      </c>
    </row>
    <row r="40" spans="1:11" ht="12.75" customHeight="1">
      <c r="A40" s="85" t="s">
        <v>223</v>
      </c>
      <c r="B40" s="67" t="s">
        <v>974</v>
      </c>
      <c r="C40" s="396"/>
      <c r="D40" s="1064"/>
      <c r="E40" s="11"/>
      <c r="F40" s="1318" t="str">
        <f t="shared" si="1"/>
        <v>-</v>
      </c>
      <c r="G40" s="20"/>
      <c r="H40" s="11"/>
      <c r="I40" s="16"/>
      <c r="K40" s="4">
        <f t="shared" si="0"/>
        <v>0</v>
      </c>
    </row>
    <row r="41" spans="1:11" ht="12.75" customHeight="1">
      <c r="A41" s="85" t="s">
        <v>224</v>
      </c>
      <c r="B41" s="67" t="s">
        <v>113</v>
      </c>
      <c r="C41" s="396"/>
      <c r="D41" s="1064"/>
      <c r="E41" s="11"/>
      <c r="F41" s="1318" t="str">
        <f t="shared" si="1"/>
        <v>-</v>
      </c>
      <c r="G41" s="20"/>
      <c r="H41" s="11"/>
      <c r="I41" s="16"/>
      <c r="K41" s="4">
        <f t="shared" si="0"/>
        <v>0</v>
      </c>
    </row>
    <row r="42" spans="1:11" ht="12.75" customHeight="1">
      <c r="A42" s="78" t="s">
        <v>225</v>
      </c>
      <c r="B42" s="68" t="s">
        <v>894</v>
      </c>
      <c r="C42" s="396"/>
      <c r="D42" s="1064"/>
      <c r="E42" s="11"/>
      <c r="F42" s="1318" t="str">
        <f t="shared" si="1"/>
        <v>-</v>
      </c>
      <c r="G42" s="20"/>
      <c r="H42" s="11"/>
      <c r="I42" s="16"/>
      <c r="K42" s="4">
        <f t="shared" ref="K42:K73" si="2">+E42-G42-H42-I42</f>
        <v>0</v>
      </c>
    </row>
    <row r="43" spans="1:11" ht="12.75" customHeight="1" thickBot="1">
      <c r="A43" s="78" t="s">
        <v>893</v>
      </c>
      <c r="B43" s="68" t="s">
        <v>895</v>
      </c>
      <c r="C43" s="397"/>
      <c r="D43" s="1065">
        <v>2</v>
      </c>
      <c r="E43" s="22">
        <v>2</v>
      </c>
      <c r="F43" s="1320">
        <f t="shared" si="1"/>
        <v>1</v>
      </c>
      <c r="G43" s="21">
        <v>2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965</v>
      </c>
      <c r="C44" s="129">
        <f>+C45+C46+C47+C48+C49</f>
        <v>0</v>
      </c>
      <c r="D44" s="1061">
        <f>+D45+D46+D47+D48+D49</f>
        <v>0</v>
      </c>
      <c r="E44" s="28">
        <f>+E45+E46+E47+E48+E49</f>
        <v>0</v>
      </c>
      <c r="F44" s="1316" t="str">
        <f t="shared" si="1"/>
        <v>-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398"/>
      <c r="D45" s="1062"/>
      <c r="E45" s="10"/>
      <c r="F45" s="1317" t="str">
        <f t="shared" si="1"/>
        <v>-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896</v>
      </c>
      <c r="C46" s="398"/>
      <c r="D46" s="1062"/>
      <c r="E46" s="10"/>
      <c r="F46" s="1317" t="str">
        <f t="shared" si="1"/>
        <v>-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897</v>
      </c>
      <c r="C47" s="398"/>
      <c r="D47" s="1062"/>
      <c r="E47" s="10"/>
      <c r="F47" s="1317" t="str">
        <f t="shared" si="1"/>
        <v>-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898</v>
      </c>
      <c r="C48" s="396"/>
      <c r="D48" s="1064"/>
      <c r="E48" s="11"/>
      <c r="F48" s="1318" t="str">
        <f t="shared" si="1"/>
        <v>-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899</v>
      </c>
      <c r="C49" s="397"/>
      <c r="D49" s="1065"/>
      <c r="E49" s="22"/>
      <c r="F49" s="1320" t="str">
        <f t="shared" si="1"/>
        <v>-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061">
        <f>+D51+D58+D64</f>
        <v>0</v>
      </c>
      <c r="E50" s="28">
        <f>+E51+E58+E64</f>
        <v>0</v>
      </c>
      <c r="F50" s="1316" t="str">
        <f t="shared" si="1"/>
        <v>-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061">
        <f>+D52+D53+D54+D55+D56</f>
        <v>0</v>
      </c>
      <c r="E51" s="28">
        <f>+E52+E53+E54+E55+E56</f>
        <v>0</v>
      </c>
      <c r="F51" s="1316" t="str">
        <f t="shared" si="1"/>
        <v>-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398"/>
      <c r="D52" s="1062"/>
      <c r="E52" s="10"/>
      <c r="F52" s="1317" t="str">
        <f t="shared" si="1"/>
        <v>-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396"/>
      <c r="D53" s="1064"/>
      <c r="E53" s="11"/>
      <c r="F53" s="1318" t="str">
        <f t="shared" si="1"/>
        <v>-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396"/>
      <c r="D54" s="1064"/>
      <c r="E54" s="11"/>
      <c r="F54" s="1318" t="str">
        <f t="shared" si="1"/>
        <v>-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396"/>
      <c r="D55" s="1064"/>
      <c r="E55" s="11"/>
      <c r="F55" s="1318" t="str">
        <f t="shared" si="1"/>
        <v>-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397"/>
      <c r="D56" s="1065"/>
      <c r="E56" s="22"/>
      <c r="F56" s="1320" t="str">
        <f t="shared" si="1"/>
        <v>-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51" t="s">
        <v>337</v>
      </c>
      <c r="C57" s="395"/>
      <c r="D57" s="1066"/>
      <c r="E57" s="43"/>
      <c r="F57" s="1320" t="str">
        <f t="shared" si="1"/>
        <v>-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061">
        <f>+D59+D60+D61+D62+D63</f>
        <v>0</v>
      </c>
      <c r="E58" s="28">
        <f>+E59+E60+E61+E62+E63</f>
        <v>0</v>
      </c>
      <c r="F58" s="1316" t="str">
        <f t="shared" si="1"/>
        <v>-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398"/>
      <c r="D59" s="1062"/>
      <c r="E59" s="10"/>
      <c r="F59" s="1317" t="str">
        <f t="shared" si="1"/>
        <v>-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396"/>
      <c r="D60" s="1064"/>
      <c r="E60" s="11"/>
      <c r="F60" s="1318" t="str">
        <f t="shared" si="1"/>
        <v>-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396"/>
      <c r="D61" s="1064"/>
      <c r="E61" s="11"/>
      <c r="F61" s="1318" t="str">
        <f t="shared" si="1"/>
        <v>-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396"/>
      <c r="D62" s="1064"/>
      <c r="E62" s="11"/>
      <c r="F62" s="1318" t="str">
        <f t="shared" si="1"/>
        <v>-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397"/>
      <c r="D63" s="1065"/>
      <c r="E63" s="22"/>
      <c r="F63" s="1320" t="str">
        <f t="shared" si="1"/>
        <v>-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903</v>
      </c>
      <c r="C64" s="129">
        <f>+C65+C66+C67+C68+C69</f>
        <v>0</v>
      </c>
      <c r="D64" s="1061">
        <f>+D65+D66+D67+D68+D69</f>
        <v>0</v>
      </c>
      <c r="E64" s="28">
        <f>+E65+E66+E67+E68+E69</f>
        <v>0</v>
      </c>
      <c r="F64" s="1316" t="str">
        <f t="shared" si="1"/>
        <v>-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4">
      <c r="A65" s="84" t="s">
        <v>69</v>
      </c>
      <c r="B65" s="65" t="s">
        <v>125</v>
      </c>
      <c r="C65" s="398"/>
      <c r="D65" s="1062"/>
      <c r="E65" s="10"/>
      <c r="F65" s="1317" t="str">
        <f t="shared" si="1"/>
        <v>-</v>
      </c>
      <c r="G65" s="34"/>
      <c r="H65" s="10"/>
      <c r="I65" s="35"/>
      <c r="K65" s="4">
        <f t="shared" si="2"/>
        <v>0</v>
      </c>
    </row>
    <row r="66" spans="1:14">
      <c r="A66" s="84" t="s">
        <v>70</v>
      </c>
      <c r="B66" s="65" t="s">
        <v>904</v>
      </c>
      <c r="C66" s="398"/>
      <c r="D66" s="1062"/>
      <c r="E66" s="10"/>
      <c r="F66" s="1317" t="str">
        <f t="shared" si="1"/>
        <v>-</v>
      </c>
      <c r="G66" s="34"/>
      <c r="H66" s="10"/>
      <c r="I66" s="35"/>
      <c r="K66" s="4">
        <f t="shared" si="2"/>
        <v>0</v>
      </c>
    </row>
    <row r="67" spans="1:14">
      <c r="A67" s="84" t="s">
        <v>71</v>
      </c>
      <c r="B67" s="65" t="s">
        <v>905</v>
      </c>
      <c r="C67" s="398"/>
      <c r="D67" s="1062"/>
      <c r="E67" s="10"/>
      <c r="F67" s="1317" t="str">
        <f t="shared" si="1"/>
        <v>-</v>
      </c>
      <c r="G67" s="34"/>
      <c r="H67" s="10"/>
      <c r="I67" s="35"/>
      <c r="K67" s="4">
        <f t="shared" si="2"/>
        <v>0</v>
      </c>
    </row>
    <row r="68" spans="1:14">
      <c r="A68" s="85" t="s">
        <v>72</v>
      </c>
      <c r="B68" s="67" t="s">
        <v>901</v>
      </c>
      <c r="C68" s="396"/>
      <c r="D68" s="1064"/>
      <c r="E68" s="11"/>
      <c r="F68" s="1318" t="str">
        <f t="shared" si="1"/>
        <v>-</v>
      </c>
      <c r="G68" s="20"/>
      <c r="H68" s="11"/>
      <c r="I68" s="16"/>
      <c r="K68" s="4">
        <f t="shared" si="2"/>
        <v>0</v>
      </c>
    </row>
    <row r="69" spans="1:14" ht="12.75" thickBot="1">
      <c r="A69" s="78" t="s">
        <v>900</v>
      </c>
      <c r="B69" s="68" t="s">
        <v>902</v>
      </c>
      <c r="C69" s="397"/>
      <c r="D69" s="1065"/>
      <c r="E69" s="22"/>
      <c r="F69" s="1320" t="str">
        <f t="shared" si="1"/>
        <v>-</v>
      </c>
      <c r="G69" s="21"/>
      <c r="H69" s="22"/>
      <c r="I69" s="23"/>
      <c r="K69" s="4">
        <f t="shared" si="2"/>
        <v>0</v>
      </c>
    </row>
    <row r="70" spans="1:14" s="3" customFormat="1" ht="12.75" thickBot="1">
      <c r="A70" s="83" t="s">
        <v>11</v>
      </c>
      <c r="B70" s="69" t="s">
        <v>302</v>
      </c>
      <c r="C70" s="129">
        <f>+C10+C50</f>
        <v>0</v>
      </c>
      <c r="D70" s="1061">
        <f>+D10+D50</f>
        <v>2</v>
      </c>
      <c r="E70" s="28">
        <f>+E10+E50</f>
        <v>2</v>
      </c>
      <c r="F70" s="1316">
        <f t="shared" si="1"/>
        <v>1</v>
      </c>
      <c r="G70" s="27">
        <f>+G10+G50</f>
        <v>2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4" s="3" customFormat="1" ht="12.75" thickBot="1">
      <c r="A71" s="83" t="s">
        <v>10</v>
      </c>
      <c r="B71" s="70" t="s">
        <v>303</v>
      </c>
      <c r="C71" s="129">
        <f>+C72</f>
        <v>83600</v>
      </c>
      <c r="D71" s="1061">
        <f>+D72</f>
        <v>96590</v>
      </c>
      <c r="E71" s="28">
        <f>+E72</f>
        <v>96567</v>
      </c>
      <c r="F71" s="1316">
        <f t="shared" si="1"/>
        <v>0.99976188011181277</v>
      </c>
      <c r="G71" s="27">
        <f>+G72</f>
        <v>96567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4" s="3" customFormat="1" ht="12.75" thickBot="1">
      <c r="A72" s="83" t="s">
        <v>9</v>
      </c>
      <c r="B72" s="64" t="s">
        <v>912</v>
      </c>
      <c r="C72" s="129">
        <f>+C73+C83+C84+C85</f>
        <v>83600</v>
      </c>
      <c r="D72" s="1061">
        <f>+D73+D83+D84+D85</f>
        <v>96590</v>
      </c>
      <c r="E72" s="28">
        <f>+E73+E83+E84+E85</f>
        <v>96567</v>
      </c>
      <c r="F72" s="1316">
        <f t="shared" si="1"/>
        <v>0.99976188011181277</v>
      </c>
      <c r="G72" s="27">
        <f>+G73+G83+G84+G85</f>
        <v>96567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4">
      <c r="A73" s="84" t="s">
        <v>73</v>
      </c>
      <c r="B73" s="65" t="s">
        <v>907</v>
      </c>
      <c r="C73" s="398">
        <f>+C74+C75+C76+C77+C78+C79+C80+C81+C82</f>
        <v>83600</v>
      </c>
      <c r="D73" s="1062">
        <f>+D74+D75+D76+D77+D78+D79+D80+D81+D82</f>
        <v>96590</v>
      </c>
      <c r="E73" s="10">
        <f>+E74+E75+E76+E77+E78+E79+E80+E81+E82</f>
        <v>96567</v>
      </c>
      <c r="F73" s="1317">
        <f t="shared" si="1"/>
        <v>0.99976188011181277</v>
      </c>
      <c r="G73" s="34">
        <f>+G74+G75+G76+G77+G78+G79+G80+G81+G82</f>
        <v>96567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4" s="13" customFormat="1">
      <c r="A74" s="86" t="s">
        <v>195</v>
      </c>
      <c r="B74" s="66" t="s">
        <v>906</v>
      </c>
      <c r="C74" s="394"/>
      <c r="D74" s="1063"/>
      <c r="E74" s="12"/>
      <c r="F74" s="1318" t="str">
        <f t="shared" si="1"/>
        <v>-</v>
      </c>
      <c r="G74" s="19"/>
      <c r="H74" s="12"/>
      <c r="I74" s="15"/>
      <c r="K74" s="13">
        <f t="shared" ref="K74:K102" si="3">+E74-G74-H74-I74</f>
        <v>0</v>
      </c>
    </row>
    <row r="75" spans="1:14" s="13" customFormat="1">
      <c r="A75" s="86" t="s">
        <v>196</v>
      </c>
      <c r="B75" s="66" t="s">
        <v>246</v>
      </c>
      <c r="C75" s="394"/>
      <c r="D75" s="1063"/>
      <c r="E75" s="12"/>
      <c r="F75" s="1318" t="str">
        <f t="shared" ref="F75:F102" si="4">IF(ISERROR(E75/D75),"-",E75/D75)</f>
        <v>-</v>
      </c>
      <c r="G75" s="19"/>
      <c r="H75" s="12"/>
      <c r="I75" s="15"/>
      <c r="K75" s="13">
        <f t="shared" si="3"/>
        <v>0</v>
      </c>
    </row>
    <row r="76" spans="1:14" s="13" customFormat="1">
      <c r="A76" s="86" t="s">
        <v>197</v>
      </c>
      <c r="B76" s="66" t="s">
        <v>247</v>
      </c>
      <c r="C76" s="394"/>
      <c r="D76" s="1063">
        <v>40</v>
      </c>
      <c r="E76" s="12">
        <v>40</v>
      </c>
      <c r="F76" s="1318">
        <f t="shared" si="4"/>
        <v>1</v>
      </c>
      <c r="G76" s="19">
        <v>40</v>
      </c>
      <c r="H76" s="12"/>
      <c r="I76" s="15"/>
      <c r="K76" s="13">
        <f t="shared" si="3"/>
        <v>0</v>
      </c>
    </row>
    <row r="77" spans="1:14" s="13" customFormat="1">
      <c r="A77" s="86" t="s">
        <v>198</v>
      </c>
      <c r="B77" s="66" t="s">
        <v>248</v>
      </c>
      <c r="C77" s="394"/>
      <c r="D77" s="1063"/>
      <c r="E77" s="12"/>
      <c r="F77" s="1318" t="str">
        <f t="shared" si="4"/>
        <v>-</v>
      </c>
      <c r="G77" s="19"/>
      <c r="H77" s="12"/>
      <c r="I77" s="15"/>
      <c r="K77" s="13">
        <f t="shared" si="3"/>
        <v>0</v>
      </c>
    </row>
    <row r="78" spans="1:14" s="13" customFormat="1">
      <c r="A78" s="86" t="s">
        <v>199</v>
      </c>
      <c r="B78" s="66" t="s">
        <v>249</v>
      </c>
      <c r="C78" s="394"/>
      <c r="D78" s="1063"/>
      <c r="E78" s="12"/>
      <c r="F78" s="1318" t="str">
        <f t="shared" si="4"/>
        <v>-</v>
      </c>
      <c r="G78" s="19"/>
      <c r="H78" s="12"/>
      <c r="I78" s="15"/>
      <c r="K78" s="13">
        <f t="shared" si="3"/>
        <v>0</v>
      </c>
    </row>
    <row r="79" spans="1:14" s="13" customFormat="1">
      <c r="A79" s="108" t="s">
        <v>200</v>
      </c>
      <c r="B79" s="109" t="s">
        <v>250</v>
      </c>
      <c r="C79" s="394">
        <f>+C109-C10+C178-C74-C75-C76-C77-C78-C80-C81-C83-C84-C85</f>
        <v>83600</v>
      </c>
      <c r="D79" s="1063">
        <f>+D109-D10+D178-D74-D75-D76-D77-D78-D80-D81-D83-D84-D85</f>
        <v>96550</v>
      </c>
      <c r="E79" s="1063">
        <f>112180-E94</f>
        <v>96527</v>
      </c>
      <c r="F79" s="1296">
        <f t="shared" si="4"/>
        <v>0.99976178146038319</v>
      </c>
      <c r="G79" s="19">
        <v>96527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3"/>
        <v>0</v>
      </c>
      <c r="M79" s="13">
        <v>112203</v>
      </c>
      <c r="N79" s="13">
        <v>112180</v>
      </c>
    </row>
    <row r="80" spans="1:14" s="13" customFormat="1">
      <c r="A80" s="86" t="s">
        <v>203</v>
      </c>
      <c r="B80" s="66" t="s">
        <v>251</v>
      </c>
      <c r="C80" s="394"/>
      <c r="D80" s="1063"/>
      <c r="E80" s="12"/>
      <c r="F80" s="1318" t="str">
        <f t="shared" si="4"/>
        <v>-</v>
      </c>
      <c r="G80" s="19"/>
      <c r="H80" s="12"/>
      <c r="I80" s="15"/>
      <c r="K80" s="117">
        <f t="shared" si="3"/>
        <v>0</v>
      </c>
      <c r="M80" s="13">
        <f>+M79-D79-D94</f>
        <v>0</v>
      </c>
      <c r="N80" s="13">
        <f>+N79-E79-E94</f>
        <v>0</v>
      </c>
    </row>
    <row r="81" spans="1:11" s="13" customFormat="1">
      <c r="A81" s="86" t="s">
        <v>201</v>
      </c>
      <c r="B81" s="66" t="s">
        <v>244</v>
      </c>
      <c r="C81" s="394"/>
      <c r="D81" s="1063"/>
      <c r="E81" s="12"/>
      <c r="F81" s="1318" t="str">
        <f t="shared" si="4"/>
        <v>-</v>
      </c>
      <c r="G81" s="19"/>
      <c r="H81" s="12"/>
      <c r="I81" s="15"/>
      <c r="K81" s="117">
        <f t="shared" si="3"/>
        <v>0</v>
      </c>
    </row>
    <row r="82" spans="1:11" s="13" customFormat="1">
      <c r="A82" s="86" t="s">
        <v>908</v>
      </c>
      <c r="B82" s="66" t="s">
        <v>909</v>
      </c>
      <c r="C82" s="394"/>
      <c r="D82" s="1063"/>
      <c r="E82" s="12"/>
      <c r="F82" s="1318" t="str">
        <f t="shared" si="4"/>
        <v>-</v>
      </c>
      <c r="G82" s="19"/>
      <c r="H82" s="12"/>
      <c r="I82" s="15"/>
      <c r="K82" s="117">
        <f t="shared" si="3"/>
        <v>0</v>
      </c>
    </row>
    <row r="83" spans="1:11">
      <c r="A83" s="85" t="s">
        <v>74</v>
      </c>
      <c r="B83" s="67" t="s">
        <v>242</v>
      </c>
      <c r="C83" s="396"/>
      <c r="D83" s="1064"/>
      <c r="E83" s="11"/>
      <c r="F83" s="1318" t="str">
        <f t="shared" si="4"/>
        <v>-</v>
      </c>
      <c r="G83" s="20"/>
      <c r="H83" s="11"/>
      <c r="I83" s="16"/>
      <c r="K83" s="118">
        <f t="shared" si="3"/>
        <v>0</v>
      </c>
    </row>
    <row r="84" spans="1:11">
      <c r="A84" s="78" t="s">
        <v>202</v>
      </c>
      <c r="B84" s="68" t="s">
        <v>243</v>
      </c>
      <c r="C84" s="397"/>
      <c r="D84" s="1065"/>
      <c r="E84" s="22"/>
      <c r="F84" s="1320" t="str">
        <f t="shared" si="4"/>
        <v>-</v>
      </c>
      <c r="G84" s="21"/>
      <c r="H84" s="22"/>
      <c r="I84" s="23"/>
      <c r="K84" s="118">
        <f t="shared" si="3"/>
        <v>0</v>
      </c>
    </row>
    <row r="85" spans="1:11" ht="12.75" thickBot="1">
      <c r="A85" s="78" t="s">
        <v>910</v>
      </c>
      <c r="B85" s="68" t="s">
        <v>911</v>
      </c>
      <c r="C85" s="397"/>
      <c r="D85" s="1065"/>
      <c r="E85" s="22"/>
      <c r="F85" s="1320" t="str">
        <f t="shared" si="4"/>
        <v>-</v>
      </c>
      <c r="G85" s="21"/>
      <c r="H85" s="22"/>
      <c r="I85" s="23"/>
      <c r="K85" s="118">
        <f t="shared" si="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0</v>
      </c>
      <c r="D86" s="1061">
        <f>+D87</f>
        <v>15653</v>
      </c>
      <c r="E86" s="28">
        <f>+E87</f>
        <v>15653</v>
      </c>
      <c r="F86" s="1316">
        <f t="shared" si="4"/>
        <v>1</v>
      </c>
      <c r="G86" s="27">
        <f>+G87</f>
        <v>15653</v>
      </c>
      <c r="H86" s="28">
        <f>+H87</f>
        <v>0</v>
      </c>
      <c r="I86" s="29">
        <f>+I87</f>
        <v>0</v>
      </c>
      <c r="K86" s="119">
        <f t="shared" si="3"/>
        <v>0</v>
      </c>
    </row>
    <row r="87" spans="1:11" s="3" customFormat="1" ht="12.75" thickBot="1">
      <c r="A87" s="83" t="s">
        <v>44</v>
      </c>
      <c r="B87" s="64" t="s">
        <v>914</v>
      </c>
      <c r="C87" s="129">
        <f>+C88+C98+C99+C100</f>
        <v>0</v>
      </c>
      <c r="D87" s="1061">
        <f>+D88+D98+D99+D100</f>
        <v>15653</v>
      </c>
      <c r="E87" s="28">
        <f>+E88+E98+E99+E100</f>
        <v>15653</v>
      </c>
      <c r="F87" s="1316">
        <f t="shared" si="4"/>
        <v>1</v>
      </c>
      <c r="G87" s="27">
        <f>+G88+G98+G99+G100</f>
        <v>15653</v>
      </c>
      <c r="H87" s="28">
        <f>+H88+H98+H99+H100</f>
        <v>0</v>
      </c>
      <c r="I87" s="29">
        <f>+I88+I98+I99+I100</f>
        <v>0</v>
      </c>
      <c r="K87" s="119">
        <f t="shared" si="3"/>
        <v>0</v>
      </c>
    </row>
    <row r="88" spans="1:11">
      <c r="A88" s="84" t="s">
        <v>231</v>
      </c>
      <c r="B88" s="65" t="s">
        <v>966</v>
      </c>
      <c r="C88" s="398">
        <f>+C89+C90+C91+C92+C93+C94+C95+C96+C97</f>
        <v>0</v>
      </c>
      <c r="D88" s="1062">
        <f>+D89+D90+D91+D92+D93+D94+D95+D96+D97</f>
        <v>15653</v>
      </c>
      <c r="E88" s="10">
        <f>+E89+E90+E91+E92+E93+E94+E95+E96+E97</f>
        <v>15653</v>
      </c>
      <c r="F88" s="1317">
        <f t="shared" si="4"/>
        <v>1</v>
      </c>
      <c r="G88" s="34">
        <f>+G89+G90+G91+G92+G93+G94+G95+G96+G97</f>
        <v>15653</v>
      </c>
      <c r="H88" s="10">
        <f>+H89+H90+H91+H92+H93+H94+H95+H96+H97</f>
        <v>0</v>
      </c>
      <c r="I88" s="35">
        <f>+I89+I90+I91+I92+I93+I94+I95+I96+I97</f>
        <v>0</v>
      </c>
      <c r="K88" s="118">
        <f t="shared" si="3"/>
        <v>0</v>
      </c>
    </row>
    <row r="89" spans="1:11" s="13" customFormat="1">
      <c r="A89" s="86" t="s">
        <v>232</v>
      </c>
      <c r="B89" s="66" t="s">
        <v>906</v>
      </c>
      <c r="C89" s="394"/>
      <c r="D89" s="1063"/>
      <c r="E89" s="12"/>
      <c r="F89" s="1318" t="str">
        <f t="shared" si="4"/>
        <v>-</v>
      </c>
      <c r="G89" s="19"/>
      <c r="H89" s="12"/>
      <c r="I89" s="15"/>
      <c r="K89" s="117">
        <f t="shared" si="3"/>
        <v>0</v>
      </c>
    </row>
    <row r="90" spans="1:11" s="13" customFormat="1">
      <c r="A90" s="86" t="s">
        <v>233</v>
      </c>
      <c r="B90" s="66" t="s">
        <v>246</v>
      </c>
      <c r="C90" s="394"/>
      <c r="D90" s="1063"/>
      <c r="E90" s="12"/>
      <c r="F90" s="1318" t="str">
        <f t="shared" si="4"/>
        <v>-</v>
      </c>
      <c r="G90" s="19"/>
      <c r="H90" s="12"/>
      <c r="I90" s="15"/>
      <c r="K90" s="117">
        <f t="shared" si="3"/>
        <v>0</v>
      </c>
    </row>
    <row r="91" spans="1:11" s="13" customFormat="1">
      <c r="A91" s="86" t="s">
        <v>234</v>
      </c>
      <c r="B91" s="66" t="s">
        <v>247</v>
      </c>
      <c r="C91" s="394"/>
      <c r="D91" s="1063"/>
      <c r="E91" s="12"/>
      <c r="F91" s="1318" t="str">
        <f t="shared" si="4"/>
        <v>-</v>
      </c>
      <c r="G91" s="19"/>
      <c r="H91" s="12"/>
      <c r="I91" s="15"/>
      <c r="K91" s="117">
        <f t="shared" si="3"/>
        <v>0</v>
      </c>
    </row>
    <row r="92" spans="1:11" s="13" customFormat="1">
      <c r="A92" s="86" t="s">
        <v>235</v>
      </c>
      <c r="B92" s="66" t="s">
        <v>248</v>
      </c>
      <c r="C92" s="394"/>
      <c r="D92" s="1063"/>
      <c r="E92" s="12"/>
      <c r="F92" s="1318" t="str">
        <f t="shared" si="4"/>
        <v>-</v>
      </c>
      <c r="G92" s="19"/>
      <c r="H92" s="12"/>
      <c r="I92" s="15"/>
      <c r="K92" s="117">
        <f t="shared" si="3"/>
        <v>0</v>
      </c>
    </row>
    <row r="93" spans="1:11" s="13" customFormat="1">
      <c r="A93" s="86" t="s">
        <v>236</v>
      </c>
      <c r="B93" s="66" t="s">
        <v>249</v>
      </c>
      <c r="C93" s="394"/>
      <c r="D93" s="1063"/>
      <c r="E93" s="12"/>
      <c r="F93" s="1318" t="str">
        <f t="shared" si="4"/>
        <v>-</v>
      </c>
      <c r="G93" s="19"/>
      <c r="H93" s="12"/>
      <c r="I93" s="15"/>
      <c r="K93" s="117">
        <f t="shared" si="3"/>
        <v>0</v>
      </c>
    </row>
    <row r="94" spans="1:11" s="13" customFormat="1">
      <c r="A94" s="108" t="s">
        <v>237</v>
      </c>
      <c r="B94" s="109" t="s">
        <v>250</v>
      </c>
      <c r="C94" s="394">
        <f>+C149-C50+C192-C89-C90-C91-C92-C93-C95-C96-C98-C99-C100</f>
        <v>0</v>
      </c>
      <c r="D94" s="1063">
        <f>+D149-D50+D192-D89-D90-D91-D92-D93-D95-D96-D98-D99-D100</f>
        <v>15653</v>
      </c>
      <c r="E94" s="12">
        <f>+E149-E50+E192-E89-E90-E91-E92-E93-E95-E96-E98-E99-E100</f>
        <v>15653</v>
      </c>
      <c r="F94" s="1319">
        <f t="shared" si="4"/>
        <v>1</v>
      </c>
      <c r="G94" s="19">
        <f>+G149-G50+G192-G89-G90-G91-G92-G93-G95-G96-G98-G99-G100</f>
        <v>15653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3"/>
        <v>0</v>
      </c>
    </row>
    <row r="95" spans="1:11" s="13" customFormat="1">
      <c r="A95" s="86" t="s">
        <v>238</v>
      </c>
      <c r="B95" s="66" t="s">
        <v>251</v>
      </c>
      <c r="C95" s="394"/>
      <c r="D95" s="1063"/>
      <c r="E95" s="12"/>
      <c r="F95" s="1318" t="str">
        <f t="shared" si="4"/>
        <v>-</v>
      </c>
      <c r="G95" s="19"/>
      <c r="H95" s="12"/>
      <c r="I95" s="15"/>
      <c r="K95" s="13">
        <f t="shared" si="3"/>
        <v>0</v>
      </c>
    </row>
    <row r="96" spans="1:11" s="13" customFormat="1">
      <c r="A96" s="86" t="s">
        <v>239</v>
      </c>
      <c r="B96" s="66" t="s">
        <v>244</v>
      </c>
      <c r="C96" s="394"/>
      <c r="D96" s="1063"/>
      <c r="E96" s="12"/>
      <c r="F96" s="1318" t="str">
        <f t="shared" si="4"/>
        <v>-</v>
      </c>
      <c r="G96" s="19"/>
      <c r="H96" s="12"/>
      <c r="I96" s="15"/>
      <c r="K96" s="13">
        <f t="shared" si="3"/>
        <v>0</v>
      </c>
    </row>
    <row r="97" spans="1:11" s="13" customFormat="1">
      <c r="A97" s="86" t="s">
        <v>913</v>
      </c>
      <c r="B97" s="66" t="s">
        <v>909</v>
      </c>
      <c r="C97" s="394"/>
      <c r="D97" s="1063"/>
      <c r="E97" s="12"/>
      <c r="F97" s="1318" t="str">
        <f t="shared" si="4"/>
        <v>-</v>
      </c>
      <c r="G97" s="19"/>
      <c r="H97" s="12"/>
      <c r="I97" s="15"/>
      <c r="K97" s="13">
        <f t="shared" si="3"/>
        <v>0</v>
      </c>
    </row>
    <row r="98" spans="1:11">
      <c r="A98" s="85" t="s">
        <v>240</v>
      </c>
      <c r="B98" s="67" t="s">
        <v>242</v>
      </c>
      <c r="C98" s="396"/>
      <c r="D98" s="1064"/>
      <c r="E98" s="11"/>
      <c r="F98" s="1318" t="str">
        <f t="shared" si="4"/>
        <v>-</v>
      </c>
      <c r="G98" s="20"/>
      <c r="H98" s="11"/>
      <c r="I98" s="16"/>
      <c r="K98" s="4">
        <f t="shared" si="3"/>
        <v>0</v>
      </c>
    </row>
    <row r="99" spans="1:11">
      <c r="A99" s="78" t="s">
        <v>241</v>
      </c>
      <c r="B99" s="68" t="s">
        <v>243</v>
      </c>
      <c r="C99" s="397"/>
      <c r="D99" s="1065"/>
      <c r="E99" s="22"/>
      <c r="F99" s="1320" t="str">
        <f t="shared" si="4"/>
        <v>-</v>
      </c>
      <c r="G99" s="21"/>
      <c r="H99" s="22"/>
      <c r="I99" s="23"/>
      <c r="K99" s="4">
        <f t="shared" si="3"/>
        <v>0</v>
      </c>
    </row>
    <row r="100" spans="1:11" ht="12.75" thickBot="1">
      <c r="A100" s="78" t="s">
        <v>915</v>
      </c>
      <c r="B100" s="68" t="s">
        <v>911</v>
      </c>
      <c r="C100" s="397"/>
      <c r="D100" s="1065"/>
      <c r="E100" s="22"/>
      <c r="F100" s="1320" t="str">
        <f t="shared" si="4"/>
        <v>-</v>
      </c>
      <c r="G100" s="21"/>
      <c r="H100" s="22"/>
      <c r="I100" s="23"/>
      <c r="K100" s="4">
        <f t="shared" si="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83600</v>
      </c>
      <c r="D101" s="1061">
        <f>+D71+D86</f>
        <v>112243</v>
      </c>
      <c r="E101" s="28">
        <f>+E71+E86</f>
        <v>112220</v>
      </c>
      <c r="F101" s="1316">
        <f t="shared" si="4"/>
        <v>0.99979508744420587</v>
      </c>
      <c r="G101" s="27">
        <f>+G71+G86</f>
        <v>112220</v>
      </c>
      <c r="H101" s="28">
        <f>+H71+H86</f>
        <v>0</v>
      </c>
      <c r="I101" s="29">
        <f>+I71+I86</f>
        <v>0</v>
      </c>
      <c r="K101" s="3">
        <f t="shared" si="3"/>
        <v>0</v>
      </c>
    </row>
    <row r="102" spans="1:11" s="3" customFormat="1" ht="12.75" thickBot="1">
      <c r="A102" s="87" t="s">
        <v>40</v>
      </c>
      <c r="B102" s="71" t="s">
        <v>306</v>
      </c>
      <c r="C102" s="392">
        <f>+C70+C101</f>
        <v>83600</v>
      </c>
      <c r="D102" s="1072">
        <f>+D70+D101</f>
        <v>112245</v>
      </c>
      <c r="E102" s="25">
        <f>+E70+E101</f>
        <v>112222</v>
      </c>
      <c r="F102" s="1321">
        <f t="shared" si="4"/>
        <v>0.99979509109537168</v>
      </c>
      <c r="G102" s="24">
        <f>+G70+G101</f>
        <v>112222</v>
      </c>
      <c r="H102" s="25">
        <f>+H70+H101</f>
        <v>0</v>
      </c>
      <c r="I102" s="26">
        <f>+I70+I101</f>
        <v>0</v>
      </c>
      <c r="K102" s="3">
        <f t="shared" si="3"/>
        <v>0</v>
      </c>
    </row>
    <row r="103" spans="1:11" s="3" customFormat="1">
      <c r="A103" s="53"/>
      <c r="B103" s="30"/>
      <c r="C103" s="30"/>
      <c r="D103" s="30"/>
      <c r="E103" s="30"/>
      <c r="F103" s="129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302"/>
      <c r="G104" s="30"/>
      <c r="H104" s="30"/>
      <c r="I104" s="30"/>
    </row>
    <row r="105" spans="1:11" s="52" customFormat="1" ht="15.75">
      <c r="A105" s="1769" t="s">
        <v>80</v>
      </c>
      <c r="B105" s="1769"/>
      <c r="C105" s="1769"/>
      <c r="D105" s="1769"/>
      <c r="E105" s="1769"/>
      <c r="F105" s="1769"/>
      <c r="G105" s="1769"/>
      <c r="H105" s="1769"/>
      <c r="I105" s="1769"/>
    </row>
    <row r="106" spans="1:11" s="36" customFormat="1" ht="12.75" thickBot="1">
      <c r="A106" s="38" t="s">
        <v>278</v>
      </c>
      <c r="F106" s="1290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055" t="s">
        <v>1540</v>
      </c>
      <c r="D107" s="6" t="s">
        <v>1541</v>
      </c>
      <c r="E107" s="6" t="s">
        <v>2654</v>
      </c>
      <c r="F107" s="1291" t="s">
        <v>1558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771" t="s">
        <v>254</v>
      </c>
      <c r="D108" s="1772"/>
      <c r="E108" s="1772"/>
      <c r="F108" s="1772"/>
      <c r="G108" s="1772"/>
      <c r="H108" s="1772"/>
      <c r="I108" s="1773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83600</v>
      </c>
      <c r="D109" s="1061">
        <f>+D110+D114+D116+D123+D132</f>
        <v>96592</v>
      </c>
      <c r="E109" s="28">
        <f>+E110+E114+E116+E123+E132</f>
        <v>96482</v>
      </c>
      <c r="F109" s="1294">
        <f t="shared" ref="F109:F172" si="5">IF(ISERROR(E109/D109),"-",E109/D109)</f>
        <v>0.99886118933244994</v>
      </c>
      <c r="G109" s="27">
        <f>+G110+G114+G116+G123+G132</f>
        <v>96482</v>
      </c>
      <c r="H109" s="28">
        <f>+H110+H114+H116+H123+H132</f>
        <v>0</v>
      </c>
      <c r="I109" s="29">
        <f>+I110+I114+I116+I123+I132</f>
        <v>0</v>
      </c>
      <c r="K109" s="3">
        <f t="shared" ref="K109:K140" si="6">+E109-G109-H109-I109</f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61539</v>
      </c>
      <c r="D110" s="1061">
        <f>+D112+D113</f>
        <v>77800</v>
      </c>
      <c r="E110" s="28">
        <f>+E112+E113</f>
        <v>77750</v>
      </c>
      <c r="F110" s="1294">
        <f t="shared" si="5"/>
        <v>0.99935732647814912</v>
      </c>
      <c r="G110" s="27">
        <f>+G112+G113</f>
        <v>77750</v>
      </c>
      <c r="H110" s="28">
        <f>+H112+H113</f>
        <v>0</v>
      </c>
      <c r="I110" s="29">
        <f>+I112+I113</f>
        <v>0</v>
      </c>
      <c r="K110" s="3">
        <f t="shared" si="6"/>
        <v>0</v>
      </c>
    </row>
    <row r="111" spans="1:11" s="36" customFormat="1">
      <c r="A111" s="752" t="s">
        <v>348</v>
      </c>
      <c r="B111" s="753" t="s">
        <v>349</v>
      </c>
      <c r="C111" s="1131"/>
      <c r="D111" s="1074"/>
      <c r="E111" s="97"/>
      <c r="F111" s="1304" t="str">
        <f t="shared" si="5"/>
        <v>-</v>
      </c>
      <c r="G111" s="96"/>
      <c r="H111" s="97"/>
      <c r="I111" s="98"/>
      <c r="K111" s="36">
        <f t="shared" si="6"/>
        <v>0</v>
      </c>
    </row>
    <row r="112" spans="1:11">
      <c r="A112" s="84" t="s">
        <v>54</v>
      </c>
      <c r="B112" s="65" t="s">
        <v>126</v>
      </c>
      <c r="C112" s="1105">
        <v>61239</v>
      </c>
      <c r="D112" s="1062">
        <v>75265</v>
      </c>
      <c r="E112" s="10">
        <v>75265</v>
      </c>
      <c r="F112" s="1295">
        <f t="shared" si="5"/>
        <v>1</v>
      </c>
      <c r="G112" s="34">
        <v>75265</v>
      </c>
      <c r="H112" s="10"/>
      <c r="I112" s="35"/>
      <c r="K112" s="4">
        <f t="shared" si="6"/>
        <v>0</v>
      </c>
    </row>
    <row r="113" spans="1:11" ht="12.75" thickBot="1">
      <c r="A113" s="78" t="s">
        <v>55</v>
      </c>
      <c r="B113" s="68" t="s">
        <v>127</v>
      </c>
      <c r="C113" s="455">
        <v>300</v>
      </c>
      <c r="D113" s="1065">
        <v>2535</v>
      </c>
      <c r="E113" s="22">
        <v>2485</v>
      </c>
      <c r="F113" s="1298">
        <f t="shared" si="5"/>
        <v>0.98027613412228798</v>
      </c>
      <c r="G113" s="21">
        <v>2485</v>
      </c>
      <c r="H113" s="22"/>
      <c r="I113" s="23"/>
      <c r="K113" s="4">
        <f t="shared" si="6"/>
        <v>0</v>
      </c>
    </row>
    <row r="114" spans="1:11" s="3" customFormat="1" ht="12.75" thickBot="1">
      <c r="A114" s="83" t="s">
        <v>6</v>
      </c>
      <c r="B114" s="64" t="s">
        <v>255</v>
      </c>
      <c r="C114" s="1103">
        <v>10823</v>
      </c>
      <c r="D114" s="1061">
        <v>12863</v>
      </c>
      <c r="E114" s="28">
        <v>12863</v>
      </c>
      <c r="F114" s="1294">
        <f t="shared" si="5"/>
        <v>1</v>
      </c>
      <c r="G114" s="27">
        <v>12863</v>
      </c>
      <c r="H114" s="28"/>
      <c r="I114" s="29"/>
      <c r="K114" s="3">
        <f t="shared" si="6"/>
        <v>0</v>
      </c>
    </row>
    <row r="115" spans="1:11" s="36" customFormat="1" ht="12.75" thickBot="1">
      <c r="A115" s="752" t="s">
        <v>345</v>
      </c>
      <c r="B115" s="753" t="s">
        <v>346</v>
      </c>
      <c r="C115" s="1073"/>
      <c r="D115" s="1074"/>
      <c r="E115" s="97"/>
      <c r="F115" s="1304" t="str">
        <f t="shared" si="5"/>
        <v>-</v>
      </c>
      <c r="G115" s="96"/>
      <c r="H115" s="97"/>
      <c r="I115" s="98"/>
      <c r="K115" s="36">
        <f t="shared" si="6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11238</v>
      </c>
      <c r="D116" s="1061">
        <f>+D118+D119+D120+D121+D122</f>
        <v>5889</v>
      </c>
      <c r="E116" s="28">
        <f>+E118+E119+E120+E121+E122</f>
        <v>5829</v>
      </c>
      <c r="F116" s="1294">
        <f t="shared" si="5"/>
        <v>0.98981151299032089</v>
      </c>
      <c r="G116" s="27">
        <f>+G118+G119+G120+G121+G122</f>
        <v>5829</v>
      </c>
      <c r="H116" s="28">
        <f>+H118+H119+H120+H121+H122</f>
        <v>0</v>
      </c>
      <c r="I116" s="29">
        <f>+I118+I119+I120+I121+I122</f>
        <v>0</v>
      </c>
      <c r="K116" s="3">
        <f t="shared" si="6"/>
        <v>0</v>
      </c>
    </row>
    <row r="117" spans="1:11" s="36" customFormat="1">
      <c r="A117" s="752" t="s">
        <v>340</v>
      </c>
      <c r="B117" s="753" t="s">
        <v>347</v>
      </c>
      <c r="C117" s="1073"/>
      <c r="D117" s="1074"/>
      <c r="E117" s="97"/>
      <c r="F117" s="1304" t="str">
        <f t="shared" si="5"/>
        <v>-</v>
      </c>
      <c r="G117" s="96"/>
      <c r="H117" s="97"/>
      <c r="I117" s="98"/>
      <c r="K117" s="36">
        <f t="shared" si="6"/>
        <v>0</v>
      </c>
    </row>
    <row r="118" spans="1:11">
      <c r="A118" s="84" t="s">
        <v>61</v>
      </c>
      <c r="B118" s="65" t="s">
        <v>128</v>
      </c>
      <c r="C118" s="1105">
        <v>1240</v>
      </c>
      <c r="D118" s="1062">
        <v>1004</v>
      </c>
      <c r="E118" s="10">
        <v>1004</v>
      </c>
      <c r="F118" s="1295">
        <f t="shared" si="5"/>
        <v>1</v>
      </c>
      <c r="G118" s="34">
        <v>1004</v>
      </c>
      <c r="H118" s="10"/>
      <c r="I118" s="35"/>
      <c r="K118" s="4">
        <f t="shared" si="6"/>
        <v>0</v>
      </c>
    </row>
    <row r="119" spans="1:11">
      <c r="A119" s="85" t="s">
        <v>62</v>
      </c>
      <c r="B119" s="67" t="s">
        <v>129</v>
      </c>
      <c r="C119" s="456">
        <v>1550</v>
      </c>
      <c r="D119" s="1064">
        <v>728</v>
      </c>
      <c r="E119" s="11">
        <v>717</v>
      </c>
      <c r="F119" s="1296">
        <f t="shared" si="5"/>
        <v>0.98489010989010994</v>
      </c>
      <c r="G119" s="20">
        <v>717</v>
      </c>
      <c r="H119" s="11"/>
      <c r="I119" s="16"/>
      <c r="K119" s="4">
        <f t="shared" si="6"/>
        <v>0</v>
      </c>
    </row>
    <row r="120" spans="1:11">
      <c r="A120" s="85" t="s">
        <v>63</v>
      </c>
      <c r="B120" s="67" t="s">
        <v>130</v>
      </c>
      <c r="C120" s="456">
        <v>6400</v>
      </c>
      <c r="D120" s="1064">
        <v>2714</v>
      </c>
      <c r="E120" s="11">
        <v>2688</v>
      </c>
      <c r="F120" s="1296">
        <f t="shared" si="5"/>
        <v>0.99042004421518059</v>
      </c>
      <c r="G120" s="20">
        <v>2688</v>
      </c>
      <c r="H120" s="11"/>
      <c r="I120" s="16"/>
      <c r="K120" s="4">
        <f t="shared" si="6"/>
        <v>0</v>
      </c>
    </row>
    <row r="121" spans="1:11">
      <c r="A121" s="85" t="s">
        <v>64</v>
      </c>
      <c r="B121" s="67" t="s">
        <v>131</v>
      </c>
      <c r="C121" s="456">
        <v>1000</v>
      </c>
      <c r="D121" s="1064">
        <f>674-1</f>
        <v>673</v>
      </c>
      <c r="E121" s="1064">
        <f>674-1</f>
        <v>673</v>
      </c>
      <c r="F121" s="1296">
        <f t="shared" si="5"/>
        <v>1</v>
      </c>
      <c r="G121" s="20">
        <v>673</v>
      </c>
      <c r="H121" s="11"/>
      <c r="I121" s="16"/>
      <c r="K121" s="4">
        <f t="shared" si="6"/>
        <v>0</v>
      </c>
    </row>
    <row r="122" spans="1:11" ht="12.75" thickBot="1">
      <c r="A122" s="78" t="s">
        <v>65</v>
      </c>
      <c r="B122" s="68" t="s">
        <v>132</v>
      </c>
      <c r="C122" s="458">
        <v>1048</v>
      </c>
      <c r="D122" s="1079">
        <v>770</v>
      </c>
      <c r="E122" s="22">
        <v>747</v>
      </c>
      <c r="F122" s="1298">
        <f t="shared" si="5"/>
        <v>0.97012987012987018</v>
      </c>
      <c r="G122" s="21">
        <v>747</v>
      </c>
      <c r="H122" s="22"/>
      <c r="I122" s="23"/>
      <c r="K122" s="4">
        <f t="shared" si="6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061">
        <f>+D124+D125+D126+D127+D128+D129+D130+D131</f>
        <v>0</v>
      </c>
      <c r="E123" s="28">
        <f>+E124+E125+E126+E127+E128+E129+E130+E131</f>
        <v>0</v>
      </c>
      <c r="F123" s="1294" t="str">
        <f t="shared" si="5"/>
        <v>-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6"/>
        <v>0</v>
      </c>
    </row>
    <row r="124" spans="1:11">
      <c r="A124" s="84" t="s">
        <v>226</v>
      </c>
      <c r="B124" s="65" t="s">
        <v>133</v>
      </c>
      <c r="C124" s="398"/>
      <c r="D124" s="1062"/>
      <c r="E124" s="10"/>
      <c r="F124" s="1295" t="str">
        <f t="shared" si="5"/>
        <v>-</v>
      </c>
      <c r="G124" s="34"/>
      <c r="H124" s="10"/>
      <c r="I124" s="35"/>
      <c r="K124" s="4">
        <f t="shared" si="6"/>
        <v>0</v>
      </c>
    </row>
    <row r="125" spans="1:11">
      <c r="A125" s="85" t="s">
        <v>227</v>
      </c>
      <c r="B125" s="67" t="s">
        <v>134</v>
      </c>
      <c r="C125" s="396"/>
      <c r="D125" s="1064"/>
      <c r="E125" s="11"/>
      <c r="F125" s="1296" t="str">
        <f t="shared" si="5"/>
        <v>-</v>
      </c>
      <c r="G125" s="20"/>
      <c r="H125" s="11"/>
      <c r="I125" s="16"/>
      <c r="K125" s="4">
        <f t="shared" si="6"/>
        <v>0</v>
      </c>
    </row>
    <row r="126" spans="1:11">
      <c r="A126" s="85" t="s">
        <v>228</v>
      </c>
      <c r="B126" s="67" t="s">
        <v>135</v>
      </c>
      <c r="C126" s="396"/>
      <c r="D126" s="1064"/>
      <c r="E126" s="11"/>
      <c r="F126" s="1296" t="str">
        <f t="shared" si="5"/>
        <v>-</v>
      </c>
      <c r="G126" s="20"/>
      <c r="H126" s="11"/>
      <c r="I126" s="16"/>
      <c r="K126" s="4">
        <f t="shared" si="6"/>
        <v>0</v>
      </c>
    </row>
    <row r="127" spans="1:11">
      <c r="A127" s="85" t="s">
        <v>256</v>
      </c>
      <c r="B127" s="67" t="s">
        <v>136</v>
      </c>
      <c r="C127" s="396"/>
      <c r="D127" s="1064"/>
      <c r="E127" s="11"/>
      <c r="F127" s="1296" t="str">
        <f t="shared" si="5"/>
        <v>-</v>
      </c>
      <c r="G127" s="20"/>
      <c r="H127" s="11"/>
      <c r="I127" s="16"/>
      <c r="K127" s="4">
        <f t="shared" si="6"/>
        <v>0</v>
      </c>
    </row>
    <row r="128" spans="1:11">
      <c r="A128" s="85" t="s">
        <v>257</v>
      </c>
      <c r="B128" s="67" t="s">
        <v>137</v>
      </c>
      <c r="C128" s="396"/>
      <c r="D128" s="1064"/>
      <c r="E128" s="11"/>
      <c r="F128" s="1296" t="str">
        <f t="shared" si="5"/>
        <v>-</v>
      </c>
      <c r="G128" s="20"/>
      <c r="H128" s="11"/>
      <c r="I128" s="16"/>
      <c r="K128" s="4">
        <f t="shared" si="6"/>
        <v>0</v>
      </c>
    </row>
    <row r="129" spans="1:11">
      <c r="A129" s="85" t="s">
        <v>258</v>
      </c>
      <c r="B129" s="67" t="s">
        <v>138</v>
      </c>
      <c r="C129" s="396"/>
      <c r="D129" s="1064"/>
      <c r="E129" s="11"/>
      <c r="F129" s="1296" t="str">
        <f t="shared" si="5"/>
        <v>-</v>
      </c>
      <c r="G129" s="20"/>
      <c r="H129" s="11"/>
      <c r="I129" s="16"/>
      <c r="K129" s="4">
        <f t="shared" si="6"/>
        <v>0</v>
      </c>
    </row>
    <row r="130" spans="1:11">
      <c r="A130" s="85" t="s">
        <v>259</v>
      </c>
      <c r="B130" s="67" t="s">
        <v>139</v>
      </c>
      <c r="C130" s="396"/>
      <c r="D130" s="1064"/>
      <c r="E130" s="11"/>
      <c r="F130" s="1296" t="str">
        <f t="shared" si="5"/>
        <v>-</v>
      </c>
      <c r="G130" s="20"/>
      <c r="H130" s="11"/>
      <c r="I130" s="16"/>
      <c r="K130" s="4">
        <f t="shared" si="6"/>
        <v>0</v>
      </c>
    </row>
    <row r="131" spans="1:11" ht="12.75" thickBot="1">
      <c r="A131" s="78" t="s">
        <v>260</v>
      </c>
      <c r="B131" s="68" t="s">
        <v>140</v>
      </c>
      <c r="C131" s="397"/>
      <c r="D131" s="1065"/>
      <c r="E131" s="22"/>
      <c r="F131" s="1298" t="str">
        <f t="shared" si="5"/>
        <v>-</v>
      </c>
      <c r="G131" s="21"/>
      <c r="H131" s="22"/>
      <c r="I131" s="23"/>
      <c r="K131" s="4">
        <f t="shared" si="6"/>
        <v>0</v>
      </c>
    </row>
    <row r="132" spans="1:11" s="3" customFormat="1" ht="12.75" thickBot="1">
      <c r="A132" s="83" t="s">
        <v>15</v>
      </c>
      <c r="B132" s="64" t="s">
        <v>919</v>
      </c>
      <c r="C132" s="129">
        <f>+C133+C134+C135+C136+C137+C138+C140+C141+C142+C143+C144+C145+C146</f>
        <v>0</v>
      </c>
      <c r="D132" s="1061">
        <f>+D133+D134+D135+D136+D137+D138+D140+D141+D142+D143+D144+D145+D146</f>
        <v>40</v>
      </c>
      <c r="E132" s="28">
        <f>+E133+E134+E135+E136+E137+E138+E140+E141+E142+E143+E144+E145+E146</f>
        <v>40</v>
      </c>
      <c r="F132" s="1294">
        <f t="shared" si="5"/>
        <v>1</v>
      </c>
      <c r="G132" s="27">
        <f>+G133+G134+G135+G136+G137+G138+G140+G141+G142+G143+G144+G145+G146</f>
        <v>40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6"/>
        <v>0</v>
      </c>
    </row>
    <row r="133" spans="1:11">
      <c r="A133" s="84" t="s">
        <v>87</v>
      </c>
      <c r="B133" s="65" t="s">
        <v>141</v>
      </c>
      <c r="C133" s="398"/>
      <c r="D133" s="1062"/>
      <c r="E133" s="10"/>
      <c r="F133" s="1295" t="str">
        <f t="shared" si="5"/>
        <v>-</v>
      </c>
      <c r="G133" s="34"/>
      <c r="H133" s="10"/>
      <c r="I133" s="35"/>
      <c r="K133" s="4">
        <f t="shared" si="6"/>
        <v>0</v>
      </c>
    </row>
    <row r="134" spans="1:11">
      <c r="A134" s="85" t="s">
        <v>88</v>
      </c>
      <c r="B134" s="67" t="s">
        <v>142</v>
      </c>
      <c r="C134" s="396"/>
      <c r="D134" s="1064">
        <v>40</v>
      </c>
      <c r="E134" s="11">
        <v>40</v>
      </c>
      <c r="F134" s="1296">
        <f t="shared" si="5"/>
        <v>1</v>
      </c>
      <c r="G134" s="20">
        <v>40</v>
      </c>
      <c r="H134" s="11"/>
      <c r="I134" s="16"/>
      <c r="K134" s="4">
        <f t="shared" si="6"/>
        <v>0</v>
      </c>
    </row>
    <row r="135" spans="1:11">
      <c r="A135" s="85" t="s">
        <v>181</v>
      </c>
      <c r="B135" s="67" t="s">
        <v>143</v>
      </c>
      <c r="C135" s="396"/>
      <c r="D135" s="1064"/>
      <c r="E135" s="11"/>
      <c r="F135" s="1296" t="str">
        <f t="shared" si="5"/>
        <v>-</v>
      </c>
      <c r="G135" s="20"/>
      <c r="H135" s="11"/>
      <c r="I135" s="16"/>
      <c r="K135" s="4">
        <f t="shared" si="6"/>
        <v>0</v>
      </c>
    </row>
    <row r="136" spans="1:11">
      <c r="A136" s="85" t="s">
        <v>182</v>
      </c>
      <c r="B136" s="67" t="s">
        <v>144</v>
      </c>
      <c r="C136" s="396"/>
      <c r="D136" s="1064"/>
      <c r="E136" s="11"/>
      <c r="F136" s="1296" t="str">
        <f t="shared" si="5"/>
        <v>-</v>
      </c>
      <c r="G136" s="20"/>
      <c r="H136" s="11"/>
      <c r="I136" s="16"/>
      <c r="K136" s="4">
        <f t="shared" si="6"/>
        <v>0</v>
      </c>
    </row>
    <row r="137" spans="1:11">
      <c r="A137" s="85" t="s">
        <v>183</v>
      </c>
      <c r="B137" s="67" t="s">
        <v>145</v>
      </c>
      <c r="C137" s="396"/>
      <c r="D137" s="1064"/>
      <c r="E137" s="11"/>
      <c r="F137" s="1296" t="str">
        <f t="shared" si="5"/>
        <v>-</v>
      </c>
      <c r="G137" s="20"/>
      <c r="H137" s="11"/>
      <c r="I137" s="16"/>
      <c r="K137" s="4">
        <f t="shared" si="6"/>
        <v>0</v>
      </c>
    </row>
    <row r="138" spans="1:11">
      <c r="A138" s="85" t="s">
        <v>261</v>
      </c>
      <c r="B138" s="67" t="s">
        <v>146</v>
      </c>
      <c r="C138" s="396"/>
      <c r="D138" s="1064"/>
      <c r="E138" s="11"/>
      <c r="F138" s="1296" t="str">
        <f t="shared" si="5"/>
        <v>-</v>
      </c>
      <c r="G138" s="20"/>
      <c r="H138" s="11"/>
      <c r="I138" s="16"/>
      <c r="K138" s="4">
        <f t="shared" si="6"/>
        <v>0</v>
      </c>
    </row>
    <row r="139" spans="1:11" s="13" customFormat="1">
      <c r="A139" s="89" t="s">
        <v>335</v>
      </c>
      <c r="B139" s="751" t="s">
        <v>925</v>
      </c>
      <c r="C139" s="395"/>
      <c r="D139" s="1066"/>
      <c r="E139" s="43"/>
      <c r="F139" s="1298" t="str">
        <f t="shared" si="5"/>
        <v>-</v>
      </c>
      <c r="G139" s="45"/>
      <c r="H139" s="43"/>
      <c r="I139" s="44"/>
      <c r="K139" s="13">
        <f t="shared" si="6"/>
        <v>0</v>
      </c>
    </row>
    <row r="140" spans="1:11">
      <c r="A140" s="85" t="s">
        <v>262</v>
      </c>
      <c r="B140" s="67" t="s">
        <v>147</v>
      </c>
      <c r="C140" s="396"/>
      <c r="D140" s="1064"/>
      <c r="E140" s="11"/>
      <c r="F140" s="1296" t="str">
        <f t="shared" si="5"/>
        <v>-</v>
      </c>
      <c r="G140" s="20"/>
      <c r="H140" s="11"/>
      <c r="I140" s="16"/>
      <c r="K140" s="4">
        <f t="shared" si="6"/>
        <v>0</v>
      </c>
    </row>
    <row r="141" spans="1:11">
      <c r="A141" s="85" t="s">
        <v>263</v>
      </c>
      <c r="B141" s="67" t="s">
        <v>148</v>
      </c>
      <c r="C141" s="396"/>
      <c r="D141" s="1064"/>
      <c r="E141" s="11"/>
      <c r="F141" s="1296" t="str">
        <f t="shared" si="5"/>
        <v>-</v>
      </c>
      <c r="G141" s="20"/>
      <c r="H141" s="11"/>
      <c r="I141" s="16"/>
      <c r="K141" s="4">
        <f t="shared" ref="K141:K172" si="7">+E141-G141-H141-I141</f>
        <v>0</v>
      </c>
    </row>
    <row r="142" spans="1:11">
      <c r="A142" s="85" t="s">
        <v>264</v>
      </c>
      <c r="B142" s="67" t="s">
        <v>149</v>
      </c>
      <c r="C142" s="396"/>
      <c r="D142" s="1064"/>
      <c r="E142" s="11"/>
      <c r="F142" s="1296" t="str">
        <f t="shared" si="5"/>
        <v>-</v>
      </c>
      <c r="G142" s="20"/>
      <c r="H142" s="11"/>
      <c r="I142" s="16"/>
      <c r="K142" s="4">
        <f t="shared" si="7"/>
        <v>0</v>
      </c>
    </row>
    <row r="143" spans="1:11">
      <c r="A143" s="85" t="s">
        <v>265</v>
      </c>
      <c r="B143" s="67" t="s">
        <v>150</v>
      </c>
      <c r="C143" s="396"/>
      <c r="D143" s="1064"/>
      <c r="E143" s="11"/>
      <c r="F143" s="1296" t="str">
        <f t="shared" si="5"/>
        <v>-</v>
      </c>
      <c r="G143" s="20"/>
      <c r="H143" s="11"/>
      <c r="I143" s="16"/>
      <c r="K143" s="4">
        <f t="shared" si="7"/>
        <v>0</v>
      </c>
    </row>
    <row r="144" spans="1:11">
      <c r="A144" s="85" t="s">
        <v>266</v>
      </c>
      <c r="B144" s="67" t="s">
        <v>920</v>
      </c>
      <c r="C144" s="396"/>
      <c r="D144" s="1064"/>
      <c r="E144" s="11"/>
      <c r="F144" s="1296" t="str">
        <f t="shared" si="5"/>
        <v>-</v>
      </c>
      <c r="G144" s="20"/>
      <c r="H144" s="11"/>
      <c r="I144" s="16"/>
      <c r="K144" s="4">
        <f t="shared" si="7"/>
        <v>0</v>
      </c>
    </row>
    <row r="145" spans="1:11">
      <c r="A145" s="85" t="s">
        <v>267</v>
      </c>
      <c r="B145" s="67" t="s">
        <v>921</v>
      </c>
      <c r="C145" s="396"/>
      <c r="D145" s="1064"/>
      <c r="E145" s="11"/>
      <c r="F145" s="1296" t="str">
        <f t="shared" si="5"/>
        <v>-</v>
      </c>
      <c r="G145" s="20"/>
      <c r="H145" s="11"/>
      <c r="I145" s="16"/>
      <c r="K145" s="4">
        <f t="shared" si="7"/>
        <v>0</v>
      </c>
    </row>
    <row r="146" spans="1:11">
      <c r="A146" s="78" t="s">
        <v>916</v>
      </c>
      <c r="B146" s="68" t="s">
        <v>922</v>
      </c>
      <c r="C146" s="397">
        <f>+C147+C148</f>
        <v>0</v>
      </c>
      <c r="D146" s="1065">
        <f>+D147+D148</f>
        <v>0</v>
      </c>
      <c r="E146" s="22">
        <f>+E147+E148</f>
        <v>0</v>
      </c>
      <c r="F146" s="1298" t="str">
        <f t="shared" si="5"/>
        <v>-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7"/>
        <v>0</v>
      </c>
    </row>
    <row r="147" spans="1:11" s="13" customFormat="1">
      <c r="A147" s="89" t="s">
        <v>917</v>
      </c>
      <c r="B147" s="74" t="s">
        <v>923</v>
      </c>
      <c r="C147" s="395"/>
      <c r="D147" s="1066"/>
      <c r="E147" s="43"/>
      <c r="F147" s="1298" t="str">
        <f t="shared" si="5"/>
        <v>-</v>
      </c>
      <c r="G147" s="45"/>
      <c r="H147" s="43"/>
      <c r="I147" s="44"/>
      <c r="K147" s="13">
        <f t="shared" si="7"/>
        <v>0</v>
      </c>
    </row>
    <row r="148" spans="1:11" s="13" customFormat="1" ht="12.75" thickBot="1">
      <c r="A148" s="89" t="s">
        <v>918</v>
      </c>
      <c r="B148" s="74" t="s">
        <v>924</v>
      </c>
      <c r="C148" s="395"/>
      <c r="D148" s="1066"/>
      <c r="E148" s="43"/>
      <c r="F148" s="1298" t="str">
        <f t="shared" si="5"/>
        <v>-</v>
      </c>
      <c r="G148" s="45"/>
      <c r="H148" s="43"/>
      <c r="I148" s="44"/>
      <c r="K148" s="13">
        <f t="shared" si="7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0</v>
      </c>
      <c r="D149" s="1061">
        <f>+D150+D159+D165</f>
        <v>15653</v>
      </c>
      <c r="E149" s="28">
        <f>+E150+E159+E165</f>
        <v>15653</v>
      </c>
      <c r="F149" s="1294">
        <f t="shared" si="5"/>
        <v>1</v>
      </c>
      <c r="G149" s="27">
        <f>+G150+G159+G165</f>
        <v>15653</v>
      </c>
      <c r="H149" s="28">
        <f>+H150+H159+H165</f>
        <v>0</v>
      </c>
      <c r="I149" s="29">
        <f>+I150+I159+I165</f>
        <v>0</v>
      </c>
      <c r="K149" s="3">
        <f t="shared" si="7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0</v>
      </c>
      <c r="D150" s="1061">
        <f>+D152+D153+D154+D155+D156+D157+D158</f>
        <v>15653</v>
      </c>
      <c r="E150" s="28">
        <f>+E152+E153+E154+E155+E156+E157+E158</f>
        <v>15653</v>
      </c>
      <c r="F150" s="1294">
        <f t="shared" si="5"/>
        <v>1</v>
      </c>
      <c r="G150" s="27">
        <f>+G152+G153+G154+G155+G156+G157+G158</f>
        <v>15653</v>
      </c>
      <c r="H150" s="28">
        <f>+H152+H153+H154+H155+H156+H157+H158</f>
        <v>0</v>
      </c>
      <c r="I150" s="29">
        <f>+I152+I153+I154+I155+I156+I157+I158</f>
        <v>0</v>
      </c>
      <c r="K150" s="3">
        <f t="shared" si="7"/>
        <v>0</v>
      </c>
    </row>
    <row r="151" spans="1:11" s="36" customFormat="1">
      <c r="A151" s="752" t="s">
        <v>926</v>
      </c>
      <c r="B151" s="753" t="s">
        <v>341</v>
      </c>
      <c r="C151" s="1073"/>
      <c r="D151" s="1074"/>
      <c r="E151" s="97"/>
      <c r="F151" s="1304" t="str">
        <f t="shared" si="5"/>
        <v>-</v>
      </c>
      <c r="G151" s="96"/>
      <c r="H151" s="97"/>
      <c r="I151" s="98"/>
      <c r="K151" s="36">
        <f t="shared" si="7"/>
        <v>0</v>
      </c>
    </row>
    <row r="152" spans="1:11">
      <c r="A152" s="84" t="s">
        <v>66</v>
      </c>
      <c r="B152" s="65" t="s">
        <v>151</v>
      </c>
      <c r="C152" s="398"/>
      <c r="D152" s="1062"/>
      <c r="E152" s="10"/>
      <c r="F152" s="1295" t="str">
        <f t="shared" si="5"/>
        <v>-</v>
      </c>
      <c r="G152" s="34"/>
      <c r="H152" s="10"/>
      <c r="I152" s="35"/>
      <c r="K152" s="4">
        <f t="shared" si="7"/>
        <v>0</v>
      </c>
    </row>
    <row r="153" spans="1:11">
      <c r="A153" s="85" t="s">
        <v>67</v>
      </c>
      <c r="B153" s="67" t="s">
        <v>152</v>
      </c>
      <c r="C153" s="396"/>
      <c r="D153" s="1064"/>
      <c r="E153" s="11"/>
      <c r="F153" s="1296" t="str">
        <f t="shared" si="5"/>
        <v>-</v>
      </c>
      <c r="G153" s="20"/>
      <c r="H153" s="11"/>
      <c r="I153" s="16"/>
      <c r="K153" s="4">
        <f t="shared" si="7"/>
        <v>0</v>
      </c>
    </row>
    <row r="154" spans="1:11">
      <c r="A154" s="85" t="s">
        <v>68</v>
      </c>
      <c r="B154" s="67" t="s">
        <v>153</v>
      </c>
      <c r="C154" s="396"/>
      <c r="D154" s="1064"/>
      <c r="E154" s="11"/>
      <c r="F154" s="1296" t="str">
        <f t="shared" si="5"/>
        <v>-</v>
      </c>
      <c r="G154" s="20"/>
      <c r="H154" s="11"/>
      <c r="I154" s="16"/>
      <c r="K154" s="4">
        <f t="shared" si="7"/>
        <v>0</v>
      </c>
    </row>
    <row r="155" spans="1:11">
      <c r="A155" s="85" t="s">
        <v>229</v>
      </c>
      <c r="B155" s="67" t="s">
        <v>154</v>
      </c>
      <c r="C155" s="396"/>
      <c r="D155" s="1064">
        <v>12325</v>
      </c>
      <c r="E155" s="11">
        <v>12325</v>
      </c>
      <c r="F155" s="1296">
        <f t="shared" si="5"/>
        <v>1</v>
      </c>
      <c r="G155" s="20">
        <v>12325</v>
      </c>
      <c r="H155" s="11"/>
      <c r="I155" s="16"/>
      <c r="K155" s="4">
        <f t="shared" si="7"/>
        <v>0</v>
      </c>
    </row>
    <row r="156" spans="1:11">
      <c r="A156" s="85" t="s">
        <v>230</v>
      </c>
      <c r="B156" s="67" t="s">
        <v>155</v>
      </c>
      <c r="C156" s="396"/>
      <c r="D156" s="1064"/>
      <c r="E156" s="11"/>
      <c r="F156" s="1296" t="str">
        <f t="shared" si="5"/>
        <v>-</v>
      </c>
      <c r="G156" s="20"/>
      <c r="H156" s="11"/>
      <c r="I156" s="16"/>
      <c r="K156" s="4">
        <f t="shared" si="7"/>
        <v>0</v>
      </c>
    </row>
    <row r="157" spans="1:11">
      <c r="A157" s="85" t="s">
        <v>268</v>
      </c>
      <c r="B157" s="67" t="s">
        <v>156</v>
      </c>
      <c r="C157" s="396"/>
      <c r="D157" s="1064"/>
      <c r="E157" s="11"/>
      <c r="F157" s="1296" t="str">
        <f t="shared" si="5"/>
        <v>-</v>
      </c>
      <c r="G157" s="20"/>
      <c r="H157" s="11"/>
      <c r="I157" s="16"/>
      <c r="K157" s="4">
        <f t="shared" si="7"/>
        <v>0</v>
      </c>
    </row>
    <row r="158" spans="1:11" ht="12.75" thickBot="1">
      <c r="A158" s="78" t="s">
        <v>269</v>
      </c>
      <c r="B158" s="68" t="s">
        <v>157</v>
      </c>
      <c r="C158" s="397"/>
      <c r="D158" s="1065">
        <v>3328</v>
      </c>
      <c r="E158" s="22">
        <v>3328</v>
      </c>
      <c r="F158" s="1298">
        <f t="shared" si="5"/>
        <v>1</v>
      </c>
      <c r="G158" s="21">
        <v>3328</v>
      </c>
      <c r="H158" s="22"/>
      <c r="I158" s="23"/>
      <c r="K158" s="4">
        <f t="shared" si="7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061">
        <f>+D161+D162+D163+D164</f>
        <v>0</v>
      </c>
      <c r="E159" s="28">
        <f>+E161+E162+E163+E164</f>
        <v>0</v>
      </c>
      <c r="F159" s="1294" t="str">
        <f t="shared" si="5"/>
        <v>-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7"/>
        <v>0</v>
      </c>
    </row>
    <row r="160" spans="1:11" s="36" customFormat="1">
      <c r="A160" s="752" t="s">
        <v>343</v>
      </c>
      <c r="B160" s="753" t="s">
        <v>344</v>
      </c>
      <c r="C160" s="1073"/>
      <c r="D160" s="1074"/>
      <c r="E160" s="97"/>
      <c r="F160" s="1304" t="str">
        <f t="shared" si="5"/>
        <v>-</v>
      </c>
      <c r="G160" s="96"/>
      <c r="H160" s="97"/>
      <c r="I160" s="98"/>
      <c r="K160" s="36">
        <f t="shared" si="7"/>
        <v>0</v>
      </c>
    </row>
    <row r="161" spans="1:11">
      <c r="A161" s="84" t="s">
        <v>69</v>
      </c>
      <c r="B161" s="65" t="s">
        <v>158</v>
      </c>
      <c r="C161" s="398"/>
      <c r="D161" s="1062"/>
      <c r="E161" s="10"/>
      <c r="F161" s="1295" t="str">
        <f t="shared" si="5"/>
        <v>-</v>
      </c>
      <c r="G161" s="34"/>
      <c r="H161" s="10"/>
      <c r="I161" s="35"/>
      <c r="K161" s="4">
        <f t="shared" si="7"/>
        <v>0</v>
      </c>
    </row>
    <row r="162" spans="1:11">
      <c r="A162" s="85" t="s">
        <v>70</v>
      </c>
      <c r="B162" s="67" t="s">
        <v>159</v>
      </c>
      <c r="C162" s="396"/>
      <c r="D162" s="1064"/>
      <c r="E162" s="11"/>
      <c r="F162" s="1296" t="str">
        <f t="shared" si="5"/>
        <v>-</v>
      </c>
      <c r="G162" s="20"/>
      <c r="H162" s="11"/>
      <c r="I162" s="16"/>
      <c r="K162" s="4">
        <f t="shared" si="7"/>
        <v>0</v>
      </c>
    </row>
    <row r="163" spans="1:11">
      <c r="A163" s="85" t="s">
        <v>71</v>
      </c>
      <c r="B163" s="67" t="s">
        <v>160</v>
      </c>
      <c r="C163" s="396"/>
      <c r="D163" s="1064"/>
      <c r="E163" s="11"/>
      <c r="F163" s="1296" t="str">
        <f t="shared" si="5"/>
        <v>-</v>
      </c>
      <c r="G163" s="20"/>
      <c r="H163" s="11"/>
      <c r="I163" s="16"/>
      <c r="K163" s="4">
        <f t="shared" si="7"/>
        <v>0</v>
      </c>
    </row>
    <row r="164" spans="1:11" ht="12.75" thickBot="1">
      <c r="A164" s="78" t="s">
        <v>72</v>
      </c>
      <c r="B164" s="68" t="s">
        <v>161</v>
      </c>
      <c r="C164" s="397"/>
      <c r="D164" s="1065"/>
      <c r="E164" s="22"/>
      <c r="F164" s="1298" t="str">
        <f t="shared" si="5"/>
        <v>-</v>
      </c>
      <c r="G164" s="21"/>
      <c r="H164" s="22"/>
      <c r="I164" s="23"/>
      <c r="K164" s="4">
        <f t="shared" si="7"/>
        <v>0</v>
      </c>
    </row>
    <row r="165" spans="1:11" s="3" customFormat="1" ht="12.75" thickBot="1">
      <c r="A165" s="83" t="s">
        <v>11</v>
      </c>
      <c r="B165" s="64" t="s">
        <v>928</v>
      </c>
      <c r="C165" s="129">
        <f>+C166+C167+C168+C169+C171+C172+C173+C174+C175</f>
        <v>0</v>
      </c>
      <c r="D165" s="1061">
        <f>+D166+D167+D168+D169+D171+D172+D173+D174+D175</f>
        <v>0</v>
      </c>
      <c r="E165" s="28">
        <f>+E166+E167+E168+E169+E171+E172+E173+E174+E175</f>
        <v>0</v>
      </c>
      <c r="F165" s="1294" t="str">
        <f t="shared" si="5"/>
        <v>-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7"/>
        <v>0</v>
      </c>
    </row>
    <row r="166" spans="1:11">
      <c r="A166" s="84" t="s">
        <v>270</v>
      </c>
      <c r="B166" s="65" t="s">
        <v>162</v>
      </c>
      <c r="C166" s="398"/>
      <c r="D166" s="1062"/>
      <c r="E166" s="10"/>
      <c r="F166" s="1295" t="str">
        <f t="shared" si="5"/>
        <v>-</v>
      </c>
      <c r="G166" s="34"/>
      <c r="H166" s="10"/>
      <c r="I166" s="35"/>
      <c r="K166" s="4">
        <f t="shared" si="7"/>
        <v>0</v>
      </c>
    </row>
    <row r="167" spans="1:11">
      <c r="A167" s="85" t="s">
        <v>271</v>
      </c>
      <c r="B167" s="67" t="s">
        <v>163</v>
      </c>
      <c r="C167" s="396"/>
      <c r="D167" s="1064"/>
      <c r="E167" s="11"/>
      <c r="F167" s="1296" t="str">
        <f t="shared" si="5"/>
        <v>-</v>
      </c>
      <c r="G167" s="20"/>
      <c r="H167" s="11"/>
      <c r="I167" s="16"/>
      <c r="K167" s="4">
        <f t="shared" si="7"/>
        <v>0</v>
      </c>
    </row>
    <row r="168" spans="1:11">
      <c r="A168" s="85" t="s">
        <v>272</v>
      </c>
      <c r="B168" s="67" t="s">
        <v>164</v>
      </c>
      <c r="C168" s="396"/>
      <c r="D168" s="1064"/>
      <c r="E168" s="11"/>
      <c r="F168" s="1296" t="str">
        <f t="shared" si="5"/>
        <v>-</v>
      </c>
      <c r="G168" s="20"/>
      <c r="H168" s="11"/>
      <c r="I168" s="16"/>
      <c r="K168" s="4">
        <f t="shared" si="7"/>
        <v>0</v>
      </c>
    </row>
    <row r="169" spans="1:11">
      <c r="A169" s="85" t="s">
        <v>273</v>
      </c>
      <c r="B169" s="67" t="s">
        <v>165</v>
      </c>
      <c r="C169" s="396"/>
      <c r="D169" s="1064"/>
      <c r="E169" s="11"/>
      <c r="F169" s="1296" t="str">
        <f t="shared" si="5"/>
        <v>-</v>
      </c>
      <c r="G169" s="20"/>
      <c r="H169" s="11"/>
      <c r="I169" s="16"/>
      <c r="K169" s="4">
        <f t="shared" si="7"/>
        <v>0</v>
      </c>
    </row>
    <row r="170" spans="1:11" s="13" customFormat="1">
      <c r="A170" s="89" t="s">
        <v>338</v>
      </c>
      <c r="B170" s="751" t="s">
        <v>339</v>
      </c>
      <c r="C170" s="395"/>
      <c r="D170" s="1066"/>
      <c r="E170" s="43"/>
      <c r="F170" s="1298" t="str">
        <f t="shared" si="5"/>
        <v>-</v>
      </c>
      <c r="G170" s="45"/>
      <c r="H170" s="43"/>
      <c r="I170" s="44"/>
      <c r="K170" s="13">
        <f t="shared" si="7"/>
        <v>0</v>
      </c>
    </row>
    <row r="171" spans="1:11">
      <c r="A171" s="85" t="s">
        <v>274</v>
      </c>
      <c r="B171" s="67" t="s">
        <v>166</v>
      </c>
      <c r="C171" s="396"/>
      <c r="D171" s="1064"/>
      <c r="E171" s="11"/>
      <c r="F171" s="1296" t="str">
        <f t="shared" si="5"/>
        <v>-</v>
      </c>
      <c r="G171" s="20"/>
      <c r="H171" s="11"/>
      <c r="I171" s="16"/>
      <c r="K171" s="4">
        <f t="shared" si="7"/>
        <v>0</v>
      </c>
    </row>
    <row r="172" spans="1:11">
      <c r="A172" s="85" t="s">
        <v>275</v>
      </c>
      <c r="B172" s="67" t="s">
        <v>167</v>
      </c>
      <c r="C172" s="396"/>
      <c r="D172" s="1064"/>
      <c r="E172" s="11"/>
      <c r="F172" s="1296" t="str">
        <f t="shared" si="5"/>
        <v>-</v>
      </c>
      <c r="G172" s="20"/>
      <c r="H172" s="11"/>
      <c r="I172" s="16"/>
      <c r="K172" s="4">
        <f t="shared" si="7"/>
        <v>0</v>
      </c>
    </row>
    <row r="173" spans="1:11">
      <c r="A173" s="85" t="s">
        <v>276</v>
      </c>
      <c r="B173" s="67" t="s">
        <v>168</v>
      </c>
      <c r="C173" s="396"/>
      <c r="D173" s="1064"/>
      <c r="E173" s="11"/>
      <c r="F173" s="1296" t="str">
        <f t="shared" ref="F173:F208" si="8">IF(ISERROR(E173/D173),"-",E173/D173)</f>
        <v>-</v>
      </c>
      <c r="G173" s="20"/>
      <c r="H173" s="11"/>
      <c r="I173" s="16"/>
      <c r="K173" s="4">
        <f t="shared" ref="K173:K208" si="9">+E173-G173-H173-I173</f>
        <v>0</v>
      </c>
    </row>
    <row r="174" spans="1:11">
      <c r="A174" s="85" t="s">
        <v>277</v>
      </c>
      <c r="B174" s="67" t="s">
        <v>929</v>
      </c>
      <c r="C174" s="396"/>
      <c r="D174" s="1064"/>
      <c r="E174" s="11"/>
      <c r="F174" s="1296" t="str">
        <f t="shared" si="8"/>
        <v>-</v>
      </c>
      <c r="G174" s="20"/>
      <c r="H174" s="11"/>
      <c r="I174" s="16"/>
      <c r="K174" s="4">
        <f t="shared" si="9"/>
        <v>0</v>
      </c>
    </row>
    <row r="175" spans="1:11" ht="12.75" thickBot="1">
      <c r="A175" s="78" t="s">
        <v>927</v>
      </c>
      <c r="B175" s="68" t="s">
        <v>930</v>
      </c>
      <c r="C175" s="397"/>
      <c r="D175" s="1065"/>
      <c r="E175" s="22"/>
      <c r="F175" s="1298" t="str">
        <f t="shared" si="8"/>
        <v>-</v>
      </c>
      <c r="G175" s="21"/>
      <c r="H175" s="22"/>
      <c r="I175" s="23"/>
      <c r="K175" s="4">
        <f t="shared" si="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83600</v>
      </c>
      <c r="D176" s="1061">
        <f>+D109+D149</f>
        <v>112245</v>
      </c>
      <c r="E176" s="28">
        <f>+E109+E149</f>
        <v>112135</v>
      </c>
      <c r="F176" s="1294">
        <f t="shared" si="8"/>
        <v>0.99902000089090826</v>
      </c>
      <c r="G176" s="27">
        <f>+G109+G149</f>
        <v>112135</v>
      </c>
      <c r="H176" s="28">
        <f>+H109+H149</f>
        <v>0</v>
      </c>
      <c r="I176" s="29">
        <f>+I109+I149</f>
        <v>0</v>
      </c>
      <c r="K176" s="3">
        <f t="shared" si="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061">
        <f>+D178</f>
        <v>0</v>
      </c>
      <c r="E177" s="28">
        <f>+E178</f>
        <v>0</v>
      </c>
      <c r="F177" s="1294" t="str">
        <f t="shared" si="8"/>
        <v>-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9"/>
        <v>0</v>
      </c>
    </row>
    <row r="178" spans="1:11" s="3" customFormat="1" ht="12.75" thickBot="1">
      <c r="A178" s="83" t="s">
        <v>45</v>
      </c>
      <c r="B178" s="64" t="s">
        <v>937</v>
      </c>
      <c r="C178" s="129">
        <f>+C179+C189+C190+C191</f>
        <v>0</v>
      </c>
      <c r="D178" s="1061">
        <f>+D179+D189+D190+D191</f>
        <v>0</v>
      </c>
      <c r="E178" s="28">
        <f>+E179+E189+E190+E191</f>
        <v>0</v>
      </c>
      <c r="F178" s="1294" t="str">
        <f t="shared" si="8"/>
        <v>-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9"/>
        <v>0</v>
      </c>
    </row>
    <row r="179" spans="1:11">
      <c r="A179" s="84" t="s">
        <v>75</v>
      </c>
      <c r="B179" s="65" t="s">
        <v>938</v>
      </c>
      <c r="C179" s="398">
        <f>+C180+C181+C182+C183+C184+C185+C186+C187+C188</f>
        <v>0</v>
      </c>
      <c r="D179" s="1062">
        <f>+D180+D181+D182+D183+D184+D185+D186+D187+D188</f>
        <v>0</v>
      </c>
      <c r="E179" s="10">
        <f>+E180+E181+E182+E183+E184+E185+E186+E187+E188</f>
        <v>0</v>
      </c>
      <c r="F179" s="1295" t="str">
        <f t="shared" si="8"/>
        <v>-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9"/>
        <v>0</v>
      </c>
    </row>
    <row r="180" spans="1:11" s="13" customFormat="1">
      <c r="A180" s="86" t="s">
        <v>204</v>
      </c>
      <c r="B180" s="66" t="s">
        <v>169</v>
      </c>
      <c r="C180" s="394"/>
      <c r="D180" s="1063"/>
      <c r="E180" s="12"/>
      <c r="F180" s="1296" t="str">
        <f t="shared" si="8"/>
        <v>-</v>
      </c>
      <c r="G180" s="19"/>
      <c r="H180" s="12"/>
      <c r="I180" s="15"/>
      <c r="K180" s="13">
        <f t="shared" si="9"/>
        <v>0</v>
      </c>
    </row>
    <row r="181" spans="1:11" s="13" customFormat="1">
      <c r="A181" s="86" t="s">
        <v>205</v>
      </c>
      <c r="B181" s="66" t="s">
        <v>170</v>
      </c>
      <c r="C181" s="394"/>
      <c r="D181" s="1063"/>
      <c r="E181" s="12"/>
      <c r="F181" s="1296" t="str">
        <f t="shared" si="8"/>
        <v>-</v>
      </c>
      <c r="G181" s="19"/>
      <c r="H181" s="12"/>
      <c r="I181" s="15"/>
      <c r="K181" s="13">
        <f t="shared" si="9"/>
        <v>0</v>
      </c>
    </row>
    <row r="182" spans="1:11" s="13" customFormat="1">
      <c r="A182" s="86" t="s">
        <v>206</v>
      </c>
      <c r="B182" s="66" t="s">
        <v>171</v>
      </c>
      <c r="C182" s="394"/>
      <c r="D182" s="1063"/>
      <c r="E182" s="12"/>
      <c r="F182" s="1296" t="str">
        <f t="shared" si="8"/>
        <v>-</v>
      </c>
      <c r="G182" s="19"/>
      <c r="H182" s="12"/>
      <c r="I182" s="15"/>
      <c r="K182" s="13">
        <f t="shared" si="9"/>
        <v>0</v>
      </c>
    </row>
    <row r="183" spans="1:11" s="13" customFormat="1">
      <c r="A183" s="86" t="s">
        <v>207</v>
      </c>
      <c r="B183" s="66" t="s">
        <v>172</v>
      </c>
      <c r="C183" s="394"/>
      <c r="D183" s="1063"/>
      <c r="E183" s="12"/>
      <c r="F183" s="1296" t="str">
        <f t="shared" si="8"/>
        <v>-</v>
      </c>
      <c r="G183" s="19"/>
      <c r="H183" s="12"/>
      <c r="I183" s="15"/>
      <c r="K183" s="13">
        <f t="shared" si="9"/>
        <v>0</v>
      </c>
    </row>
    <row r="184" spans="1:11" s="13" customFormat="1">
      <c r="A184" s="108" t="s">
        <v>208</v>
      </c>
      <c r="B184" s="109" t="s">
        <v>173</v>
      </c>
      <c r="C184" s="394"/>
      <c r="D184" s="1063"/>
      <c r="E184" s="12"/>
      <c r="F184" s="1297" t="str">
        <f t="shared" si="8"/>
        <v>-</v>
      </c>
      <c r="G184" s="686"/>
      <c r="H184" s="687"/>
      <c r="I184" s="688"/>
      <c r="K184" s="117">
        <f t="shared" si="9"/>
        <v>0</v>
      </c>
    </row>
    <row r="185" spans="1:11" s="13" customFormat="1">
      <c r="A185" s="86" t="s">
        <v>209</v>
      </c>
      <c r="B185" s="66" t="s">
        <v>178</v>
      </c>
      <c r="C185" s="394"/>
      <c r="D185" s="1063"/>
      <c r="E185" s="12"/>
      <c r="F185" s="1296" t="str">
        <f t="shared" si="8"/>
        <v>-</v>
      </c>
      <c r="G185" s="686"/>
      <c r="H185" s="687"/>
      <c r="I185" s="688"/>
      <c r="K185" s="13">
        <f t="shared" si="9"/>
        <v>0</v>
      </c>
    </row>
    <row r="186" spans="1:11" s="13" customFormat="1">
      <c r="A186" s="86" t="s">
        <v>210</v>
      </c>
      <c r="B186" s="66" t="s">
        <v>174</v>
      </c>
      <c r="C186" s="394"/>
      <c r="D186" s="1063"/>
      <c r="E186" s="12"/>
      <c r="F186" s="1296" t="str">
        <f t="shared" si="8"/>
        <v>-</v>
      </c>
      <c r="G186" s="686"/>
      <c r="H186" s="687"/>
      <c r="I186" s="688"/>
      <c r="K186" s="13">
        <f t="shared" si="9"/>
        <v>0</v>
      </c>
    </row>
    <row r="187" spans="1:11" s="13" customFormat="1">
      <c r="A187" s="86" t="s">
        <v>211</v>
      </c>
      <c r="B187" s="66" t="s">
        <v>175</v>
      </c>
      <c r="C187" s="394"/>
      <c r="D187" s="1063"/>
      <c r="E187" s="12"/>
      <c r="F187" s="1296" t="str">
        <f t="shared" si="8"/>
        <v>-</v>
      </c>
      <c r="G187" s="686"/>
      <c r="H187" s="687"/>
      <c r="I187" s="688"/>
      <c r="K187" s="13">
        <f t="shared" si="9"/>
        <v>0</v>
      </c>
    </row>
    <row r="188" spans="1:11" s="13" customFormat="1">
      <c r="A188" s="86" t="s">
        <v>931</v>
      </c>
      <c r="B188" s="66" t="s">
        <v>933</v>
      </c>
      <c r="C188" s="394"/>
      <c r="D188" s="1063"/>
      <c r="E188" s="12"/>
      <c r="F188" s="1296" t="str">
        <f t="shared" si="8"/>
        <v>-</v>
      </c>
      <c r="G188" s="686"/>
      <c r="H188" s="687"/>
      <c r="I188" s="688"/>
      <c r="K188" s="13">
        <f t="shared" si="9"/>
        <v>0</v>
      </c>
    </row>
    <row r="189" spans="1:11">
      <c r="A189" s="85" t="s">
        <v>76</v>
      </c>
      <c r="B189" s="67" t="s">
        <v>176</v>
      </c>
      <c r="C189" s="396"/>
      <c r="D189" s="1064"/>
      <c r="E189" s="11"/>
      <c r="F189" s="1296" t="str">
        <f t="shared" si="8"/>
        <v>-</v>
      </c>
      <c r="G189" s="925"/>
      <c r="H189" s="926"/>
      <c r="I189" s="927"/>
      <c r="K189" s="4">
        <f t="shared" si="9"/>
        <v>0</v>
      </c>
    </row>
    <row r="190" spans="1:11">
      <c r="A190" s="78" t="s">
        <v>77</v>
      </c>
      <c r="B190" s="68" t="s">
        <v>177</v>
      </c>
      <c r="C190" s="397"/>
      <c r="D190" s="1065"/>
      <c r="E190" s="22"/>
      <c r="F190" s="1298" t="str">
        <f t="shared" si="8"/>
        <v>-</v>
      </c>
      <c r="G190" s="928"/>
      <c r="H190" s="929"/>
      <c r="I190" s="930"/>
      <c r="K190" s="4">
        <f t="shared" si="9"/>
        <v>0</v>
      </c>
    </row>
    <row r="191" spans="1:11" ht="12.75" thickBot="1">
      <c r="A191" s="78" t="s">
        <v>936</v>
      </c>
      <c r="B191" s="68" t="s">
        <v>934</v>
      </c>
      <c r="C191" s="397"/>
      <c r="D191" s="1065"/>
      <c r="E191" s="22"/>
      <c r="F191" s="1298" t="str">
        <f t="shared" si="8"/>
        <v>-</v>
      </c>
      <c r="G191" s="928"/>
      <c r="H191" s="929"/>
      <c r="I191" s="930"/>
      <c r="K191" s="4">
        <f t="shared" si="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061">
        <f>+D193</f>
        <v>0</v>
      </c>
      <c r="E192" s="28">
        <f>+E193</f>
        <v>0</v>
      </c>
      <c r="F192" s="1294" t="str">
        <f t="shared" si="8"/>
        <v>-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9"/>
        <v>0</v>
      </c>
    </row>
    <row r="193" spans="1:11" s="3" customFormat="1" ht="12.75" thickBot="1">
      <c r="A193" s="83" t="s">
        <v>43</v>
      </c>
      <c r="B193" s="64" t="s">
        <v>932</v>
      </c>
      <c r="C193" s="129">
        <f>+C194+C204+C205+C206</f>
        <v>0</v>
      </c>
      <c r="D193" s="1061">
        <f>+D194+D204+D205+D206</f>
        <v>0</v>
      </c>
      <c r="E193" s="28">
        <f>+E194+E204+E205+E206</f>
        <v>0</v>
      </c>
      <c r="F193" s="1294" t="str">
        <f t="shared" si="8"/>
        <v>-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9"/>
        <v>0</v>
      </c>
    </row>
    <row r="194" spans="1:11">
      <c r="A194" s="84" t="s">
        <v>78</v>
      </c>
      <c r="B194" s="65" t="s">
        <v>967</v>
      </c>
      <c r="C194" s="398">
        <f>+C195+C196+C197+C198+C199+C200+C201+C202+C203</f>
        <v>0</v>
      </c>
      <c r="D194" s="1062">
        <f>+D195+D196+D197+D198+D199+D200+D201+D202+D203</f>
        <v>0</v>
      </c>
      <c r="E194" s="10">
        <f>+E195+E196+E197+E198+E199+E200+E201+E202+E203</f>
        <v>0</v>
      </c>
      <c r="F194" s="1295" t="str">
        <f t="shared" si="8"/>
        <v>-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9"/>
        <v>0</v>
      </c>
    </row>
    <row r="195" spans="1:11" s="13" customFormat="1">
      <c r="A195" s="86" t="s">
        <v>212</v>
      </c>
      <c r="B195" s="66" t="s">
        <v>169</v>
      </c>
      <c r="C195" s="394"/>
      <c r="D195" s="1063"/>
      <c r="E195" s="12"/>
      <c r="F195" s="1296" t="str">
        <f t="shared" si="8"/>
        <v>-</v>
      </c>
      <c r="G195" s="686"/>
      <c r="H195" s="687"/>
      <c r="I195" s="688"/>
      <c r="K195" s="13">
        <f t="shared" si="9"/>
        <v>0</v>
      </c>
    </row>
    <row r="196" spans="1:11" s="13" customFormat="1">
      <c r="A196" s="86" t="s">
        <v>213</v>
      </c>
      <c r="B196" s="66" t="s">
        <v>170</v>
      </c>
      <c r="C196" s="394"/>
      <c r="D196" s="1063"/>
      <c r="E196" s="12"/>
      <c r="F196" s="1296" t="str">
        <f t="shared" si="8"/>
        <v>-</v>
      </c>
      <c r="G196" s="686"/>
      <c r="H196" s="687"/>
      <c r="I196" s="688"/>
      <c r="K196" s="13">
        <f t="shared" si="9"/>
        <v>0</v>
      </c>
    </row>
    <row r="197" spans="1:11" s="13" customFormat="1">
      <c r="A197" s="86" t="s">
        <v>214</v>
      </c>
      <c r="B197" s="66" t="s">
        <v>171</v>
      </c>
      <c r="C197" s="394"/>
      <c r="D197" s="1063"/>
      <c r="E197" s="12"/>
      <c r="F197" s="1296" t="str">
        <f t="shared" si="8"/>
        <v>-</v>
      </c>
      <c r="G197" s="686"/>
      <c r="H197" s="687"/>
      <c r="I197" s="688"/>
      <c r="K197" s="13">
        <f t="shared" si="9"/>
        <v>0</v>
      </c>
    </row>
    <row r="198" spans="1:11" s="13" customFormat="1">
      <c r="A198" s="86" t="s">
        <v>215</v>
      </c>
      <c r="B198" s="66" t="s">
        <v>172</v>
      </c>
      <c r="C198" s="394"/>
      <c r="D198" s="1063"/>
      <c r="E198" s="12"/>
      <c r="F198" s="1296" t="str">
        <f t="shared" si="8"/>
        <v>-</v>
      </c>
      <c r="G198" s="686"/>
      <c r="H198" s="687"/>
      <c r="I198" s="688"/>
      <c r="K198" s="13">
        <f t="shared" si="9"/>
        <v>0</v>
      </c>
    </row>
    <row r="199" spans="1:11" s="13" customFormat="1">
      <c r="A199" s="108" t="s">
        <v>216</v>
      </c>
      <c r="B199" s="109" t="s">
        <v>173</v>
      </c>
      <c r="C199" s="394"/>
      <c r="D199" s="1063"/>
      <c r="E199" s="12"/>
      <c r="F199" s="1297" t="str">
        <f t="shared" si="8"/>
        <v>-</v>
      </c>
      <c r="G199" s="686"/>
      <c r="H199" s="687"/>
      <c r="I199" s="688"/>
      <c r="K199" s="117">
        <f t="shared" si="9"/>
        <v>0</v>
      </c>
    </row>
    <row r="200" spans="1:11" s="13" customFormat="1">
      <c r="A200" s="86" t="s">
        <v>217</v>
      </c>
      <c r="B200" s="66" t="s">
        <v>178</v>
      </c>
      <c r="C200" s="394"/>
      <c r="D200" s="1063"/>
      <c r="E200" s="12"/>
      <c r="F200" s="1296" t="str">
        <f t="shared" si="8"/>
        <v>-</v>
      </c>
      <c r="G200" s="686"/>
      <c r="H200" s="687"/>
      <c r="I200" s="688"/>
      <c r="K200" s="13">
        <f t="shared" si="9"/>
        <v>0</v>
      </c>
    </row>
    <row r="201" spans="1:11" s="13" customFormat="1">
      <c r="A201" s="86" t="s">
        <v>218</v>
      </c>
      <c r="B201" s="66" t="s">
        <v>174</v>
      </c>
      <c r="C201" s="394"/>
      <c r="D201" s="1063"/>
      <c r="E201" s="12"/>
      <c r="F201" s="1296" t="str">
        <f t="shared" si="8"/>
        <v>-</v>
      </c>
      <c r="G201" s="19"/>
      <c r="H201" s="12"/>
      <c r="I201" s="15"/>
      <c r="K201" s="13">
        <f t="shared" si="9"/>
        <v>0</v>
      </c>
    </row>
    <row r="202" spans="1:11" s="13" customFormat="1">
      <c r="A202" s="86" t="s">
        <v>219</v>
      </c>
      <c r="B202" s="66" t="s">
        <v>175</v>
      </c>
      <c r="C202" s="394"/>
      <c r="D202" s="1063"/>
      <c r="E202" s="12"/>
      <c r="F202" s="1296" t="str">
        <f t="shared" si="8"/>
        <v>-</v>
      </c>
      <c r="G202" s="19"/>
      <c r="H202" s="12"/>
      <c r="I202" s="15"/>
      <c r="K202" s="13">
        <f t="shared" si="9"/>
        <v>0</v>
      </c>
    </row>
    <row r="203" spans="1:11" s="13" customFormat="1">
      <c r="A203" s="86" t="s">
        <v>931</v>
      </c>
      <c r="B203" s="66" t="s">
        <v>933</v>
      </c>
      <c r="C203" s="394"/>
      <c r="D203" s="1063"/>
      <c r="E203" s="12"/>
      <c r="F203" s="1296" t="str">
        <f t="shared" si="8"/>
        <v>-</v>
      </c>
      <c r="G203" s="19"/>
      <c r="H203" s="12"/>
      <c r="I203" s="15"/>
      <c r="K203" s="13">
        <f t="shared" si="9"/>
        <v>0</v>
      </c>
    </row>
    <row r="204" spans="1:11">
      <c r="A204" s="85" t="s">
        <v>79</v>
      </c>
      <c r="B204" s="67" t="s">
        <v>176</v>
      </c>
      <c r="C204" s="396"/>
      <c r="D204" s="1064"/>
      <c r="E204" s="11"/>
      <c r="F204" s="1296" t="str">
        <f t="shared" si="8"/>
        <v>-</v>
      </c>
      <c r="G204" s="20"/>
      <c r="H204" s="11"/>
      <c r="I204" s="16"/>
      <c r="K204" s="4">
        <f t="shared" si="9"/>
        <v>0</v>
      </c>
    </row>
    <row r="205" spans="1:11">
      <c r="A205" s="78" t="s">
        <v>220</v>
      </c>
      <c r="B205" s="68" t="s">
        <v>177</v>
      </c>
      <c r="C205" s="397"/>
      <c r="D205" s="1065"/>
      <c r="E205" s="22"/>
      <c r="F205" s="1298" t="str">
        <f t="shared" si="8"/>
        <v>-</v>
      </c>
      <c r="G205" s="21"/>
      <c r="H205" s="22"/>
      <c r="I205" s="23"/>
      <c r="K205" s="4">
        <f t="shared" si="9"/>
        <v>0</v>
      </c>
    </row>
    <row r="206" spans="1:11" ht="12.75" thickBot="1">
      <c r="A206" s="78" t="s">
        <v>935</v>
      </c>
      <c r="B206" s="68" t="s">
        <v>934</v>
      </c>
      <c r="C206" s="397"/>
      <c r="D206" s="1065"/>
      <c r="E206" s="22"/>
      <c r="F206" s="1298" t="str">
        <f t="shared" si="8"/>
        <v>-</v>
      </c>
      <c r="G206" s="21"/>
      <c r="H206" s="22"/>
      <c r="I206" s="23"/>
      <c r="K206" s="4">
        <f t="shared" si="9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061">
        <f>+D177+D192</f>
        <v>0</v>
      </c>
      <c r="E207" s="28">
        <f>+E177+E192</f>
        <v>0</v>
      </c>
      <c r="F207" s="1294" t="str">
        <f t="shared" si="8"/>
        <v>-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9"/>
        <v>0</v>
      </c>
    </row>
    <row r="208" spans="1:11" s="3" customFormat="1" ht="12.75" thickBot="1">
      <c r="A208" s="87" t="s">
        <v>39</v>
      </c>
      <c r="B208" s="71" t="s">
        <v>334</v>
      </c>
      <c r="C208" s="392">
        <f>+C176+C207</f>
        <v>83600</v>
      </c>
      <c r="D208" s="1072">
        <f>+D176+D207</f>
        <v>112245</v>
      </c>
      <c r="E208" s="25">
        <f>+E176+E207</f>
        <v>112135</v>
      </c>
      <c r="F208" s="1301">
        <f t="shared" si="8"/>
        <v>0.99902000089090826</v>
      </c>
      <c r="G208" s="24">
        <f>+G176+G207</f>
        <v>112135</v>
      </c>
      <c r="H208" s="25">
        <f>+H176+H207</f>
        <v>0</v>
      </c>
      <c r="I208" s="26">
        <f>+I176+I207</f>
        <v>0</v>
      </c>
      <c r="K208" s="3">
        <f t="shared" si="9"/>
        <v>0</v>
      </c>
    </row>
    <row r="211" spans="1:33" s="1" customFormat="1" ht="15.75">
      <c r="A211" s="1770" t="s">
        <v>89</v>
      </c>
      <c r="B211" s="1770"/>
      <c r="C211" s="1770"/>
      <c r="D211" s="1770"/>
      <c r="E211" s="1770"/>
      <c r="F211" s="1770"/>
      <c r="G211" s="1770"/>
      <c r="H211" s="1770"/>
      <c r="I211" s="177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F212" s="1290"/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-83600</v>
      </c>
      <c r="D213" s="1061">
        <f>+D214+D215</f>
        <v>-112243</v>
      </c>
      <c r="E213" s="28">
        <f>+E214+E215</f>
        <v>-112133</v>
      </c>
      <c r="F213" s="1294">
        <f>IF(ISERROR(E213/D213),"-",E213/D213)</f>
        <v>0.99901998342881071</v>
      </c>
      <c r="G213" s="27">
        <f>+G214+G215</f>
        <v>-112133</v>
      </c>
      <c r="H213" s="28">
        <f>+H214+H215</f>
        <v>0</v>
      </c>
      <c r="I213" s="29">
        <f>+I214+I215</f>
        <v>0</v>
      </c>
      <c r="K213" s="3">
        <f>+E213-G213-H213-I213</f>
        <v>0</v>
      </c>
    </row>
    <row r="214" spans="1:33">
      <c r="A214" s="84" t="s">
        <v>81</v>
      </c>
      <c r="B214" s="72" t="s">
        <v>318</v>
      </c>
      <c r="C214" s="398">
        <f>+C10-C109</f>
        <v>-83600</v>
      </c>
      <c r="D214" s="1062">
        <f>+D10-D109</f>
        <v>-96590</v>
      </c>
      <c r="E214" s="10">
        <f>+E10-E109</f>
        <v>-96480</v>
      </c>
      <c r="F214" s="1295">
        <f>IF(ISERROR(E214/D214),"-",E214/D214)</f>
        <v>0.99886116575214823</v>
      </c>
      <c r="G214" s="34">
        <f>+G10-G109</f>
        <v>-96480</v>
      </c>
      <c r="H214" s="10">
        <f>+H10-H109</f>
        <v>0</v>
      </c>
      <c r="I214" s="35">
        <f>+I10-I109</f>
        <v>0</v>
      </c>
      <c r="K214" s="4">
        <f>+E214-G214-H214-I214</f>
        <v>0</v>
      </c>
    </row>
    <row r="215" spans="1:33" ht="12.75" thickBot="1">
      <c r="A215" s="88" t="s">
        <v>82</v>
      </c>
      <c r="B215" s="73" t="s">
        <v>319</v>
      </c>
      <c r="C215" s="391">
        <f>+C50-C149</f>
        <v>0</v>
      </c>
      <c r="D215" s="1079">
        <f>+D50-D149</f>
        <v>-15653</v>
      </c>
      <c r="E215" s="17">
        <f>+E50-E149</f>
        <v>-15653</v>
      </c>
      <c r="F215" s="1307">
        <f>IF(ISERROR(E215/D215),"-",E215/D215)</f>
        <v>1</v>
      </c>
      <c r="G215" s="40">
        <f>+G50-G149</f>
        <v>-15653</v>
      </c>
      <c r="H215" s="17">
        <f>+H50-H149</f>
        <v>0</v>
      </c>
      <c r="I215" s="39">
        <f>+I50-I149</f>
        <v>0</v>
      </c>
      <c r="K215" s="4">
        <f>+E215-G215-H215-I215</f>
        <v>0</v>
      </c>
    </row>
    <row r="218" spans="1:33" s="1" customFormat="1" ht="15.75">
      <c r="A218" s="1770" t="s">
        <v>90</v>
      </c>
      <c r="B218" s="1770"/>
      <c r="C218" s="1770"/>
      <c r="D218" s="1770"/>
      <c r="E218" s="1770"/>
      <c r="F218" s="1770"/>
      <c r="G218" s="1770"/>
      <c r="H218" s="1770"/>
      <c r="I218" s="177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F219" s="1290"/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83600</v>
      </c>
      <c r="D220" s="1061">
        <f>+D221+D228</f>
        <v>112243</v>
      </c>
      <c r="E220" s="28">
        <f>+E221+E228</f>
        <v>112220</v>
      </c>
      <c r="F220" s="1294">
        <f t="shared" ref="F220:F234" si="10">IF(ISERROR(E220/D220),"-",E220/D220)</f>
        <v>0.99979508744420587</v>
      </c>
      <c r="G220" s="27">
        <f>+G221+G228</f>
        <v>112220</v>
      </c>
      <c r="H220" s="28">
        <f>+H221+H228</f>
        <v>0</v>
      </c>
      <c r="I220" s="29">
        <f>+I221+I228</f>
        <v>0</v>
      </c>
      <c r="K220" s="3">
        <f t="shared" ref="K220:K234" si="11">+E220-G220-H220-I220</f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83600</v>
      </c>
      <c r="D221" s="1061">
        <f>+D222-D225</f>
        <v>96590</v>
      </c>
      <c r="E221" s="28">
        <f>+E222-E225</f>
        <v>96567</v>
      </c>
      <c r="F221" s="1294">
        <f t="shared" si="10"/>
        <v>0.99976188011181277</v>
      </c>
      <c r="G221" s="27">
        <f>+G222-G225</f>
        <v>96567</v>
      </c>
      <c r="H221" s="28">
        <f>+H222-H225</f>
        <v>0</v>
      </c>
      <c r="I221" s="29">
        <f>+I222-I225</f>
        <v>0</v>
      </c>
      <c r="K221" s="3">
        <f t="shared" si="11"/>
        <v>0</v>
      </c>
    </row>
    <row r="222" spans="1:33">
      <c r="A222" s="84" t="s">
        <v>54</v>
      </c>
      <c r="B222" s="65" t="s">
        <v>322</v>
      </c>
      <c r="C222" s="398">
        <f>+C223+C224</f>
        <v>83600</v>
      </c>
      <c r="D222" s="1062">
        <f>+D223+D224</f>
        <v>96590</v>
      </c>
      <c r="E222" s="10">
        <f>+E223+E224</f>
        <v>96567</v>
      </c>
      <c r="F222" s="1295">
        <f t="shared" si="10"/>
        <v>0.99976188011181277</v>
      </c>
      <c r="G222" s="34">
        <f>+G223+G224</f>
        <v>96567</v>
      </c>
      <c r="H222" s="10">
        <f>+H223+H224</f>
        <v>0</v>
      </c>
      <c r="I222" s="35">
        <f>+I223+I224</f>
        <v>0</v>
      </c>
      <c r="K222" s="4">
        <f t="shared" si="11"/>
        <v>0</v>
      </c>
    </row>
    <row r="223" spans="1:33" s="13" customFormat="1">
      <c r="A223" s="86" t="s">
        <v>189</v>
      </c>
      <c r="B223" s="66" t="s">
        <v>284</v>
      </c>
      <c r="C223" s="394">
        <f>+C76+C80</f>
        <v>0</v>
      </c>
      <c r="D223" s="1063">
        <f>+D76+D80</f>
        <v>40</v>
      </c>
      <c r="E223" s="12">
        <f>+E76+E80</f>
        <v>40</v>
      </c>
      <c r="F223" s="1296">
        <f t="shared" si="10"/>
        <v>1</v>
      </c>
      <c r="G223" s="19">
        <f>+G76+G80</f>
        <v>40</v>
      </c>
      <c r="H223" s="12">
        <f>+H76+H80</f>
        <v>0</v>
      </c>
      <c r="I223" s="15">
        <f>+I76+I80</f>
        <v>0</v>
      </c>
      <c r="K223" s="13">
        <f t="shared" si="11"/>
        <v>0</v>
      </c>
    </row>
    <row r="224" spans="1:33" s="13" customFormat="1">
      <c r="A224" s="86" t="s">
        <v>190</v>
      </c>
      <c r="B224" s="66" t="s">
        <v>285</v>
      </c>
      <c r="C224" s="394">
        <f>+C74+C75+C77+C78+C79+C81</f>
        <v>83600</v>
      </c>
      <c r="D224" s="1063">
        <f>+D74+D75+D77+D78+D79+D81</f>
        <v>96550</v>
      </c>
      <c r="E224" s="12">
        <f>+E74+E75+E77+E78+E79+E81</f>
        <v>96527</v>
      </c>
      <c r="F224" s="1296">
        <f t="shared" si="10"/>
        <v>0.99976178146038319</v>
      </c>
      <c r="G224" s="19">
        <f>+G74+G75+G77+G78+G79+G81</f>
        <v>96527</v>
      </c>
      <c r="H224" s="12">
        <f>+H74+H75+H77+H78+H79+H81</f>
        <v>0</v>
      </c>
      <c r="I224" s="15">
        <f>+I74+I75+I77+I78+I79+I81</f>
        <v>0</v>
      </c>
      <c r="K224" s="13">
        <f t="shared" si="11"/>
        <v>0</v>
      </c>
    </row>
    <row r="225" spans="1:33">
      <c r="A225" s="85" t="s">
        <v>55</v>
      </c>
      <c r="B225" s="67" t="s">
        <v>323</v>
      </c>
      <c r="C225" s="396">
        <f>+C227</f>
        <v>0</v>
      </c>
      <c r="D225" s="1064">
        <f>+D227</f>
        <v>0</v>
      </c>
      <c r="E225" s="11">
        <f>+E227</f>
        <v>0</v>
      </c>
      <c r="F225" s="1296" t="str">
        <f t="shared" si="10"/>
        <v>-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11"/>
        <v>0</v>
      </c>
    </row>
    <row r="226" spans="1:33" s="13" customFormat="1">
      <c r="A226" s="86" t="s">
        <v>56</v>
      </c>
      <c r="B226" s="66" t="s">
        <v>286</v>
      </c>
      <c r="C226" s="394">
        <f>+C185</f>
        <v>0</v>
      </c>
      <c r="D226" s="1063">
        <f>+D185</f>
        <v>0</v>
      </c>
      <c r="E226" s="12">
        <f>+E185</f>
        <v>0</v>
      </c>
      <c r="F226" s="1296" t="str">
        <f t="shared" si="10"/>
        <v>-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11"/>
        <v>0</v>
      </c>
    </row>
    <row r="227" spans="1:33" s="13" customFormat="1" ht="12.75" thickBot="1">
      <c r="A227" s="89" t="s">
        <v>57</v>
      </c>
      <c r="B227" s="74" t="s">
        <v>287</v>
      </c>
      <c r="C227" s="395">
        <f>+C180+C181+C182+C183+C184+C186+C187</f>
        <v>0</v>
      </c>
      <c r="D227" s="1066">
        <f>+D180+D181+D182+D183+D184+D186+D187</f>
        <v>0</v>
      </c>
      <c r="E227" s="43">
        <f>+E180+E181+E182+E183+E184+E186+E187</f>
        <v>0</v>
      </c>
      <c r="F227" s="1298" t="str">
        <f t="shared" si="10"/>
        <v>-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11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0</v>
      </c>
      <c r="D228" s="1061">
        <f>+D229-D232</f>
        <v>15653</v>
      </c>
      <c r="E228" s="28">
        <f>+E229-E232</f>
        <v>15653</v>
      </c>
      <c r="F228" s="1294">
        <f t="shared" si="10"/>
        <v>1</v>
      </c>
      <c r="G228" s="27">
        <f>+G229-G232</f>
        <v>15653</v>
      </c>
      <c r="H228" s="28">
        <f>+H229-H232</f>
        <v>0</v>
      </c>
      <c r="I228" s="29">
        <f>+I229-I232</f>
        <v>0</v>
      </c>
      <c r="K228" s="3">
        <f t="shared" si="11"/>
        <v>0</v>
      </c>
    </row>
    <row r="229" spans="1:33">
      <c r="A229" s="84" t="s">
        <v>58</v>
      </c>
      <c r="B229" s="65" t="s">
        <v>325</v>
      </c>
      <c r="C229" s="398">
        <f>+C230+C231</f>
        <v>0</v>
      </c>
      <c r="D229" s="1062">
        <f>+D230+D231</f>
        <v>15653</v>
      </c>
      <c r="E229" s="10">
        <f>+E230+E231</f>
        <v>15653</v>
      </c>
      <c r="F229" s="1295">
        <f t="shared" si="10"/>
        <v>1</v>
      </c>
      <c r="G229" s="34">
        <f>+G230+G231</f>
        <v>15653</v>
      </c>
      <c r="H229" s="10">
        <f>+H230+H231</f>
        <v>0</v>
      </c>
      <c r="I229" s="35">
        <f>+I230+I231</f>
        <v>0</v>
      </c>
      <c r="K229" s="4">
        <f t="shared" si="11"/>
        <v>0</v>
      </c>
    </row>
    <row r="230" spans="1:33" s="13" customFormat="1">
      <c r="A230" s="86" t="s">
        <v>292</v>
      </c>
      <c r="B230" s="66" t="s">
        <v>290</v>
      </c>
      <c r="C230" s="394">
        <f>+C91+C95</f>
        <v>0</v>
      </c>
      <c r="D230" s="1063">
        <f>+D91+D95</f>
        <v>0</v>
      </c>
      <c r="E230" s="12">
        <f>+E91+E95</f>
        <v>0</v>
      </c>
      <c r="F230" s="1296" t="str">
        <f t="shared" si="10"/>
        <v>-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11"/>
        <v>0</v>
      </c>
    </row>
    <row r="231" spans="1:33" s="13" customFormat="1">
      <c r="A231" s="86" t="s">
        <v>293</v>
      </c>
      <c r="B231" s="66" t="s">
        <v>291</v>
      </c>
      <c r="C231" s="394">
        <f>+C89+C90+C92+C93+C94+C96</f>
        <v>0</v>
      </c>
      <c r="D231" s="1063">
        <f>+D89+D90+D92+D93+D94+D96</f>
        <v>15653</v>
      </c>
      <c r="E231" s="12">
        <f>+E89+E90+E92+E93+E94+E96</f>
        <v>15653</v>
      </c>
      <c r="F231" s="1296">
        <f t="shared" si="10"/>
        <v>1</v>
      </c>
      <c r="G231" s="19">
        <f>+G89+G90+G92+G93+G94+G96</f>
        <v>15653</v>
      </c>
      <c r="H231" s="12">
        <f>+H89+H90+H92+H93+H94+H96</f>
        <v>0</v>
      </c>
      <c r="I231" s="15">
        <f>+I89+I90+I92+I93+I94+I96</f>
        <v>0</v>
      </c>
      <c r="K231" s="13">
        <f t="shared" si="11"/>
        <v>0</v>
      </c>
    </row>
    <row r="232" spans="1:33">
      <c r="A232" s="85" t="s">
        <v>59</v>
      </c>
      <c r="B232" s="67" t="s">
        <v>326</v>
      </c>
      <c r="C232" s="396">
        <f>+C233+C234</f>
        <v>0</v>
      </c>
      <c r="D232" s="1064">
        <f>+D233+D234</f>
        <v>0</v>
      </c>
      <c r="E232" s="11">
        <f>+E233+E234</f>
        <v>0</v>
      </c>
      <c r="F232" s="1296" t="str">
        <f t="shared" si="10"/>
        <v>-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11"/>
        <v>0</v>
      </c>
    </row>
    <row r="233" spans="1:33" s="13" customFormat="1">
      <c r="A233" s="86" t="s">
        <v>294</v>
      </c>
      <c r="B233" s="66" t="s">
        <v>288</v>
      </c>
      <c r="C233" s="394">
        <f>+C200</f>
        <v>0</v>
      </c>
      <c r="D233" s="1063">
        <f>+D200</f>
        <v>0</v>
      </c>
      <c r="E233" s="12">
        <f>+E200</f>
        <v>0</v>
      </c>
      <c r="F233" s="1296" t="str">
        <f t="shared" si="10"/>
        <v>-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11"/>
        <v>0</v>
      </c>
    </row>
    <row r="234" spans="1:33" s="13" customFormat="1" ht="12.75" thickBot="1">
      <c r="A234" s="90" t="s">
        <v>295</v>
      </c>
      <c r="B234" s="75" t="s">
        <v>289</v>
      </c>
      <c r="C234" s="390">
        <f>+C195+C196+C197+C198+C199+C201+C202</f>
        <v>0</v>
      </c>
      <c r="D234" s="1161">
        <f>+D195+D196+D197+D198+D199+D201+D202</f>
        <v>0</v>
      </c>
      <c r="E234" s="41">
        <f>+E195+E196+E197+E198+E199+E201+E202</f>
        <v>0</v>
      </c>
      <c r="F234" s="1307" t="str">
        <f t="shared" si="10"/>
        <v>-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11"/>
        <v>0</v>
      </c>
    </row>
    <row r="237" spans="1:33" s="1" customFormat="1" ht="15.75">
      <c r="A237" s="1770" t="s">
        <v>1430</v>
      </c>
      <c r="B237" s="1770"/>
      <c r="C237" s="1770"/>
      <c r="D237" s="1770"/>
      <c r="E237" s="1770"/>
      <c r="F237" s="1770"/>
      <c r="G237" s="1770"/>
      <c r="H237" s="1770"/>
      <c r="I237" s="177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F238" s="1290"/>
      <c r="I238" s="37"/>
    </row>
    <row r="239" spans="1:33" s="3" customFormat="1">
      <c r="A239" s="91" t="s">
        <v>4</v>
      </c>
      <c r="B239" s="76" t="s">
        <v>91</v>
      </c>
      <c r="C239" s="1075">
        <v>22</v>
      </c>
      <c r="D239" s="1162">
        <v>22</v>
      </c>
      <c r="E239" s="55">
        <v>21</v>
      </c>
      <c r="F239" s="1304">
        <f>IF(ISERROR(E239/D239),"-",E239/D239)</f>
        <v>0.95454545454545459</v>
      </c>
      <c r="G239" s="54">
        <v>21</v>
      </c>
      <c r="H239" s="55"/>
      <c r="I239" s="56"/>
      <c r="K239" s="3">
        <f>+E239-G239-H239-I239</f>
        <v>0</v>
      </c>
    </row>
    <row r="240" spans="1:33" s="13" customFormat="1">
      <c r="A240" s="89" t="s">
        <v>350</v>
      </c>
      <c r="B240" s="99" t="s">
        <v>351</v>
      </c>
      <c r="C240" s="1076"/>
      <c r="D240" s="1163"/>
      <c r="E240" s="101"/>
      <c r="F240" s="1298" t="str">
        <f>IF(ISERROR(E240/D240),"-",E240/D240)</f>
        <v>-</v>
      </c>
      <c r="G240" s="100"/>
      <c r="H240" s="101"/>
      <c r="I240" s="102"/>
      <c r="K240" s="13">
        <f>+E240-G240-H240-I240</f>
        <v>0</v>
      </c>
    </row>
    <row r="241" spans="1:11" s="3" customFormat="1" ht="12.75" thickBot="1">
      <c r="A241" s="92" t="s">
        <v>5</v>
      </c>
      <c r="B241" s="77" t="s">
        <v>92</v>
      </c>
      <c r="C241" s="1077"/>
      <c r="D241" s="1164"/>
      <c r="E241" s="58"/>
      <c r="F241" s="1312" t="str">
        <f>IF(ISERROR(E241/D241),"-",E241/D241)</f>
        <v>-</v>
      </c>
      <c r="G241" s="57"/>
      <c r="H241" s="58"/>
      <c r="I241" s="59"/>
      <c r="K241" s="3">
        <f>+E241-G241-H241-I241</f>
        <v>0</v>
      </c>
    </row>
    <row r="242" spans="1:11" s="3" customFormat="1" ht="12.75" thickBot="1">
      <c r="A242" s="83" t="s">
        <v>6</v>
      </c>
      <c r="B242" s="69" t="s">
        <v>329</v>
      </c>
      <c r="C242" s="1078">
        <f>+C239+C241</f>
        <v>22</v>
      </c>
      <c r="D242" s="1165">
        <f>+D239+D241</f>
        <v>22</v>
      </c>
      <c r="E242" s="61">
        <f>+E239+E241</f>
        <v>21</v>
      </c>
      <c r="F242" s="1294">
        <f>IF(ISERROR(E242/D242),"-",E242/D242)</f>
        <v>0.95454545454545459</v>
      </c>
      <c r="G242" s="60">
        <f>+G239+G241</f>
        <v>21</v>
      </c>
      <c r="H242" s="61">
        <f>+H239+H241</f>
        <v>0</v>
      </c>
      <c r="I242" s="62">
        <f>+I239+I241</f>
        <v>0</v>
      </c>
      <c r="K242" s="3">
        <f>+E242-G242-H242-I242</f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conditionalFormatting sqref="F26:F31 F89:F100 F65:F69 F59:F63 F52:F57 F45:F49 F33:F43 F13:F24 F195:F206 F180:F191 F166:F175 F151:F158 F147:F148 F133:F145 F124:F131 F117:F122 F111:F115 F160:F164 F74:F85">
    <cfRule type="cellIs" dxfId="2" priority="2" stopIfTrue="1" operator="equal">
      <formula>0</formula>
    </cfRule>
  </conditionalFormatting>
  <conditionalFormatting sqref="F65:F69 F59:F63 F52:F57 F45:F49 F33:F43 F13:F24 F195:F206 F180:F191 F166:F175 F160:F164 F151:F158 F147:F148 F133:F145 F124:F131 F117:F122 F111:F115 F26:F31 F89:F100 F74:F85">
    <cfRule type="cellIs" dxfId="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5" width="9.28515625" style="4" customWidth="1"/>
    <col min="6" max="6" width="9.28515625" style="1305" customWidth="1"/>
    <col min="7" max="9" width="9.28515625" style="4" customWidth="1"/>
    <col min="10" max="10" width="60" style="4" customWidth="1"/>
    <col min="11" max="13" width="9.28515625" style="4" customWidth="1"/>
    <col min="14" max="14" width="9.28515625" style="1305" customWidth="1"/>
    <col min="15" max="17" width="9.28515625" style="4" customWidth="1"/>
    <col min="18" max="16384" width="9.140625" style="4"/>
  </cols>
  <sheetData>
    <row r="1" spans="1:17" s="50" customFormat="1" ht="15.75">
      <c r="F1" s="1289"/>
      <c r="N1" s="1289"/>
      <c r="Q1" s="51" t="s">
        <v>387</v>
      </c>
    </row>
    <row r="2" spans="1:17" s="50" customFormat="1" ht="15.75">
      <c r="F2" s="1289"/>
      <c r="N2" s="1289"/>
    </row>
    <row r="3" spans="1:17" s="52" customFormat="1" ht="15.75">
      <c r="A3" s="1769" t="s">
        <v>330</v>
      </c>
      <c r="B3" s="1769"/>
      <c r="C3" s="1769"/>
      <c r="D3" s="1769"/>
      <c r="E3" s="1769"/>
      <c r="F3" s="1769"/>
      <c r="G3" s="1769"/>
      <c r="H3" s="1769"/>
      <c r="I3" s="1769"/>
      <c r="J3" s="1769"/>
      <c r="K3" s="1769"/>
      <c r="L3" s="1769"/>
      <c r="M3" s="1769"/>
      <c r="N3" s="1769"/>
      <c r="O3" s="1769"/>
      <c r="P3" s="1769"/>
      <c r="Q3" s="1769"/>
    </row>
    <row r="4" spans="1:17" s="52" customFormat="1" ht="15.75">
      <c r="A4" s="1769" t="s">
        <v>1418</v>
      </c>
      <c r="B4" s="1769"/>
      <c r="C4" s="1769"/>
      <c r="D4" s="1769"/>
      <c r="E4" s="1769"/>
      <c r="F4" s="1769"/>
      <c r="G4" s="1769"/>
      <c r="H4" s="1769"/>
      <c r="I4" s="1769"/>
      <c r="J4" s="1769"/>
      <c r="K4" s="1769"/>
      <c r="L4" s="1769"/>
      <c r="M4" s="1769"/>
      <c r="N4" s="1769"/>
      <c r="O4" s="1769"/>
      <c r="P4" s="1769"/>
      <c r="Q4" s="1769"/>
    </row>
    <row r="5" spans="1:17" s="36" customFormat="1" ht="12.75" thickBot="1">
      <c r="A5" s="38"/>
      <c r="F5" s="1290"/>
      <c r="N5" s="1290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055" t="s">
        <v>1540</v>
      </c>
      <c r="D6" s="6" t="s">
        <v>1541</v>
      </c>
      <c r="E6" s="6" t="s">
        <v>2654</v>
      </c>
      <c r="F6" s="1291" t="s">
        <v>1558</v>
      </c>
      <c r="G6" s="5" t="s">
        <v>51</v>
      </c>
      <c r="H6" s="6" t="s">
        <v>52</v>
      </c>
      <c r="I6" s="7" t="s">
        <v>53</v>
      </c>
      <c r="J6" s="80" t="s">
        <v>328</v>
      </c>
      <c r="K6" s="1055" t="s">
        <v>1540</v>
      </c>
      <c r="L6" s="6" t="s">
        <v>1541</v>
      </c>
      <c r="M6" s="6" t="s">
        <v>2654</v>
      </c>
      <c r="N6" s="1291" t="s">
        <v>1558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778" t="s">
        <v>254</v>
      </c>
      <c r="D7" s="1779"/>
      <c r="E7" s="1779"/>
      <c r="F7" s="1779"/>
      <c r="G7" s="1779"/>
      <c r="H7" s="1779"/>
      <c r="I7" s="1780"/>
      <c r="J7" s="82" t="s">
        <v>360</v>
      </c>
      <c r="K7" s="1778" t="s">
        <v>361</v>
      </c>
      <c r="L7" s="1779"/>
      <c r="M7" s="1779"/>
      <c r="N7" s="1779"/>
      <c r="O7" s="1779"/>
      <c r="P7" s="1779"/>
      <c r="Q7" s="1780"/>
    </row>
    <row r="8" spans="1:17" s="3" customFormat="1" ht="12.75" thickBot="1">
      <c r="A8" s="95" t="s">
        <v>4</v>
      </c>
      <c r="B8" s="63" t="s">
        <v>370</v>
      </c>
      <c r="C8" s="401">
        <f>+C9+C11+C13+C15</f>
        <v>1593199</v>
      </c>
      <c r="D8" s="1060">
        <f>+D9+D11+D13+D15</f>
        <v>2075746</v>
      </c>
      <c r="E8" s="1060">
        <f>+E9+E11+E13+E15</f>
        <v>1876441</v>
      </c>
      <c r="F8" s="1293">
        <f t="shared" ref="F8:F35" si="0">IF(ISERROR(E8/D8),"-",E8/D8)</f>
        <v>0.90398391710739179</v>
      </c>
      <c r="G8" s="31">
        <f>+G9+G11+G13+G15</f>
        <v>1848202</v>
      </c>
      <c r="H8" s="32">
        <f>+H9+H11+H13+H15</f>
        <v>28239</v>
      </c>
      <c r="I8" s="33">
        <f>+I9+I11+I13+I15</f>
        <v>0</v>
      </c>
      <c r="J8" s="69" t="s">
        <v>371</v>
      </c>
      <c r="K8" s="129">
        <f>+K9+K11+K13+K15+K16</f>
        <v>4018748</v>
      </c>
      <c r="L8" s="1061">
        <f>+L9+L11+L13+L15+L16</f>
        <v>4337116</v>
      </c>
      <c r="M8" s="1061">
        <f>+M9+M11+M13+M15+M16</f>
        <v>1874193</v>
      </c>
      <c r="N8" s="1293">
        <f t="shared" ref="N8:N35" si="1">IF(ISERROR(M8/L8),"-",M8/L8)</f>
        <v>0.43212886166752285</v>
      </c>
      <c r="O8" s="27">
        <f>+O9+O11+O13+O15+O16</f>
        <v>1817485</v>
      </c>
      <c r="P8" s="28">
        <f>+P9+P11+P13+P15+P16</f>
        <v>56708</v>
      </c>
      <c r="Q8" s="29">
        <f>+Q9+Q11+Q13+Q15+Q16</f>
        <v>0</v>
      </c>
    </row>
    <row r="9" spans="1:17" ht="12.75" customHeight="1">
      <c r="A9" s="125" t="s">
        <v>5</v>
      </c>
      <c r="B9" s="120" t="s">
        <v>373</v>
      </c>
      <c r="C9" s="979">
        <f>+'1.mell._Össz_Mérleg2020'!C11</f>
        <v>992226</v>
      </c>
      <c r="D9" s="1167">
        <f>+'1.mell._Össz_Mérleg2020'!D11</f>
        <v>1347690</v>
      </c>
      <c r="E9" s="1167">
        <f>+'1.mell._Össz_Mérleg2020'!E11</f>
        <v>1347690</v>
      </c>
      <c r="F9" s="1322">
        <f t="shared" si="0"/>
        <v>1</v>
      </c>
      <c r="G9" s="49">
        <f>+'1.mell._Össz_Mérleg2020'!G11</f>
        <v>1347565</v>
      </c>
      <c r="H9" s="47">
        <f>+'1.mell._Össz_Mérleg2020'!H11</f>
        <v>125</v>
      </c>
      <c r="I9" s="48">
        <f>+'1.mell._Össz_Mérleg2020'!I11</f>
        <v>0</v>
      </c>
      <c r="J9" s="126" t="s">
        <v>378</v>
      </c>
      <c r="K9" s="979">
        <f>+'1.mell._Össz_Mérleg2020'!C110</f>
        <v>715534</v>
      </c>
      <c r="L9" s="1167">
        <f>+'1.mell._Össz_Mérleg2020'!D110</f>
        <v>952919</v>
      </c>
      <c r="M9" s="1167">
        <f>+'1.mell._Össz_Mérleg2020'!E110</f>
        <v>941098</v>
      </c>
      <c r="N9" s="1322">
        <f t="shared" si="1"/>
        <v>0.98759495822834886</v>
      </c>
      <c r="O9" s="49">
        <f>+'1.mell._Össz_Mérleg2020'!G110</f>
        <v>924200</v>
      </c>
      <c r="P9" s="47">
        <f>+'1.mell._Össz_Mérleg2020'!H110</f>
        <v>16898</v>
      </c>
      <c r="Q9" s="48">
        <f>+'1.mell._Össz_Mérleg2020'!I110</f>
        <v>0</v>
      </c>
    </row>
    <row r="10" spans="1:17" s="13" customFormat="1" ht="24">
      <c r="A10" s="86" t="s">
        <v>348</v>
      </c>
      <c r="B10" s="134" t="s">
        <v>332</v>
      </c>
      <c r="C10" s="394">
        <f>+'1.mell._Össz_Mérleg2020'!C24</f>
        <v>0</v>
      </c>
      <c r="D10" s="1063">
        <f>+'1.mell._Össz_Mérleg2020'!D24</f>
        <v>246702</v>
      </c>
      <c r="E10" s="1063">
        <f>+'1.mell._Össz_Mérleg2020'!E24</f>
        <v>246702</v>
      </c>
      <c r="F10" s="1296">
        <f t="shared" si="0"/>
        <v>1</v>
      </c>
      <c r="G10" s="19">
        <f>+'1.mell._Össz_Mérleg2020'!G24</f>
        <v>246702</v>
      </c>
      <c r="H10" s="12">
        <f>+'1.mell._Össz_Mérleg2020'!H24</f>
        <v>0</v>
      </c>
      <c r="I10" s="15">
        <f>+'1.mell._Össz_Mérleg2020'!I24</f>
        <v>0</v>
      </c>
      <c r="J10" s="136" t="s">
        <v>349</v>
      </c>
      <c r="K10" s="394">
        <f>+'1.mell._Össz_Mérleg2020'!C111</f>
        <v>0</v>
      </c>
      <c r="L10" s="1063">
        <f>+'1.mell._Össz_Mérleg2020'!D111</f>
        <v>130730</v>
      </c>
      <c r="M10" s="1063">
        <f>+'1.mell._Össz_Mérleg2020'!E111</f>
        <v>130730</v>
      </c>
      <c r="N10" s="1296">
        <f t="shared" si="1"/>
        <v>1</v>
      </c>
      <c r="O10" s="19">
        <f>+'1.mell._Össz_Mérleg2020'!G111</f>
        <v>130730</v>
      </c>
      <c r="P10" s="12">
        <f>+'1.mell._Össz_Mérleg2020'!H111</f>
        <v>0</v>
      </c>
      <c r="Q10" s="15">
        <f>+'1.mell._Össz_Mérleg2020'!I111</f>
        <v>0</v>
      </c>
    </row>
    <row r="11" spans="1:17" ht="12.75" customHeight="1">
      <c r="A11" s="85" t="s">
        <v>6</v>
      </c>
      <c r="B11" s="127" t="s">
        <v>374</v>
      </c>
      <c r="C11" s="396">
        <f>+'1.mell._Össz_Mérleg2020'!C25</f>
        <v>414105</v>
      </c>
      <c r="D11" s="1064">
        <f>+'1.mell._Össz_Mérleg2020'!D25</f>
        <v>538391</v>
      </c>
      <c r="E11" s="1064">
        <f>+'1.mell._Össz_Mérleg2020'!E25</f>
        <v>370140</v>
      </c>
      <c r="F11" s="1296">
        <f t="shared" si="0"/>
        <v>0.68749291871520879</v>
      </c>
      <c r="G11" s="20">
        <f>+'1.mell._Össz_Mérleg2020'!G25</f>
        <v>370140</v>
      </c>
      <c r="H11" s="11">
        <f>+'1.mell._Össz_Mérleg2020'!H25</f>
        <v>0</v>
      </c>
      <c r="I11" s="16">
        <f>+'1.mell._Össz_Mérleg2020'!I25</f>
        <v>0</v>
      </c>
      <c r="J11" s="128" t="s">
        <v>372</v>
      </c>
      <c r="K11" s="396">
        <f>+'1.mell._Össz_Mérleg2020'!C114</f>
        <v>130817</v>
      </c>
      <c r="L11" s="1064">
        <f>+'1.mell._Össz_Mérleg2020'!D114</f>
        <v>167067</v>
      </c>
      <c r="M11" s="1064">
        <f>+'1.mell._Össz_Mérleg2020'!E114</f>
        <v>158725</v>
      </c>
      <c r="N11" s="1296">
        <f t="shared" si="1"/>
        <v>0.95006793681576851</v>
      </c>
      <c r="O11" s="20">
        <f>+'1.mell._Össz_Mérleg2020'!G114</f>
        <v>156166</v>
      </c>
      <c r="P11" s="11">
        <f>+'1.mell._Össz_Mérleg2020'!H114</f>
        <v>2559</v>
      </c>
      <c r="Q11" s="16">
        <f>+'1.mell._Össz_Mérleg2020'!I114</f>
        <v>0</v>
      </c>
    </row>
    <row r="12" spans="1:17" s="13" customFormat="1" ht="24">
      <c r="A12" s="86" t="s">
        <v>345</v>
      </c>
      <c r="B12" s="122"/>
      <c r="C12" s="394"/>
      <c r="D12" s="1063"/>
      <c r="E12" s="1063"/>
      <c r="F12" s="1296"/>
      <c r="G12" s="19"/>
      <c r="H12" s="12"/>
      <c r="I12" s="15"/>
      <c r="J12" s="136" t="s">
        <v>346</v>
      </c>
      <c r="K12" s="394">
        <f>+'1.mell._Össz_Mérleg2020'!C115</f>
        <v>0</v>
      </c>
      <c r="L12" s="1063">
        <f>+'1.mell._Össz_Mérleg2020'!D115</f>
        <v>19369</v>
      </c>
      <c r="M12" s="1063">
        <f>+'1.mell._Össz_Mérleg2020'!E115</f>
        <v>19369</v>
      </c>
      <c r="N12" s="1296"/>
      <c r="O12" s="19">
        <f>+'1.mell._Össz_Mérleg2020'!G115</f>
        <v>19369</v>
      </c>
      <c r="P12" s="12">
        <f>+'1.mell._Össz_Mérleg2020'!H115</f>
        <v>0</v>
      </c>
      <c r="Q12" s="15">
        <f>+'1.mell._Össz_Mérleg2020'!I115</f>
        <v>0</v>
      </c>
    </row>
    <row r="13" spans="1:17">
      <c r="A13" s="85" t="s">
        <v>3</v>
      </c>
      <c r="B13" s="127" t="s">
        <v>375</v>
      </c>
      <c r="C13" s="396">
        <f>+'1.mell._Össz_Mérleg2020'!C32</f>
        <v>186868</v>
      </c>
      <c r="D13" s="1064">
        <f>+'1.mell._Össz_Mérleg2020'!D32</f>
        <v>169713</v>
      </c>
      <c r="E13" s="1064">
        <f>+'1.mell._Össz_Mérleg2020'!E32</f>
        <v>153866</v>
      </c>
      <c r="F13" s="1296">
        <f t="shared" si="0"/>
        <v>0.90662471348688667</v>
      </c>
      <c r="G13" s="20">
        <f>+'1.mell._Össz_Mérleg2020'!G32</f>
        <v>125752</v>
      </c>
      <c r="H13" s="11">
        <f>+'1.mell._Össz_Mérleg2020'!H32</f>
        <v>28114</v>
      </c>
      <c r="I13" s="16">
        <f>+'1.mell._Össz_Mérleg2020'!I32</f>
        <v>0</v>
      </c>
      <c r="J13" s="128" t="s">
        <v>379</v>
      </c>
      <c r="K13" s="396">
        <f>+'1.mell._Össz_Mérleg2020'!C116</f>
        <v>401997</v>
      </c>
      <c r="L13" s="1064">
        <f>+'1.mell._Össz_Mérleg2020'!D116</f>
        <v>744360</v>
      </c>
      <c r="M13" s="1064">
        <f>+'1.mell._Össz_Mérleg2020'!E116</f>
        <v>628275</v>
      </c>
      <c r="N13" s="1296">
        <f t="shared" si="1"/>
        <v>0.8440472352087699</v>
      </c>
      <c r="O13" s="20">
        <f>+'1.mell._Össz_Mérleg2020'!G116</f>
        <v>591570</v>
      </c>
      <c r="P13" s="11">
        <f>+'1.mell._Össz_Mérleg2020'!H116</f>
        <v>36705</v>
      </c>
      <c r="Q13" s="16">
        <f>+'1.mell._Össz_Mérleg2020'!I116</f>
        <v>0</v>
      </c>
    </row>
    <row r="14" spans="1:17" s="13" customFormat="1" ht="24">
      <c r="A14" s="86" t="s">
        <v>340</v>
      </c>
      <c r="B14" s="123"/>
      <c r="C14" s="394"/>
      <c r="D14" s="1063"/>
      <c r="E14" s="1063"/>
      <c r="F14" s="1296"/>
      <c r="G14" s="19"/>
      <c r="H14" s="12"/>
      <c r="I14" s="15"/>
      <c r="J14" s="136" t="s">
        <v>347</v>
      </c>
      <c r="K14" s="394">
        <f>+'1.mell._Össz_Mérleg2020'!C117</f>
        <v>0</v>
      </c>
      <c r="L14" s="1063">
        <f>+'1.mell._Össz_Mérleg2020'!D117</f>
        <v>168804</v>
      </c>
      <c r="M14" s="1063">
        <f>+'1.mell._Össz_Mérleg2020'!E117</f>
        <v>168804</v>
      </c>
      <c r="N14" s="1296"/>
      <c r="O14" s="19">
        <f>+'1.mell._Össz_Mérleg2020'!G117</f>
        <v>168804</v>
      </c>
      <c r="P14" s="12">
        <f>+'1.mell._Össz_Mérleg2020'!H117</f>
        <v>0</v>
      </c>
      <c r="Q14" s="15">
        <f>+'1.mell._Össz_Mérleg2020'!I117</f>
        <v>0</v>
      </c>
    </row>
    <row r="15" spans="1:17" ht="12.75" customHeight="1">
      <c r="A15" s="85" t="s">
        <v>16</v>
      </c>
      <c r="B15" s="127" t="s">
        <v>376</v>
      </c>
      <c r="C15" s="396">
        <f>+'1.mell._Össz_Mérleg2020'!C44</f>
        <v>0</v>
      </c>
      <c r="D15" s="1064">
        <f>+'1.mell._Össz_Mérleg2020'!D44</f>
        <v>19952</v>
      </c>
      <c r="E15" s="1064">
        <f>+'1.mell._Össz_Mérleg2020'!E44</f>
        <v>4745</v>
      </c>
      <c r="F15" s="1296">
        <f t="shared" si="0"/>
        <v>0.23782076984763431</v>
      </c>
      <c r="G15" s="20">
        <f>+'1.mell._Össz_Mérleg2020'!G44</f>
        <v>4745</v>
      </c>
      <c r="H15" s="11">
        <f>+'1.mell._Össz_Mérleg2020'!H44</f>
        <v>0</v>
      </c>
      <c r="I15" s="16">
        <f>+'1.mell._Össz_Mérleg2020'!I44</f>
        <v>0</v>
      </c>
      <c r="J15" s="128" t="s">
        <v>380</v>
      </c>
      <c r="K15" s="396">
        <f>+'1.mell._Össz_Mérleg2020'!C123</f>
        <v>52779</v>
      </c>
      <c r="L15" s="1064">
        <f>+'1.mell._Össz_Mérleg2020'!D123</f>
        <v>48429</v>
      </c>
      <c r="M15" s="1064">
        <f>+'1.mell._Össz_Mérleg2020'!E123</f>
        <v>48427</v>
      </c>
      <c r="N15" s="1296">
        <f t="shared" si="1"/>
        <v>0.999958702430362</v>
      </c>
      <c r="O15" s="20">
        <f>+'1.mell._Össz_Mérleg2020'!G123</f>
        <v>48427</v>
      </c>
      <c r="P15" s="11">
        <f>+'1.mell._Össz_Mérleg2020'!H123</f>
        <v>0</v>
      </c>
      <c r="Q15" s="16">
        <f>+'1.mell._Össz_Mérleg2020'!I123</f>
        <v>0</v>
      </c>
    </row>
    <row r="16" spans="1:17" s="13" customFormat="1">
      <c r="A16" s="85" t="s">
        <v>15</v>
      </c>
      <c r="B16" s="127"/>
      <c r="C16" s="396"/>
      <c r="D16" s="1064"/>
      <c r="E16" s="1064"/>
      <c r="F16" s="1296"/>
      <c r="G16" s="20"/>
      <c r="H16" s="11"/>
      <c r="I16" s="16"/>
      <c r="J16" s="128" t="s">
        <v>381</v>
      </c>
      <c r="K16" s="396">
        <f>+'1.mell._Össz_Mérleg2020'!C132</f>
        <v>2717621</v>
      </c>
      <c r="L16" s="1064">
        <f>+'1.mell._Össz_Mérleg2020'!D132</f>
        <v>2424341</v>
      </c>
      <c r="M16" s="1064">
        <f>+'1.mell._Össz_Mérleg2020'!E132</f>
        <v>97668</v>
      </c>
      <c r="N16" s="1296"/>
      <c r="O16" s="20">
        <f>+'1.mell._Össz_Mérleg2020'!G132</f>
        <v>97122</v>
      </c>
      <c r="P16" s="11">
        <f>+'1.mell._Össz_Mérleg2020'!H132</f>
        <v>546</v>
      </c>
      <c r="Q16" s="16">
        <f>+'1.mell._Össz_Mérleg2020'!I132</f>
        <v>0</v>
      </c>
    </row>
    <row r="17" spans="1:17" s="13" customFormat="1" ht="24.75" thickBot="1">
      <c r="A17" s="90" t="s">
        <v>359</v>
      </c>
      <c r="B17" s="124"/>
      <c r="C17" s="390"/>
      <c r="D17" s="1161"/>
      <c r="E17" s="1161"/>
      <c r="F17" s="1307"/>
      <c r="G17" s="46"/>
      <c r="H17" s="41"/>
      <c r="I17" s="42"/>
      <c r="J17" s="135" t="s">
        <v>336</v>
      </c>
      <c r="K17" s="390">
        <f>+'1.mell._Össz_Mérleg2020'!C139</f>
        <v>0</v>
      </c>
      <c r="L17" s="1161">
        <f>+'1.mell._Össz_Mérleg2020'!D139</f>
        <v>10234</v>
      </c>
      <c r="M17" s="1161">
        <f>+'1.mell._Össz_Mérleg2020'!E139</f>
        <v>10234</v>
      </c>
      <c r="N17" s="1307"/>
      <c r="O17" s="46">
        <f>+'1.mell._Össz_Mérleg2020'!G139</f>
        <v>10234</v>
      </c>
      <c r="P17" s="41">
        <f>+'1.mell._Össz_Mérleg2020'!H139</f>
        <v>0</v>
      </c>
      <c r="Q17" s="42">
        <f>+'1.mell._Össz_Mérleg2020'!I139</f>
        <v>0</v>
      </c>
    </row>
    <row r="18" spans="1:17" s="3" customFormat="1" ht="12.75" thickBot="1">
      <c r="A18" s="83" t="s">
        <v>14</v>
      </c>
      <c r="B18" s="70" t="s">
        <v>377</v>
      </c>
      <c r="C18" s="129">
        <f>+C19</f>
        <v>2876249</v>
      </c>
      <c r="D18" s="1061">
        <f>+D19</f>
        <v>797622</v>
      </c>
      <c r="E18" s="1061">
        <f>+E19</f>
        <v>797622</v>
      </c>
      <c r="F18" s="1294">
        <f t="shared" si="0"/>
        <v>1</v>
      </c>
      <c r="G18" s="27">
        <f>+G19</f>
        <v>797597</v>
      </c>
      <c r="H18" s="28">
        <f>+H19</f>
        <v>25</v>
      </c>
      <c r="I18" s="29">
        <f>+I19</f>
        <v>0</v>
      </c>
      <c r="J18" s="70" t="s">
        <v>382</v>
      </c>
      <c r="K18" s="129">
        <f>+K19</f>
        <v>30446</v>
      </c>
      <c r="L18" s="1061">
        <f>+L19</f>
        <v>109126</v>
      </c>
      <c r="M18" s="1061">
        <f>+M19</f>
        <v>109126</v>
      </c>
      <c r="N18" s="1294">
        <f t="shared" si="1"/>
        <v>1</v>
      </c>
      <c r="O18" s="27">
        <f>+O19</f>
        <v>109126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943</v>
      </c>
      <c r="C19" s="979">
        <f>+C20+C30+C31+C32</f>
        <v>2876249</v>
      </c>
      <c r="D19" s="1167">
        <f>+D20+D30+D31+D32</f>
        <v>797622</v>
      </c>
      <c r="E19" s="1167">
        <f>+E20+E30+E31+E32</f>
        <v>797622</v>
      </c>
      <c r="F19" s="1322">
        <f t="shared" si="0"/>
        <v>1</v>
      </c>
      <c r="G19" s="49">
        <f>+G20+G30+G31+G32</f>
        <v>797597</v>
      </c>
      <c r="H19" s="47">
        <f>+H20+H30+H31+H32</f>
        <v>25</v>
      </c>
      <c r="I19" s="48">
        <f>+I20+I30+I31+I32</f>
        <v>0</v>
      </c>
      <c r="J19" s="120" t="s">
        <v>942</v>
      </c>
      <c r="K19" s="979">
        <f>+K20+K30+K31+K32</f>
        <v>30446</v>
      </c>
      <c r="L19" s="1167">
        <f>+L20+L30+L31+L32</f>
        <v>109126</v>
      </c>
      <c r="M19" s="1167">
        <f>+M20+M30+M31+M32</f>
        <v>109126</v>
      </c>
      <c r="N19" s="1322">
        <f t="shared" si="1"/>
        <v>1</v>
      </c>
      <c r="O19" s="49">
        <f>+O20+O30+O31+O32</f>
        <v>109126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940</v>
      </c>
      <c r="C20" s="398">
        <f>+C21+C22+C23+C24+C25+C26+C27+C28+C29</f>
        <v>2876249</v>
      </c>
      <c r="D20" s="1062">
        <f>+D21+D22+D23+D24+D25+D26+D27+D28+D29</f>
        <v>797622</v>
      </c>
      <c r="E20" s="1062">
        <f>+E21+E22+E23+E24+E25+E26+E27+E28+E29</f>
        <v>797622</v>
      </c>
      <c r="F20" s="1295">
        <f t="shared" si="0"/>
        <v>1</v>
      </c>
      <c r="G20" s="34">
        <f>+G21+G22+G23+G24+G25+G26+G27+G28+G29</f>
        <v>797597</v>
      </c>
      <c r="H20" s="10">
        <f>+H21+H22+H23+H24+H25+H26+H27+H28+H29</f>
        <v>25</v>
      </c>
      <c r="I20" s="35">
        <f>+I21+I22+I23+I24+I25+I26+I27+I28+I29</f>
        <v>0</v>
      </c>
      <c r="J20" s="65" t="s">
        <v>941</v>
      </c>
      <c r="K20" s="398">
        <f>+K21+K22+K23+K24+K25+K26+K27+K28+K29</f>
        <v>30446</v>
      </c>
      <c r="L20" s="1062">
        <f>+L21+L22+L23+L24+L25+L26+L27+L28+L29</f>
        <v>109126</v>
      </c>
      <c r="M20" s="1062">
        <f>+M21+M22+M23+M24+M25+M26+M27+M28+M29</f>
        <v>109126</v>
      </c>
      <c r="N20" s="1295">
        <f t="shared" si="1"/>
        <v>1</v>
      </c>
      <c r="O20" s="34">
        <f>+O21+O22+O23+O24+O25+O26+O27+O28+O29</f>
        <v>109126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362</v>
      </c>
      <c r="B21" s="66" t="s">
        <v>245</v>
      </c>
      <c r="C21" s="394">
        <f>+'1.mell._Össz_Mérleg2020'!C74</f>
        <v>0</v>
      </c>
      <c r="D21" s="1063">
        <f>+'1.mell._Össz_Mérleg2020'!D74</f>
        <v>77939</v>
      </c>
      <c r="E21" s="1063">
        <f>+'1.mell._Össz_Mérleg2020'!E74</f>
        <v>77939</v>
      </c>
      <c r="F21" s="1296">
        <f t="shared" si="0"/>
        <v>1</v>
      </c>
      <c r="G21" s="19">
        <f>+'1.mell._Össz_Mérleg2020'!G74</f>
        <v>77939</v>
      </c>
      <c r="H21" s="12">
        <f>+'1.mell._Össz_Mérleg2020'!H74</f>
        <v>0</v>
      </c>
      <c r="I21" s="15">
        <f>+'1.mell._Össz_Mérleg2020'!I74</f>
        <v>0</v>
      </c>
      <c r="J21" s="66" t="s">
        <v>169</v>
      </c>
      <c r="K21" s="394">
        <f>+'1.mell._Össz_Mérleg2020'!C180</f>
        <v>0</v>
      </c>
      <c r="L21" s="1063">
        <f>+'1.mell._Össz_Mérleg2020'!D180</f>
        <v>77939</v>
      </c>
      <c r="M21" s="1063">
        <f>+'1.mell._Össz_Mérleg2020'!E180</f>
        <v>77939</v>
      </c>
      <c r="N21" s="1296">
        <f t="shared" si="1"/>
        <v>1</v>
      </c>
      <c r="O21" s="19">
        <f>+'1.mell._Össz_Mérleg2020'!G180</f>
        <v>77939</v>
      </c>
      <c r="P21" s="12">
        <f>+'1.mell._Össz_Mérleg2020'!H180</f>
        <v>0</v>
      </c>
      <c r="Q21" s="15">
        <f>+'1.mell._Össz_Mérleg2020'!I180</f>
        <v>0</v>
      </c>
    </row>
    <row r="22" spans="1:17" s="13" customFormat="1">
      <c r="A22" s="86" t="s">
        <v>363</v>
      </c>
      <c r="B22" s="66" t="s">
        <v>246</v>
      </c>
      <c r="C22" s="394">
        <f>+'1.mell._Össz_Mérleg2020'!C75</f>
        <v>0</v>
      </c>
      <c r="D22" s="1063">
        <f>+'1.mell._Össz_Mérleg2020'!D75</f>
        <v>0</v>
      </c>
      <c r="E22" s="1063">
        <f>+'1.mell._Össz_Mérleg2020'!E75</f>
        <v>0</v>
      </c>
      <c r="F22" s="1296" t="str">
        <f t="shared" si="0"/>
        <v>-</v>
      </c>
      <c r="G22" s="19">
        <f>+'1.mell._Össz_Mérleg2020'!G75</f>
        <v>0</v>
      </c>
      <c r="H22" s="12">
        <f>+'1.mell._Össz_Mérleg2020'!H75</f>
        <v>0</v>
      </c>
      <c r="I22" s="15">
        <f>+'1.mell._Össz_Mérleg2020'!I75</f>
        <v>0</v>
      </c>
      <c r="J22" s="66" t="s">
        <v>170</v>
      </c>
      <c r="K22" s="394">
        <f>+'1.mell._Össz_Mérleg2020'!C181</f>
        <v>0</v>
      </c>
      <c r="L22" s="1063">
        <f>+'1.mell._Össz_Mérleg2020'!D181</f>
        <v>0</v>
      </c>
      <c r="M22" s="1063">
        <f>+'1.mell._Össz_Mérleg2020'!E181</f>
        <v>0</v>
      </c>
      <c r="N22" s="1296" t="str">
        <f t="shared" si="1"/>
        <v>-</v>
      </c>
      <c r="O22" s="19">
        <f>+'1.mell._Össz_Mérleg2020'!G181</f>
        <v>0</v>
      </c>
      <c r="P22" s="12">
        <f>+'1.mell._Össz_Mérleg2020'!H181</f>
        <v>0</v>
      </c>
      <c r="Q22" s="15">
        <f>+'1.mell._Össz_Mérleg2020'!I181</f>
        <v>0</v>
      </c>
    </row>
    <row r="23" spans="1:17" s="13" customFormat="1">
      <c r="A23" s="86" t="s">
        <v>364</v>
      </c>
      <c r="B23" s="66" t="s">
        <v>247</v>
      </c>
      <c r="C23" s="394">
        <f>+'1.mell._Össz_Mérleg2020'!C76</f>
        <v>2876249</v>
      </c>
      <c r="D23" s="1063">
        <f>+'1.mell._Össz_Mérleg2020'!D76</f>
        <v>682647</v>
      </c>
      <c r="E23" s="1063">
        <f>+'1.mell._Össz_Mérleg2020'!E76</f>
        <v>682647</v>
      </c>
      <c r="F23" s="1296">
        <f t="shared" si="0"/>
        <v>1</v>
      </c>
      <c r="G23" s="19">
        <f>+'1.mell._Össz_Mérleg2020'!G76</f>
        <v>682622</v>
      </c>
      <c r="H23" s="12">
        <f>+'1.mell._Össz_Mérleg2020'!H76</f>
        <v>25</v>
      </c>
      <c r="I23" s="15">
        <f>+'1.mell._Össz_Mérleg2020'!I76</f>
        <v>0</v>
      </c>
      <c r="J23" s="66" t="s">
        <v>171</v>
      </c>
      <c r="K23" s="394">
        <f>+'1.mell._Össz_Mérleg2020'!C182</f>
        <v>0</v>
      </c>
      <c r="L23" s="1063">
        <f>+'1.mell._Össz_Mérleg2020'!D182</f>
        <v>0</v>
      </c>
      <c r="M23" s="1063">
        <f>+'1.mell._Össz_Mérleg2020'!E182</f>
        <v>0</v>
      </c>
      <c r="N23" s="1296" t="str">
        <f t="shared" si="1"/>
        <v>-</v>
      </c>
      <c r="O23" s="19">
        <f>+'1.mell._Össz_Mérleg2020'!G182</f>
        <v>0</v>
      </c>
      <c r="P23" s="12">
        <f>+'1.mell._Össz_Mérleg2020'!H182</f>
        <v>0</v>
      </c>
      <c r="Q23" s="15">
        <f>+'1.mell._Össz_Mérleg2020'!I182</f>
        <v>0</v>
      </c>
    </row>
    <row r="24" spans="1:17" s="13" customFormat="1">
      <c r="A24" s="86" t="s">
        <v>365</v>
      </c>
      <c r="B24" s="66" t="s">
        <v>248</v>
      </c>
      <c r="C24" s="394">
        <f>+'1.mell._Össz_Mérleg2020'!C77</f>
        <v>0</v>
      </c>
      <c r="D24" s="1063">
        <f>+'1.mell._Össz_Mérleg2020'!D77</f>
        <v>37036</v>
      </c>
      <c r="E24" s="1063">
        <f>+'1.mell._Össz_Mérleg2020'!E77</f>
        <v>37036</v>
      </c>
      <c r="F24" s="1296">
        <f t="shared" si="0"/>
        <v>1</v>
      </c>
      <c r="G24" s="19">
        <f>+'1.mell._Össz_Mérleg2020'!G77</f>
        <v>37036</v>
      </c>
      <c r="H24" s="12">
        <f>+'1.mell._Össz_Mérleg2020'!H77</f>
        <v>0</v>
      </c>
      <c r="I24" s="15">
        <f>+'1.mell._Össz_Mérleg2020'!I77</f>
        <v>0</v>
      </c>
      <c r="J24" s="66" t="s">
        <v>172</v>
      </c>
      <c r="K24" s="394">
        <f>+'1.mell._Össz_Mérleg2020'!C183</f>
        <v>30446</v>
      </c>
      <c r="L24" s="1063">
        <f>+'1.mell._Össz_Mérleg2020'!D183</f>
        <v>31187</v>
      </c>
      <c r="M24" s="1063">
        <f>+'1.mell._Össz_Mérleg2020'!E183</f>
        <v>31187</v>
      </c>
      <c r="N24" s="1296">
        <f t="shared" si="1"/>
        <v>1</v>
      </c>
      <c r="O24" s="19">
        <f>+'1.mell._Össz_Mérleg2020'!G183</f>
        <v>31187</v>
      </c>
      <c r="P24" s="12">
        <f>+'1.mell._Össz_Mérleg2020'!H183</f>
        <v>0</v>
      </c>
      <c r="Q24" s="15">
        <f>+'1.mell._Össz_Mérleg2020'!I183</f>
        <v>0</v>
      </c>
    </row>
    <row r="25" spans="1:17" s="13" customFormat="1">
      <c r="A25" s="86" t="s">
        <v>366</v>
      </c>
      <c r="B25" s="66" t="s">
        <v>249</v>
      </c>
      <c r="C25" s="394">
        <f>+'1.mell._Össz_Mérleg2020'!C78</f>
        <v>0</v>
      </c>
      <c r="D25" s="1063">
        <f>+'1.mell._Össz_Mérleg2020'!D78</f>
        <v>0</v>
      </c>
      <c r="E25" s="1063">
        <f>+'1.mell._Össz_Mérleg2020'!E78</f>
        <v>0</v>
      </c>
      <c r="F25" s="1296" t="str">
        <f t="shared" si="0"/>
        <v>-</v>
      </c>
      <c r="G25" s="19">
        <f>+'1.mell._Össz_Mérleg2020'!G78</f>
        <v>0</v>
      </c>
      <c r="H25" s="12">
        <f>+'1.mell._Össz_Mérleg2020'!H78</f>
        <v>0</v>
      </c>
      <c r="I25" s="15">
        <f>+'1.mell._Össz_Mérleg2020'!I78</f>
        <v>0</v>
      </c>
      <c r="J25" s="66" t="s">
        <v>173</v>
      </c>
      <c r="K25" s="394">
        <f>+'1.mell._Össz_Mérleg2020'!C184</f>
        <v>0</v>
      </c>
      <c r="L25" s="1063">
        <f>+'1.mell._Össz_Mérleg2020'!D184</f>
        <v>0</v>
      </c>
      <c r="M25" s="1063">
        <f>+'1.mell._Össz_Mérleg2020'!E184</f>
        <v>0</v>
      </c>
      <c r="N25" s="1296" t="str">
        <f t="shared" si="1"/>
        <v>-</v>
      </c>
      <c r="O25" s="19">
        <f>+'1.mell._Össz_Mérleg2020'!G184</f>
        <v>0</v>
      </c>
      <c r="P25" s="12">
        <f>+'1.mell._Össz_Mérleg2020'!H184</f>
        <v>0</v>
      </c>
      <c r="Q25" s="15">
        <f>+'1.mell._Össz_Mérleg2020'!I184</f>
        <v>0</v>
      </c>
    </row>
    <row r="26" spans="1:17" s="13" customFormat="1">
      <c r="A26" s="86" t="s">
        <v>367</v>
      </c>
      <c r="B26" s="66" t="s">
        <v>250</v>
      </c>
      <c r="C26" s="394">
        <f>+'1.mell._Össz_Mérleg2020'!C79</f>
        <v>0</v>
      </c>
      <c r="D26" s="1063">
        <f>+'1.mell._Össz_Mérleg2020'!D79</f>
        <v>0</v>
      </c>
      <c r="E26" s="1063">
        <f>+'1.mell._Össz_Mérleg2020'!E79</f>
        <v>0</v>
      </c>
      <c r="F26" s="1296" t="str">
        <f t="shared" si="0"/>
        <v>-</v>
      </c>
      <c r="G26" s="19">
        <f>+'1.mell._Össz_Mérleg2020'!G79</f>
        <v>0</v>
      </c>
      <c r="H26" s="12">
        <f>+'1.mell._Össz_Mérleg2020'!H79</f>
        <v>0</v>
      </c>
      <c r="I26" s="15">
        <f>+'1.mell._Össz_Mérleg2020'!I79</f>
        <v>0</v>
      </c>
      <c r="J26" s="66" t="s">
        <v>178</v>
      </c>
      <c r="K26" s="394">
        <f>+'1.mell._Össz_Mérleg2020'!C185</f>
        <v>0</v>
      </c>
      <c r="L26" s="1063">
        <f>+'1.mell._Össz_Mérleg2020'!D185</f>
        <v>0</v>
      </c>
      <c r="M26" s="1063">
        <f>+'1.mell._Össz_Mérleg2020'!E185</f>
        <v>0</v>
      </c>
      <c r="N26" s="1296" t="str">
        <f t="shared" si="1"/>
        <v>-</v>
      </c>
      <c r="O26" s="19">
        <f>+'1.mell._Össz_Mérleg2020'!G185</f>
        <v>0</v>
      </c>
      <c r="P26" s="12">
        <f>+'1.mell._Össz_Mérleg2020'!H185</f>
        <v>0</v>
      </c>
      <c r="Q26" s="15">
        <f>+'1.mell._Össz_Mérleg2020'!I185</f>
        <v>0</v>
      </c>
    </row>
    <row r="27" spans="1:17" s="13" customFormat="1">
      <c r="A27" s="86" t="s">
        <v>368</v>
      </c>
      <c r="B27" s="66" t="s">
        <v>251</v>
      </c>
      <c r="C27" s="394">
        <f>+'1.mell._Össz_Mérleg2020'!C80</f>
        <v>0</v>
      </c>
      <c r="D27" s="1063">
        <f>+'1.mell._Össz_Mérleg2020'!D80</f>
        <v>0</v>
      </c>
      <c r="E27" s="1063">
        <f>+'1.mell._Össz_Mérleg2020'!E80</f>
        <v>0</v>
      </c>
      <c r="F27" s="1296" t="str">
        <f t="shared" si="0"/>
        <v>-</v>
      </c>
      <c r="G27" s="19">
        <f>+'1.mell._Össz_Mérleg2020'!G80</f>
        <v>0</v>
      </c>
      <c r="H27" s="12">
        <f>+'1.mell._Össz_Mérleg2020'!H80</f>
        <v>0</v>
      </c>
      <c r="I27" s="15">
        <f>+'1.mell._Össz_Mérleg2020'!I80</f>
        <v>0</v>
      </c>
      <c r="J27" s="66" t="s">
        <v>174</v>
      </c>
      <c r="K27" s="394">
        <f>+'1.mell._Össz_Mérleg2020'!C186</f>
        <v>0</v>
      </c>
      <c r="L27" s="1063">
        <f>+'1.mell._Össz_Mérleg2020'!D186</f>
        <v>0</v>
      </c>
      <c r="M27" s="1063">
        <f>+'1.mell._Össz_Mérleg2020'!E186</f>
        <v>0</v>
      </c>
      <c r="N27" s="1296" t="str">
        <f t="shared" si="1"/>
        <v>-</v>
      </c>
      <c r="O27" s="19">
        <f>+'1.mell._Össz_Mérleg2020'!G186</f>
        <v>0</v>
      </c>
      <c r="P27" s="12">
        <f>+'1.mell._Össz_Mérleg2020'!H186</f>
        <v>0</v>
      </c>
      <c r="Q27" s="15">
        <f>+'1.mell._Össz_Mérleg2020'!I186</f>
        <v>0</v>
      </c>
    </row>
    <row r="28" spans="1:17">
      <c r="A28" s="86" t="s">
        <v>369</v>
      </c>
      <c r="B28" s="66" t="s">
        <v>244</v>
      </c>
      <c r="C28" s="394">
        <f>+'1.mell._Össz_Mérleg2020'!C81</f>
        <v>0</v>
      </c>
      <c r="D28" s="1063">
        <f>+'1.mell._Össz_Mérleg2020'!D81</f>
        <v>0</v>
      </c>
      <c r="E28" s="1063">
        <f>+'1.mell._Össz_Mérleg2020'!E81</f>
        <v>0</v>
      </c>
      <c r="F28" s="1296" t="str">
        <f t="shared" si="0"/>
        <v>-</v>
      </c>
      <c r="G28" s="19">
        <f>+'1.mell._Össz_Mérleg2020'!G81</f>
        <v>0</v>
      </c>
      <c r="H28" s="12">
        <f>+'1.mell._Össz_Mérleg2020'!H81</f>
        <v>0</v>
      </c>
      <c r="I28" s="15">
        <f>+'1.mell._Össz_Mérleg2020'!I81</f>
        <v>0</v>
      </c>
      <c r="J28" s="66" t="s">
        <v>175</v>
      </c>
      <c r="K28" s="394">
        <f>+'1.mell._Össz_Mérleg2020'!C187</f>
        <v>0</v>
      </c>
      <c r="L28" s="1063">
        <f>+'1.mell._Össz_Mérleg2020'!D187</f>
        <v>0</v>
      </c>
      <c r="M28" s="1063">
        <f>+'1.mell._Össz_Mérleg2020'!E187</f>
        <v>0</v>
      </c>
      <c r="N28" s="1296" t="str">
        <f t="shared" si="1"/>
        <v>-</v>
      </c>
      <c r="O28" s="19">
        <f>+'1.mell._Össz_Mérleg2020'!G187</f>
        <v>0</v>
      </c>
      <c r="P28" s="12">
        <f>+'1.mell._Össz_Mérleg2020'!H187</f>
        <v>0</v>
      </c>
      <c r="Q28" s="15">
        <f>+'1.mell._Össz_Mérleg2020'!I187</f>
        <v>0</v>
      </c>
    </row>
    <row r="29" spans="1:17">
      <c r="A29" s="86" t="s">
        <v>939</v>
      </c>
      <c r="B29" s="66" t="s">
        <v>909</v>
      </c>
      <c r="C29" s="394">
        <f>+'1.mell._Össz_Mérleg2020'!C82</f>
        <v>0</v>
      </c>
      <c r="D29" s="1063">
        <f>+'1.mell._Össz_Mérleg2020'!D82</f>
        <v>0</v>
      </c>
      <c r="E29" s="1063">
        <f>+'1.mell._Össz_Mérleg2020'!E82</f>
        <v>0</v>
      </c>
      <c r="F29" s="1296" t="str">
        <f t="shared" si="0"/>
        <v>-</v>
      </c>
      <c r="G29" s="19">
        <f>+'1.mell._Össz_Mérleg2020'!G82</f>
        <v>0</v>
      </c>
      <c r="H29" s="12">
        <f>+'1.mell._Össz_Mérleg2020'!H82</f>
        <v>0</v>
      </c>
      <c r="I29" s="15">
        <f>+'1.mell._Össz_Mérleg2020'!I82</f>
        <v>0</v>
      </c>
      <c r="J29" s="66" t="s">
        <v>933</v>
      </c>
      <c r="K29" s="394">
        <f>+'1.mell._Össz_Mérleg2020'!C188</f>
        <v>0</v>
      </c>
      <c r="L29" s="1063">
        <f>+'1.mell._Össz_Mérleg2020'!D188</f>
        <v>0</v>
      </c>
      <c r="M29" s="1063">
        <f>+'1.mell._Össz_Mérleg2020'!E188</f>
        <v>0</v>
      </c>
      <c r="N29" s="1296" t="str">
        <f t="shared" si="1"/>
        <v>-</v>
      </c>
      <c r="O29" s="19">
        <f>+'1.mell._Össz_Mérleg2020'!G188</f>
        <v>0</v>
      </c>
      <c r="P29" s="12">
        <f>+'1.mell._Össz_Mérleg2020'!H188</f>
        <v>0</v>
      </c>
      <c r="Q29" s="15">
        <f>+'1.mell._Össz_Mérleg2020'!I188</f>
        <v>0</v>
      </c>
    </row>
    <row r="30" spans="1:17">
      <c r="A30" s="85" t="s">
        <v>67</v>
      </c>
      <c r="B30" s="67" t="s">
        <v>242</v>
      </c>
      <c r="C30" s="396">
        <f>+'1.mell._Össz_Mérleg2020'!C83</f>
        <v>0</v>
      </c>
      <c r="D30" s="1064">
        <f>+'1.mell._Össz_Mérleg2020'!D83</f>
        <v>0</v>
      </c>
      <c r="E30" s="1064">
        <f>+'1.mell._Össz_Mérleg2020'!E83</f>
        <v>0</v>
      </c>
      <c r="F30" s="1296" t="str">
        <f t="shared" si="0"/>
        <v>-</v>
      </c>
      <c r="G30" s="20">
        <f>+'1.mell._Össz_Mérleg2020'!G83</f>
        <v>0</v>
      </c>
      <c r="H30" s="11">
        <f>+'1.mell._Össz_Mérleg2020'!H83</f>
        <v>0</v>
      </c>
      <c r="I30" s="16">
        <f>+'1.mell._Össz_Mérleg2020'!I83</f>
        <v>0</v>
      </c>
      <c r="J30" s="67" t="s">
        <v>176</v>
      </c>
      <c r="K30" s="396">
        <f>+'1.mell._Össz_Mérleg2020'!C189</f>
        <v>0</v>
      </c>
      <c r="L30" s="1064">
        <f>+'1.mell._Össz_Mérleg2020'!D189</f>
        <v>0</v>
      </c>
      <c r="M30" s="1064">
        <f>+'1.mell._Össz_Mérleg2020'!E189</f>
        <v>0</v>
      </c>
      <c r="N30" s="1296" t="str">
        <f t="shared" si="1"/>
        <v>-</v>
      </c>
      <c r="O30" s="20">
        <f>+'1.mell._Össz_Mérleg2020'!G189</f>
        <v>0</v>
      </c>
      <c r="P30" s="11">
        <f>+'1.mell._Össz_Mérleg2020'!H189</f>
        <v>0</v>
      </c>
      <c r="Q30" s="16">
        <f>+'1.mell._Össz_Mérleg2020'!I189</f>
        <v>0</v>
      </c>
    </row>
    <row r="31" spans="1:17" s="3" customFormat="1">
      <c r="A31" s="78" t="s">
        <v>68</v>
      </c>
      <c r="B31" s="68" t="s">
        <v>243</v>
      </c>
      <c r="C31" s="397">
        <f>+'1.mell._Össz_Mérleg2020'!C84</f>
        <v>0</v>
      </c>
      <c r="D31" s="1065">
        <f>+'1.mell._Össz_Mérleg2020'!D84</f>
        <v>0</v>
      </c>
      <c r="E31" s="1065">
        <f>+'1.mell._Össz_Mérleg2020'!E84</f>
        <v>0</v>
      </c>
      <c r="F31" s="1298" t="str">
        <f t="shared" si="0"/>
        <v>-</v>
      </c>
      <c r="G31" s="21">
        <f>+'1.mell._Össz_Mérleg2020'!G84</f>
        <v>0</v>
      </c>
      <c r="H31" s="22">
        <f>+'1.mell._Össz_Mérleg2020'!H84</f>
        <v>0</v>
      </c>
      <c r="I31" s="23">
        <f>+'1.mell._Össz_Mérleg2020'!I84</f>
        <v>0</v>
      </c>
      <c r="J31" s="68" t="s">
        <v>177</v>
      </c>
      <c r="K31" s="397">
        <f>+'1.mell._Össz_Mérleg2020'!C190</f>
        <v>0</v>
      </c>
      <c r="L31" s="1065">
        <f>+'1.mell._Össz_Mérleg2020'!D190</f>
        <v>0</v>
      </c>
      <c r="M31" s="1065">
        <f>+'1.mell._Össz_Mérleg2020'!E190</f>
        <v>0</v>
      </c>
      <c r="N31" s="1298" t="str">
        <f t="shared" si="1"/>
        <v>-</v>
      </c>
      <c r="O31" s="21">
        <f>+'1.mell._Össz_Mérleg2020'!G190</f>
        <v>0</v>
      </c>
      <c r="P31" s="22">
        <f>+'1.mell._Össz_Mérleg2020'!H190</f>
        <v>0</v>
      </c>
      <c r="Q31" s="23">
        <f>+'1.mell._Össz_Mérleg2020'!I190</f>
        <v>0</v>
      </c>
    </row>
    <row r="32" spans="1:17" s="3" customFormat="1" ht="12.75" thickBot="1">
      <c r="A32" s="78" t="s">
        <v>229</v>
      </c>
      <c r="B32" s="68" t="s">
        <v>911</v>
      </c>
      <c r="C32" s="397">
        <f>+'1.mell._Össz_Mérleg2020'!C85</f>
        <v>0</v>
      </c>
      <c r="D32" s="1065">
        <f>+'1.mell._Össz_Mérleg2020'!D85</f>
        <v>0</v>
      </c>
      <c r="E32" s="1065">
        <f>+'1.mell._Össz_Mérleg2020'!E85</f>
        <v>0</v>
      </c>
      <c r="F32" s="1298" t="str">
        <f t="shared" si="0"/>
        <v>-</v>
      </c>
      <c r="G32" s="21">
        <f>+'1.mell._Össz_Mérleg2020'!G85</f>
        <v>0</v>
      </c>
      <c r="H32" s="22">
        <f>+'1.mell._Össz_Mérleg2020'!H85</f>
        <v>0</v>
      </c>
      <c r="I32" s="23">
        <f>+'1.mell._Össz_Mérleg2020'!I85</f>
        <v>0</v>
      </c>
      <c r="J32" s="68" t="s">
        <v>934</v>
      </c>
      <c r="K32" s="397">
        <f>+'1.mell._Össz_Mérleg2020'!C191</f>
        <v>0</v>
      </c>
      <c r="L32" s="1065">
        <f>+'1.mell._Össz_Mérleg2020'!D191</f>
        <v>0</v>
      </c>
      <c r="M32" s="1065">
        <f>+'1.mell._Össz_Mérleg2020'!E191</f>
        <v>0</v>
      </c>
      <c r="N32" s="1298" t="str">
        <f t="shared" si="1"/>
        <v>-</v>
      </c>
      <c r="O32" s="21">
        <f>+'1.mell._Össz_Mérleg2020'!G191</f>
        <v>0</v>
      </c>
      <c r="P32" s="22">
        <f>+'1.mell._Össz_Mérleg2020'!H191</f>
        <v>0</v>
      </c>
      <c r="Q32" s="23">
        <f>+'1.mell._Össz_Mérleg2020'!I191</f>
        <v>0</v>
      </c>
    </row>
    <row r="33" spans="1:17" s="3" customFormat="1" ht="12.75" thickBot="1">
      <c r="A33" s="81" t="s">
        <v>12</v>
      </c>
      <c r="B33" s="133" t="s">
        <v>383</v>
      </c>
      <c r="C33" s="401">
        <f>+C8+C18</f>
        <v>4469448</v>
      </c>
      <c r="D33" s="1060">
        <f>+D8+D18</f>
        <v>2873368</v>
      </c>
      <c r="E33" s="1060">
        <f>+E8+E18</f>
        <v>2674063</v>
      </c>
      <c r="F33" s="1293">
        <f t="shared" si="0"/>
        <v>0.93063714776527062</v>
      </c>
      <c r="G33" s="132">
        <f>+G8+G18</f>
        <v>2645799</v>
      </c>
      <c r="H33" s="131">
        <f>+H8+H18</f>
        <v>28264</v>
      </c>
      <c r="I33" s="130">
        <f>+I8+I18</f>
        <v>0</v>
      </c>
      <c r="J33" s="121" t="s">
        <v>386</v>
      </c>
      <c r="K33" s="129">
        <f>+K8+K18</f>
        <v>4049194</v>
      </c>
      <c r="L33" s="1061">
        <f>+L8+L18</f>
        <v>4446242</v>
      </c>
      <c r="M33" s="1061">
        <f>+M8+M18</f>
        <v>1983319</v>
      </c>
      <c r="N33" s="1293">
        <f t="shared" si="1"/>
        <v>0.4460663634592989</v>
      </c>
      <c r="O33" s="27">
        <f>+O8+O18</f>
        <v>1926611</v>
      </c>
      <c r="P33" s="28">
        <f>+P8+P18</f>
        <v>56708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384</v>
      </c>
      <c r="C34" s="1168">
        <f>IF(((K8-C8)&gt;0),K8-C8,"----")</f>
        <v>2425549</v>
      </c>
      <c r="D34" s="1169">
        <f>IF(((L8-D8)&gt;0),L8-D8,"----")</f>
        <v>2261370</v>
      </c>
      <c r="E34" s="1169" t="str">
        <f>IF(((M8-E8)&gt;0),M8-E8,"----")</f>
        <v>----</v>
      </c>
      <c r="F34" s="1294" t="str">
        <f t="shared" si="0"/>
        <v>-</v>
      </c>
      <c r="G34" s="139" t="str">
        <f>IF(((O8-G8)&gt;0),O8-G8,"----")</f>
        <v>----</v>
      </c>
      <c r="H34" s="138">
        <f>IF(((P8-H8)&gt;0),P8-H8,"----")</f>
        <v>28469</v>
      </c>
      <c r="I34" s="137" t="str">
        <f>IF(((Q8-I8)&gt;0),Q8-I8,"----")</f>
        <v>----</v>
      </c>
      <c r="J34" s="69" t="s">
        <v>385</v>
      </c>
      <c r="K34" s="1168" t="str">
        <f>IF(((C8-K8)&gt;0),C8-K8,"----")</f>
        <v>----</v>
      </c>
      <c r="L34" s="1169" t="str">
        <f>IF(((D8-L8)&gt;0),D8-L8,"----")</f>
        <v>----</v>
      </c>
      <c r="M34" s="1169">
        <f>IF(((E8-M8)&gt;0),E8-M8,"----")</f>
        <v>2248</v>
      </c>
      <c r="N34" s="1294" t="str">
        <f t="shared" si="1"/>
        <v>-</v>
      </c>
      <c r="O34" s="139">
        <f>IF(((G8-O8)&gt;0),G8-O8,"----")</f>
        <v>30717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388</v>
      </c>
      <c r="C35" s="1168" t="str">
        <f>IF(((K18-C18)&gt;0),K18-C18,"----")</f>
        <v>----</v>
      </c>
      <c r="D35" s="138" t="str">
        <f>IF(((L18-D18)&gt;0),L18-D18,"----")</f>
        <v>----</v>
      </c>
      <c r="E35" s="1169" t="str">
        <f>IF(((M18-E18)&gt;0),M18-E18,"----")</f>
        <v>----</v>
      </c>
      <c r="F35" s="1294" t="str">
        <f t="shared" si="0"/>
        <v>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389</v>
      </c>
      <c r="K35" s="1168">
        <f>IF(((C18-K18)&gt;0),C18-K18,"----")</f>
        <v>2845803</v>
      </c>
      <c r="L35" s="1169">
        <f>IF(((D18-L18)&gt;0),D18-L18,"----")</f>
        <v>688496</v>
      </c>
      <c r="M35" s="1169">
        <f>IF(((E18-M18)&gt;0),E18-M18,"----")</f>
        <v>688496</v>
      </c>
      <c r="N35" s="1294">
        <f t="shared" si="1"/>
        <v>1</v>
      </c>
      <c r="O35" s="139">
        <f>IF(((G18-O18)&gt;0),G18-O18,"----")</f>
        <v>688471</v>
      </c>
      <c r="P35" s="138">
        <f>IF(((H18-P18)&gt;0),H18-P18,"----")</f>
        <v>25</v>
      </c>
      <c r="Q35" s="137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34</vt:i4>
      </vt:variant>
    </vt:vector>
  </HeadingPairs>
  <TitlesOfParts>
    <vt:vector size="72" baseType="lpstr">
      <vt:lpstr>Tartalomjegyzék</vt:lpstr>
      <vt:lpstr>1.mell._Össz_Mérleg2020</vt:lpstr>
      <vt:lpstr>1.1.mell._ÖNK_Mérleg2020</vt:lpstr>
      <vt:lpstr>1.2.mell._HKÖH_Mérleg2020</vt:lpstr>
      <vt:lpstr>1.3.mell._HVÓBKI_Mérleg2020</vt:lpstr>
      <vt:lpstr>1.4.mell._HKK_Mérleg2020</vt:lpstr>
      <vt:lpstr>1.5._mell._MŐSZ_Mérleg2020</vt:lpstr>
      <vt:lpstr>1.6._mell._HVGYKCSSZ_Mérleg2020</vt:lpstr>
      <vt:lpstr>2.a.mell._MMérleg2020</vt:lpstr>
      <vt:lpstr>2.b.mell._FMérleg2020</vt:lpstr>
      <vt:lpstr>3. mell._létszám2020</vt:lpstr>
      <vt:lpstr>4. mell. EUprojektek2020</vt:lpstr>
      <vt:lpstr>5.mell_adósság2020</vt:lpstr>
      <vt:lpstr>6.mell_Többévesköt.2020</vt:lpstr>
      <vt:lpstr>7. mell_KözvetettTám2020</vt:lpstr>
      <vt:lpstr>8.mell_EIfelhterv2020</vt:lpstr>
      <vt:lpstr>9.mell_ÖsszMérleg(telj)2020</vt:lpstr>
      <vt:lpstr>10.mell_támogatások2020</vt:lpstr>
      <vt:lpstr>11.mell_felhKiad2020</vt:lpstr>
      <vt:lpstr>12.mell_céltámogatások2020</vt:lpstr>
      <vt:lpstr>13.mell_ÖNKfeladatok2020</vt:lpstr>
      <vt:lpstr>14.mell_Önk kiegészítés2020</vt:lpstr>
      <vt:lpstr>15.mell 2020K01</vt:lpstr>
      <vt:lpstr>16.mell 2020K02</vt:lpstr>
      <vt:lpstr>17.mell 2020K03</vt:lpstr>
      <vt:lpstr>18.mell 2020K04</vt:lpstr>
      <vt:lpstr>19.mell 2020K12</vt:lpstr>
      <vt:lpstr>20.mell 2020K13</vt:lpstr>
      <vt:lpstr>21.mell Vagyonkim2020</vt:lpstr>
      <vt:lpstr>22.mell Részesedések2020</vt:lpstr>
      <vt:lpstr>23.mell_Adósságáll2020</vt:lpstr>
      <vt:lpstr>24.Hitelek2020</vt:lpstr>
      <vt:lpstr>25.mell_maradvány2020</vt:lpstr>
      <vt:lpstr>26.mell_maradványfeloszt2020</vt:lpstr>
      <vt:lpstr>15.mell_Tartozások2020</vt:lpstr>
      <vt:lpstr>16.mell_Étkezésdíj2020</vt:lpstr>
      <vt:lpstr>1.függVárosüzem2020</vt:lpstr>
      <vt:lpstr>2.függ_adósság2019 (határozat)</vt:lpstr>
      <vt:lpstr>'10.mell_támogatások2020'!Nyomtatási_cím</vt:lpstr>
      <vt:lpstr>'13.mell_ÖNKfeladatok2020'!Nyomtatási_cím</vt:lpstr>
      <vt:lpstr>'14.mell_Önk kiegészítés2020'!Nyomtatási_cím</vt:lpstr>
      <vt:lpstr>'15.mell 2020K01'!Nyomtatási_cím</vt:lpstr>
      <vt:lpstr>'16.mell 2020K02'!Nyomtatási_cím</vt:lpstr>
      <vt:lpstr>'1.1.mell._ÖNK_Mérleg2020'!Nyomtatási_terület</vt:lpstr>
      <vt:lpstr>'1.2.mell._HKÖH_Mérleg2020'!Nyomtatási_terület</vt:lpstr>
      <vt:lpstr>'1.3.mell._HVÓBKI_Mérleg2020'!Nyomtatási_terület</vt:lpstr>
      <vt:lpstr>'1.4.mell._HKK_Mérleg2020'!Nyomtatási_terület</vt:lpstr>
      <vt:lpstr>'1.5._mell._MŐSZ_Mérleg2020'!Nyomtatási_terület</vt:lpstr>
      <vt:lpstr>'1.6._mell._HVGYKCSSZ_Mérleg2020'!Nyomtatási_terület</vt:lpstr>
      <vt:lpstr>'1.függVárosüzem2020'!Nyomtatási_terület</vt:lpstr>
      <vt:lpstr>'1.mell._Össz_Mérleg2020'!Nyomtatási_terület</vt:lpstr>
      <vt:lpstr>'10.mell_támogatások2020'!Nyomtatási_terület</vt:lpstr>
      <vt:lpstr>'11.mell_felhKiad2020'!Nyomtatási_terület</vt:lpstr>
      <vt:lpstr>'12.mell_céltámogatások2020'!Nyomtatási_terület</vt:lpstr>
      <vt:lpstr>'13.mell_ÖNKfeladatok2020'!Nyomtatási_terület</vt:lpstr>
      <vt:lpstr>'14.mell_Önk kiegészítés2020'!Nyomtatási_terület</vt:lpstr>
      <vt:lpstr>'15.mell 2020K01'!Nyomtatási_terület</vt:lpstr>
      <vt:lpstr>'16.mell 2020K02'!Nyomtatási_terület</vt:lpstr>
      <vt:lpstr>'16.mell_Étkezésdíj2020'!Nyomtatási_terület</vt:lpstr>
      <vt:lpstr>'17.mell 2020K03'!Nyomtatási_terület</vt:lpstr>
      <vt:lpstr>'18.mell 2020K04'!Nyomtatási_terület</vt:lpstr>
      <vt:lpstr>'2.a.mell._MMérleg2020'!Nyomtatási_terület</vt:lpstr>
      <vt:lpstr>'2.b.mell._FMérleg2020'!Nyomtatási_terület</vt:lpstr>
      <vt:lpstr>'2.függ_adósság2019 (határozat)'!Nyomtatási_terület</vt:lpstr>
      <vt:lpstr>'21.mell Vagyonkim2020'!Nyomtatási_terület</vt:lpstr>
      <vt:lpstr>'23.mell_Adósságáll2020'!Nyomtatási_terület</vt:lpstr>
      <vt:lpstr>'25.mell_maradvány2020'!Nyomtatási_terület</vt:lpstr>
      <vt:lpstr>'3. mell._létszám2020'!Nyomtatási_terület</vt:lpstr>
      <vt:lpstr>'4. mell. EUprojektek2020'!Nyomtatási_terület</vt:lpstr>
      <vt:lpstr>'7. mell_KözvetettTám2020'!Nyomtatási_terület</vt:lpstr>
      <vt:lpstr>'8.mell_EIfelhterv2020'!Nyomtatási_terület</vt:lpstr>
      <vt:lpstr>'9.mell_ÖsszMérleg(telj)2020'!Nyomtatási_terület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Bettenbuk Mária</cp:lastModifiedBy>
  <cp:lastPrinted>2021-05-28T07:43:43Z</cp:lastPrinted>
  <dcterms:created xsi:type="dcterms:W3CDTF">1998-12-06T10:54:59Z</dcterms:created>
  <dcterms:modified xsi:type="dcterms:W3CDTF">2021-06-09T14:30:06Z</dcterms:modified>
</cp:coreProperties>
</file>